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px-fs\kabudata\月報\geppou\月報1\・HP用データ\HP用相場表-データ\ETF相場表作成\"/>
    </mc:Choice>
  </mc:AlternateContent>
  <xr:revisionPtr revIDLastSave="0" documentId="13_ncr:1_{2B32C2C6-97B1-41EE-B0A5-98A8BA0014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.01" sheetId="4" r:id="rId1"/>
  </sheets>
  <definedNames>
    <definedName name="_xlnm.Print_Titles" localSheetId="0">'2026.01'!$1:$6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37" i="4" l="1"/>
  <c r="W437" i="4"/>
  <c r="V437" i="4"/>
  <c r="U437" i="4"/>
  <c r="T437" i="4"/>
  <c r="S437" i="4"/>
  <c r="Q437" i="4"/>
  <c r="O437" i="4"/>
  <c r="M437" i="4"/>
  <c r="K437" i="4"/>
  <c r="X436" i="4"/>
  <c r="W436" i="4"/>
  <c r="V436" i="4"/>
  <c r="U436" i="4"/>
  <c r="T436" i="4"/>
  <c r="S436" i="4"/>
  <c r="Q436" i="4"/>
  <c r="O436" i="4"/>
  <c r="M436" i="4"/>
  <c r="K436" i="4"/>
  <c r="X435" i="4"/>
  <c r="W435" i="4"/>
  <c r="V435" i="4"/>
  <c r="U435" i="4"/>
  <c r="T435" i="4"/>
  <c r="S435" i="4"/>
  <c r="Q435" i="4"/>
  <c r="O435" i="4"/>
  <c r="M435" i="4"/>
  <c r="K435" i="4"/>
  <c r="X434" i="4"/>
  <c r="W434" i="4"/>
  <c r="V434" i="4"/>
  <c r="U434" i="4"/>
  <c r="T434" i="4"/>
  <c r="S434" i="4"/>
  <c r="Q434" i="4"/>
  <c r="O434" i="4"/>
  <c r="M434" i="4"/>
  <c r="K434" i="4"/>
  <c r="X433" i="4"/>
  <c r="W433" i="4"/>
  <c r="V433" i="4"/>
  <c r="U433" i="4"/>
  <c r="T433" i="4"/>
  <c r="S433" i="4"/>
  <c r="Q433" i="4"/>
  <c r="O433" i="4"/>
  <c r="M433" i="4"/>
  <c r="K433" i="4"/>
  <c r="X432" i="4"/>
  <c r="W432" i="4"/>
  <c r="V432" i="4"/>
  <c r="U432" i="4"/>
  <c r="T432" i="4"/>
  <c r="S432" i="4"/>
  <c r="Q432" i="4"/>
  <c r="O432" i="4"/>
  <c r="M432" i="4"/>
  <c r="K432" i="4"/>
  <c r="X431" i="4"/>
  <c r="W431" i="4"/>
  <c r="V431" i="4"/>
  <c r="U431" i="4"/>
  <c r="T431" i="4"/>
  <c r="S431" i="4"/>
  <c r="Q431" i="4"/>
  <c r="O431" i="4"/>
  <c r="M431" i="4"/>
  <c r="K431" i="4"/>
  <c r="X430" i="4"/>
  <c r="W430" i="4"/>
  <c r="V430" i="4"/>
  <c r="U430" i="4"/>
  <c r="T430" i="4"/>
  <c r="S430" i="4"/>
  <c r="Q430" i="4"/>
  <c r="O430" i="4"/>
  <c r="M430" i="4"/>
  <c r="K430" i="4"/>
  <c r="X429" i="4"/>
  <c r="W429" i="4"/>
  <c r="V429" i="4"/>
  <c r="U429" i="4"/>
  <c r="T429" i="4"/>
  <c r="S429" i="4"/>
  <c r="Q429" i="4"/>
  <c r="O429" i="4"/>
  <c r="M429" i="4"/>
  <c r="K429" i="4"/>
  <c r="X428" i="4"/>
  <c r="W428" i="4"/>
  <c r="V428" i="4"/>
  <c r="U428" i="4"/>
  <c r="T428" i="4"/>
  <c r="S428" i="4"/>
  <c r="Q428" i="4"/>
  <c r="O428" i="4"/>
  <c r="M428" i="4"/>
  <c r="K428" i="4"/>
  <c r="X427" i="4"/>
  <c r="W427" i="4"/>
  <c r="V427" i="4"/>
  <c r="U427" i="4"/>
  <c r="T427" i="4"/>
  <c r="S427" i="4"/>
  <c r="Q427" i="4"/>
  <c r="O427" i="4"/>
  <c r="M427" i="4"/>
  <c r="K427" i="4"/>
  <c r="X426" i="4"/>
  <c r="W426" i="4"/>
  <c r="V426" i="4"/>
  <c r="U426" i="4"/>
  <c r="T426" i="4"/>
  <c r="S426" i="4"/>
  <c r="Q426" i="4"/>
  <c r="O426" i="4"/>
  <c r="M426" i="4"/>
  <c r="K426" i="4"/>
  <c r="X425" i="4"/>
  <c r="W425" i="4"/>
  <c r="V425" i="4"/>
  <c r="U425" i="4"/>
  <c r="T425" i="4"/>
  <c r="S425" i="4"/>
  <c r="Q425" i="4"/>
  <c r="O425" i="4"/>
  <c r="M425" i="4"/>
  <c r="K425" i="4"/>
  <c r="X424" i="4"/>
  <c r="W424" i="4"/>
  <c r="V424" i="4"/>
  <c r="U424" i="4"/>
  <c r="T424" i="4"/>
  <c r="S424" i="4"/>
  <c r="Q424" i="4"/>
  <c r="O424" i="4"/>
  <c r="M424" i="4"/>
  <c r="K424" i="4"/>
  <c r="X423" i="4"/>
  <c r="W423" i="4"/>
  <c r="V423" i="4"/>
  <c r="U423" i="4"/>
  <c r="T423" i="4"/>
  <c r="S423" i="4"/>
  <c r="Q423" i="4"/>
  <c r="O423" i="4"/>
  <c r="M423" i="4"/>
  <c r="K423" i="4"/>
  <c r="X422" i="4"/>
  <c r="W422" i="4"/>
  <c r="V422" i="4"/>
  <c r="U422" i="4"/>
  <c r="T422" i="4"/>
  <c r="S422" i="4"/>
  <c r="Q422" i="4"/>
  <c r="O422" i="4"/>
  <c r="M422" i="4"/>
  <c r="K422" i="4"/>
  <c r="X421" i="4"/>
  <c r="W421" i="4"/>
  <c r="V421" i="4"/>
  <c r="U421" i="4"/>
  <c r="T421" i="4"/>
  <c r="S421" i="4"/>
  <c r="Q421" i="4"/>
  <c r="O421" i="4"/>
  <c r="M421" i="4"/>
  <c r="K421" i="4"/>
  <c r="X420" i="4"/>
  <c r="W420" i="4"/>
  <c r="V420" i="4"/>
  <c r="U420" i="4"/>
  <c r="T420" i="4"/>
  <c r="S420" i="4"/>
  <c r="Q420" i="4"/>
  <c r="O420" i="4"/>
  <c r="M420" i="4"/>
  <c r="K420" i="4"/>
  <c r="X419" i="4"/>
  <c r="W419" i="4"/>
  <c r="V419" i="4"/>
  <c r="U419" i="4"/>
  <c r="T419" i="4"/>
  <c r="S419" i="4"/>
  <c r="Q419" i="4"/>
  <c r="O419" i="4"/>
  <c r="M419" i="4"/>
  <c r="K419" i="4"/>
  <c r="X418" i="4"/>
  <c r="W418" i="4"/>
  <c r="V418" i="4"/>
  <c r="U418" i="4"/>
  <c r="T418" i="4"/>
  <c r="S418" i="4"/>
  <c r="Q418" i="4"/>
  <c r="O418" i="4"/>
  <c r="M418" i="4"/>
  <c r="K418" i="4"/>
  <c r="X417" i="4"/>
  <c r="W417" i="4"/>
  <c r="V417" i="4"/>
  <c r="U417" i="4"/>
  <c r="T417" i="4"/>
  <c r="S417" i="4"/>
  <c r="Q417" i="4"/>
  <c r="O417" i="4"/>
  <c r="M417" i="4"/>
  <c r="K417" i="4"/>
  <c r="X416" i="4"/>
  <c r="W416" i="4"/>
  <c r="V416" i="4"/>
  <c r="U416" i="4"/>
  <c r="T416" i="4"/>
  <c r="S416" i="4"/>
  <c r="Q416" i="4"/>
  <c r="O416" i="4"/>
  <c r="M416" i="4"/>
  <c r="K416" i="4"/>
  <c r="X415" i="4"/>
  <c r="W415" i="4"/>
  <c r="V415" i="4"/>
  <c r="U415" i="4"/>
  <c r="T415" i="4"/>
  <c r="S415" i="4"/>
  <c r="Q415" i="4"/>
  <c r="O415" i="4"/>
  <c r="M415" i="4"/>
  <c r="K415" i="4"/>
  <c r="X414" i="4"/>
  <c r="W414" i="4"/>
  <c r="V414" i="4"/>
  <c r="U414" i="4"/>
  <c r="T414" i="4"/>
  <c r="S414" i="4"/>
  <c r="Q414" i="4"/>
  <c r="O414" i="4"/>
  <c r="M414" i="4"/>
  <c r="K414" i="4"/>
  <c r="X413" i="4"/>
  <c r="W413" i="4"/>
  <c r="V413" i="4"/>
  <c r="U413" i="4"/>
  <c r="T413" i="4"/>
  <c r="S413" i="4"/>
  <c r="Q413" i="4"/>
  <c r="O413" i="4"/>
  <c r="M413" i="4"/>
  <c r="K413" i="4"/>
  <c r="X412" i="4"/>
  <c r="W412" i="4"/>
  <c r="V412" i="4"/>
  <c r="U412" i="4"/>
  <c r="T412" i="4"/>
  <c r="S412" i="4"/>
  <c r="Q412" i="4"/>
  <c r="O412" i="4"/>
  <c r="M412" i="4"/>
  <c r="K412" i="4"/>
  <c r="X411" i="4"/>
  <c r="W411" i="4"/>
  <c r="V411" i="4"/>
  <c r="U411" i="4"/>
  <c r="T411" i="4"/>
  <c r="S411" i="4"/>
  <c r="Q411" i="4"/>
  <c r="O411" i="4"/>
  <c r="M411" i="4"/>
  <c r="K411" i="4"/>
  <c r="X410" i="4"/>
  <c r="W410" i="4"/>
  <c r="V410" i="4"/>
  <c r="U410" i="4"/>
  <c r="T410" i="4"/>
  <c r="S410" i="4"/>
  <c r="Q410" i="4"/>
  <c r="O410" i="4"/>
  <c r="M410" i="4"/>
  <c r="K410" i="4"/>
  <c r="X409" i="4"/>
  <c r="W409" i="4"/>
  <c r="V409" i="4"/>
  <c r="U409" i="4"/>
  <c r="T409" i="4"/>
  <c r="S409" i="4"/>
  <c r="Q409" i="4"/>
  <c r="O409" i="4"/>
  <c r="M409" i="4"/>
  <c r="K409" i="4"/>
  <c r="X408" i="4"/>
  <c r="W408" i="4"/>
  <c r="V408" i="4"/>
  <c r="U408" i="4"/>
  <c r="T408" i="4"/>
  <c r="S408" i="4"/>
  <c r="Q408" i="4"/>
  <c r="O408" i="4"/>
  <c r="M408" i="4"/>
  <c r="K408" i="4"/>
  <c r="X407" i="4"/>
  <c r="W407" i="4"/>
  <c r="V407" i="4"/>
  <c r="U407" i="4"/>
  <c r="T407" i="4"/>
  <c r="S407" i="4"/>
  <c r="Q407" i="4"/>
  <c r="O407" i="4"/>
  <c r="M407" i="4"/>
  <c r="K407" i="4"/>
  <c r="X406" i="4"/>
  <c r="W406" i="4"/>
  <c r="V406" i="4"/>
  <c r="U406" i="4"/>
  <c r="T406" i="4"/>
  <c r="S406" i="4"/>
  <c r="Q406" i="4"/>
  <c r="O406" i="4"/>
  <c r="M406" i="4"/>
  <c r="K406" i="4"/>
  <c r="X405" i="4"/>
  <c r="W405" i="4"/>
  <c r="V405" i="4"/>
  <c r="U405" i="4"/>
  <c r="T405" i="4"/>
  <c r="S405" i="4"/>
  <c r="Q405" i="4"/>
  <c r="O405" i="4"/>
  <c r="M405" i="4"/>
  <c r="K405" i="4"/>
  <c r="X404" i="4"/>
  <c r="W404" i="4"/>
  <c r="V404" i="4"/>
  <c r="U404" i="4"/>
  <c r="T404" i="4"/>
  <c r="S404" i="4"/>
  <c r="Q404" i="4"/>
  <c r="O404" i="4"/>
  <c r="M404" i="4"/>
  <c r="K404" i="4"/>
  <c r="X403" i="4"/>
  <c r="W403" i="4"/>
  <c r="V403" i="4"/>
  <c r="U403" i="4"/>
  <c r="T403" i="4"/>
  <c r="S403" i="4"/>
  <c r="Q403" i="4"/>
  <c r="O403" i="4"/>
  <c r="M403" i="4"/>
  <c r="K403" i="4"/>
  <c r="X402" i="4"/>
  <c r="W402" i="4"/>
  <c r="V402" i="4"/>
  <c r="U402" i="4"/>
  <c r="T402" i="4"/>
  <c r="S402" i="4"/>
  <c r="Q402" i="4"/>
  <c r="O402" i="4"/>
  <c r="M402" i="4"/>
  <c r="K402" i="4"/>
  <c r="X401" i="4"/>
  <c r="W401" i="4"/>
  <c r="V401" i="4"/>
  <c r="U401" i="4"/>
  <c r="T401" i="4"/>
  <c r="S401" i="4"/>
  <c r="Q401" i="4"/>
  <c r="O401" i="4"/>
  <c r="M401" i="4"/>
  <c r="K401" i="4"/>
  <c r="X400" i="4"/>
  <c r="W400" i="4"/>
  <c r="V400" i="4"/>
  <c r="U400" i="4"/>
  <c r="T400" i="4"/>
  <c r="S400" i="4"/>
  <c r="Q400" i="4"/>
  <c r="O400" i="4"/>
  <c r="M400" i="4"/>
  <c r="K400" i="4"/>
  <c r="X399" i="4"/>
  <c r="W399" i="4"/>
  <c r="V399" i="4"/>
  <c r="U399" i="4"/>
  <c r="T399" i="4"/>
  <c r="S399" i="4"/>
  <c r="Q399" i="4"/>
  <c r="O399" i="4"/>
  <c r="M399" i="4"/>
  <c r="K399" i="4"/>
  <c r="X398" i="4"/>
  <c r="W398" i="4"/>
  <c r="V398" i="4"/>
  <c r="U398" i="4"/>
  <c r="T398" i="4"/>
  <c r="S398" i="4"/>
  <c r="Q398" i="4"/>
  <c r="O398" i="4"/>
  <c r="M398" i="4"/>
  <c r="K398" i="4"/>
  <c r="X397" i="4"/>
  <c r="W397" i="4"/>
  <c r="V397" i="4"/>
  <c r="U397" i="4"/>
  <c r="T397" i="4"/>
  <c r="S397" i="4"/>
  <c r="Q397" i="4"/>
  <c r="O397" i="4"/>
  <c r="M397" i="4"/>
  <c r="K397" i="4"/>
  <c r="X396" i="4"/>
  <c r="W396" i="4"/>
  <c r="V396" i="4"/>
  <c r="U396" i="4"/>
  <c r="T396" i="4"/>
  <c r="S396" i="4"/>
  <c r="Q396" i="4"/>
  <c r="O396" i="4"/>
  <c r="M396" i="4"/>
  <c r="K396" i="4"/>
  <c r="X395" i="4"/>
  <c r="W395" i="4"/>
  <c r="V395" i="4"/>
  <c r="U395" i="4"/>
  <c r="T395" i="4"/>
  <c r="S395" i="4"/>
  <c r="Q395" i="4"/>
  <c r="O395" i="4"/>
  <c r="M395" i="4"/>
  <c r="K395" i="4"/>
  <c r="X394" i="4"/>
  <c r="W394" i="4"/>
  <c r="V394" i="4"/>
  <c r="U394" i="4"/>
  <c r="T394" i="4"/>
  <c r="S394" i="4"/>
  <c r="Q394" i="4"/>
  <c r="O394" i="4"/>
  <c r="M394" i="4"/>
  <c r="K394" i="4"/>
  <c r="X393" i="4"/>
  <c r="W393" i="4"/>
  <c r="V393" i="4"/>
  <c r="U393" i="4"/>
  <c r="T393" i="4"/>
  <c r="S393" i="4"/>
  <c r="Q393" i="4"/>
  <c r="O393" i="4"/>
  <c r="M393" i="4"/>
  <c r="K393" i="4"/>
  <c r="X392" i="4"/>
  <c r="W392" i="4"/>
  <c r="V392" i="4"/>
  <c r="U392" i="4"/>
  <c r="T392" i="4"/>
  <c r="S392" i="4"/>
  <c r="Q392" i="4"/>
  <c r="O392" i="4"/>
  <c r="M392" i="4"/>
  <c r="K392" i="4"/>
  <c r="X391" i="4"/>
  <c r="W391" i="4"/>
  <c r="V391" i="4"/>
  <c r="U391" i="4"/>
  <c r="T391" i="4"/>
  <c r="S391" i="4"/>
  <c r="Q391" i="4"/>
  <c r="O391" i="4"/>
  <c r="M391" i="4"/>
  <c r="K391" i="4"/>
  <c r="X390" i="4"/>
  <c r="W390" i="4"/>
  <c r="V390" i="4"/>
  <c r="U390" i="4"/>
  <c r="T390" i="4"/>
  <c r="S390" i="4"/>
  <c r="Q390" i="4"/>
  <c r="O390" i="4"/>
  <c r="M390" i="4"/>
  <c r="K390" i="4"/>
  <c r="X389" i="4"/>
  <c r="W389" i="4"/>
  <c r="V389" i="4"/>
  <c r="U389" i="4"/>
  <c r="T389" i="4"/>
  <c r="S389" i="4"/>
  <c r="Q389" i="4"/>
  <c r="O389" i="4"/>
  <c r="M389" i="4"/>
  <c r="K389" i="4"/>
  <c r="X388" i="4"/>
  <c r="W388" i="4"/>
  <c r="V388" i="4"/>
  <c r="U388" i="4"/>
  <c r="T388" i="4"/>
  <c r="S388" i="4"/>
  <c r="Q388" i="4"/>
  <c r="O388" i="4"/>
  <c r="M388" i="4"/>
  <c r="K388" i="4"/>
  <c r="X387" i="4"/>
  <c r="W387" i="4"/>
  <c r="V387" i="4"/>
  <c r="U387" i="4"/>
  <c r="T387" i="4"/>
  <c r="S387" i="4"/>
  <c r="Q387" i="4"/>
  <c r="O387" i="4"/>
  <c r="M387" i="4"/>
  <c r="K387" i="4"/>
  <c r="X386" i="4"/>
  <c r="W386" i="4"/>
  <c r="V386" i="4"/>
  <c r="U386" i="4"/>
  <c r="T386" i="4"/>
  <c r="S386" i="4"/>
  <c r="Q386" i="4"/>
  <c r="O386" i="4"/>
  <c r="M386" i="4"/>
  <c r="K386" i="4"/>
  <c r="X385" i="4"/>
  <c r="W385" i="4"/>
  <c r="V385" i="4"/>
  <c r="U385" i="4"/>
  <c r="T385" i="4"/>
  <c r="S385" i="4"/>
  <c r="Q385" i="4"/>
  <c r="O385" i="4"/>
  <c r="M385" i="4"/>
  <c r="K385" i="4"/>
  <c r="X384" i="4"/>
  <c r="W384" i="4"/>
  <c r="V384" i="4"/>
  <c r="U384" i="4"/>
  <c r="T384" i="4"/>
  <c r="S384" i="4"/>
  <c r="Q384" i="4"/>
  <c r="O384" i="4"/>
  <c r="M384" i="4"/>
  <c r="K384" i="4"/>
  <c r="X383" i="4"/>
  <c r="W383" i="4"/>
  <c r="V383" i="4"/>
  <c r="U383" i="4"/>
  <c r="T383" i="4"/>
  <c r="S383" i="4"/>
  <c r="Q383" i="4"/>
  <c r="O383" i="4"/>
  <c r="M383" i="4"/>
  <c r="K383" i="4"/>
  <c r="X382" i="4"/>
  <c r="W382" i="4"/>
  <c r="V382" i="4"/>
  <c r="U382" i="4"/>
  <c r="T382" i="4"/>
  <c r="S382" i="4"/>
  <c r="Q382" i="4"/>
  <c r="O382" i="4"/>
  <c r="M382" i="4"/>
  <c r="K382" i="4"/>
  <c r="X381" i="4"/>
  <c r="W381" i="4"/>
  <c r="V381" i="4"/>
  <c r="U381" i="4"/>
  <c r="T381" i="4"/>
  <c r="S381" i="4"/>
  <c r="Q381" i="4"/>
  <c r="O381" i="4"/>
  <c r="M381" i="4"/>
  <c r="K381" i="4"/>
  <c r="X380" i="4"/>
  <c r="W380" i="4"/>
  <c r="V380" i="4"/>
  <c r="U380" i="4"/>
  <c r="T380" i="4"/>
  <c r="S380" i="4"/>
  <c r="Q380" i="4"/>
  <c r="O380" i="4"/>
  <c r="M380" i="4"/>
  <c r="K380" i="4"/>
  <c r="X379" i="4"/>
  <c r="W379" i="4"/>
  <c r="V379" i="4"/>
  <c r="U379" i="4"/>
  <c r="T379" i="4"/>
  <c r="S379" i="4"/>
  <c r="Q379" i="4"/>
  <c r="O379" i="4"/>
  <c r="M379" i="4"/>
  <c r="K379" i="4"/>
  <c r="X378" i="4"/>
  <c r="W378" i="4"/>
  <c r="V378" i="4"/>
  <c r="U378" i="4"/>
  <c r="T378" i="4"/>
  <c r="S378" i="4"/>
  <c r="Q378" i="4"/>
  <c r="O378" i="4"/>
  <c r="M378" i="4"/>
  <c r="K378" i="4"/>
  <c r="X377" i="4"/>
  <c r="W377" i="4"/>
  <c r="V377" i="4"/>
  <c r="U377" i="4"/>
  <c r="T377" i="4"/>
  <c r="S377" i="4"/>
  <c r="Q377" i="4"/>
  <c r="O377" i="4"/>
  <c r="M377" i="4"/>
  <c r="K377" i="4"/>
  <c r="X376" i="4"/>
  <c r="W376" i="4"/>
  <c r="V376" i="4"/>
  <c r="U376" i="4"/>
  <c r="T376" i="4"/>
  <c r="S376" i="4"/>
  <c r="Q376" i="4"/>
  <c r="O376" i="4"/>
  <c r="M376" i="4"/>
  <c r="K376" i="4"/>
  <c r="X375" i="4"/>
  <c r="W375" i="4"/>
  <c r="V375" i="4"/>
  <c r="U375" i="4"/>
  <c r="T375" i="4"/>
  <c r="S375" i="4"/>
  <c r="Q375" i="4"/>
  <c r="O375" i="4"/>
  <c r="M375" i="4"/>
  <c r="K375" i="4"/>
  <c r="X374" i="4"/>
  <c r="W374" i="4"/>
  <c r="V374" i="4"/>
  <c r="U374" i="4"/>
  <c r="T374" i="4"/>
  <c r="S374" i="4"/>
  <c r="Q374" i="4"/>
  <c r="O374" i="4"/>
  <c r="M374" i="4"/>
  <c r="K374" i="4"/>
  <c r="X373" i="4"/>
  <c r="W373" i="4"/>
  <c r="V373" i="4"/>
  <c r="U373" i="4"/>
  <c r="T373" i="4"/>
  <c r="S373" i="4"/>
  <c r="Q373" i="4"/>
  <c r="O373" i="4"/>
  <c r="M373" i="4"/>
  <c r="K373" i="4"/>
  <c r="X372" i="4"/>
  <c r="W372" i="4"/>
  <c r="V372" i="4"/>
  <c r="U372" i="4"/>
  <c r="T372" i="4"/>
  <c r="S372" i="4"/>
  <c r="Q372" i="4"/>
  <c r="O372" i="4"/>
  <c r="M372" i="4"/>
  <c r="K372" i="4"/>
  <c r="X371" i="4"/>
  <c r="W371" i="4"/>
  <c r="V371" i="4"/>
  <c r="U371" i="4"/>
  <c r="T371" i="4"/>
  <c r="S371" i="4"/>
  <c r="Q371" i="4"/>
  <c r="O371" i="4"/>
  <c r="M371" i="4"/>
  <c r="K371" i="4"/>
  <c r="X370" i="4"/>
  <c r="W370" i="4"/>
  <c r="V370" i="4"/>
  <c r="U370" i="4"/>
  <c r="T370" i="4"/>
  <c r="S370" i="4"/>
  <c r="Q370" i="4"/>
  <c r="O370" i="4"/>
  <c r="M370" i="4"/>
  <c r="K370" i="4"/>
  <c r="X369" i="4"/>
  <c r="W369" i="4"/>
  <c r="V369" i="4"/>
  <c r="U369" i="4"/>
  <c r="T369" i="4"/>
  <c r="S369" i="4"/>
  <c r="Q369" i="4"/>
  <c r="O369" i="4"/>
  <c r="M369" i="4"/>
  <c r="K369" i="4"/>
  <c r="X368" i="4"/>
  <c r="W368" i="4"/>
  <c r="V368" i="4"/>
  <c r="U368" i="4"/>
  <c r="T368" i="4"/>
  <c r="S368" i="4"/>
  <c r="Q368" i="4"/>
  <c r="O368" i="4"/>
  <c r="M368" i="4"/>
  <c r="K368" i="4"/>
  <c r="X367" i="4"/>
  <c r="W367" i="4"/>
  <c r="V367" i="4"/>
  <c r="U367" i="4"/>
  <c r="T367" i="4"/>
  <c r="S367" i="4"/>
  <c r="Q367" i="4"/>
  <c r="O367" i="4"/>
  <c r="M367" i="4"/>
  <c r="K367" i="4"/>
  <c r="X366" i="4"/>
  <c r="W366" i="4"/>
  <c r="V366" i="4"/>
  <c r="U366" i="4"/>
  <c r="T366" i="4"/>
  <c r="S366" i="4"/>
  <c r="Q366" i="4"/>
  <c r="O366" i="4"/>
  <c r="M366" i="4"/>
  <c r="K366" i="4"/>
  <c r="X365" i="4"/>
  <c r="W365" i="4"/>
  <c r="V365" i="4"/>
  <c r="U365" i="4"/>
  <c r="T365" i="4"/>
  <c r="S365" i="4"/>
  <c r="Q365" i="4"/>
  <c r="O365" i="4"/>
  <c r="M365" i="4"/>
  <c r="K365" i="4"/>
  <c r="X364" i="4"/>
  <c r="W364" i="4"/>
  <c r="V364" i="4"/>
  <c r="U364" i="4"/>
  <c r="T364" i="4"/>
  <c r="S364" i="4"/>
  <c r="Q364" i="4"/>
  <c r="O364" i="4"/>
  <c r="M364" i="4"/>
  <c r="K364" i="4"/>
  <c r="X363" i="4"/>
  <c r="W363" i="4"/>
  <c r="V363" i="4"/>
  <c r="U363" i="4"/>
  <c r="T363" i="4"/>
  <c r="S363" i="4"/>
  <c r="Q363" i="4"/>
  <c r="O363" i="4"/>
  <c r="M363" i="4"/>
  <c r="K363" i="4"/>
  <c r="X362" i="4"/>
  <c r="W362" i="4"/>
  <c r="V362" i="4"/>
  <c r="U362" i="4"/>
  <c r="T362" i="4"/>
  <c r="S362" i="4"/>
  <c r="Q362" i="4"/>
  <c r="O362" i="4"/>
  <c r="M362" i="4"/>
  <c r="K362" i="4"/>
  <c r="X361" i="4"/>
  <c r="W361" i="4"/>
  <c r="V361" i="4"/>
  <c r="U361" i="4"/>
  <c r="T361" i="4"/>
  <c r="S361" i="4"/>
  <c r="Q361" i="4"/>
  <c r="O361" i="4"/>
  <c r="M361" i="4"/>
  <c r="K361" i="4"/>
  <c r="X360" i="4"/>
  <c r="W360" i="4"/>
  <c r="V360" i="4"/>
  <c r="U360" i="4"/>
  <c r="T360" i="4"/>
  <c r="S360" i="4"/>
  <c r="Q360" i="4"/>
  <c r="O360" i="4"/>
  <c r="M360" i="4"/>
  <c r="K360" i="4"/>
  <c r="X359" i="4"/>
  <c r="W359" i="4"/>
  <c r="V359" i="4"/>
  <c r="U359" i="4"/>
  <c r="T359" i="4"/>
  <c r="S359" i="4"/>
  <c r="Q359" i="4"/>
  <c r="O359" i="4"/>
  <c r="M359" i="4"/>
  <c r="K359" i="4"/>
  <c r="X358" i="4"/>
  <c r="W358" i="4"/>
  <c r="V358" i="4"/>
  <c r="U358" i="4"/>
  <c r="T358" i="4"/>
  <c r="S358" i="4"/>
  <c r="Q358" i="4"/>
  <c r="O358" i="4"/>
  <c r="M358" i="4"/>
  <c r="K358" i="4"/>
  <c r="X357" i="4"/>
  <c r="W357" i="4"/>
  <c r="V357" i="4"/>
  <c r="U357" i="4"/>
  <c r="T357" i="4"/>
  <c r="S357" i="4"/>
  <c r="Q357" i="4"/>
  <c r="O357" i="4"/>
  <c r="M357" i="4"/>
  <c r="K357" i="4"/>
  <c r="X356" i="4"/>
  <c r="W356" i="4"/>
  <c r="V356" i="4"/>
  <c r="U356" i="4"/>
  <c r="T356" i="4"/>
  <c r="S356" i="4"/>
  <c r="Q356" i="4"/>
  <c r="O356" i="4"/>
  <c r="M356" i="4"/>
  <c r="K356" i="4"/>
  <c r="X355" i="4"/>
  <c r="W355" i="4"/>
  <c r="V355" i="4"/>
  <c r="U355" i="4"/>
  <c r="T355" i="4"/>
  <c r="S355" i="4"/>
  <c r="Q355" i="4"/>
  <c r="O355" i="4"/>
  <c r="M355" i="4"/>
  <c r="K355" i="4"/>
  <c r="X354" i="4"/>
  <c r="W354" i="4"/>
  <c r="V354" i="4"/>
  <c r="U354" i="4"/>
  <c r="T354" i="4"/>
  <c r="S354" i="4"/>
  <c r="Q354" i="4"/>
  <c r="O354" i="4"/>
  <c r="M354" i="4"/>
  <c r="K354" i="4"/>
  <c r="X353" i="4"/>
  <c r="W353" i="4"/>
  <c r="V353" i="4"/>
  <c r="U353" i="4"/>
  <c r="T353" i="4"/>
  <c r="S353" i="4"/>
  <c r="Q353" i="4"/>
  <c r="O353" i="4"/>
  <c r="M353" i="4"/>
  <c r="K353" i="4"/>
  <c r="X352" i="4"/>
  <c r="W352" i="4"/>
  <c r="V352" i="4"/>
  <c r="U352" i="4"/>
  <c r="T352" i="4"/>
  <c r="S352" i="4"/>
  <c r="Q352" i="4"/>
  <c r="O352" i="4"/>
  <c r="M352" i="4"/>
  <c r="K352" i="4"/>
  <c r="X351" i="4"/>
  <c r="W351" i="4"/>
  <c r="V351" i="4"/>
  <c r="U351" i="4"/>
  <c r="T351" i="4"/>
  <c r="S351" i="4"/>
  <c r="Q351" i="4"/>
  <c r="O351" i="4"/>
  <c r="M351" i="4"/>
  <c r="K351" i="4"/>
  <c r="X350" i="4"/>
  <c r="W350" i="4"/>
  <c r="V350" i="4"/>
  <c r="U350" i="4"/>
  <c r="T350" i="4"/>
  <c r="S350" i="4"/>
  <c r="Q350" i="4"/>
  <c r="O350" i="4"/>
  <c r="M350" i="4"/>
  <c r="K350" i="4"/>
  <c r="X349" i="4"/>
  <c r="W349" i="4"/>
  <c r="V349" i="4"/>
  <c r="U349" i="4"/>
  <c r="T349" i="4"/>
  <c r="S349" i="4"/>
  <c r="Q349" i="4"/>
  <c r="O349" i="4"/>
  <c r="M349" i="4"/>
  <c r="K349" i="4"/>
  <c r="X348" i="4"/>
  <c r="W348" i="4"/>
  <c r="V348" i="4"/>
  <c r="U348" i="4"/>
  <c r="T348" i="4"/>
  <c r="S348" i="4"/>
  <c r="Q348" i="4"/>
  <c r="O348" i="4"/>
  <c r="M348" i="4"/>
  <c r="K348" i="4"/>
  <c r="X347" i="4"/>
  <c r="W347" i="4"/>
  <c r="V347" i="4"/>
  <c r="U347" i="4"/>
  <c r="T347" i="4"/>
  <c r="S347" i="4"/>
  <c r="Q347" i="4"/>
  <c r="O347" i="4"/>
  <c r="M347" i="4"/>
  <c r="K347" i="4"/>
  <c r="X346" i="4"/>
  <c r="W346" i="4"/>
  <c r="V346" i="4"/>
  <c r="U346" i="4"/>
  <c r="T346" i="4"/>
  <c r="S346" i="4"/>
  <c r="Q346" i="4"/>
  <c r="O346" i="4"/>
  <c r="M346" i="4"/>
  <c r="K346" i="4"/>
  <c r="X345" i="4"/>
  <c r="W345" i="4"/>
  <c r="V345" i="4"/>
  <c r="U345" i="4"/>
  <c r="T345" i="4"/>
  <c r="S345" i="4"/>
  <c r="Q345" i="4"/>
  <c r="O345" i="4"/>
  <c r="M345" i="4"/>
  <c r="K345" i="4"/>
  <c r="X344" i="4"/>
  <c r="W344" i="4"/>
  <c r="V344" i="4"/>
  <c r="U344" i="4"/>
  <c r="T344" i="4"/>
  <c r="S344" i="4"/>
  <c r="Q344" i="4"/>
  <c r="O344" i="4"/>
  <c r="M344" i="4"/>
  <c r="K344" i="4"/>
  <c r="X343" i="4"/>
  <c r="W343" i="4"/>
  <c r="V343" i="4"/>
  <c r="U343" i="4"/>
  <c r="T343" i="4"/>
  <c r="S343" i="4"/>
  <c r="Q343" i="4"/>
  <c r="O343" i="4"/>
  <c r="M343" i="4"/>
  <c r="K343" i="4"/>
  <c r="X342" i="4"/>
  <c r="W342" i="4"/>
  <c r="V342" i="4"/>
  <c r="U342" i="4"/>
  <c r="T342" i="4"/>
  <c r="S342" i="4"/>
  <c r="Q342" i="4"/>
  <c r="O342" i="4"/>
  <c r="M342" i="4"/>
  <c r="K342" i="4"/>
  <c r="X341" i="4"/>
  <c r="W341" i="4"/>
  <c r="V341" i="4"/>
  <c r="U341" i="4"/>
  <c r="T341" i="4"/>
  <c r="S341" i="4"/>
  <c r="Q341" i="4"/>
  <c r="O341" i="4"/>
  <c r="M341" i="4"/>
  <c r="K341" i="4"/>
  <c r="X340" i="4"/>
  <c r="W340" i="4"/>
  <c r="V340" i="4"/>
  <c r="U340" i="4"/>
  <c r="T340" i="4"/>
  <c r="S340" i="4"/>
  <c r="Q340" i="4"/>
  <c r="O340" i="4"/>
  <c r="M340" i="4"/>
  <c r="K340" i="4"/>
  <c r="X339" i="4"/>
  <c r="W339" i="4"/>
  <c r="V339" i="4"/>
  <c r="U339" i="4"/>
  <c r="T339" i="4"/>
  <c r="S339" i="4"/>
  <c r="Q339" i="4"/>
  <c r="O339" i="4"/>
  <c r="M339" i="4"/>
  <c r="K339" i="4"/>
  <c r="X338" i="4"/>
  <c r="W338" i="4"/>
  <c r="V338" i="4"/>
  <c r="U338" i="4"/>
  <c r="T338" i="4"/>
  <c r="S338" i="4"/>
  <c r="Q338" i="4"/>
  <c r="O338" i="4"/>
  <c r="M338" i="4"/>
  <c r="K338" i="4"/>
  <c r="X337" i="4"/>
  <c r="W337" i="4"/>
  <c r="V337" i="4"/>
  <c r="U337" i="4"/>
  <c r="T337" i="4"/>
  <c r="S337" i="4"/>
  <c r="Q337" i="4"/>
  <c r="O337" i="4"/>
  <c r="M337" i="4"/>
  <c r="K337" i="4"/>
  <c r="X336" i="4"/>
  <c r="W336" i="4"/>
  <c r="V336" i="4"/>
  <c r="U336" i="4"/>
  <c r="T336" i="4"/>
  <c r="S336" i="4"/>
  <c r="Q336" i="4"/>
  <c r="O336" i="4"/>
  <c r="M336" i="4"/>
  <c r="K336" i="4"/>
  <c r="X335" i="4"/>
  <c r="W335" i="4"/>
  <c r="V335" i="4"/>
  <c r="U335" i="4"/>
  <c r="T335" i="4"/>
  <c r="S335" i="4"/>
  <c r="Q335" i="4"/>
  <c r="O335" i="4"/>
  <c r="M335" i="4"/>
  <c r="K335" i="4"/>
  <c r="X334" i="4"/>
  <c r="W334" i="4"/>
  <c r="V334" i="4"/>
  <c r="U334" i="4"/>
  <c r="T334" i="4"/>
  <c r="S334" i="4"/>
  <c r="Q334" i="4"/>
  <c r="O334" i="4"/>
  <c r="M334" i="4"/>
  <c r="K334" i="4"/>
  <c r="X333" i="4"/>
  <c r="W333" i="4"/>
  <c r="V333" i="4"/>
  <c r="U333" i="4"/>
  <c r="T333" i="4"/>
  <c r="S333" i="4"/>
  <c r="Q333" i="4"/>
  <c r="O333" i="4"/>
  <c r="M333" i="4"/>
  <c r="K333" i="4"/>
  <c r="X332" i="4"/>
  <c r="W332" i="4"/>
  <c r="V332" i="4"/>
  <c r="U332" i="4"/>
  <c r="T332" i="4"/>
  <c r="S332" i="4"/>
  <c r="Q332" i="4"/>
  <c r="O332" i="4"/>
  <c r="M332" i="4"/>
  <c r="K332" i="4"/>
  <c r="X331" i="4"/>
  <c r="W331" i="4"/>
  <c r="V331" i="4"/>
  <c r="U331" i="4"/>
  <c r="T331" i="4"/>
  <c r="S331" i="4"/>
  <c r="Q331" i="4"/>
  <c r="O331" i="4"/>
  <c r="M331" i="4"/>
  <c r="K331" i="4"/>
  <c r="X330" i="4"/>
  <c r="W330" i="4"/>
  <c r="V330" i="4"/>
  <c r="U330" i="4"/>
  <c r="T330" i="4"/>
  <c r="S330" i="4"/>
  <c r="Q330" i="4"/>
  <c r="O330" i="4"/>
  <c r="M330" i="4"/>
  <c r="K330" i="4"/>
  <c r="X329" i="4"/>
  <c r="W329" i="4"/>
  <c r="V329" i="4"/>
  <c r="U329" i="4"/>
  <c r="T329" i="4"/>
  <c r="S329" i="4"/>
  <c r="Q329" i="4"/>
  <c r="O329" i="4"/>
  <c r="M329" i="4"/>
  <c r="K329" i="4"/>
  <c r="X328" i="4"/>
  <c r="W328" i="4"/>
  <c r="V328" i="4"/>
  <c r="U328" i="4"/>
  <c r="T328" i="4"/>
  <c r="S328" i="4"/>
  <c r="Q328" i="4"/>
  <c r="O328" i="4"/>
  <c r="M328" i="4"/>
  <c r="K328" i="4"/>
  <c r="X327" i="4"/>
  <c r="W327" i="4"/>
  <c r="V327" i="4"/>
  <c r="U327" i="4"/>
  <c r="T327" i="4"/>
  <c r="S327" i="4"/>
  <c r="Q327" i="4"/>
  <c r="O327" i="4"/>
  <c r="M327" i="4"/>
  <c r="K327" i="4"/>
  <c r="X326" i="4"/>
  <c r="W326" i="4"/>
  <c r="V326" i="4"/>
  <c r="U326" i="4"/>
  <c r="T326" i="4"/>
  <c r="S326" i="4"/>
  <c r="Q326" i="4"/>
  <c r="O326" i="4"/>
  <c r="M326" i="4"/>
  <c r="K326" i="4"/>
  <c r="X325" i="4"/>
  <c r="W325" i="4"/>
  <c r="V325" i="4"/>
  <c r="U325" i="4"/>
  <c r="T325" i="4"/>
  <c r="S325" i="4"/>
  <c r="Q325" i="4"/>
  <c r="O325" i="4"/>
  <c r="M325" i="4"/>
  <c r="K325" i="4"/>
  <c r="X324" i="4"/>
  <c r="W324" i="4"/>
  <c r="V324" i="4"/>
  <c r="U324" i="4"/>
  <c r="T324" i="4"/>
  <c r="S324" i="4"/>
  <c r="Q324" i="4"/>
  <c r="O324" i="4"/>
  <c r="M324" i="4"/>
  <c r="K324" i="4"/>
  <c r="X323" i="4"/>
  <c r="W323" i="4"/>
  <c r="V323" i="4"/>
  <c r="U323" i="4"/>
  <c r="T323" i="4"/>
  <c r="S323" i="4"/>
  <c r="Q323" i="4"/>
  <c r="O323" i="4"/>
  <c r="M323" i="4"/>
  <c r="K323" i="4"/>
  <c r="X322" i="4"/>
  <c r="W322" i="4"/>
  <c r="V322" i="4"/>
  <c r="U322" i="4"/>
  <c r="T322" i="4"/>
  <c r="S322" i="4"/>
  <c r="Q322" i="4"/>
  <c r="O322" i="4"/>
  <c r="M322" i="4"/>
  <c r="K322" i="4"/>
  <c r="X321" i="4"/>
  <c r="W321" i="4"/>
  <c r="V321" i="4"/>
  <c r="U321" i="4"/>
  <c r="T321" i="4"/>
  <c r="S321" i="4"/>
  <c r="Q321" i="4"/>
  <c r="O321" i="4"/>
  <c r="M321" i="4"/>
  <c r="K321" i="4"/>
  <c r="X320" i="4"/>
  <c r="W320" i="4"/>
  <c r="V320" i="4"/>
  <c r="U320" i="4"/>
  <c r="T320" i="4"/>
  <c r="S320" i="4"/>
  <c r="Q320" i="4"/>
  <c r="O320" i="4"/>
  <c r="M320" i="4"/>
  <c r="K320" i="4"/>
  <c r="X319" i="4"/>
  <c r="W319" i="4"/>
  <c r="V319" i="4"/>
  <c r="U319" i="4"/>
  <c r="T319" i="4"/>
  <c r="S319" i="4"/>
  <c r="Q319" i="4"/>
  <c r="O319" i="4"/>
  <c r="M319" i="4"/>
  <c r="K319" i="4"/>
  <c r="X318" i="4"/>
  <c r="W318" i="4"/>
  <c r="V318" i="4"/>
  <c r="U318" i="4"/>
  <c r="T318" i="4"/>
  <c r="S318" i="4"/>
  <c r="Q318" i="4"/>
  <c r="O318" i="4"/>
  <c r="M318" i="4"/>
  <c r="K318" i="4"/>
  <c r="X317" i="4"/>
  <c r="W317" i="4"/>
  <c r="V317" i="4"/>
  <c r="U317" i="4"/>
  <c r="T317" i="4"/>
  <c r="S317" i="4"/>
  <c r="Q317" i="4"/>
  <c r="O317" i="4"/>
  <c r="M317" i="4"/>
  <c r="K317" i="4"/>
  <c r="X316" i="4"/>
  <c r="W316" i="4"/>
  <c r="V316" i="4"/>
  <c r="U316" i="4"/>
  <c r="T316" i="4"/>
  <c r="S316" i="4"/>
  <c r="Q316" i="4"/>
  <c r="O316" i="4"/>
  <c r="M316" i="4"/>
  <c r="K316" i="4"/>
  <c r="X315" i="4"/>
  <c r="W315" i="4"/>
  <c r="V315" i="4"/>
  <c r="U315" i="4"/>
  <c r="T315" i="4"/>
  <c r="S315" i="4"/>
  <c r="Q315" i="4"/>
  <c r="O315" i="4"/>
  <c r="M315" i="4"/>
  <c r="K315" i="4"/>
  <c r="X314" i="4"/>
  <c r="W314" i="4"/>
  <c r="V314" i="4"/>
  <c r="U314" i="4"/>
  <c r="T314" i="4"/>
  <c r="S314" i="4"/>
  <c r="Q314" i="4"/>
  <c r="O314" i="4"/>
  <c r="M314" i="4"/>
  <c r="K314" i="4"/>
  <c r="X313" i="4"/>
  <c r="W313" i="4"/>
  <c r="V313" i="4"/>
  <c r="U313" i="4"/>
  <c r="T313" i="4"/>
  <c r="S313" i="4"/>
  <c r="Q313" i="4"/>
  <c r="O313" i="4"/>
  <c r="M313" i="4"/>
  <c r="K313" i="4"/>
  <c r="X312" i="4"/>
  <c r="W312" i="4"/>
  <c r="V312" i="4"/>
  <c r="U312" i="4"/>
  <c r="T312" i="4"/>
  <c r="S312" i="4"/>
  <c r="Q312" i="4"/>
  <c r="O312" i="4"/>
  <c r="M312" i="4"/>
  <c r="K312" i="4"/>
  <c r="X311" i="4"/>
  <c r="W311" i="4"/>
  <c r="V311" i="4"/>
  <c r="U311" i="4"/>
  <c r="T311" i="4"/>
  <c r="S311" i="4"/>
  <c r="Q311" i="4"/>
  <c r="O311" i="4"/>
  <c r="M311" i="4"/>
  <c r="K311" i="4"/>
  <c r="X310" i="4"/>
  <c r="W310" i="4"/>
  <c r="V310" i="4"/>
  <c r="U310" i="4"/>
  <c r="T310" i="4"/>
  <c r="S310" i="4"/>
  <c r="Q310" i="4"/>
  <c r="O310" i="4"/>
  <c r="M310" i="4"/>
  <c r="K310" i="4"/>
  <c r="X309" i="4"/>
  <c r="W309" i="4"/>
  <c r="V309" i="4"/>
  <c r="U309" i="4"/>
  <c r="T309" i="4"/>
  <c r="S309" i="4"/>
  <c r="Q309" i="4"/>
  <c r="O309" i="4"/>
  <c r="M309" i="4"/>
  <c r="K309" i="4"/>
  <c r="X308" i="4"/>
  <c r="W308" i="4"/>
  <c r="V308" i="4"/>
  <c r="U308" i="4"/>
  <c r="T308" i="4"/>
  <c r="S308" i="4"/>
  <c r="Q308" i="4"/>
  <c r="O308" i="4"/>
  <c r="M308" i="4"/>
  <c r="K308" i="4"/>
  <c r="X307" i="4"/>
  <c r="W307" i="4"/>
  <c r="V307" i="4"/>
  <c r="U307" i="4"/>
  <c r="T307" i="4"/>
  <c r="S307" i="4"/>
  <c r="Q307" i="4"/>
  <c r="O307" i="4"/>
  <c r="M307" i="4"/>
  <c r="K307" i="4"/>
  <c r="X306" i="4"/>
  <c r="W306" i="4"/>
  <c r="V306" i="4"/>
  <c r="U306" i="4"/>
  <c r="T306" i="4"/>
  <c r="S306" i="4"/>
  <c r="Q306" i="4"/>
  <c r="O306" i="4"/>
  <c r="M306" i="4"/>
  <c r="K306" i="4"/>
  <c r="X305" i="4"/>
  <c r="W305" i="4"/>
  <c r="V305" i="4"/>
  <c r="U305" i="4"/>
  <c r="T305" i="4"/>
  <c r="S305" i="4"/>
  <c r="Q305" i="4"/>
  <c r="O305" i="4"/>
  <c r="M305" i="4"/>
  <c r="K305" i="4"/>
  <c r="X304" i="4"/>
  <c r="W304" i="4"/>
  <c r="V304" i="4"/>
  <c r="U304" i="4"/>
  <c r="T304" i="4"/>
  <c r="S304" i="4"/>
  <c r="Q304" i="4"/>
  <c r="O304" i="4"/>
  <c r="M304" i="4"/>
  <c r="K304" i="4"/>
  <c r="X303" i="4"/>
  <c r="W303" i="4"/>
  <c r="V303" i="4"/>
  <c r="U303" i="4"/>
  <c r="T303" i="4"/>
  <c r="S303" i="4"/>
  <c r="Q303" i="4"/>
  <c r="O303" i="4"/>
  <c r="M303" i="4"/>
  <c r="K303" i="4"/>
  <c r="X302" i="4"/>
  <c r="W302" i="4"/>
  <c r="V302" i="4"/>
  <c r="U302" i="4"/>
  <c r="T302" i="4"/>
  <c r="S302" i="4"/>
  <c r="Q302" i="4"/>
  <c r="O302" i="4"/>
  <c r="M302" i="4"/>
  <c r="K302" i="4"/>
  <c r="X301" i="4"/>
  <c r="W301" i="4"/>
  <c r="V301" i="4"/>
  <c r="U301" i="4"/>
  <c r="T301" i="4"/>
  <c r="S301" i="4"/>
  <c r="Q301" i="4"/>
  <c r="O301" i="4"/>
  <c r="M301" i="4"/>
  <c r="K301" i="4"/>
  <c r="X300" i="4"/>
  <c r="W300" i="4"/>
  <c r="V300" i="4"/>
  <c r="U300" i="4"/>
  <c r="T300" i="4"/>
  <c r="S300" i="4"/>
  <c r="Q300" i="4"/>
  <c r="O300" i="4"/>
  <c r="M300" i="4"/>
  <c r="K300" i="4"/>
  <c r="X299" i="4"/>
  <c r="W299" i="4"/>
  <c r="V299" i="4"/>
  <c r="U299" i="4"/>
  <c r="T299" i="4"/>
  <c r="S299" i="4"/>
  <c r="Q299" i="4"/>
  <c r="O299" i="4"/>
  <c r="M299" i="4"/>
  <c r="K299" i="4"/>
  <c r="X298" i="4"/>
  <c r="W298" i="4"/>
  <c r="V298" i="4"/>
  <c r="U298" i="4"/>
  <c r="T298" i="4"/>
  <c r="S298" i="4"/>
  <c r="Q298" i="4"/>
  <c r="O298" i="4"/>
  <c r="M298" i="4"/>
  <c r="K298" i="4"/>
  <c r="X297" i="4"/>
  <c r="W297" i="4"/>
  <c r="V297" i="4"/>
  <c r="U297" i="4"/>
  <c r="T297" i="4"/>
  <c r="S297" i="4"/>
  <c r="Q297" i="4"/>
  <c r="O297" i="4"/>
  <c r="M297" i="4"/>
  <c r="K297" i="4"/>
  <c r="X296" i="4"/>
  <c r="W296" i="4"/>
  <c r="V296" i="4"/>
  <c r="U296" i="4"/>
  <c r="T296" i="4"/>
  <c r="S296" i="4"/>
  <c r="Q296" i="4"/>
  <c r="O296" i="4"/>
  <c r="M296" i="4"/>
  <c r="K296" i="4"/>
  <c r="X295" i="4"/>
  <c r="W295" i="4"/>
  <c r="V295" i="4"/>
  <c r="U295" i="4"/>
  <c r="T295" i="4"/>
  <c r="S295" i="4"/>
  <c r="Q295" i="4"/>
  <c r="O295" i="4"/>
  <c r="M295" i="4"/>
  <c r="K295" i="4"/>
  <c r="X294" i="4"/>
  <c r="W294" i="4"/>
  <c r="V294" i="4"/>
  <c r="U294" i="4"/>
  <c r="T294" i="4"/>
  <c r="S294" i="4"/>
  <c r="Q294" i="4"/>
  <c r="O294" i="4"/>
  <c r="M294" i="4"/>
  <c r="K294" i="4"/>
  <c r="X293" i="4"/>
  <c r="W293" i="4"/>
  <c r="V293" i="4"/>
  <c r="U293" i="4"/>
  <c r="T293" i="4"/>
  <c r="S293" i="4"/>
  <c r="Q293" i="4"/>
  <c r="O293" i="4"/>
  <c r="M293" i="4"/>
  <c r="K293" i="4"/>
  <c r="X292" i="4"/>
  <c r="W292" i="4"/>
  <c r="V292" i="4"/>
  <c r="U292" i="4"/>
  <c r="T292" i="4"/>
  <c r="S292" i="4"/>
  <c r="Q292" i="4"/>
  <c r="O292" i="4"/>
  <c r="M292" i="4"/>
  <c r="K292" i="4"/>
  <c r="X291" i="4"/>
  <c r="W291" i="4"/>
  <c r="V291" i="4"/>
  <c r="U291" i="4"/>
  <c r="T291" i="4"/>
  <c r="S291" i="4"/>
  <c r="Q291" i="4"/>
  <c r="O291" i="4"/>
  <c r="M291" i="4"/>
  <c r="K291" i="4"/>
  <c r="X290" i="4"/>
  <c r="W290" i="4"/>
  <c r="V290" i="4"/>
  <c r="U290" i="4"/>
  <c r="T290" i="4"/>
  <c r="S290" i="4"/>
  <c r="Q290" i="4"/>
  <c r="O290" i="4"/>
  <c r="M290" i="4"/>
  <c r="K290" i="4"/>
  <c r="X289" i="4"/>
  <c r="W289" i="4"/>
  <c r="V289" i="4"/>
  <c r="U289" i="4"/>
  <c r="T289" i="4"/>
  <c r="S289" i="4"/>
  <c r="Q289" i="4"/>
  <c r="O289" i="4"/>
  <c r="M289" i="4"/>
  <c r="K289" i="4"/>
  <c r="X288" i="4"/>
  <c r="W288" i="4"/>
  <c r="V288" i="4"/>
  <c r="U288" i="4"/>
  <c r="T288" i="4"/>
  <c r="S288" i="4"/>
  <c r="Q288" i="4"/>
  <c r="O288" i="4"/>
  <c r="M288" i="4"/>
  <c r="K288" i="4"/>
  <c r="X287" i="4"/>
  <c r="W287" i="4"/>
  <c r="V287" i="4"/>
  <c r="U287" i="4"/>
  <c r="T287" i="4"/>
  <c r="S287" i="4"/>
  <c r="Q287" i="4"/>
  <c r="O287" i="4"/>
  <c r="M287" i="4"/>
  <c r="K287" i="4"/>
  <c r="X286" i="4"/>
  <c r="W286" i="4"/>
  <c r="V286" i="4"/>
  <c r="U286" i="4"/>
  <c r="T286" i="4"/>
  <c r="S286" i="4"/>
  <c r="Q286" i="4"/>
  <c r="O286" i="4"/>
  <c r="M286" i="4"/>
  <c r="K286" i="4"/>
  <c r="X285" i="4"/>
  <c r="W285" i="4"/>
  <c r="V285" i="4"/>
  <c r="U285" i="4"/>
  <c r="T285" i="4"/>
  <c r="S285" i="4"/>
  <c r="Q285" i="4"/>
  <c r="O285" i="4"/>
  <c r="M285" i="4"/>
  <c r="K285" i="4"/>
  <c r="X284" i="4"/>
  <c r="W284" i="4"/>
  <c r="V284" i="4"/>
  <c r="U284" i="4"/>
  <c r="T284" i="4"/>
  <c r="S284" i="4"/>
  <c r="Q284" i="4"/>
  <c r="O284" i="4"/>
  <c r="M284" i="4"/>
  <c r="K284" i="4"/>
  <c r="X283" i="4"/>
  <c r="W283" i="4"/>
  <c r="V283" i="4"/>
  <c r="U283" i="4"/>
  <c r="T283" i="4"/>
  <c r="S283" i="4"/>
  <c r="Q283" i="4"/>
  <c r="O283" i="4"/>
  <c r="M283" i="4"/>
  <c r="K283" i="4"/>
  <c r="X282" i="4"/>
  <c r="W282" i="4"/>
  <c r="V282" i="4"/>
  <c r="U282" i="4"/>
  <c r="T282" i="4"/>
  <c r="S282" i="4"/>
  <c r="Q282" i="4"/>
  <c r="O282" i="4"/>
  <c r="M282" i="4"/>
  <c r="K282" i="4"/>
  <c r="X281" i="4"/>
  <c r="W281" i="4"/>
  <c r="V281" i="4"/>
  <c r="U281" i="4"/>
  <c r="T281" i="4"/>
  <c r="S281" i="4"/>
  <c r="Q281" i="4"/>
  <c r="O281" i="4"/>
  <c r="M281" i="4"/>
  <c r="K281" i="4"/>
  <c r="X280" i="4"/>
  <c r="W280" i="4"/>
  <c r="V280" i="4"/>
  <c r="U280" i="4"/>
  <c r="T280" i="4"/>
  <c r="S280" i="4"/>
  <c r="Q280" i="4"/>
  <c r="O280" i="4"/>
  <c r="M280" i="4"/>
  <c r="K280" i="4"/>
  <c r="X279" i="4"/>
  <c r="W279" i="4"/>
  <c r="V279" i="4"/>
  <c r="U279" i="4"/>
  <c r="T279" i="4"/>
  <c r="S279" i="4"/>
  <c r="Q279" i="4"/>
  <c r="O279" i="4"/>
  <c r="M279" i="4"/>
  <c r="K279" i="4"/>
  <c r="X278" i="4"/>
  <c r="W278" i="4"/>
  <c r="V278" i="4"/>
  <c r="U278" i="4"/>
  <c r="T278" i="4"/>
  <c r="S278" i="4"/>
  <c r="Q278" i="4"/>
  <c r="O278" i="4"/>
  <c r="M278" i="4"/>
  <c r="K278" i="4"/>
  <c r="X277" i="4"/>
  <c r="W277" i="4"/>
  <c r="V277" i="4"/>
  <c r="U277" i="4"/>
  <c r="T277" i="4"/>
  <c r="S277" i="4"/>
  <c r="Q277" i="4"/>
  <c r="O277" i="4"/>
  <c r="M277" i="4"/>
  <c r="K277" i="4"/>
  <c r="X276" i="4"/>
  <c r="W276" i="4"/>
  <c r="V276" i="4"/>
  <c r="U276" i="4"/>
  <c r="T276" i="4"/>
  <c r="S276" i="4"/>
  <c r="Q276" i="4"/>
  <c r="O276" i="4"/>
  <c r="M276" i="4"/>
  <c r="K276" i="4"/>
  <c r="X275" i="4"/>
  <c r="W275" i="4"/>
  <c r="V275" i="4"/>
  <c r="U275" i="4"/>
  <c r="T275" i="4"/>
  <c r="S275" i="4"/>
  <c r="Q275" i="4"/>
  <c r="O275" i="4"/>
  <c r="M275" i="4"/>
  <c r="K275" i="4"/>
  <c r="X274" i="4"/>
  <c r="W274" i="4"/>
  <c r="V274" i="4"/>
  <c r="U274" i="4"/>
  <c r="T274" i="4"/>
  <c r="S274" i="4"/>
  <c r="Q274" i="4"/>
  <c r="O274" i="4"/>
  <c r="M274" i="4"/>
  <c r="K274" i="4"/>
  <c r="X273" i="4"/>
  <c r="W273" i="4"/>
  <c r="V273" i="4"/>
  <c r="U273" i="4"/>
  <c r="T273" i="4"/>
  <c r="S273" i="4"/>
  <c r="Q273" i="4"/>
  <c r="O273" i="4"/>
  <c r="M273" i="4"/>
  <c r="K273" i="4"/>
  <c r="X272" i="4"/>
  <c r="W272" i="4"/>
  <c r="V272" i="4"/>
  <c r="U272" i="4"/>
  <c r="T272" i="4"/>
  <c r="S272" i="4"/>
  <c r="Q272" i="4"/>
  <c r="O272" i="4"/>
  <c r="M272" i="4"/>
  <c r="K272" i="4"/>
  <c r="X271" i="4"/>
  <c r="W271" i="4"/>
  <c r="V271" i="4"/>
  <c r="U271" i="4"/>
  <c r="T271" i="4"/>
  <c r="S271" i="4"/>
  <c r="Q271" i="4"/>
  <c r="O271" i="4"/>
  <c r="M271" i="4"/>
  <c r="K271" i="4"/>
  <c r="X270" i="4"/>
  <c r="W270" i="4"/>
  <c r="V270" i="4"/>
  <c r="U270" i="4"/>
  <c r="T270" i="4"/>
  <c r="S270" i="4"/>
  <c r="Q270" i="4"/>
  <c r="O270" i="4"/>
  <c r="M270" i="4"/>
  <c r="K270" i="4"/>
  <c r="X269" i="4"/>
  <c r="W269" i="4"/>
  <c r="V269" i="4"/>
  <c r="U269" i="4"/>
  <c r="T269" i="4"/>
  <c r="S269" i="4"/>
  <c r="Q269" i="4"/>
  <c r="O269" i="4"/>
  <c r="M269" i="4"/>
  <c r="K269" i="4"/>
  <c r="X268" i="4"/>
  <c r="W268" i="4"/>
  <c r="V268" i="4"/>
  <c r="U268" i="4"/>
  <c r="T268" i="4"/>
  <c r="S268" i="4"/>
  <c r="Q268" i="4"/>
  <c r="O268" i="4"/>
  <c r="M268" i="4"/>
  <c r="K268" i="4"/>
  <c r="X267" i="4"/>
  <c r="W267" i="4"/>
  <c r="V267" i="4"/>
  <c r="U267" i="4"/>
  <c r="T267" i="4"/>
  <c r="S267" i="4"/>
  <c r="Q267" i="4"/>
  <c r="O267" i="4"/>
  <c r="M267" i="4"/>
  <c r="K267" i="4"/>
  <c r="X266" i="4"/>
  <c r="W266" i="4"/>
  <c r="V266" i="4"/>
  <c r="U266" i="4"/>
  <c r="T266" i="4"/>
  <c r="S266" i="4"/>
  <c r="Q266" i="4"/>
  <c r="O266" i="4"/>
  <c r="M266" i="4"/>
  <c r="K266" i="4"/>
  <c r="X265" i="4"/>
  <c r="W265" i="4"/>
  <c r="V265" i="4"/>
  <c r="U265" i="4"/>
  <c r="T265" i="4"/>
  <c r="S265" i="4"/>
  <c r="Q265" i="4"/>
  <c r="O265" i="4"/>
  <c r="M265" i="4"/>
  <c r="K265" i="4"/>
  <c r="X264" i="4"/>
  <c r="W264" i="4"/>
  <c r="V264" i="4"/>
  <c r="U264" i="4"/>
  <c r="T264" i="4"/>
  <c r="S264" i="4"/>
  <c r="Q264" i="4"/>
  <c r="O264" i="4"/>
  <c r="M264" i="4"/>
  <c r="K264" i="4"/>
  <c r="X263" i="4"/>
  <c r="W263" i="4"/>
  <c r="V263" i="4"/>
  <c r="U263" i="4"/>
  <c r="T263" i="4"/>
  <c r="S263" i="4"/>
  <c r="Q263" i="4"/>
  <c r="O263" i="4"/>
  <c r="M263" i="4"/>
  <c r="K263" i="4"/>
  <c r="X262" i="4"/>
  <c r="W262" i="4"/>
  <c r="V262" i="4"/>
  <c r="U262" i="4"/>
  <c r="T262" i="4"/>
  <c r="S262" i="4"/>
  <c r="Q262" i="4"/>
  <c r="O262" i="4"/>
  <c r="M262" i="4"/>
  <c r="K262" i="4"/>
  <c r="X261" i="4"/>
  <c r="W261" i="4"/>
  <c r="V261" i="4"/>
  <c r="U261" i="4"/>
  <c r="T261" i="4"/>
  <c r="S261" i="4"/>
  <c r="Q261" i="4"/>
  <c r="O261" i="4"/>
  <c r="M261" i="4"/>
  <c r="K261" i="4"/>
  <c r="X260" i="4"/>
  <c r="W260" i="4"/>
  <c r="V260" i="4"/>
  <c r="U260" i="4"/>
  <c r="T260" i="4"/>
  <c r="S260" i="4"/>
  <c r="Q260" i="4"/>
  <c r="O260" i="4"/>
  <c r="M260" i="4"/>
  <c r="K260" i="4"/>
  <c r="X259" i="4"/>
  <c r="W259" i="4"/>
  <c r="V259" i="4"/>
  <c r="U259" i="4"/>
  <c r="T259" i="4"/>
  <c r="S259" i="4"/>
  <c r="Q259" i="4"/>
  <c r="O259" i="4"/>
  <c r="M259" i="4"/>
  <c r="K259" i="4"/>
  <c r="X258" i="4"/>
  <c r="W258" i="4"/>
  <c r="V258" i="4"/>
  <c r="U258" i="4"/>
  <c r="T258" i="4"/>
  <c r="S258" i="4"/>
  <c r="Q258" i="4"/>
  <c r="O258" i="4"/>
  <c r="M258" i="4"/>
  <c r="K258" i="4"/>
  <c r="X257" i="4"/>
  <c r="W257" i="4"/>
  <c r="V257" i="4"/>
  <c r="U257" i="4"/>
  <c r="T257" i="4"/>
  <c r="S257" i="4"/>
  <c r="Q257" i="4"/>
  <c r="O257" i="4"/>
  <c r="M257" i="4"/>
  <c r="K257" i="4"/>
  <c r="X256" i="4"/>
  <c r="W256" i="4"/>
  <c r="V256" i="4"/>
  <c r="U256" i="4"/>
  <c r="T256" i="4"/>
  <c r="S256" i="4"/>
  <c r="Q256" i="4"/>
  <c r="O256" i="4"/>
  <c r="M256" i="4"/>
  <c r="K256" i="4"/>
  <c r="X255" i="4"/>
  <c r="W255" i="4"/>
  <c r="V255" i="4"/>
  <c r="U255" i="4"/>
  <c r="T255" i="4"/>
  <c r="S255" i="4"/>
  <c r="Q255" i="4"/>
  <c r="O255" i="4"/>
  <c r="M255" i="4"/>
  <c r="K255" i="4"/>
  <c r="X254" i="4"/>
  <c r="W254" i="4"/>
  <c r="V254" i="4"/>
  <c r="U254" i="4"/>
  <c r="T254" i="4"/>
  <c r="S254" i="4"/>
  <c r="Q254" i="4"/>
  <c r="O254" i="4"/>
  <c r="M254" i="4"/>
  <c r="K254" i="4"/>
  <c r="X253" i="4"/>
  <c r="W253" i="4"/>
  <c r="V253" i="4"/>
  <c r="U253" i="4"/>
  <c r="T253" i="4"/>
  <c r="S253" i="4"/>
  <c r="Q253" i="4"/>
  <c r="O253" i="4"/>
  <c r="M253" i="4"/>
  <c r="K253" i="4"/>
  <c r="X252" i="4"/>
  <c r="W252" i="4"/>
  <c r="V252" i="4"/>
  <c r="U252" i="4"/>
  <c r="T252" i="4"/>
  <c r="S252" i="4"/>
  <c r="Q252" i="4"/>
  <c r="O252" i="4"/>
  <c r="M252" i="4"/>
  <c r="K252" i="4"/>
  <c r="X251" i="4"/>
  <c r="W251" i="4"/>
  <c r="V251" i="4"/>
  <c r="U251" i="4"/>
  <c r="T251" i="4"/>
  <c r="S251" i="4"/>
  <c r="Q251" i="4"/>
  <c r="O251" i="4"/>
  <c r="M251" i="4"/>
  <c r="K251" i="4"/>
  <c r="X250" i="4"/>
  <c r="W250" i="4"/>
  <c r="V250" i="4"/>
  <c r="U250" i="4"/>
  <c r="T250" i="4"/>
  <c r="S250" i="4"/>
  <c r="Q250" i="4"/>
  <c r="O250" i="4"/>
  <c r="M250" i="4"/>
  <c r="K250" i="4"/>
  <c r="X249" i="4"/>
  <c r="W249" i="4"/>
  <c r="V249" i="4"/>
  <c r="U249" i="4"/>
  <c r="T249" i="4"/>
  <c r="S249" i="4"/>
  <c r="Q249" i="4"/>
  <c r="O249" i="4"/>
  <c r="M249" i="4"/>
  <c r="K249" i="4"/>
  <c r="X248" i="4"/>
  <c r="W248" i="4"/>
  <c r="V248" i="4"/>
  <c r="U248" i="4"/>
  <c r="T248" i="4"/>
  <c r="S248" i="4"/>
  <c r="Q248" i="4"/>
  <c r="O248" i="4"/>
  <c r="M248" i="4"/>
  <c r="K248" i="4"/>
  <c r="X247" i="4"/>
  <c r="W247" i="4"/>
  <c r="V247" i="4"/>
  <c r="U247" i="4"/>
  <c r="T247" i="4"/>
  <c r="S247" i="4"/>
  <c r="Q247" i="4"/>
  <c r="O247" i="4"/>
  <c r="M247" i="4"/>
  <c r="K247" i="4"/>
  <c r="X246" i="4"/>
  <c r="W246" i="4"/>
  <c r="V246" i="4"/>
  <c r="U246" i="4"/>
  <c r="T246" i="4"/>
  <c r="S246" i="4"/>
  <c r="Q246" i="4"/>
  <c r="O246" i="4"/>
  <c r="M246" i="4"/>
  <c r="K246" i="4"/>
  <c r="X245" i="4"/>
  <c r="W245" i="4"/>
  <c r="V245" i="4"/>
  <c r="U245" i="4"/>
  <c r="T245" i="4"/>
  <c r="S245" i="4"/>
  <c r="Q245" i="4"/>
  <c r="O245" i="4"/>
  <c r="M245" i="4"/>
  <c r="K245" i="4"/>
  <c r="X244" i="4"/>
  <c r="W244" i="4"/>
  <c r="V244" i="4"/>
  <c r="U244" i="4"/>
  <c r="T244" i="4"/>
  <c r="S244" i="4"/>
  <c r="Q244" i="4"/>
  <c r="O244" i="4"/>
  <c r="M244" i="4"/>
  <c r="K244" i="4"/>
  <c r="X243" i="4"/>
  <c r="W243" i="4"/>
  <c r="V243" i="4"/>
  <c r="U243" i="4"/>
  <c r="T243" i="4"/>
  <c r="S243" i="4"/>
  <c r="Q243" i="4"/>
  <c r="O243" i="4"/>
  <c r="M243" i="4"/>
  <c r="K243" i="4"/>
  <c r="X242" i="4"/>
  <c r="W242" i="4"/>
  <c r="V242" i="4"/>
  <c r="U242" i="4"/>
  <c r="T242" i="4"/>
  <c r="S242" i="4"/>
  <c r="Q242" i="4"/>
  <c r="O242" i="4"/>
  <c r="M242" i="4"/>
  <c r="K242" i="4"/>
  <c r="X241" i="4"/>
  <c r="W241" i="4"/>
  <c r="V241" i="4"/>
  <c r="U241" i="4"/>
  <c r="T241" i="4"/>
  <c r="S241" i="4"/>
  <c r="Q241" i="4"/>
  <c r="O241" i="4"/>
  <c r="M241" i="4"/>
  <c r="K241" i="4"/>
  <c r="X240" i="4"/>
  <c r="W240" i="4"/>
  <c r="V240" i="4"/>
  <c r="U240" i="4"/>
  <c r="T240" i="4"/>
  <c r="S240" i="4"/>
  <c r="Q240" i="4"/>
  <c r="O240" i="4"/>
  <c r="M240" i="4"/>
  <c r="K240" i="4"/>
  <c r="X239" i="4"/>
  <c r="W239" i="4"/>
  <c r="V239" i="4"/>
  <c r="U239" i="4"/>
  <c r="T239" i="4"/>
  <c r="S239" i="4"/>
  <c r="Q239" i="4"/>
  <c r="O239" i="4"/>
  <c r="M239" i="4"/>
  <c r="K239" i="4"/>
  <c r="X238" i="4"/>
  <c r="W238" i="4"/>
  <c r="V238" i="4"/>
  <c r="U238" i="4"/>
  <c r="T238" i="4"/>
  <c r="S238" i="4"/>
  <c r="Q238" i="4"/>
  <c r="O238" i="4"/>
  <c r="M238" i="4"/>
  <c r="K238" i="4"/>
  <c r="X237" i="4"/>
  <c r="W237" i="4"/>
  <c r="V237" i="4"/>
  <c r="U237" i="4"/>
  <c r="T237" i="4"/>
  <c r="S237" i="4"/>
  <c r="Q237" i="4"/>
  <c r="O237" i="4"/>
  <c r="M237" i="4"/>
  <c r="K237" i="4"/>
  <c r="X236" i="4"/>
  <c r="W236" i="4"/>
  <c r="V236" i="4"/>
  <c r="U236" i="4"/>
  <c r="T236" i="4"/>
  <c r="S236" i="4"/>
  <c r="Q236" i="4"/>
  <c r="O236" i="4"/>
  <c r="M236" i="4"/>
  <c r="K236" i="4"/>
  <c r="X235" i="4"/>
  <c r="W235" i="4"/>
  <c r="V235" i="4"/>
  <c r="U235" i="4"/>
  <c r="T235" i="4"/>
  <c r="S235" i="4"/>
  <c r="Q235" i="4"/>
  <c r="O235" i="4"/>
  <c r="M235" i="4"/>
  <c r="K235" i="4"/>
  <c r="X234" i="4"/>
  <c r="W234" i="4"/>
  <c r="V234" i="4"/>
  <c r="U234" i="4"/>
  <c r="T234" i="4"/>
  <c r="S234" i="4"/>
  <c r="Q234" i="4"/>
  <c r="O234" i="4"/>
  <c r="M234" i="4"/>
  <c r="K234" i="4"/>
  <c r="X233" i="4"/>
  <c r="W233" i="4"/>
  <c r="V233" i="4"/>
  <c r="U233" i="4"/>
  <c r="T233" i="4"/>
  <c r="S233" i="4"/>
  <c r="Q233" i="4"/>
  <c r="O233" i="4"/>
  <c r="M233" i="4"/>
  <c r="K233" i="4"/>
  <c r="X232" i="4"/>
  <c r="W232" i="4"/>
  <c r="V232" i="4"/>
  <c r="U232" i="4"/>
  <c r="T232" i="4"/>
  <c r="S232" i="4"/>
  <c r="Q232" i="4"/>
  <c r="O232" i="4"/>
  <c r="M232" i="4"/>
  <c r="K232" i="4"/>
  <c r="X231" i="4"/>
  <c r="W231" i="4"/>
  <c r="V231" i="4"/>
  <c r="U231" i="4"/>
  <c r="T231" i="4"/>
  <c r="S231" i="4"/>
  <c r="Q231" i="4"/>
  <c r="O231" i="4"/>
  <c r="M231" i="4"/>
  <c r="K231" i="4"/>
  <c r="X230" i="4"/>
  <c r="W230" i="4"/>
  <c r="V230" i="4"/>
  <c r="U230" i="4"/>
  <c r="T230" i="4"/>
  <c r="S230" i="4"/>
  <c r="Q230" i="4"/>
  <c r="O230" i="4"/>
  <c r="M230" i="4"/>
  <c r="K230" i="4"/>
  <c r="X229" i="4"/>
  <c r="W229" i="4"/>
  <c r="V229" i="4"/>
  <c r="U229" i="4"/>
  <c r="T229" i="4"/>
  <c r="S229" i="4"/>
  <c r="Q229" i="4"/>
  <c r="O229" i="4"/>
  <c r="M229" i="4"/>
  <c r="K229" i="4"/>
  <c r="X228" i="4"/>
  <c r="W228" i="4"/>
  <c r="V228" i="4"/>
  <c r="U228" i="4"/>
  <c r="T228" i="4"/>
  <c r="S228" i="4"/>
  <c r="Q228" i="4"/>
  <c r="O228" i="4"/>
  <c r="M228" i="4"/>
  <c r="K228" i="4"/>
  <c r="X227" i="4"/>
  <c r="W227" i="4"/>
  <c r="V227" i="4"/>
  <c r="U227" i="4"/>
  <c r="T227" i="4"/>
  <c r="S227" i="4"/>
  <c r="Q227" i="4"/>
  <c r="O227" i="4"/>
  <c r="M227" i="4"/>
  <c r="K227" i="4"/>
  <c r="X226" i="4"/>
  <c r="W226" i="4"/>
  <c r="V226" i="4"/>
  <c r="U226" i="4"/>
  <c r="T226" i="4"/>
  <c r="S226" i="4"/>
  <c r="Q226" i="4"/>
  <c r="O226" i="4"/>
  <c r="M226" i="4"/>
  <c r="K226" i="4"/>
  <c r="X225" i="4"/>
  <c r="W225" i="4"/>
  <c r="V225" i="4"/>
  <c r="U225" i="4"/>
  <c r="T225" i="4"/>
  <c r="S225" i="4"/>
  <c r="Q225" i="4"/>
  <c r="O225" i="4"/>
  <c r="M225" i="4"/>
  <c r="K225" i="4"/>
  <c r="X224" i="4"/>
  <c r="W224" i="4"/>
  <c r="V224" i="4"/>
  <c r="U224" i="4"/>
  <c r="T224" i="4"/>
  <c r="S224" i="4"/>
  <c r="Q224" i="4"/>
  <c r="O224" i="4"/>
  <c r="M224" i="4"/>
  <c r="K224" i="4"/>
  <c r="X223" i="4"/>
  <c r="W223" i="4"/>
  <c r="V223" i="4"/>
  <c r="U223" i="4"/>
  <c r="T223" i="4"/>
  <c r="S223" i="4"/>
  <c r="Q223" i="4"/>
  <c r="O223" i="4"/>
  <c r="M223" i="4"/>
  <c r="K223" i="4"/>
  <c r="X222" i="4"/>
  <c r="W222" i="4"/>
  <c r="V222" i="4"/>
  <c r="U222" i="4"/>
  <c r="T222" i="4"/>
  <c r="S222" i="4"/>
  <c r="Q222" i="4"/>
  <c r="O222" i="4"/>
  <c r="M222" i="4"/>
  <c r="K222" i="4"/>
  <c r="X221" i="4"/>
  <c r="W221" i="4"/>
  <c r="V221" i="4"/>
  <c r="U221" i="4"/>
  <c r="T221" i="4"/>
  <c r="S221" i="4"/>
  <c r="Q221" i="4"/>
  <c r="O221" i="4"/>
  <c r="M221" i="4"/>
  <c r="K221" i="4"/>
  <c r="X220" i="4"/>
  <c r="W220" i="4"/>
  <c r="V220" i="4"/>
  <c r="U220" i="4"/>
  <c r="T220" i="4"/>
  <c r="S220" i="4"/>
  <c r="Q220" i="4"/>
  <c r="O220" i="4"/>
  <c r="M220" i="4"/>
  <c r="K220" i="4"/>
  <c r="X219" i="4"/>
  <c r="W219" i="4"/>
  <c r="V219" i="4"/>
  <c r="U219" i="4"/>
  <c r="T219" i="4"/>
  <c r="S219" i="4"/>
  <c r="Q219" i="4"/>
  <c r="O219" i="4"/>
  <c r="M219" i="4"/>
  <c r="K219" i="4"/>
  <c r="X218" i="4"/>
  <c r="W218" i="4"/>
  <c r="V218" i="4"/>
  <c r="U218" i="4"/>
  <c r="T218" i="4"/>
  <c r="S218" i="4"/>
  <c r="Q218" i="4"/>
  <c r="O218" i="4"/>
  <c r="M218" i="4"/>
  <c r="K218" i="4"/>
  <c r="X217" i="4"/>
  <c r="W217" i="4"/>
  <c r="V217" i="4"/>
  <c r="U217" i="4"/>
  <c r="T217" i="4"/>
  <c r="S217" i="4"/>
  <c r="Q217" i="4"/>
  <c r="O217" i="4"/>
  <c r="M217" i="4"/>
  <c r="K217" i="4"/>
  <c r="X216" i="4"/>
  <c r="W216" i="4"/>
  <c r="V216" i="4"/>
  <c r="U216" i="4"/>
  <c r="T216" i="4"/>
  <c r="S216" i="4"/>
  <c r="Q216" i="4"/>
  <c r="O216" i="4"/>
  <c r="M216" i="4"/>
  <c r="K216" i="4"/>
  <c r="X215" i="4"/>
  <c r="W215" i="4"/>
  <c r="V215" i="4"/>
  <c r="U215" i="4"/>
  <c r="T215" i="4"/>
  <c r="S215" i="4"/>
  <c r="Q215" i="4"/>
  <c r="O215" i="4"/>
  <c r="M215" i="4"/>
  <c r="K215" i="4"/>
  <c r="X214" i="4"/>
  <c r="W214" i="4"/>
  <c r="V214" i="4"/>
  <c r="U214" i="4"/>
  <c r="T214" i="4"/>
  <c r="S214" i="4"/>
  <c r="Q214" i="4"/>
  <c r="O214" i="4"/>
  <c r="M214" i="4"/>
  <c r="K214" i="4"/>
  <c r="X213" i="4"/>
  <c r="W213" i="4"/>
  <c r="V213" i="4"/>
  <c r="U213" i="4"/>
  <c r="T213" i="4"/>
  <c r="S213" i="4"/>
  <c r="Q213" i="4"/>
  <c r="O213" i="4"/>
  <c r="M213" i="4"/>
  <c r="K213" i="4"/>
  <c r="X212" i="4"/>
  <c r="W212" i="4"/>
  <c r="V212" i="4"/>
  <c r="U212" i="4"/>
  <c r="T212" i="4"/>
  <c r="S212" i="4"/>
  <c r="Q212" i="4"/>
  <c r="O212" i="4"/>
  <c r="M212" i="4"/>
  <c r="K212" i="4"/>
  <c r="X211" i="4"/>
  <c r="W211" i="4"/>
  <c r="V211" i="4"/>
  <c r="U211" i="4"/>
  <c r="T211" i="4"/>
  <c r="S211" i="4"/>
  <c r="Q211" i="4"/>
  <c r="O211" i="4"/>
  <c r="M211" i="4"/>
  <c r="K211" i="4"/>
  <c r="X210" i="4"/>
  <c r="W210" i="4"/>
  <c r="V210" i="4"/>
  <c r="U210" i="4"/>
  <c r="T210" i="4"/>
  <c r="S210" i="4"/>
  <c r="Q210" i="4"/>
  <c r="O210" i="4"/>
  <c r="M210" i="4"/>
  <c r="K210" i="4"/>
  <c r="X209" i="4"/>
  <c r="W209" i="4"/>
  <c r="V209" i="4"/>
  <c r="U209" i="4"/>
  <c r="T209" i="4"/>
  <c r="S209" i="4"/>
  <c r="Q209" i="4"/>
  <c r="O209" i="4"/>
  <c r="M209" i="4"/>
  <c r="K209" i="4"/>
  <c r="X208" i="4"/>
  <c r="W208" i="4"/>
  <c r="V208" i="4"/>
  <c r="U208" i="4"/>
  <c r="T208" i="4"/>
  <c r="S208" i="4"/>
  <c r="Q208" i="4"/>
  <c r="O208" i="4"/>
  <c r="M208" i="4"/>
  <c r="K208" i="4"/>
  <c r="X207" i="4"/>
  <c r="W207" i="4"/>
  <c r="V207" i="4"/>
  <c r="U207" i="4"/>
  <c r="T207" i="4"/>
  <c r="S207" i="4"/>
  <c r="Q207" i="4"/>
  <c r="O207" i="4"/>
  <c r="M207" i="4"/>
  <c r="K207" i="4"/>
  <c r="X206" i="4"/>
  <c r="W206" i="4"/>
  <c r="V206" i="4"/>
  <c r="U206" i="4"/>
  <c r="T206" i="4"/>
  <c r="S206" i="4"/>
  <c r="Q206" i="4"/>
  <c r="O206" i="4"/>
  <c r="M206" i="4"/>
  <c r="K206" i="4"/>
  <c r="X205" i="4"/>
  <c r="W205" i="4"/>
  <c r="V205" i="4"/>
  <c r="U205" i="4"/>
  <c r="T205" i="4"/>
  <c r="S205" i="4"/>
  <c r="Q205" i="4"/>
  <c r="O205" i="4"/>
  <c r="M205" i="4"/>
  <c r="K205" i="4"/>
  <c r="X204" i="4"/>
  <c r="W204" i="4"/>
  <c r="V204" i="4"/>
  <c r="U204" i="4"/>
  <c r="T204" i="4"/>
  <c r="S204" i="4"/>
  <c r="Q204" i="4"/>
  <c r="O204" i="4"/>
  <c r="M204" i="4"/>
  <c r="K204" i="4"/>
  <c r="X203" i="4"/>
  <c r="W203" i="4"/>
  <c r="V203" i="4"/>
  <c r="U203" i="4"/>
  <c r="T203" i="4"/>
  <c r="S203" i="4"/>
  <c r="Q203" i="4"/>
  <c r="O203" i="4"/>
  <c r="M203" i="4"/>
  <c r="K203" i="4"/>
  <c r="X202" i="4"/>
  <c r="W202" i="4"/>
  <c r="V202" i="4"/>
  <c r="U202" i="4"/>
  <c r="T202" i="4"/>
  <c r="S202" i="4"/>
  <c r="Q202" i="4"/>
  <c r="O202" i="4"/>
  <c r="M202" i="4"/>
  <c r="K202" i="4"/>
  <c r="X201" i="4"/>
  <c r="W201" i="4"/>
  <c r="V201" i="4"/>
  <c r="U201" i="4"/>
  <c r="T201" i="4"/>
  <c r="S201" i="4"/>
  <c r="Q201" i="4"/>
  <c r="O201" i="4"/>
  <c r="M201" i="4"/>
  <c r="K201" i="4"/>
  <c r="X200" i="4"/>
  <c r="W200" i="4"/>
  <c r="V200" i="4"/>
  <c r="U200" i="4"/>
  <c r="T200" i="4"/>
  <c r="S200" i="4"/>
  <c r="Q200" i="4"/>
  <c r="O200" i="4"/>
  <c r="M200" i="4"/>
  <c r="K200" i="4"/>
  <c r="X199" i="4"/>
  <c r="W199" i="4"/>
  <c r="V199" i="4"/>
  <c r="U199" i="4"/>
  <c r="T199" i="4"/>
  <c r="S199" i="4"/>
  <c r="Q199" i="4"/>
  <c r="O199" i="4"/>
  <c r="M199" i="4"/>
  <c r="K199" i="4"/>
  <c r="X198" i="4"/>
  <c r="W198" i="4"/>
  <c r="V198" i="4"/>
  <c r="U198" i="4"/>
  <c r="T198" i="4"/>
  <c r="S198" i="4"/>
  <c r="Q198" i="4"/>
  <c r="O198" i="4"/>
  <c r="M198" i="4"/>
  <c r="K198" i="4"/>
  <c r="X197" i="4"/>
  <c r="W197" i="4"/>
  <c r="V197" i="4"/>
  <c r="U197" i="4"/>
  <c r="T197" i="4"/>
  <c r="S197" i="4"/>
  <c r="Q197" i="4"/>
  <c r="O197" i="4"/>
  <c r="M197" i="4"/>
  <c r="K197" i="4"/>
  <c r="X196" i="4"/>
  <c r="W196" i="4"/>
  <c r="V196" i="4"/>
  <c r="U196" i="4"/>
  <c r="T196" i="4"/>
  <c r="S196" i="4"/>
  <c r="Q196" i="4"/>
  <c r="O196" i="4"/>
  <c r="M196" i="4"/>
  <c r="K196" i="4"/>
  <c r="X195" i="4"/>
  <c r="W195" i="4"/>
  <c r="V195" i="4"/>
  <c r="U195" i="4"/>
  <c r="T195" i="4"/>
  <c r="S195" i="4"/>
  <c r="Q195" i="4"/>
  <c r="O195" i="4"/>
  <c r="M195" i="4"/>
  <c r="K195" i="4"/>
  <c r="X194" i="4"/>
  <c r="W194" i="4"/>
  <c r="V194" i="4"/>
  <c r="U194" i="4"/>
  <c r="T194" i="4"/>
  <c r="S194" i="4"/>
  <c r="Q194" i="4"/>
  <c r="O194" i="4"/>
  <c r="M194" i="4"/>
  <c r="K194" i="4"/>
  <c r="X193" i="4"/>
  <c r="W193" i="4"/>
  <c r="V193" i="4"/>
  <c r="U193" i="4"/>
  <c r="T193" i="4"/>
  <c r="S193" i="4"/>
  <c r="Q193" i="4"/>
  <c r="O193" i="4"/>
  <c r="M193" i="4"/>
  <c r="K193" i="4"/>
  <c r="X192" i="4"/>
  <c r="W192" i="4"/>
  <c r="V192" i="4"/>
  <c r="U192" i="4"/>
  <c r="T192" i="4"/>
  <c r="S192" i="4"/>
  <c r="Q192" i="4"/>
  <c r="O192" i="4"/>
  <c r="M192" i="4"/>
  <c r="K192" i="4"/>
  <c r="X191" i="4"/>
  <c r="W191" i="4"/>
  <c r="V191" i="4"/>
  <c r="U191" i="4"/>
  <c r="T191" i="4"/>
  <c r="S191" i="4"/>
  <c r="Q191" i="4"/>
  <c r="O191" i="4"/>
  <c r="M191" i="4"/>
  <c r="K191" i="4"/>
  <c r="X190" i="4"/>
  <c r="W190" i="4"/>
  <c r="V190" i="4"/>
  <c r="U190" i="4"/>
  <c r="T190" i="4"/>
  <c r="S190" i="4"/>
  <c r="Q190" i="4"/>
  <c r="O190" i="4"/>
  <c r="M190" i="4"/>
  <c r="K190" i="4"/>
  <c r="X189" i="4"/>
  <c r="W189" i="4"/>
  <c r="V189" i="4"/>
  <c r="U189" i="4"/>
  <c r="T189" i="4"/>
  <c r="S189" i="4"/>
  <c r="Q189" i="4"/>
  <c r="O189" i="4"/>
  <c r="M189" i="4"/>
  <c r="K189" i="4"/>
  <c r="X188" i="4"/>
  <c r="W188" i="4"/>
  <c r="V188" i="4"/>
  <c r="U188" i="4"/>
  <c r="T188" i="4"/>
  <c r="S188" i="4"/>
  <c r="Q188" i="4"/>
  <c r="O188" i="4"/>
  <c r="M188" i="4"/>
  <c r="K188" i="4"/>
  <c r="X187" i="4"/>
  <c r="W187" i="4"/>
  <c r="V187" i="4"/>
  <c r="U187" i="4"/>
  <c r="T187" i="4"/>
  <c r="S187" i="4"/>
  <c r="Q187" i="4"/>
  <c r="O187" i="4"/>
  <c r="M187" i="4"/>
  <c r="K187" i="4"/>
  <c r="X186" i="4"/>
  <c r="W186" i="4"/>
  <c r="V186" i="4"/>
  <c r="U186" i="4"/>
  <c r="T186" i="4"/>
  <c r="S186" i="4"/>
  <c r="Q186" i="4"/>
  <c r="O186" i="4"/>
  <c r="M186" i="4"/>
  <c r="K186" i="4"/>
  <c r="X185" i="4"/>
  <c r="W185" i="4"/>
  <c r="V185" i="4"/>
  <c r="U185" i="4"/>
  <c r="T185" i="4"/>
  <c r="S185" i="4"/>
  <c r="Q185" i="4"/>
  <c r="O185" i="4"/>
  <c r="M185" i="4"/>
  <c r="K185" i="4"/>
  <c r="X184" i="4"/>
  <c r="W184" i="4"/>
  <c r="V184" i="4"/>
  <c r="U184" i="4"/>
  <c r="T184" i="4"/>
  <c r="S184" i="4"/>
  <c r="Q184" i="4"/>
  <c r="O184" i="4"/>
  <c r="M184" i="4"/>
  <c r="K184" i="4"/>
  <c r="X183" i="4"/>
  <c r="W183" i="4"/>
  <c r="V183" i="4"/>
  <c r="U183" i="4"/>
  <c r="T183" i="4"/>
  <c r="S183" i="4"/>
  <c r="Q183" i="4"/>
  <c r="O183" i="4"/>
  <c r="M183" i="4"/>
  <c r="K183" i="4"/>
  <c r="X182" i="4"/>
  <c r="W182" i="4"/>
  <c r="V182" i="4"/>
  <c r="U182" i="4"/>
  <c r="T182" i="4"/>
  <c r="S182" i="4"/>
  <c r="Q182" i="4"/>
  <c r="O182" i="4"/>
  <c r="M182" i="4"/>
  <c r="K182" i="4"/>
  <c r="X181" i="4"/>
  <c r="W181" i="4"/>
  <c r="V181" i="4"/>
  <c r="U181" i="4"/>
  <c r="T181" i="4"/>
  <c r="S181" i="4"/>
  <c r="Q181" i="4"/>
  <c r="O181" i="4"/>
  <c r="M181" i="4"/>
  <c r="K181" i="4"/>
  <c r="X180" i="4"/>
  <c r="W180" i="4"/>
  <c r="V180" i="4"/>
  <c r="U180" i="4"/>
  <c r="T180" i="4"/>
  <c r="S180" i="4"/>
  <c r="Q180" i="4"/>
  <c r="O180" i="4"/>
  <c r="M180" i="4"/>
  <c r="K180" i="4"/>
  <c r="X179" i="4"/>
  <c r="W179" i="4"/>
  <c r="V179" i="4"/>
  <c r="U179" i="4"/>
  <c r="T179" i="4"/>
  <c r="S179" i="4"/>
  <c r="Q179" i="4"/>
  <c r="O179" i="4"/>
  <c r="M179" i="4"/>
  <c r="K179" i="4"/>
  <c r="X178" i="4"/>
  <c r="W178" i="4"/>
  <c r="V178" i="4"/>
  <c r="U178" i="4"/>
  <c r="T178" i="4"/>
  <c r="S178" i="4"/>
  <c r="Q178" i="4"/>
  <c r="O178" i="4"/>
  <c r="M178" i="4"/>
  <c r="K178" i="4"/>
  <c r="X177" i="4"/>
  <c r="W177" i="4"/>
  <c r="V177" i="4"/>
  <c r="U177" i="4"/>
  <c r="T177" i="4"/>
  <c r="S177" i="4"/>
  <c r="Q177" i="4"/>
  <c r="O177" i="4"/>
  <c r="M177" i="4"/>
  <c r="K177" i="4"/>
  <c r="X176" i="4"/>
  <c r="W176" i="4"/>
  <c r="V176" i="4"/>
  <c r="U176" i="4"/>
  <c r="T176" i="4"/>
  <c r="S176" i="4"/>
  <c r="Q176" i="4"/>
  <c r="O176" i="4"/>
  <c r="M176" i="4"/>
  <c r="K176" i="4"/>
  <c r="X175" i="4"/>
  <c r="W175" i="4"/>
  <c r="V175" i="4"/>
  <c r="U175" i="4"/>
  <c r="T175" i="4"/>
  <c r="S175" i="4"/>
  <c r="Q175" i="4"/>
  <c r="O175" i="4"/>
  <c r="M175" i="4"/>
  <c r="K175" i="4"/>
  <c r="X174" i="4"/>
  <c r="W174" i="4"/>
  <c r="V174" i="4"/>
  <c r="U174" i="4"/>
  <c r="T174" i="4"/>
  <c r="S174" i="4"/>
  <c r="Q174" i="4"/>
  <c r="O174" i="4"/>
  <c r="M174" i="4"/>
  <c r="K174" i="4"/>
  <c r="X173" i="4"/>
  <c r="W173" i="4"/>
  <c r="V173" i="4"/>
  <c r="U173" i="4"/>
  <c r="T173" i="4"/>
  <c r="S173" i="4"/>
  <c r="Q173" i="4"/>
  <c r="O173" i="4"/>
  <c r="M173" i="4"/>
  <c r="K173" i="4"/>
  <c r="X172" i="4"/>
  <c r="W172" i="4"/>
  <c r="V172" i="4"/>
  <c r="U172" i="4"/>
  <c r="T172" i="4"/>
  <c r="S172" i="4"/>
  <c r="Q172" i="4"/>
  <c r="O172" i="4"/>
  <c r="M172" i="4"/>
  <c r="K172" i="4"/>
  <c r="X171" i="4"/>
  <c r="W171" i="4"/>
  <c r="V171" i="4"/>
  <c r="U171" i="4"/>
  <c r="T171" i="4"/>
  <c r="S171" i="4"/>
  <c r="Q171" i="4"/>
  <c r="O171" i="4"/>
  <c r="M171" i="4"/>
  <c r="K171" i="4"/>
  <c r="X170" i="4"/>
  <c r="W170" i="4"/>
  <c r="V170" i="4"/>
  <c r="U170" i="4"/>
  <c r="T170" i="4"/>
  <c r="S170" i="4"/>
  <c r="Q170" i="4"/>
  <c r="O170" i="4"/>
  <c r="M170" i="4"/>
  <c r="K170" i="4"/>
  <c r="X169" i="4"/>
  <c r="W169" i="4"/>
  <c r="V169" i="4"/>
  <c r="U169" i="4"/>
  <c r="T169" i="4"/>
  <c r="S169" i="4"/>
  <c r="Q169" i="4"/>
  <c r="O169" i="4"/>
  <c r="M169" i="4"/>
  <c r="K169" i="4"/>
  <c r="X168" i="4"/>
  <c r="W168" i="4"/>
  <c r="V168" i="4"/>
  <c r="U168" i="4"/>
  <c r="T168" i="4"/>
  <c r="S168" i="4"/>
  <c r="Q168" i="4"/>
  <c r="O168" i="4"/>
  <c r="M168" i="4"/>
  <c r="K168" i="4"/>
  <c r="X167" i="4"/>
  <c r="W167" i="4"/>
  <c r="V167" i="4"/>
  <c r="U167" i="4"/>
  <c r="T167" i="4"/>
  <c r="S167" i="4"/>
  <c r="Q167" i="4"/>
  <c r="O167" i="4"/>
  <c r="M167" i="4"/>
  <c r="K167" i="4"/>
  <c r="X166" i="4"/>
  <c r="W166" i="4"/>
  <c r="V166" i="4"/>
  <c r="U166" i="4"/>
  <c r="T166" i="4"/>
  <c r="S166" i="4"/>
  <c r="Q166" i="4"/>
  <c r="O166" i="4"/>
  <c r="M166" i="4"/>
  <c r="K166" i="4"/>
  <c r="X165" i="4"/>
  <c r="W165" i="4"/>
  <c r="V165" i="4"/>
  <c r="U165" i="4"/>
  <c r="T165" i="4"/>
  <c r="S165" i="4"/>
  <c r="Q165" i="4"/>
  <c r="O165" i="4"/>
  <c r="M165" i="4"/>
  <c r="K165" i="4"/>
  <c r="X164" i="4"/>
  <c r="W164" i="4"/>
  <c r="V164" i="4"/>
  <c r="U164" i="4"/>
  <c r="T164" i="4"/>
  <c r="S164" i="4"/>
  <c r="Q164" i="4"/>
  <c r="O164" i="4"/>
  <c r="M164" i="4"/>
  <c r="K164" i="4"/>
  <c r="X163" i="4"/>
  <c r="W163" i="4"/>
  <c r="V163" i="4"/>
  <c r="U163" i="4"/>
  <c r="T163" i="4"/>
  <c r="S163" i="4"/>
  <c r="Q163" i="4"/>
  <c r="O163" i="4"/>
  <c r="M163" i="4"/>
  <c r="K163" i="4"/>
  <c r="X162" i="4"/>
  <c r="W162" i="4"/>
  <c r="V162" i="4"/>
  <c r="U162" i="4"/>
  <c r="T162" i="4"/>
  <c r="S162" i="4"/>
  <c r="Q162" i="4"/>
  <c r="O162" i="4"/>
  <c r="M162" i="4"/>
  <c r="K162" i="4"/>
  <c r="X161" i="4"/>
  <c r="W161" i="4"/>
  <c r="V161" i="4"/>
  <c r="U161" i="4"/>
  <c r="T161" i="4"/>
  <c r="S161" i="4"/>
  <c r="Q161" i="4"/>
  <c r="O161" i="4"/>
  <c r="M161" i="4"/>
  <c r="K161" i="4"/>
  <c r="X160" i="4"/>
  <c r="W160" i="4"/>
  <c r="V160" i="4"/>
  <c r="U160" i="4"/>
  <c r="T160" i="4"/>
  <c r="S160" i="4"/>
  <c r="Q160" i="4"/>
  <c r="O160" i="4"/>
  <c r="M160" i="4"/>
  <c r="K160" i="4"/>
  <c r="X159" i="4"/>
  <c r="W159" i="4"/>
  <c r="V159" i="4"/>
  <c r="U159" i="4"/>
  <c r="T159" i="4"/>
  <c r="S159" i="4"/>
  <c r="Q159" i="4"/>
  <c r="O159" i="4"/>
  <c r="M159" i="4"/>
  <c r="K159" i="4"/>
  <c r="X158" i="4"/>
  <c r="W158" i="4"/>
  <c r="V158" i="4"/>
  <c r="U158" i="4"/>
  <c r="T158" i="4"/>
  <c r="S158" i="4"/>
  <c r="Q158" i="4"/>
  <c r="O158" i="4"/>
  <c r="M158" i="4"/>
  <c r="K158" i="4"/>
  <c r="X157" i="4"/>
  <c r="W157" i="4"/>
  <c r="V157" i="4"/>
  <c r="U157" i="4"/>
  <c r="T157" i="4"/>
  <c r="S157" i="4"/>
  <c r="Q157" i="4"/>
  <c r="O157" i="4"/>
  <c r="M157" i="4"/>
  <c r="K157" i="4"/>
  <c r="X156" i="4"/>
  <c r="W156" i="4"/>
  <c r="V156" i="4"/>
  <c r="U156" i="4"/>
  <c r="T156" i="4"/>
  <c r="S156" i="4"/>
  <c r="Q156" i="4"/>
  <c r="O156" i="4"/>
  <c r="M156" i="4"/>
  <c r="K156" i="4"/>
  <c r="X155" i="4"/>
  <c r="W155" i="4"/>
  <c r="V155" i="4"/>
  <c r="U155" i="4"/>
  <c r="T155" i="4"/>
  <c r="S155" i="4"/>
  <c r="Q155" i="4"/>
  <c r="O155" i="4"/>
  <c r="M155" i="4"/>
  <c r="K155" i="4"/>
  <c r="X154" i="4"/>
  <c r="W154" i="4"/>
  <c r="V154" i="4"/>
  <c r="U154" i="4"/>
  <c r="T154" i="4"/>
  <c r="S154" i="4"/>
  <c r="Q154" i="4"/>
  <c r="O154" i="4"/>
  <c r="M154" i="4"/>
  <c r="K154" i="4"/>
  <c r="X153" i="4"/>
  <c r="W153" i="4"/>
  <c r="V153" i="4"/>
  <c r="U153" i="4"/>
  <c r="T153" i="4"/>
  <c r="S153" i="4"/>
  <c r="Q153" i="4"/>
  <c r="O153" i="4"/>
  <c r="M153" i="4"/>
  <c r="K153" i="4"/>
  <c r="X152" i="4"/>
  <c r="W152" i="4"/>
  <c r="V152" i="4"/>
  <c r="U152" i="4"/>
  <c r="T152" i="4"/>
  <c r="S152" i="4"/>
  <c r="Q152" i="4"/>
  <c r="O152" i="4"/>
  <c r="M152" i="4"/>
  <c r="K152" i="4"/>
  <c r="X151" i="4"/>
  <c r="W151" i="4"/>
  <c r="V151" i="4"/>
  <c r="U151" i="4"/>
  <c r="T151" i="4"/>
  <c r="S151" i="4"/>
  <c r="Q151" i="4"/>
  <c r="O151" i="4"/>
  <c r="M151" i="4"/>
  <c r="K151" i="4"/>
  <c r="X150" i="4"/>
  <c r="W150" i="4"/>
  <c r="V150" i="4"/>
  <c r="U150" i="4"/>
  <c r="T150" i="4"/>
  <c r="S150" i="4"/>
  <c r="Q150" i="4"/>
  <c r="O150" i="4"/>
  <c r="M150" i="4"/>
  <c r="K150" i="4"/>
  <c r="X149" i="4"/>
  <c r="W149" i="4"/>
  <c r="V149" i="4"/>
  <c r="U149" i="4"/>
  <c r="T149" i="4"/>
  <c r="S149" i="4"/>
  <c r="Q149" i="4"/>
  <c r="O149" i="4"/>
  <c r="M149" i="4"/>
  <c r="K149" i="4"/>
  <c r="X148" i="4"/>
  <c r="W148" i="4"/>
  <c r="V148" i="4"/>
  <c r="U148" i="4"/>
  <c r="T148" i="4"/>
  <c r="S148" i="4"/>
  <c r="Q148" i="4"/>
  <c r="O148" i="4"/>
  <c r="M148" i="4"/>
  <c r="K148" i="4"/>
  <c r="X147" i="4"/>
  <c r="W147" i="4"/>
  <c r="V147" i="4"/>
  <c r="U147" i="4"/>
  <c r="T147" i="4"/>
  <c r="S147" i="4"/>
  <c r="Q147" i="4"/>
  <c r="O147" i="4"/>
  <c r="M147" i="4"/>
  <c r="K147" i="4"/>
  <c r="X146" i="4"/>
  <c r="W146" i="4"/>
  <c r="V146" i="4"/>
  <c r="U146" i="4"/>
  <c r="T146" i="4"/>
  <c r="S146" i="4"/>
  <c r="Q146" i="4"/>
  <c r="O146" i="4"/>
  <c r="M146" i="4"/>
  <c r="K146" i="4"/>
  <c r="X145" i="4"/>
  <c r="W145" i="4"/>
  <c r="V145" i="4"/>
  <c r="U145" i="4"/>
  <c r="T145" i="4"/>
  <c r="S145" i="4"/>
  <c r="Q145" i="4"/>
  <c r="O145" i="4"/>
  <c r="M145" i="4"/>
  <c r="K145" i="4"/>
  <c r="X144" i="4"/>
  <c r="W144" i="4"/>
  <c r="V144" i="4"/>
  <c r="U144" i="4"/>
  <c r="T144" i="4"/>
  <c r="S144" i="4"/>
  <c r="Q144" i="4"/>
  <c r="O144" i="4"/>
  <c r="M144" i="4"/>
  <c r="K144" i="4"/>
  <c r="X143" i="4"/>
  <c r="W143" i="4"/>
  <c r="V143" i="4"/>
  <c r="U143" i="4"/>
  <c r="T143" i="4"/>
  <c r="S143" i="4"/>
  <c r="Q143" i="4"/>
  <c r="O143" i="4"/>
  <c r="M143" i="4"/>
  <c r="K143" i="4"/>
  <c r="X142" i="4"/>
  <c r="W142" i="4"/>
  <c r="V142" i="4"/>
  <c r="U142" i="4"/>
  <c r="T142" i="4"/>
  <c r="S142" i="4"/>
  <c r="Q142" i="4"/>
  <c r="O142" i="4"/>
  <c r="M142" i="4"/>
  <c r="K142" i="4"/>
  <c r="X141" i="4"/>
  <c r="W141" i="4"/>
  <c r="V141" i="4"/>
  <c r="U141" i="4"/>
  <c r="T141" i="4"/>
  <c r="S141" i="4"/>
  <c r="Q141" i="4"/>
  <c r="O141" i="4"/>
  <c r="M141" i="4"/>
  <c r="K141" i="4"/>
  <c r="X140" i="4"/>
  <c r="W140" i="4"/>
  <c r="V140" i="4"/>
  <c r="U140" i="4"/>
  <c r="T140" i="4"/>
  <c r="S140" i="4"/>
  <c r="Q140" i="4"/>
  <c r="O140" i="4"/>
  <c r="M140" i="4"/>
  <c r="K140" i="4"/>
  <c r="X139" i="4"/>
  <c r="W139" i="4"/>
  <c r="V139" i="4"/>
  <c r="U139" i="4"/>
  <c r="T139" i="4"/>
  <c r="S139" i="4"/>
  <c r="Q139" i="4"/>
  <c r="O139" i="4"/>
  <c r="M139" i="4"/>
  <c r="K139" i="4"/>
  <c r="X138" i="4"/>
  <c r="W138" i="4"/>
  <c r="V138" i="4"/>
  <c r="U138" i="4"/>
  <c r="T138" i="4"/>
  <c r="S138" i="4"/>
  <c r="Q138" i="4"/>
  <c r="O138" i="4"/>
  <c r="M138" i="4"/>
  <c r="K138" i="4"/>
  <c r="X137" i="4"/>
  <c r="W137" i="4"/>
  <c r="V137" i="4"/>
  <c r="U137" i="4"/>
  <c r="T137" i="4"/>
  <c r="S137" i="4"/>
  <c r="Q137" i="4"/>
  <c r="O137" i="4"/>
  <c r="M137" i="4"/>
  <c r="K137" i="4"/>
  <c r="X136" i="4"/>
  <c r="W136" i="4"/>
  <c r="V136" i="4"/>
  <c r="U136" i="4"/>
  <c r="T136" i="4"/>
  <c r="S136" i="4"/>
  <c r="Q136" i="4"/>
  <c r="O136" i="4"/>
  <c r="M136" i="4"/>
  <c r="K136" i="4"/>
  <c r="X135" i="4"/>
  <c r="W135" i="4"/>
  <c r="V135" i="4"/>
  <c r="U135" i="4"/>
  <c r="T135" i="4"/>
  <c r="S135" i="4"/>
  <c r="Q135" i="4"/>
  <c r="O135" i="4"/>
  <c r="M135" i="4"/>
  <c r="K135" i="4"/>
  <c r="X134" i="4"/>
  <c r="W134" i="4"/>
  <c r="V134" i="4"/>
  <c r="U134" i="4"/>
  <c r="T134" i="4"/>
  <c r="S134" i="4"/>
  <c r="Q134" i="4"/>
  <c r="O134" i="4"/>
  <c r="M134" i="4"/>
  <c r="K134" i="4"/>
  <c r="X133" i="4"/>
  <c r="W133" i="4"/>
  <c r="V133" i="4"/>
  <c r="U133" i="4"/>
  <c r="T133" i="4"/>
  <c r="S133" i="4"/>
  <c r="Q133" i="4"/>
  <c r="O133" i="4"/>
  <c r="M133" i="4"/>
  <c r="K133" i="4"/>
  <c r="X132" i="4"/>
  <c r="W132" i="4"/>
  <c r="V132" i="4"/>
  <c r="U132" i="4"/>
  <c r="T132" i="4"/>
  <c r="S132" i="4"/>
  <c r="Q132" i="4"/>
  <c r="O132" i="4"/>
  <c r="M132" i="4"/>
  <c r="K132" i="4"/>
  <c r="X131" i="4"/>
  <c r="W131" i="4"/>
  <c r="V131" i="4"/>
  <c r="U131" i="4"/>
  <c r="T131" i="4"/>
  <c r="S131" i="4"/>
  <c r="Q131" i="4"/>
  <c r="O131" i="4"/>
  <c r="M131" i="4"/>
  <c r="K131" i="4"/>
  <c r="X130" i="4"/>
  <c r="W130" i="4"/>
  <c r="V130" i="4"/>
  <c r="U130" i="4"/>
  <c r="T130" i="4"/>
  <c r="S130" i="4"/>
  <c r="Q130" i="4"/>
  <c r="O130" i="4"/>
  <c r="M130" i="4"/>
  <c r="K130" i="4"/>
  <c r="X129" i="4"/>
  <c r="W129" i="4"/>
  <c r="V129" i="4"/>
  <c r="U129" i="4"/>
  <c r="T129" i="4"/>
  <c r="S129" i="4"/>
  <c r="Q129" i="4"/>
  <c r="O129" i="4"/>
  <c r="M129" i="4"/>
  <c r="K129" i="4"/>
  <c r="X128" i="4"/>
  <c r="W128" i="4"/>
  <c r="V128" i="4"/>
  <c r="U128" i="4"/>
  <c r="T128" i="4"/>
  <c r="S128" i="4"/>
  <c r="Q128" i="4"/>
  <c r="O128" i="4"/>
  <c r="M128" i="4"/>
  <c r="K128" i="4"/>
  <c r="X127" i="4"/>
  <c r="W127" i="4"/>
  <c r="V127" i="4"/>
  <c r="U127" i="4"/>
  <c r="T127" i="4"/>
  <c r="S127" i="4"/>
  <c r="Q127" i="4"/>
  <c r="O127" i="4"/>
  <c r="M127" i="4"/>
  <c r="K127" i="4"/>
  <c r="X126" i="4"/>
  <c r="W126" i="4"/>
  <c r="V126" i="4"/>
  <c r="U126" i="4"/>
  <c r="T126" i="4"/>
  <c r="S126" i="4"/>
  <c r="Q126" i="4"/>
  <c r="O126" i="4"/>
  <c r="M126" i="4"/>
  <c r="K126" i="4"/>
  <c r="X125" i="4"/>
  <c r="W125" i="4"/>
  <c r="V125" i="4"/>
  <c r="U125" i="4"/>
  <c r="T125" i="4"/>
  <c r="S125" i="4"/>
  <c r="Q125" i="4"/>
  <c r="O125" i="4"/>
  <c r="M125" i="4"/>
  <c r="K125" i="4"/>
  <c r="X124" i="4"/>
  <c r="W124" i="4"/>
  <c r="V124" i="4"/>
  <c r="U124" i="4"/>
  <c r="T124" i="4"/>
  <c r="S124" i="4"/>
  <c r="Q124" i="4"/>
  <c r="O124" i="4"/>
  <c r="M124" i="4"/>
  <c r="K124" i="4"/>
  <c r="X123" i="4"/>
  <c r="W123" i="4"/>
  <c r="V123" i="4"/>
  <c r="U123" i="4"/>
  <c r="T123" i="4"/>
  <c r="S123" i="4"/>
  <c r="Q123" i="4"/>
  <c r="O123" i="4"/>
  <c r="M123" i="4"/>
  <c r="K123" i="4"/>
  <c r="X122" i="4"/>
  <c r="W122" i="4"/>
  <c r="V122" i="4"/>
  <c r="U122" i="4"/>
  <c r="T122" i="4"/>
  <c r="S122" i="4"/>
  <c r="Q122" i="4"/>
  <c r="O122" i="4"/>
  <c r="M122" i="4"/>
  <c r="K122" i="4"/>
  <c r="X121" i="4"/>
  <c r="W121" i="4"/>
  <c r="V121" i="4"/>
  <c r="U121" i="4"/>
  <c r="T121" i="4"/>
  <c r="S121" i="4"/>
  <c r="Q121" i="4"/>
  <c r="O121" i="4"/>
  <c r="M121" i="4"/>
  <c r="K121" i="4"/>
  <c r="X120" i="4"/>
  <c r="W120" i="4"/>
  <c r="V120" i="4"/>
  <c r="U120" i="4"/>
  <c r="T120" i="4"/>
  <c r="S120" i="4"/>
  <c r="Q120" i="4"/>
  <c r="O120" i="4"/>
  <c r="M120" i="4"/>
  <c r="K120" i="4"/>
  <c r="X119" i="4"/>
  <c r="W119" i="4"/>
  <c r="V119" i="4"/>
  <c r="U119" i="4"/>
  <c r="T119" i="4"/>
  <c r="S119" i="4"/>
  <c r="Q119" i="4"/>
  <c r="O119" i="4"/>
  <c r="M119" i="4"/>
  <c r="K119" i="4"/>
  <c r="X118" i="4"/>
  <c r="W118" i="4"/>
  <c r="V118" i="4"/>
  <c r="U118" i="4"/>
  <c r="T118" i="4"/>
  <c r="S118" i="4"/>
  <c r="Q118" i="4"/>
  <c r="O118" i="4"/>
  <c r="M118" i="4"/>
  <c r="K118" i="4"/>
  <c r="X117" i="4"/>
  <c r="W117" i="4"/>
  <c r="V117" i="4"/>
  <c r="U117" i="4"/>
  <c r="T117" i="4"/>
  <c r="S117" i="4"/>
  <c r="Q117" i="4"/>
  <c r="O117" i="4"/>
  <c r="M117" i="4"/>
  <c r="K117" i="4"/>
  <c r="X116" i="4"/>
  <c r="W116" i="4"/>
  <c r="V116" i="4"/>
  <c r="U116" i="4"/>
  <c r="T116" i="4"/>
  <c r="S116" i="4"/>
  <c r="Q116" i="4"/>
  <c r="O116" i="4"/>
  <c r="M116" i="4"/>
  <c r="K116" i="4"/>
  <c r="X115" i="4"/>
  <c r="W115" i="4"/>
  <c r="V115" i="4"/>
  <c r="U115" i="4"/>
  <c r="T115" i="4"/>
  <c r="S115" i="4"/>
  <c r="Q115" i="4"/>
  <c r="O115" i="4"/>
  <c r="M115" i="4"/>
  <c r="K115" i="4"/>
  <c r="X114" i="4"/>
  <c r="W114" i="4"/>
  <c r="V114" i="4"/>
  <c r="U114" i="4"/>
  <c r="T114" i="4"/>
  <c r="S114" i="4"/>
  <c r="Q114" i="4"/>
  <c r="O114" i="4"/>
  <c r="M114" i="4"/>
  <c r="K114" i="4"/>
  <c r="X113" i="4"/>
  <c r="W113" i="4"/>
  <c r="V113" i="4"/>
  <c r="U113" i="4"/>
  <c r="T113" i="4"/>
  <c r="S113" i="4"/>
  <c r="Q113" i="4"/>
  <c r="O113" i="4"/>
  <c r="M113" i="4"/>
  <c r="K113" i="4"/>
  <c r="X112" i="4"/>
  <c r="W112" i="4"/>
  <c r="V112" i="4"/>
  <c r="U112" i="4"/>
  <c r="T112" i="4"/>
  <c r="S112" i="4"/>
  <c r="Q112" i="4"/>
  <c r="O112" i="4"/>
  <c r="M112" i="4"/>
  <c r="K112" i="4"/>
  <c r="X111" i="4"/>
  <c r="W111" i="4"/>
  <c r="V111" i="4"/>
  <c r="U111" i="4"/>
  <c r="T111" i="4"/>
  <c r="S111" i="4"/>
  <c r="Q111" i="4"/>
  <c r="O111" i="4"/>
  <c r="M111" i="4"/>
  <c r="K111" i="4"/>
  <c r="X110" i="4"/>
  <c r="W110" i="4"/>
  <c r="V110" i="4"/>
  <c r="U110" i="4"/>
  <c r="T110" i="4"/>
  <c r="S110" i="4"/>
  <c r="Q110" i="4"/>
  <c r="O110" i="4"/>
  <c r="M110" i="4"/>
  <c r="K110" i="4"/>
  <c r="X109" i="4"/>
  <c r="W109" i="4"/>
  <c r="V109" i="4"/>
  <c r="U109" i="4"/>
  <c r="T109" i="4"/>
  <c r="S109" i="4"/>
  <c r="Q109" i="4"/>
  <c r="O109" i="4"/>
  <c r="M109" i="4"/>
  <c r="K109" i="4"/>
  <c r="X108" i="4"/>
  <c r="W108" i="4"/>
  <c r="V108" i="4"/>
  <c r="U108" i="4"/>
  <c r="T108" i="4"/>
  <c r="S108" i="4"/>
  <c r="Q108" i="4"/>
  <c r="O108" i="4"/>
  <c r="M108" i="4"/>
  <c r="K108" i="4"/>
  <c r="X107" i="4"/>
  <c r="W107" i="4"/>
  <c r="V107" i="4"/>
  <c r="U107" i="4"/>
  <c r="T107" i="4"/>
  <c r="S107" i="4"/>
  <c r="Q107" i="4"/>
  <c r="O107" i="4"/>
  <c r="M107" i="4"/>
  <c r="K107" i="4"/>
  <c r="X106" i="4"/>
  <c r="W106" i="4"/>
  <c r="V106" i="4"/>
  <c r="U106" i="4"/>
  <c r="T106" i="4"/>
  <c r="S106" i="4"/>
  <c r="Q106" i="4"/>
  <c r="O106" i="4"/>
  <c r="M106" i="4"/>
  <c r="K106" i="4"/>
  <c r="X105" i="4"/>
  <c r="W105" i="4"/>
  <c r="V105" i="4"/>
  <c r="U105" i="4"/>
  <c r="T105" i="4"/>
  <c r="S105" i="4"/>
  <c r="Q105" i="4"/>
  <c r="O105" i="4"/>
  <c r="M105" i="4"/>
  <c r="K105" i="4"/>
  <c r="X104" i="4"/>
  <c r="W104" i="4"/>
  <c r="V104" i="4"/>
  <c r="U104" i="4"/>
  <c r="T104" i="4"/>
  <c r="S104" i="4"/>
  <c r="Q104" i="4"/>
  <c r="O104" i="4"/>
  <c r="M104" i="4"/>
  <c r="K104" i="4"/>
  <c r="X103" i="4"/>
  <c r="W103" i="4"/>
  <c r="V103" i="4"/>
  <c r="U103" i="4"/>
  <c r="T103" i="4"/>
  <c r="S103" i="4"/>
  <c r="Q103" i="4"/>
  <c r="O103" i="4"/>
  <c r="M103" i="4"/>
  <c r="K103" i="4"/>
  <c r="X102" i="4"/>
  <c r="W102" i="4"/>
  <c r="V102" i="4"/>
  <c r="U102" i="4"/>
  <c r="T102" i="4"/>
  <c r="S102" i="4"/>
  <c r="Q102" i="4"/>
  <c r="O102" i="4"/>
  <c r="M102" i="4"/>
  <c r="K102" i="4"/>
  <c r="X101" i="4"/>
  <c r="W101" i="4"/>
  <c r="V101" i="4"/>
  <c r="U101" i="4"/>
  <c r="T101" i="4"/>
  <c r="S101" i="4"/>
  <c r="Q101" i="4"/>
  <c r="O101" i="4"/>
  <c r="M101" i="4"/>
  <c r="K101" i="4"/>
  <c r="X100" i="4"/>
  <c r="W100" i="4"/>
  <c r="V100" i="4"/>
  <c r="U100" i="4"/>
  <c r="T100" i="4"/>
  <c r="S100" i="4"/>
  <c r="Q100" i="4"/>
  <c r="O100" i="4"/>
  <c r="M100" i="4"/>
  <c r="K100" i="4"/>
  <c r="X99" i="4"/>
  <c r="W99" i="4"/>
  <c r="V99" i="4"/>
  <c r="U99" i="4"/>
  <c r="T99" i="4"/>
  <c r="S99" i="4"/>
  <c r="Q99" i="4"/>
  <c r="O99" i="4"/>
  <c r="M99" i="4"/>
  <c r="K99" i="4"/>
  <c r="X98" i="4"/>
  <c r="W98" i="4"/>
  <c r="V98" i="4"/>
  <c r="U98" i="4"/>
  <c r="T98" i="4"/>
  <c r="S98" i="4"/>
  <c r="Q98" i="4"/>
  <c r="O98" i="4"/>
  <c r="M98" i="4"/>
  <c r="K98" i="4"/>
  <c r="X97" i="4"/>
  <c r="W97" i="4"/>
  <c r="V97" i="4"/>
  <c r="U97" i="4"/>
  <c r="T97" i="4"/>
  <c r="S97" i="4"/>
  <c r="Q97" i="4"/>
  <c r="O97" i="4"/>
  <c r="M97" i="4"/>
  <c r="K97" i="4"/>
  <c r="X96" i="4"/>
  <c r="W96" i="4"/>
  <c r="V96" i="4"/>
  <c r="U96" i="4"/>
  <c r="T96" i="4"/>
  <c r="S96" i="4"/>
  <c r="Q96" i="4"/>
  <c r="O96" i="4"/>
  <c r="M96" i="4"/>
  <c r="K96" i="4"/>
  <c r="X95" i="4"/>
  <c r="W95" i="4"/>
  <c r="V95" i="4"/>
  <c r="U95" i="4"/>
  <c r="T95" i="4"/>
  <c r="S95" i="4"/>
  <c r="Q95" i="4"/>
  <c r="O95" i="4"/>
  <c r="M95" i="4"/>
  <c r="K95" i="4"/>
  <c r="X94" i="4"/>
  <c r="W94" i="4"/>
  <c r="V94" i="4"/>
  <c r="U94" i="4"/>
  <c r="T94" i="4"/>
  <c r="S94" i="4"/>
  <c r="Q94" i="4"/>
  <c r="O94" i="4"/>
  <c r="M94" i="4"/>
  <c r="K94" i="4"/>
  <c r="X93" i="4"/>
  <c r="W93" i="4"/>
  <c r="V93" i="4"/>
  <c r="U93" i="4"/>
  <c r="T93" i="4"/>
  <c r="S93" i="4"/>
  <c r="Q93" i="4"/>
  <c r="O93" i="4"/>
  <c r="M93" i="4"/>
  <c r="K93" i="4"/>
  <c r="X92" i="4"/>
  <c r="W92" i="4"/>
  <c r="V92" i="4"/>
  <c r="U92" i="4"/>
  <c r="T92" i="4"/>
  <c r="S92" i="4"/>
  <c r="Q92" i="4"/>
  <c r="O92" i="4"/>
  <c r="M92" i="4"/>
  <c r="K92" i="4"/>
  <c r="X91" i="4"/>
  <c r="W91" i="4"/>
  <c r="V91" i="4"/>
  <c r="U91" i="4"/>
  <c r="T91" i="4"/>
  <c r="S91" i="4"/>
  <c r="Q91" i="4"/>
  <c r="O91" i="4"/>
  <c r="M91" i="4"/>
  <c r="K91" i="4"/>
  <c r="X90" i="4"/>
  <c r="W90" i="4"/>
  <c r="V90" i="4"/>
  <c r="U90" i="4"/>
  <c r="T90" i="4"/>
  <c r="S90" i="4"/>
  <c r="Q90" i="4"/>
  <c r="O90" i="4"/>
  <c r="M90" i="4"/>
  <c r="K90" i="4"/>
  <c r="X89" i="4"/>
  <c r="W89" i="4"/>
  <c r="V89" i="4"/>
  <c r="U89" i="4"/>
  <c r="T89" i="4"/>
  <c r="S89" i="4"/>
  <c r="Q89" i="4"/>
  <c r="O89" i="4"/>
  <c r="M89" i="4"/>
  <c r="K89" i="4"/>
  <c r="X88" i="4"/>
  <c r="W88" i="4"/>
  <c r="V88" i="4"/>
  <c r="U88" i="4"/>
  <c r="T88" i="4"/>
  <c r="S88" i="4"/>
  <c r="Q88" i="4"/>
  <c r="O88" i="4"/>
  <c r="M88" i="4"/>
  <c r="K88" i="4"/>
  <c r="X87" i="4"/>
  <c r="W87" i="4"/>
  <c r="V87" i="4"/>
  <c r="U87" i="4"/>
  <c r="T87" i="4"/>
  <c r="S87" i="4"/>
  <c r="Q87" i="4"/>
  <c r="O87" i="4"/>
  <c r="M87" i="4"/>
  <c r="K87" i="4"/>
  <c r="X86" i="4"/>
  <c r="W86" i="4"/>
  <c r="V86" i="4"/>
  <c r="U86" i="4"/>
  <c r="T86" i="4"/>
  <c r="S86" i="4"/>
  <c r="Q86" i="4"/>
  <c r="O86" i="4"/>
  <c r="M86" i="4"/>
  <c r="K86" i="4"/>
  <c r="X85" i="4"/>
  <c r="W85" i="4"/>
  <c r="V85" i="4"/>
  <c r="U85" i="4"/>
  <c r="T85" i="4"/>
  <c r="S85" i="4"/>
  <c r="Q85" i="4"/>
  <c r="O85" i="4"/>
  <c r="M85" i="4"/>
  <c r="K85" i="4"/>
  <c r="X84" i="4"/>
  <c r="W84" i="4"/>
  <c r="V84" i="4"/>
  <c r="U84" i="4"/>
  <c r="T84" i="4"/>
  <c r="S84" i="4"/>
  <c r="Q84" i="4"/>
  <c r="O84" i="4"/>
  <c r="M84" i="4"/>
  <c r="K84" i="4"/>
  <c r="X83" i="4"/>
  <c r="W83" i="4"/>
  <c r="V83" i="4"/>
  <c r="U83" i="4"/>
  <c r="T83" i="4"/>
  <c r="S83" i="4"/>
  <c r="Q83" i="4"/>
  <c r="O83" i="4"/>
  <c r="M83" i="4"/>
  <c r="K83" i="4"/>
  <c r="X82" i="4"/>
  <c r="W82" i="4"/>
  <c r="V82" i="4"/>
  <c r="U82" i="4"/>
  <c r="T82" i="4"/>
  <c r="S82" i="4"/>
  <c r="Q82" i="4"/>
  <c r="O82" i="4"/>
  <c r="M82" i="4"/>
  <c r="K82" i="4"/>
  <c r="X81" i="4"/>
  <c r="W81" i="4"/>
  <c r="V81" i="4"/>
  <c r="U81" i="4"/>
  <c r="T81" i="4"/>
  <c r="S81" i="4"/>
  <c r="Q81" i="4"/>
  <c r="O81" i="4"/>
  <c r="M81" i="4"/>
  <c r="K81" i="4"/>
  <c r="X80" i="4"/>
  <c r="W80" i="4"/>
  <c r="V80" i="4"/>
  <c r="U80" i="4"/>
  <c r="T80" i="4"/>
  <c r="S80" i="4"/>
  <c r="Q80" i="4"/>
  <c r="O80" i="4"/>
  <c r="M80" i="4"/>
  <c r="K80" i="4"/>
  <c r="X79" i="4"/>
  <c r="W79" i="4"/>
  <c r="V79" i="4"/>
  <c r="U79" i="4"/>
  <c r="T79" i="4"/>
  <c r="S79" i="4"/>
  <c r="Q79" i="4"/>
  <c r="O79" i="4"/>
  <c r="M79" i="4"/>
  <c r="K79" i="4"/>
  <c r="X78" i="4"/>
  <c r="W78" i="4"/>
  <c r="V78" i="4"/>
  <c r="U78" i="4"/>
  <c r="T78" i="4"/>
  <c r="S78" i="4"/>
  <c r="Q78" i="4"/>
  <c r="O78" i="4"/>
  <c r="M78" i="4"/>
  <c r="K78" i="4"/>
  <c r="X77" i="4"/>
  <c r="W77" i="4"/>
  <c r="V77" i="4"/>
  <c r="U77" i="4"/>
  <c r="T77" i="4"/>
  <c r="S77" i="4"/>
  <c r="Q77" i="4"/>
  <c r="O77" i="4"/>
  <c r="M77" i="4"/>
  <c r="K77" i="4"/>
  <c r="X76" i="4"/>
  <c r="W76" i="4"/>
  <c r="V76" i="4"/>
  <c r="U76" i="4"/>
  <c r="T76" i="4"/>
  <c r="S76" i="4"/>
  <c r="Q76" i="4"/>
  <c r="O76" i="4"/>
  <c r="M76" i="4"/>
  <c r="K76" i="4"/>
  <c r="X75" i="4"/>
  <c r="W75" i="4"/>
  <c r="V75" i="4"/>
  <c r="U75" i="4"/>
  <c r="T75" i="4"/>
  <c r="S75" i="4"/>
  <c r="Q75" i="4"/>
  <c r="O75" i="4"/>
  <c r="M75" i="4"/>
  <c r="K75" i="4"/>
  <c r="X74" i="4"/>
  <c r="W74" i="4"/>
  <c r="V74" i="4"/>
  <c r="U74" i="4"/>
  <c r="T74" i="4"/>
  <c r="S74" i="4"/>
  <c r="Q74" i="4"/>
  <c r="O74" i="4"/>
  <c r="M74" i="4"/>
  <c r="K74" i="4"/>
  <c r="X73" i="4"/>
  <c r="W73" i="4"/>
  <c r="V73" i="4"/>
  <c r="U73" i="4"/>
  <c r="T73" i="4"/>
  <c r="S73" i="4"/>
  <c r="Q73" i="4"/>
  <c r="O73" i="4"/>
  <c r="M73" i="4"/>
  <c r="K73" i="4"/>
  <c r="X72" i="4"/>
  <c r="W72" i="4"/>
  <c r="V72" i="4"/>
  <c r="U72" i="4"/>
  <c r="T72" i="4"/>
  <c r="S72" i="4"/>
  <c r="Q72" i="4"/>
  <c r="O72" i="4"/>
  <c r="M72" i="4"/>
  <c r="K72" i="4"/>
  <c r="X71" i="4"/>
  <c r="W71" i="4"/>
  <c r="V71" i="4"/>
  <c r="U71" i="4"/>
  <c r="T71" i="4"/>
  <c r="S71" i="4"/>
  <c r="Q71" i="4"/>
  <c r="O71" i="4"/>
  <c r="M71" i="4"/>
  <c r="K71" i="4"/>
  <c r="X70" i="4"/>
  <c r="W70" i="4"/>
  <c r="V70" i="4"/>
  <c r="U70" i="4"/>
  <c r="T70" i="4"/>
  <c r="S70" i="4"/>
  <c r="Q70" i="4"/>
  <c r="O70" i="4"/>
  <c r="M70" i="4"/>
  <c r="K70" i="4"/>
  <c r="X69" i="4"/>
  <c r="W69" i="4"/>
  <c r="V69" i="4"/>
  <c r="U69" i="4"/>
  <c r="T69" i="4"/>
  <c r="S69" i="4"/>
  <c r="Q69" i="4"/>
  <c r="O69" i="4"/>
  <c r="M69" i="4"/>
  <c r="K69" i="4"/>
  <c r="X68" i="4"/>
  <c r="W68" i="4"/>
  <c r="V68" i="4"/>
  <c r="U68" i="4"/>
  <c r="T68" i="4"/>
  <c r="S68" i="4"/>
  <c r="Q68" i="4"/>
  <c r="O68" i="4"/>
  <c r="M68" i="4"/>
  <c r="K68" i="4"/>
  <c r="X67" i="4"/>
  <c r="W67" i="4"/>
  <c r="V67" i="4"/>
  <c r="U67" i="4"/>
  <c r="T67" i="4"/>
  <c r="S67" i="4"/>
  <c r="Q67" i="4"/>
  <c r="O67" i="4"/>
  <c r="M67" i="4"/>
  <c r="K67" i="4"/>
  <c r="X66" i="4"/>
  <c r="W66" i="4"/>
  <c r="V66" i="4"/>
  <c r="U66" i="4"/>
  <c r="T66" i="4"/>
  <c r="S66" i="4"/>
  <c r="Q66" i="4"/>
  <c r="O66" i="4"/>
  <c r="M66" i="4"/>
  <c r="K66" i="4"/>
  <c r="X65" i="4"/>
  <c r="W65" i="4"/>
  <c r="V65" i="4"/>
  <c r="U65" i="4"/>
  <c r="T65" i="4"/>
  <c r="S65" i="4"/>
  <c r="Q65" i="4"/>
  <c r="O65" i="4"/>
  <c r="M65" i="4"/>
  <c r="K65" i="4"/>
  <c r="X64" i="4"/>
  <c r="W64" i="4"/>
  <c r="V64" i="4"/>
  <c r="U64" i="4"/>
  <c r="T64" i="4"/>
  <c r="S64" i="4"/>
  <c r="Q64" i="4"/>
  <c r="O64" i="4"/>
  <c r="M64" i="4"/>
  <c r="K64" i="4"/>
  <c r="X63" i="4"/>
  <c r="W63" i="4"/>
  <c r="V63" i="4"/>
  <c r="U63" i="4"/>
  <c r="T63" i="4"/>
  <c r="S63" i="4"/>
  <c r="Q63" i="4"/>
  <c r="O63" i="4"/>
  <c r="M63" i="4"/>
  <c r="K63" i="4"/>
  <c r="X62" i="4"/>
  <c r="W62" i="4"/>
  <c r="V62" i="4"/>
  <c r="U62" i="4"/>
  <c r="T62" i="4"/>
  <c r="S62" i="4"/>
  <c r="Q62" i="4"/>
  <c r="O62" i="4"/>
  <c r="M62" i="4"/>
  <c r="K62" i="4"/>
  <c r="X61" i="4"/>
  <c r="W61" i="4"/>
  <c r="V61" i="4"/>
  <c r="U61" i="4"/>
  <c r="T61" i="4"/>
  <c r="S61" i="4"/>
  <c r="Q61" i="4"/>
  <c r="O61" i="4"/>
  <c r="M61" i="4"/>
  <c r="K61" i="4"/>
  <c r="X60" i="4"/>
  <c r="W60" i="4"/>
  <c r="V60" i="4"/>
  <c r="U60" i="4"/>
  <c r="T60" i="4"/>
  <c r="S60" i="4"/>
  <c r="Q60" i="4"/>
  <c r="O60" i="4"/>
  <c r="M60" i="4"/>
  <c r="K60" i="4"/>
  <c r="X59" i="4"/>
  <c r="W59" i="4"/>
  <c r="V59" i="4"/>
  <c r="U59" i="4"/>
  <c r="T59" i="4"/>
  <c r="S59" i="4"/>
  <c r="Q59" i="4"/>
  <c r="O59" i="4"/>
  <c r="M59" i="4"/>
  <c r="K59" i="4"/>
  <c r="X58" i="4"/>
  <c r="W58" i="4"/>
  <c r="V58" i="4"/>
  <c r="U58" i="4"/>
  <c r="T58" i="4"/>
  <c r="S58" i="4"/>
  <c r="Q58" i="4"/>
  <c r="O58" i="4"/>
  <c r="M58" i="4"/>
  <c r="K58" i="4"/>
  <c r="X57" i="4"/>
  <c r="W57" i="4"/>
  <c r="V57" i="4"/>
  <c r="U57" i="4"/>
  <c r="T57" i="4"/>
  <c r="S57" i="4"/>
  <c r="Q57" i="4"/>
  <c r="O57" i="4"/>
  <c r="M57" i="4"/>
  <c r="K57" i="4"/>
  <c r="X56" i="4"/>
  <c r="W56" i="4"/>
  <c r="V56" i="4"/>
  <c r="U56" i="4"/>
  <c r="T56" i="4"/>
  <c r="S56" i="4"/>
  <c r="Q56" i="4"/>
  <c r="O56" i="4"/>
  <c r="M56" i="4"/>
  <c r="K56" i="4"/>
  <c r="X55" i="4"/>
  <c r="W55" i="4"/>
  <c r="V55" i="4"/>
  <c r="U55" i="4"/>
  <c r="T55" i="4"/>
  <c r="S55" i="4"/>
  <c r="Q55" i="4"/>
  <c r="O55" i="4"/>
  <c r="M55" i="4"/>
  <c r="K55" i="4"/>
  <c r="X54" i="4"/>
  <c r="W54" i="4"/>
  <c r="V54" i="4"/>
  <c r="U54" i="4"/>
  <c r="T54" i="4"/>
  <c r="S54" i="4"/>
  <c r="Q54" i="4"/>
  <c r="O54" i="4"/>
  <c r="M54" i="4"/>
  <c r="K54" i="4"/>
  <c r="X53" i="4"/>
  <c r="W53" i="4"/>
  <c r="V53" i="4"/>
  <c r="U53" i="4"/>
  <c r="T53" i="4"/>
  <c r="S53" i="4"/>
  <c r="Q53" i="4"/>
  <c r="O53" i="4"/>
  <c r="M53" i="4"/>
  <c r="K53" i="4"/>
  <c r="X52" i="4"/>
  <c r="W52" i="4"/>
  <c r="V52" i="4"/>
  <c r="U52" i="4"/>
  <c r="T52" i="4"/>
  <c r="S52" i="4"/>
  <c r="Q52" i="4"/>
  <c r="O52" i="4"/>
  <c r="M52" i="4"/>
  <c r="K52" i="4"/>
  <c r="X51" i="4"/>
  <c r="W51" i="4"/>
  <c r="V51" i="4"/>
  <c r="U51" i="4"/>
  <c r="T51" i="4"/>
  <c r="S51" i="4"/>
  <c r="Q51" i="4"/>
  <c r="O51" i="4"/>
  <c r="M51" i="4"/>
  <c r="K51" i="4"/>
  <c r="X50" i="4"/>
  <c r="W50" i="4"/>
  <c r="V50" i="4"/>
  <c r="U50" i="4"/>
  <c r="T50" i="4"/>
  <c r="S50" i="4"/>
  <c r="Q50" i="4"/>
  <c r="O50" i="4"/>
  <c r="M50" i="4"/>
  <c r="K50" i="4"/>
  <c r="X49" i="4"/>
  <c r="W49" i="4"/>
  <c r="V49" i="4"/>
  <c r="U49" i="4"/>
  <c r="T49" i="4"/>
  <c r="S49" i="4"/>
  <c r="Q49" i="4"/>
  <c r="O49" i="4"/>
  <c r="M49" i="4"/>
  <c r="K49" i="4"/>
  <c r="X48" i="4"/>
  <c r="W48" i="4"/>
  <c r="V48" i="4"/>
  <c r="U48" i="4"/>
  <c r="T48" i="4"/>
  <c r="S48" i="4"/>
  <c r="Q48" i="4"/>
  <c r="O48" i="4"/>
  <c r="M48" i="4"/>
  <c r="K48" i="4"/>
  <c r="X47" i="4"/>
  <c r="W47" i="4"/>
  <c r="V47" i="4"/>
  <c r="U47" i="4"/>
  <c r="T47" i="4"/>
  <c r="S47" i="4"/>
  <c r="Q47" i="4"/>
  <c r="O47" i="4"/>
  <c r="M47" i="4"/>
  <c r="K47" i="4"/>
  <c r="X46" i="4"/>
  <c r="W46" i="4"/>
  <c r="V46" i="4"/>
  <c r="U46" i="4"/>
  <c r="T46" i="4"/>
  <c r="S46" i="4"/>
  <c r="Q46" i="4"/>
  <c r="O46" i="4"/>
  <c r="M46" i="4"/>
  <c r="K46" i="4"/>
  <c r="X45" i="4"/>
  <c r="W45" i="4"/>
  <c r="V45" i="4"/>
  <c r="U45" i="4"/>
  <c r="T45" i="4"/>
  <c r="S45" i="4"/>
  <c r="Q45" i="4"/>
  <c r="O45" i="4"/>
  <c r="M45" i="4"/>
  <c r="K45" i="4"/>
  <c r="X44" i="4"/>
  <c r="W44" i="4"/>
  <c r="V44" i="4"/>
  <c r="U44" i="4"/>
  <c r="T44" i="4"/>
  <c r="S44" i="4"/>
  <c r="Q44" i="4"/>
  <c r="O44" i="4"/>
  <c r="M44" i="4"/>
  <c r="K44" i="4"/>
  <c r="X43" i="4"/>
  <c r="W43" i="4"/>
  <c r="V43" i="4"/>
  <c r="U43" i="4"/>
  <c r="T43" i="4"/>
  <c r="S43" i="4"/>
  <c r="Q43" i="4"/>
  <c r="O43" i="4"/>
  <c r="M43" i="4"/>
  <c r="K43" i="4"/>
  <c r="X42" i="4"/>
  <c r="W42" i="4"/>
  <c r="V42" i="4"/>
  <c r="U42" i="4"/>
  <c r="T42" i="4"/>
  <c r="S42" i="4"/>
  <c r="Q42" i="4"/>
  <c r="O42" i="4"/>
  <c r="M42" i="4"/>
  <c r="K42" i="4"/>
  <c r="X41" i="4"/>
  <c r="W41" i="4"/>
  <c r="V41" i="4"/>
  <c r="U41" i="4"/>
  <c r="T41" i="4"/>
  <c r="S41" i="4"/>
  <c r="Q41" i="4"/>
  <c r="O41" i="4"/>
  <c r="M41" i="4"/>
  <c r="K41" i="4"/>
  <c r="X40" i="4"/>
  <c r="W40" i="4"/>
  <c r="V40" i="4"/>
  <c r="U40" i="4"/>
  <c r="T40" i="4"/>
  <c r="S40" i="4"/>
  <c r="Q40" i="4"/>
  <c r="O40" i="4"/>
  <c r="M40" i="4"/>
  <c r="K40" i="4"/>
  <c r="X39" i="4"/>
  <c r="W39" i="4"/>
  <c r="V39" i="4"/>
  <c r="U39" i="4"/>
  <c r="T39" i="4"/>
  <c r="S39" i="4"/>
  <c r="Q39" i="4"/>
  <c r="O39" i="4"/>
  <c r="M39" i="4"/>
  <c r="K39" i="4"/>
  <c r="X38" i="4"/>
  <c r="W38" i="4"/>
  <c r="V38" i="4"/>
  <c r="U38" i="4"/>
  <c r="T38" i="4"/>
  <c r="S38" i="4"/>
  <c r="Q38" i="4"/>
  <c r="O38" i="4"/>
  <c r="M38" i="4"/>
  <c r="K38" i="4"/>
  <c r="X37" i="4"/>
  <c r="W37" i="4"/>
  <c r="V37" i="4"/>
  <c r="U37" i="4"/>
  <c r="T37" i="4"/>
  <c r="S37" i="4"/>
  <c r="Q37" i="4"/>
  <c r="O37" i="4"/>
  <c r="M37" i="4"/>
  <c r="K37" i="4"/>
  <c r="X36" i="4"/>
  <c r="W36" i="4"/>
  <c r="V36" i="4"/>
  <c r="U36" i="4"/>
  <c r="T36" i="4"/>
  <c r="S36" i="4"/>
  <c r="Q36" i="4"/>
  <c r="O36" i="4"/>
  <c r="M36" i="4"/>
  <c r="K36" i="4"/>
  <c r="X35" i="4"/>
  <c r="W35" i="4"/>
  <c r="V35" i="4"/>
  <c r="U35" i="4"/>
  <c r="T35" i="4"/>
  <c r="S35" i="4"/>
  <c r="Q35" i="4"/>
  <c r="O35" i="4"/>
  <c r="M35" i="4"/>
  <c r="K35" i="4"/>
  <c r="X34" i="4"/>
  <c r="W34" i="4"/>
  <c r="V34" i="4"/>
  <c r="U34" i="4"/>
  <c r="T34" i="4"/>
  <c r="S34" i="4"/>
  <c r="Q34" i="4"/>
  <c r="O34" i="4"/>
  <c r="M34" i="4"/>
  <c r="K34" i="4"/>
  <c r="X33" i="4"/>
  <c r="W33" i="4"/>
  <c r="V33" i="4"/>
  <c r="U33" i="4"/>
  <c r="T33" i="4"/>
  <c r="S33" i="4"/>
  <c r="Q33" i="4"/>
  <c r="O33" i="4"/>
  <c r="M33" i="4"/>
  <c r="K33" i="4"/>
  <c r="X32" i="4"/>
  <c r="W32" i="4"/>
  <c r="V32" i="4"/>
  <c r="U32" i="4"/>
  <c r="T32" i="4"/>
  <c r="S32" i="4"/>
  <c r="Q32" i="4"/>
  <c r="O32" i="4"/>
  <c r="M32" i="4"/>
  <c r="K32" i="4"/>
  <c r="X31" i="4"/>
  <c r="W31" i="4"/>
  <c r="V31" i="4"/>
  <c r="U31" i="4"/>
  <c r="T31" i="4"/>
  <c r="S31" i="4"/>
  <c r="Q31" i="4"/>
  <c r="O31" i="4"/>
  <c r="M31" i="4"/>
  <c r="K31" i="4"/>
  <c r="X30" i="4"/>
  <c r="W30" i="4"/>
  <c r="V30" i="4"/>
  <c r="U30" i="4"/>
  <c r="T30" i="4"/>
  <c r="S30" i="4"/>
  <c r="Q30" i="4"/>
  <c r="O30" i="4"/>
  <c r="M30" i="4"/>
  <c r="K30" i="4"/>
  <c r="X29" i="4"/>
  <c r="W29" i="4"/>
  <c r="V29" i="4"/>
  <c r="U29" i="4"/>
  <c r="T29" i="4"/>
  <c r="S29" i="4"/>
  <c r="Q29" i="4"/>
  <c r="O29" i="4"/>
  <c r="M29" i="4"/>
  <c r="K29" i="4"/>
  <c r="X28" i="4"/>
  <c r="W28" i="4"/>
  <c r="V28" i="4"/>
  <c r="U28" i="4"/>
  <c r="T28" i="4"/>
  <c r="S28" i="4"/>
  <c r="Q28" i="4"/>
  <c r="O28" i="4"/>
  <c r="M28" i="4"/>
  <c r="K28" i="4"/>
  <c r="X27" i="4"/>
  <c r="W27" i="4"/>
  <c r="V27" i="4"/>
  <c r="U27" i="4"/>
  <c r="T27" i="4"/>
  <c r="S27" i="4"/>
  <c r="Q27" i="4"/>
  <c r="O27" i="4"/>
  <c r="M27" i="4"/>
  <c r="K27" i="4"/>
  <c r="X26" i="4"/>
  <c r="W26" i="4"/>
  <c r="V26" i="4"/>
  <c r="U26" i="4"/>
  <c r="T26" i="4"/>
  <c r="S26" i="4"/>
  <c r="Q26" i="4"/>
  <c r="O26" i="4"/>
  <c r="M26" i="4"/>
  <c r="K26" i="4"/>
  <c r="X25" i="4"/>
  <c r="W25" i="4"/>
  <c r="V25" i="4"/>
  <c r="U25" i="4"/>
  <c r="T25" i="4"/>
  <c r="S25" i="4"/>
  <c r="Q25" i="4"/>
  <c r="O25" i="4"/>
  <c r="M25" i="4"/>
  <c r="K25" i="4"/>
  <c r="X24" i="4"/>
  <c r="W24" i="4"/>
  <c r="V24" i="4"/>
  <c r="U24" i="4"/>
  <c r="T24" i="4"/>
  <c r="S24" i="4"/>
  <c r="Q24" i="4"/>
  <c r="O24" i="4"/>
  <c r="M24" i="4"/>
  <c r="K24" i="4"/>
  <c r="X23" i="4"/>
  <c r="W23" i="4"/>
  <c r="V23" i="4"/>
  <c r="U23" i="4"/>
  <c r="T23" i="4"/>
  <c r="S23" i="4"/>
  <c r="Q23" i="4"/>
  <c r="O23" i="4"/>
  <c r="M23" i="4"/>
  <c r="K23" i="4"/>
  <c r="X22" i="4"/>
  <c r="W22" i="4"/>
  <c r="V22" i="4"/>
  <c r="U22" i="4"/>
  <c r="T22" i="4"/>
  <c r="S22" i="4"/>
  <c r="Q22" i="4"/>
  <c r="O22" i="4"/>
  <c r="M22" i="4"/>
  <c r="K22" i="4"/>
  <c r="X21" i="4"/>
  <c r="W21" i="4"/>
  <c r="V21" i="4"/>
  <c r="U21" i="4"/>
  <c r="T21" i="4"/>
  <c r="S21" i="4"/>
  <c r="Q21" i="4"/>
  <c r="O21" i="4"/>
  <c r="M21" i="4"/>
  <c r="K21" i="4"/>
  <c r="X20" i="4"/>
  <c r="W20" i="4"/>
  <c r="V20" i="4"/>
  <c r="U20" i="4"/>
  <c r="T20" i="4"/>
  <c r="S20" i="4"/>
  <c r="Q20" i="4"/>
  <c r="O20" i="4"/>
  <c r="M20" i="4"/>
  <c r="K20" i="4"/>
  <c r="X19" i="4"/>
  <c r="W19" i="4"/>
  <c r="V19" i="4"/>
  <c r="U19" i="4"/>
  <c r="T19" i="4"/>
  <c r="S19" i="4"/>
  <c r="Q19" i="4"/>
  <c r="O19" i="4"/>
  <c r="M19" i="4"/>
  <c r="K19" i="4"/>
  <c r="X18" i="4"/>
  <c r="W18" i="4"/>
  <c r="V18" i="4"/>
  <c r="U18" i="4"/>
  <c r="T18" i="4"/>
  <c r="S18" i="4"/>
  <c r="Q18" i="4"/>
  <c r="O18" i="4"/>
  <c r="M18" i="4"/>
  <c r="K18" i="4"/>
  <c r="X17" i="4"/>
  <c r="W17" i="4"/>
  <c r="V17" i="4"/>
  <c r="U17" i="4"/>
  <c r="T17" i="4"/>
  <c r="S17" i="4"/>
  <c r="Q17" i="4"/>
  <c r="O17" i="4"/>
  <c r="M17" i="4"/>
  <c r="K17" i="4"/>
  <c r="X16" i="4"/>
  <c r="W16" i="4"/>
  <c r="V16" i="4"/>
  <c r="U16" i="4"/>
  <c r="T16" i="4"/>
  <c r="S16" i="4"/>
  <c r="Q16" i="4"/>
  <c r="O16" i="4"/>
  <c r="M16" i="4"/>
  <c r="K16" i="4"/>
  <c r="X15" i="4"/>
  <c r="W15" i="4"/>
  <c r="V15" i="4"/>
  <c r="U15" i="4"/>
  <c r="T15" i="4"/>
  <c r="S15" i="4"/>
  <c r="Q15" i="4"/>
  <c r="O15" i="4"/>
  <c r="M15" i="4"/>
  <c r="K15" i="4"/>
  <c r="X14" i="4"/>
  <c r="W14" i="4"/>
  <c r="V14" i="4"/>
  <c r="U14" i="4"/>
  <c r="T14" i="4"/>
  <c r="S14" i="4"/>
  <c r="Q14" i="4"/>
  <c r="O14" i="4"/>
  <c r="M14" i="4"/>
  <c r="K14" i="4"/>
  <c r="X13" i="4"/>
  <c r="W13" i="4"/>
  <c r="V13" i="4"/>
  <c r="U13" i="4"/>
  <c r="T13" i="4"/>
  <c r="S13" i="4"/>
  <c r="Q13" i="4"/>
  <c r="O13" i="4"/>
  <c r="M13" i="4"/>
  <c r="K13" i="4"/>
  <c r="X12" i="4"/>
  <c r="W12" i="4"/>
  <c r="V12" i="4"/>
  <c r="U12" i="4"/>
  <c r="T12" i="4"/>
  <c r="S12" i="4"/>
  <c r="Q12" i="4"/>
  <c r="O12" i="4"/>
  <c r="M12" i="4"/>
  <c r="K12" i="4"/>
  <c r="X11" i="4"/>
  <c r="W11" i="4"/>
  <c r="V11" i="4"/>
  <c r="U11" i="4"/>
  <c r="T11" i="4"/>
  <c r="S11" i="4"/>
  <c r="Q11" i="4"/>
  <c r="O11" i="4"/>
  <c r="M11" i="4"/>
  <c r="K11" i="4"/>
  <c r="X10" i="4"/>
  <c r="W10" i="4"/>
  <c r="V10" i="4"/>
  <c r="U10" i="4"/>
  <c r="T10" i="4"/>
  <c r="S10" i="4"/>
  <c r="Q10" i="4"/>
  <c r="O10" i="4"/>
  <c r="M10" i="4"/>
  <c r="K10" i="4"/>
  <c r="X9" i="4"/>
  <c r="W9" i="4"/>
  <c r="V9" i="4"/>
  <c r="U9" i="4"/>
  <c r="T9" i="4"/>
  <c r="S9" i="4"/>
  <c r="Q9" i="4"/>
  <c r="O9" i="4"/>
  <c r="M9" i="4"/>
  <c r="K9" i="4"/>
  <c r="X8" i="4"/>
  <c r="W8" i="4"/>
  <c r="V8" i="4"/>
  <c r="U8" i="4"/>
  <c r="T8" i="4"/>
  <c r="S8" i="4"/>
  <c r="Q8" i="4"/>
  <c r="O8" i="4"/>
  <c r="M8" i="4"/>
  <c r="K8" i="4"/>
  <c r="X7" i="4"/>
  <c r="W7" i="4"/>
  <c r="V7" i="4"/>
  <c r="U7" i="4"/>
  <c r="T7" i="4"/>
  <c r="S7" i="4"/>
  <c r="Q7" i="4"/>
  <c r="O7" i="4"/>
  <c r="M7" i="4"/>
  <c r="K7" i="4"/>
</calcChain>
</file>

<file path=xl/sharedStrings.xml><?xml version="1.0" encoding="utf-8"?>
<sst xmlns="http://schemas.openxmlformats.org/spreadsheetml/2006/main" count="5229" uniqueCount="1364">
  <si>
    <t>銘柄コード</t>
    <rPh sb="0" eb="2">
      <t>メイガラ</t>
    </rPh>
    <phoneticPr fontId="3"/>
  </si>
  <si>
    <t>Issues</t>
  </si>
  <si>
    <t>日付</t>
    <rPh sb="0" eb="2">
      <t>ヒヅケ</t>
    </rPh>
    <phoneticPr fontId="3"/>
  </si>
  <si>
    <t>信用・貸借</t>
    <rPh sb="0" eb="2">
      <t>シンヨウ</t>
    </rPh>
    <rPh sb="3" eb="5">
      <t>タイシャク</t>
    </rPh>
    <phoneticPr fontId="3"/>
  </si>
  <si>
    <t>売買単位</t>
    <rPh sb="0" eb="2">
      <t>バイバイ</t>
    </rPh>
    <rPh sb="2" eb="4">
      <t>タンイ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</si>
  <si>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</si>
  <si>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</si>
  <si>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</si>
  <si>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</si>
  <si>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</si>
  <si>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売買高</t>
    <rPh sb="0" eb="3">
      <t>バイバイダカ</t>
    </rPh>
    <phoneticPr fontId="3"/>
  </si>
  <si>
    <t>うちToSTNeT売買高</t>
  </si>
  <si>
    <t>売買代金</t>
    <rPh sb="0" eb="2">
      <t>バイバイ</t>
    </rPh>
    <rPh sb="2" eb="4">
      <t>ダイキン</t>
    </rPh>
    <phoneticPr fontId="3"/>
  </si>
  <si>
    <t>うちToSTNeT売買代金</t>
  </si>
  <si>
    <t>値付日数</t>
    <rPh sb="0" eb="2">
      <t>ネツ</t>
    </rPh>
    <rPh sb="2" eb="4">
      <t>ニッスウ</t>
    </rPh>
    <phoneticPr fontId="3"/>
  </si>
  <si>
    <t>margin/loan</t>
    <phoneticPr fontId="10"/>
  </si>
  <si>
    <t>Open</t>
  </si>
  <si>
    <t>Low</t>
  </si>
  <si>
    <t>Close</t>
  </si>
  <si>
    <t>Trading Volume</t>
  </si>
  <si>
    <t>Trading Value</t>
  </si>
  <si>
    <t>口(units）</t>
  </si>
  <si>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</si>
  <si>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E　T　F　相　場　表</t>
    <rPh sb="6" eb="7">
      <t>ソウ</t>
    </rPh>
    <rPh sb="8" eb="9">
      <t>バ</t>
    </rPh>
    <rPh sb="10" eb="11">
      <t>ヒョウ</t>
    </rPh>
    <phoneticPr fontId="3"/>
  </si>
  <si>
    <t>Exchange-Traded Fund Quotations</t>
    <phoneticPr fontId="3"/>
  </si>
  <si>
    <t>年月</t>
    <phoneticPr fontId="10"/>
  </si>
  <si>
    <t>区分</t>
    <phoneticPr fontId="10"/>
  </si>
  <si>
    <t>Year/Month</t>
    <phoneticPr fontId="10"/>
  </si>
  <si>
    <t>Code</t>
    <phoneticPr fontId="10"/>
  </si>
  <si>
    <t>銘柄名称</t>
    <phoneticPr fontId="10"/>
  </si>
  <si>
    <t>銘柄属性</t>
    <rPh sb="0" eb="2">
      <t>メイガラ</t>
    </rPh>
    <rPh sb="2" eb="4">
      <t>ゾクセイ</t>
    </rPh>
    <phoneticPr fontId="10"/>
  </si>
  <si>
    <t>Attribute</t>
    <phoneticPr fontId="10"/>
  </si>
  <si>
    <t>Date</t>
    <phoneticPr fontId="3"/>
  </si>
  <si>
    <t>Sector</t>
    <phoneticPr fontId="10"/>
  </si>
  <si>
    <t>Trading Unit</t>
    <phoneticPr fontId="3"/>
  </si>
  <si>
    <t>High</t>
    <phoneticPr fontId="3"/>
  </si>
  <si>
    <t>Average Closing Price</t>
    <phoneticPr fontId="10"/>
  </si>
  <si>
    <t>Trading Volume(ToSTNeT)</t>
    <phoneticPr fontId="10"/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</si>
  <si>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</si>
  <si>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</si>
  <si>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</si>
  <si>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</si>
  <si>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2026/01</t>
  </si>
  <si>
    <t>1305</t>
  </si>
  <si>
    <t>ｉＦｒｅｅＥＴＦ　ＴＯＰＩＸ（年１回決算型）　受益証券</t>
  </si>
  <si>
    <t>iFreeETF TOPIX (Yearly Dividend Type)</t>
  </si>
  <si>
    <t/>
  </si>
  <si>
    <t>貸借</t>
  </si>
  <si>
    <t>5</t>
  </si>
  <si>
    <t>15</t>
  </si>
  <si>
    <t>30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</si>
  <si>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</si>
  <si>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</si>
  <si>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</si>
  <si>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</si>
  <si>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</si>
  <si>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Listed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</si>
  <si>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</si>
  <si>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</si>
  <si>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</si>
  <si>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13</t>
  </si>
  <si>
    <t>28</t>
  </si>
  <si>
    <t>1311</t>
  </si>
  <si>
    <t>ＮＥＸＴ　ＦＵＮＤＳ　ＴＯＰＩＸ　Ｃｏｒｅ　３０連動型上場投信　受益証券</t>
  </si>
  <si>
    <t>NEXT FUNDS TOPIX Core 30 Exchange Traded Fund</t>
  </si>
  <si>
    <t>16</t>
  </si>
  <si>
    <t>1319</t>
  </si>
  <si>
    <t>ＮＥＸＴ　ＦＵＮＤＳ　日経３００株価指数連動型上場投信　受益証券</t>
  </si>
  <si>
    <t>NEXT FUNDS Nikkei 300 Index Exchange Traded Fund</t>
  </si>
  <si>
    <t>6</t>
  </si>
  <si>
    <t>29</t>
  </si>
  <si>
    <t>1320</t>
  </si>
  <si>
    <t>ｉＦｒｅｅＥＴＦ　日経２２５（年１回決算型）　受益証券</t>
  </si>
  <si>
    <t>iFreeETF Nikkei225 (Yearly Dividend Type)</t>
  </si>
  <si>
    <t>14</t>
  </si>
  <si>
    <t>8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</si>
  <si>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</si>
  <si>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</si>
  <si>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</si>
  <si>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</si>
  <si>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</si>
  <si>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</si>
  <si>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</si>
  <si>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</si>
  <si>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</si>
  <si>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</si>
  <si>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</si>
  <si>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</si>
  <si>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</si>
  <si>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</si>
  <si>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</si>
  <si>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</si>
  <si>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</si>
  <si>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</si>
  <si>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</si>
  <si>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</si>
  <si>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Listed Index Fund 225</t>
  </si>
  <si>
    <t>133A</t>
  </si>
  <si>
    <t>グローバルＸ　超短期米国債　ＥＴＦ　受益証券</t>
  </si>
  <si>
    <t>Global X Ultra Short-Term T-Bill ETF</t>
  </si>
  <si>
    <t>1343</t>
  </si>
  <si>
    <t>ＮＥＸＴ　ＦＵＮＤＳ　東証ＲＥＩＴ　指数連動型上場投信　受益証券</t>
  </si>
  <si>
    <t>NEXT FUNDS REIT INDEX ETF</t>
  </si>
  <si>
    <t>19</t>
  </si>
  <si>
    <t>1345</t>
  </si>
  <si>
    <t>上場インデックスファンドＪリート（東証ＲＥＩＴ指数）隔月分配型　受益証券</t>
  </si>
  <si>
    <t>Listed Index Fund J-REIT (Tokyo Stock Exchange REIT Index)Bi-Monthly Dividend Payment Type</t>
  </si>
  <si>
    <t>1346</t>
  </si>
  <si>
    <t>ＭＡＸＩＳ　日経２２５上場投信　受益証券</t>
  </si>
  <si>
    <t>MAXIS NIKKEI 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</si>
  <si>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</si>
  <si>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</si>
  <si>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</si>
  <si>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</si>
  <si>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</si>
  <si>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</si>
  <si>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</si>
  <si>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</si>
  <si>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</si>
  <si>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</si>
  <si>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</si>
  <si>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Exchange Traded Fund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</si>
  <si>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</si>
  <si>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</si>
  <si>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</si>
  <si>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</si>
  <si>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</si>
  <si>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</si>
  <si>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</si>
  <si>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</si>
  <si>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</si>
  <si>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</si>
  <si>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ｉＦｒｅｅＥＴＦ　日経平均レバレッジ・インデックス　受益証券</t>
  </si>
  <si>
    <t>iFreeETF Nikkei225 Leveraged Index</t>
  </si>
  <si>
    <t>1366</t>
  </si>
  <si>
    <t>ｉＦｒｅｅＥＴＦ　日経平均ダブルインバース・インデックス　受益証券</t>
  </si>
  <si>
    <t>iFreeETF Nikkei225 Double Inverse Index</t>
  </si>
  <si>
    <t>1367</t>
  </si>
  <si>
    <t>ｉＦｒｅｅＥＴＦ　ＴＯＰＩＸレバレッジ（２倍）指数　受益証券</t>
  </si>
  <si>
    <t>iFreeETF TOPIX Leveraged (2x) Index</t>
  </si>
  <si>
    <t>1368</t>
  </si>
  <si>
    <t>ｉＦｒｅｅＥＴＦ　ＴＯＰＩＸダブルインバース（－２倍）指数　受益証券</t>
  </si>
  <si>
    <t>iFreeETF TOPIX Double Inverse (-2x) Index</t>
  </si>
  <si>
    <t>1369</t>
  </si>
  <si>
    <t>Ｏｎｅ　ＥＴＦ　日経２２５　受益証券</t>
  </si>
  <si>
    <t>One ETF Nikkei225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</si>
  <si>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</si>
  <si>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</si>
  <si>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</si>
  <si>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</si>
  <si>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</si>
  <si>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</si>
  <si>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</si>
  <si>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</si>
  <si>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</si>
  <si>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23</t>
  </si>
  <si>
    <t>140A</t>
  </si>
  <si>
    <t>ｉＦｒｅｅＥＴＦ　米国１０年国債先物インバース　受益証券</t>
  </si>
  <si>
    <t>iFreeETF 10-Year U.S. Treasury Note Futures Inverse</t>
  </si>
  <si>
    <t>1456</t>
  </si>
  <si>
    <t>ｉＦｒｅｅＥＴＦ　日経平均インバース・インデックス　受益証券</t>
  </si>
  <si>
    <t>iFreeETF Nikkei225 Inverse Index</t>
  </si>
  <si>
    <t>1457</t>
  </si>
  <si>
    <t>ｉＦｒｅｅＥＴＦ　ＴＯＰＩＸインバース（－１倍）指数　受益証券</t>
  </si>
  <si>
    <t>iFreeETF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</si>
  <si>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</si>
  <si>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</si>
  <si>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</si>
  <si>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</si>
  <si>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</si>
  <si>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</si>
  <si>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1466</t>
  </si>
  <si>
    <t>ｉＦｒｅｅＥＴＦ　ＪＰＸ日経４００ダブルインバース・インデックス　受益証券</t>
  </si>
  <si>
    <t>iFreeETF JPX-Nikkei400 Double Inverse (-2x) Index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</si>
  <si>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</si>
  <si>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</si>
  <si>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</si>
  <si>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</si>
  <si>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</si>
  <si>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</si>
  <si>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</si>
  <si>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</si>
  <si>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</si>
  <si>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</si>
  <si>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</si>
  <si>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</si>
  <si>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</si>
  <si>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</si>
  <si>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</si>
  <si>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</si>
  <si>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</si>
  <si>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</si>
  <si>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</si>
  <si>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</si>
  <si>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</si>
  <si>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7</t>
  </si>
  <si>
    <t>1478</t>
  </si>
  <si>
    <t>ｉシェアーズ　ＭＳＣＩ　ジャパン高配当利回り　ＥＴＦ　受益証券</t>
  </si>
  <si>
    <t>iShares MSCI Japan High Dividend ETF</t>
  </si>
  <si>
    <t>1479</t>
  </si>
  <si>
    <t>ｉＦｒｅｅＥＴＦ　ＭＳＣＩ日本株人材設備投資指数　受益証券</t>
  </si>
  <si>
    <t>iFreeETF MSCI Japan Human and Physical Investment Index</t>
  </si>
  <si>
    <t>20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</si>
  <si>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</si>
  <si>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</si>
  <si>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</si>
  <si>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22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</si>
  <si>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</si>
  <si>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</si>
  <si>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</si>
  <si>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</si>
  <si>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</si>
  <si>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</si>
  <si>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21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</si>
  <si>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</si>
  <si>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</si>
  <si>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</si>
  <si>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</si>
  <si>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</si>
  <si>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</si>
  <si>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</si>
  <si>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</si>
  <si>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</si>
  <si>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27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</si>
  <si>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</si>
  <si>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</si>
  <si>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</si>
  <si>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</si>
  <si>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</si>
  <si>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</si>
  <si>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</si>
  <si>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ｉＦｒｅｅＥＴＦ　東証ＲＥＩＴ指数　受益証券</t>
  </si>
  <si>
    <t>iFreeETF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</si>
  <si>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</si>
  <si>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</si>
  <si>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</si>
  <si>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</si>
  <si>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</si>
  <si>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</si>
  <si>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</si>
  <si>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</si>
  <si>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</si>
  <si>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</si>
  <si>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</si>
  <si>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</si>
  <si>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</si>
  <si>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</si>
  <si>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</si>
  <si>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</si>
  <si>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</si>
  <si>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</si>
  <si>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</si>
  <si>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</si>
  <si>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</si>
  <si>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</si>
  <si>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</si>
  <si>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</si>
  <si>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9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</si>
  <si>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</si>
  <si>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</si>
  <si>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</si>
  <si>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</si>
  <si>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</si>
  <si>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</si>
  <si>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</si>
  <si>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</si>
  <si>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</si>
  <si>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</si>
  <si>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</si>
  <si>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</si>
  <si>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</si>
  <si>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</si>
  <si>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</si>
  <si>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26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</si>
  <si>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</si>
  <si>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</si>
  <si>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</si>
  <si>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</si>
  <si>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</si>
  <si>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</si>
  <si>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</si>
  <si>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</si>
  <si>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</si>
  <si>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</si>
  <si>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</si>
  <si>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</si>
  <si>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</si>
  <si>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東証スタンダードＴＯＰ２０ＥＴＦ　受益証券</t>
  </si>
  <si>
    <t>TSE Standard Top 20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</si>
  <si>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</si>
  <si>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</si>
  <si>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</si>
  <si>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</si>
  <si>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Ａ－ＲＥＩＴ）　受益証券</t>
  </si>
  <si>
    <t>Listed Index Fund Australian REIT (S&amp;P/ASX200 A-REIT)</t>
  </si>
  <si>
    <t>1557</t>
  </si>
  <si>
    <t>ＳＰＤＲ　Ｓ＆Ｐ５００　ＥＴＦ　受益証券</t>
  </si>
  <si>
    <t>State Street SPDR S&amp;P 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</si>
  <si>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</si>
  <si>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</si>
  <si>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</si>
  <si>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</si>
  <si>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</si>
  <si>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</si>
  <si>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</si>
  <si>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</si>
  <si>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</si>
  <si>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</si>
  <si>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</si>
  <si>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</si>
  <si>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</si>
  <si>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</si>
  <si>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</si>
  <si>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</si>
  <si>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</si>
  <si>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</si>
  <si>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</si>
  <si>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</si>
  <si>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</si>
  <si>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</si>
  <si>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</si>
  <si>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</si>
  <si>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</si>
  <si>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</si>
  <si>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</si>
  <si>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</si>
  <si>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</si>
  <si>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</si>
  <si>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1577</t>
  </si>
  <si>
    <t>ＮＥＸＴ　ＦＵＮＤＳ　野村日本株高配当７０連動型上場投信　受益証券</t>
  </si>
  <si>
    <t>NEXT FUNDS Nomura Japan Equity High Dividend 70 Exchange Traded Fund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</si>
  <si>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</si>
  <si>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</si>
  <si>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</si>
  <si>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</si>
  <si>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</si>
  <si>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</si>
  <si>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</si>
  <si>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</si>
  <si>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</si>
  <si>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1585</t>
  </si>
  <si>
    <t>ｉＦｒｅｅＥＴＦ　ＴＯＰＩＸ　Ｅｘ－Ｆｉｎａｎｃｉａｌｓ　受益証券</t>
  </si>
  <si>
    <t>iFreeETF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</si>
  <si>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</si>
  <si>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</si>
  <si>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</si>
  <si>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</si>
  <si>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</si>
  <si>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</si>
  <si>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</si>
  <si>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</si>
  <si>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</si>
  <si>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</si>
  <si>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</si>
  <si>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</si>
  <si>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</si>
  <si>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</si>
  <si>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</si>
  <si>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</si>
  <si>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</si>
  <si>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</si>
  <si>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</si>
  <si>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</si>
  <si>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</si>
  <si>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</si>
  <si>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ｉＦｒｅｅＥＴＦ　ＪＰＸ日経４００　受益証券</t>
  </si>
  <si>
    <t>iFreeETF JPX-Nikkei400</t>
  </si>
  <si>
    <t>159A</t>
  </si>
  <si>
    <t>ＮＥＸＴ　ＦＵＮＤＳ　ＪＰＸプライム１５０指数連動型上場投信　受益証券</t>
  </si>
  <si>
    <t>NEXT FUNDS JPX Prime 150 Index Exchange Traded Fund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</si>
  <si>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</si>
  <si>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</si>
  <si>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</si>
  <si>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</si>
  <si>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</si>
  <si>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</si>
  <si>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</si>
  <si>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</si>
  <si>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</si>
  <si>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</si>
  <si>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</si>
  <si>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</si>
  <si>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</si>
  <si>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</si>
  <si>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</si>
  <si>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</si>
  <si>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</si>
  <si>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</si>
  <si>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</si>
  <si>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</si>
  <si>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</si>
  <si>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</si>
  <si>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</si>
  <si>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</si>
  <si>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</si>
  <si>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</si>
  <si>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</si>
  <si>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</si>
  <si>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</si>
  <si>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</si>
  <si>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</si>
  <si>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</si>
  <si>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</si>
  <si>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</si>
  <si>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</si>
  <si>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</si>
  <si>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</si>
  <si>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</si>
  <si>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</si>
  <si>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</si>
  <si>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</si>
  <si>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</si>
  <si>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162A</t>
  </si>
  <si>
    <t>ＡＩセレクトメガトレンド　日本株（ネットリターン）ＥＴＮ　受益証券</t>
  </si>
  <si>
    <t>AI Select Megatrend Japan Equity Net Return ETN</t>
  </si>
  <si>
    <t>信用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</si>
  <si>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</si>
  <si>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</si>
  <si>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</si>
  <si>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</si>
  <si>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</si>
  <si>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</si>
  <si>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</si>
  <si>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</si>
  <si>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</si>
  <si>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</si>
  <si>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</si>
  <si>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</si>
  <si>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163A</t>
  </si>
  <si>
    <t>半導体フォーカス　日本株（ネットリターン）ＥＴＮ　受益証券</t>
  </si>
  <si>
    <t>Semiconductor Focus Japan Equity Net Return ETN</t>
  </si>
  <si>
    <t>1651</t>
  </si>
  <si>
    <t>ｉＦｒｅｅＥＴＦ　ＴＯＰＩＸ高配当４０指数　受益証券</t>
  </si>
  <si>
    <t>iFreeETF TOPIX High Dividend Yield 40 Index</t>
  </si>
  <si>
    <t>1652</t>
  </si>
  <si>
    <t>ｉＦｒｅｅＥＴＦ　ＭＳＣＩ日本株女性活躍指数（ＷＩＮ）　受益証券</t>
  </si>
  <si>
    <t>iFreeETF MSCI Japan Empowering Women Index (WIN)</t>
  </si>
  <si>
    <t>1653</t>
  </si>
  <si>
    <t>ｉＦｒｅｅＥＴＦ　ＭＳＣＩジャパンＥＳＧセレクト・リーダーズ指数　受益証券</t>
  </si>
  <si>
    <t>iFreeETF MSCI Japan ESG Select Leaders Index</t>
  </si>
  <si>
    <t>1654</t>
  </si>
  <si>
    <t>ｉＦｒｅｅＥＴＦ　ＦＴＳＥ　ＪＰＸ　Ｂｌｏｓｓｏｍ　Ｊａｐａｎ　Ｉｎｄｅｘ　受益証券</t>
  </si>
  <si>
    <t>iFreeETF FTSE JPX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</si>
  <si>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</si>
  <si>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</si>
  <si>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</si>
  <si>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</si>
  <si>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</si>
  <si>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</si>
  <si>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</si>
  <si>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</si>
  <si>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</si>
  <si>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</si>
  <si>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</si>
  <si>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</si>
  <si>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</si>
  <si>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</si>
  <si>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</si>
  <si>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</si>
  <si>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</si>
  <si>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</si>
  <si>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</si>
  <si>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</si>
  <si>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</si>
  <si>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</si>
  <si>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</si>
  <si>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</si>
  <si>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</si>
  <si>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</si>
  <si>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</si>
  <si>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</si>
  <si>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</si>
  <si>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</si>
  <si>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</si>
  <si>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</si>
  <si>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</si>
  <si>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</si>
  <si>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</si>
  <si>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</si>
  <si>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</si>
  <si>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</si>
  <si>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</si>
  <si>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</si>
  <si>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　連動型上場投信　受益証券</t>
  </si>
  <si>
    <t>NEXT FUNDS Nifty 50 Linked Exchange Traded Fund</t>
  </si>
  <si>
    <t>1679</t>
  </si>
  <si>
    <t>Ｓｉｍｐｌｅ－Ｘ　ＮＹ　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</si>
  <si>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</si>
  <si>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</si>
  <si>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</si>
  <si>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 (MSCI-KOKUSAI)</t>
  </si>
  <si>
    <t>1681</t>
  </si>
  <si>
    <t>上場インデックスファンド海外新興国株式（ＭＳＣＩ　エマージング）　受益証券</t>
  </si>
  <si>
    <t>Listed Index Fund International Emerging Countries Equity (MSCI EMERGING)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</si>
  <si>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</si>
  <si>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</si>
  <si>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</si>
  <si>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</si>
  <si>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</si>
  <si>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</si>
  <si>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</si>
  <si>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</si>
  <si>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</si>
  <si>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</si>
  <si>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</si>
  <si>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</si>
  <si>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</si>
  <si>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</si>
  <si>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</si>
  <si>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</si>
  <si>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</si>
  <si>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</si>
  <si>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</si>
  <si>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</si>
  <si>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</si>
  <si>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</si>
  <si>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</si>
  <si>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</si>
  <si>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</si>
  <si>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</si>
  <si>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</si>
  <si>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</si>
  <si>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</si>
  <si>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</si>
  <si>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</si>
  <si>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</si>
  <si>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</si>
  <si>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</si>
  <si>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</si>
  <si>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</si>
  <si>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</si>
  <si>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</si>
  <si>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</si>
  <si>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</si>
  <si>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</si>
  <si>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</si>
  <si>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</si>
  <si>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</si>
  <si>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 (TSE Dividend Focus 100)</t>
  </si>
  <si>
    <t>1699</t>
  </si>
  <si>
    <t>ＮＥＸＴ　ＦＵＮＤＳ　ＮＯＭＵＲＡ　原油インデックス連動型上場投信　受益証券</t>
  </si>
  <si>
    <t>NEXT FUNDS NOMURA Crude Oil Long Index Linked Exchange Traded Fund</t>
  </si>
  <si>
    <t>170A</t>
  </si>
  <si>
    <t>ＳＭＴ　ＥＴＦ日本好配当株アクティブ　受益証券</t>
  </si>
  <si>
    <t>SMT ETF Japan Equity Income Strategy Active</t>
  </si>
  <si>
    <t>178A</t>
  </si>
  <si>
    <t>グローバルＸ　革新的優良企業　ＥＴＦ　受益証券</t>
  </si>
  <si>
    <t>Global X Innovative Bluechip Top 10+ ETF</t>
  </si>
  <si>
    <t>179A</t>
  </si>
  <si>
    <t>グローバルＸ　超長期米国債　ＥＴＦ（為替ヘッジあり）　受益証券</t>
  </si>
  <si>
    <t>Global X 25+ Year T-Bond ETF (JPY Hedged)</t>
  </si>
  <si>
    <t>180A</t>
  </si>
  <si>
    <t>グローバルＸ　超長期米国債　ＥＴＦ　受益証券</t>
  </si>
  <si>
    <t>Global X 25+ Year T-Bond ETF</t>
  </si>
  <si>
    <t>181A</t>
  </si>
  <si>
    <t>ＭＡＸＩＳ米国国債１－３年上場投信（為替ヘッジなし）　受益証券</t>
  </si>
  <si>
    <t>MAXIS US Treasury Bond 1-3 Year ETF (Unhedged)</t>
  </si>
  <si>
    <t>182A</t>
  </si>
  <si>
    <t>ＭＡＸＩＳ米国国債２０年超上場投信（為替ヘッジなし）　受益証券</t>
  </si>
  <si>
    <t>MAXIS US Treasury Bond 20+ Year ETF (Unhedged)</t>
  </si>
  <si>
    <t>183A</t>
  </si>
  <si>
    <t>ＭＡＸＩＳ米国国債２０年超上場投信（為替ヘッジあり）　受益証券</t>
  </si>
  <si>
    <t>MAXIS US Treasury Bond 20+ Year ETF (JPY Hedged)</t>
  </si>
  <si>
    <t>188A</t>
  </si>
  <si>
    <t>グローバルＸ　インド・トップ１０＋　ＥＴＦ　受益証券</t>
  </si>
  <si>
    <t>Global X India Top 10+ ETF</t>
  </si>
  <si>
    <t>200A</t>
  </si>
  <si>
    <t>ＮＥＸＴ　ＦＵＮＤＳ　日経半導体株指数連動型上場投信　受益証券</t>
  </si>
  <si>
    <t>NEXT FUNDS Nikkei Semiconductor Stock Index Exchange Traded Fund</t>
  </si>
  <si>
    <t>2011</t>
  </si>
  <si>
    <t>ＳＭＤＡＭ　Ａｃｔｉｖｅ　ＥＴＦ　日本高配当株式　受益証券</t>
  </si>
  <si>
    <t>SMDAM Active ETF Japan High Dividend Equity</t>
  </si>
  <si>
    <t>2012</t>
  </si>
  <si>
    <t>ｉシェアーズ　米国債０－３ヶ月　ＥＴＦ　受益証券</t>
  </si>
  <si>
    <t>iShares 0-3 Month US Treasury Bond ETF</t>
  </si>
  <si>
    <t>2013</t>
  </si>
  <si>
    <t>ｉシェアーズ　米国高配当株　ＥＴＦ　受益証券</t>
  </si>
  <si>
    <t>iShares US High Dividend ETF</t>
  </si>
  <si>
    <t>2014</t>
  </si>
  <si>
    <t>ｉシェアーズ　米国連続増配株　ＥＴＦ　受益証券</t>
  </si>
  <si>
    <t>iShares US Dividend Growth ETF</t>
  </si>
  <si>
    <t>2015</t>
  </si>
  <si>
    <t>ｉＦｒｅｅＥＴＦ　米国国債７－１０年（為替ヘッジなし）　受益証券</t>
  </si>
  <si>
    <t>iFreeETF US Treasury Bond 7-10 Year (NON HEDGED)</t>
  </si>
  <si>
    <t>2016</t>
  </si>
  <si>
    <t>ｉＦｒｅｅＥＴＦ　米国国債７－１０年（為替ヘッジあり）　受益証券</t>
  </si>
  <si>
    <t>iFreeETF US Treasury Bond 7-10 Year (JPY HEDGED)</t>
  </si>
  <si>
    <t>2017</t>
  </si>
  <si>
    <t>ｉＦｒｅｅＥＴＦ　ＪＰＸプライム１５０　受益証券</t>
  </si>
  <si>
    <t>iFreeETF JPX Prime 150</t>
  </si>
  <si>
    <t>2018</t>
  </si>
  <si>
    <t>グローバルＸ　ＵＳ　ＲＥＩＴ・トップ２０　ＥＴＦ　受益証券</t>
  </si>
  <si>
    <t>Global X US REIT Top 20 ETF</t>
  </si>
  <si>
    <t>2019</t>
  </si>
  <si>
    <t>グローバルＸ　米国優先証券　ＥＴＦ（隔月分配型）　受益証券</t>
  </si>
  <si>
    <t>Global X U.S. Preferred Security ETF (Bi-monthly dividend type)</t>
  </si>
  <si>
    <t>201A</t>
  </si>
  <si>
    <t>ｉシェアーズ　Ｎｉｆｔｙ　５０　インド株　ＥＴＦ　受益証券</t>
  </si>
  <si>
    <t>iShares Nifty 50 ETF</t>
  </si>
  <si>
    <t>2031</t>
  </si>
  <si>
    <t>ＮＥＸＴ　ＮＯＴＥＳ　香港ハンセン・ダブル・ブル　ＥＴＮ　受益証券</t>
  </si>
  <si>
    <t>NEXT NOTES HSI Leveraged ETN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</si>
  <si>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</si>
  <si>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</si>
  <si>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</si>
  <si>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</si>
  <si>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</si>
  <si>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</si>
  <si>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</si>
  <si>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</si>
  <si>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</si>
  <si>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</si>
  <si>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</si>
  <si>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</si>
  <si>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</si>
  <si>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</si>
  <si>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</si>
  <si>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</si>
  <si>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</si>
  <si>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</si>
  <si>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</si>
  <si>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</si>
  <si>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</si>
  <si>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</si>
  <si>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</si>
  <si>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</si>
  <si>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</si>
  <si>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</si>
  <si>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</si>
  <si>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</si>
  <si>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東証グロース市場２５０　ＥＴＮ　受益証券</t>
  </si>
  <si>
    <t>NEXT NOTES Tokyo Stock Exchange Growth Market 250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</si>
  <si>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</si>
  <si>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</si>
  <si>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</si>
  <si>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</si>
  <si>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</si>
  <si>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</si>
  <si>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</si>
  <si>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</si>
  <si>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</si>
  <si>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</si>
  <si>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</si>
  <si>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</si>
  <si>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</si>
  <si>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</si>
  <si>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</si>
  <si>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</si>
  <si>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</si>
  <si>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</si>
  <si>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</si>
  <si>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</si>
  <si>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</si>
  <si>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</si>
  <si>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</si>
  <si>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</si>
  <si>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</si>
  <si>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</si>
  <si>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</si>
  <si>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</si>
  <si>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</si>
  <si>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</si>
  <si>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</si>
  <si>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</si>
  <si>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</si>
  <si>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</si>
  <si>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</si>
  <si>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</si>
  <si>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</si>
  <si>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</si>
  <si>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</si>
  <si>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</si>
  <si>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</si>
  <si>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</si>
  <si>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</si>
  <si>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</si>
  <si>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</si>
  <si>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</si>
  <si>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</si>
  <si>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</si>
  <si>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2080</t>
  </si>
  <si>
    <t>ＰＢＲ１倍割れ解消推進ＥＴＦ　受益証券</t>
  </si>
  <si>
    <t>PBR Improvement over 1x ETF</t>
  </si>
  <si>
    <t>2081</t>
  </si>
  <si>
    <t>政策保有解消推進ＥＴＦ　受益証券</t>
  </si>
  <si>
    <t>Strategic Shareholding Disposal Promotion ETF</t>
  </si>
  <si>
    <t>2082</t>
  </si>
  <si>
    <t>投資家経営者一心同体ＥＴＦ　受益証券</t>
  </si>
  <si>
    <t>Investor-Management Unite as One ETF</t>
  </si>
  <si>
    <t>2083</t>
  </si>
  <si>
    <t>ＮＥＸＴ　ＦＵＮＤＳ　日本成長株アクティブ上場投信　受益証券</t>
  </si>
  <si>
    <t>NEXT FUNDS Japan Growth Equity Active Exchange Traded Fund</t>
  </si>
  <si>
    <t>2084</t>
  </si>
  <si>
    <t>ＮＥＸＴ　ＦＵＮＤＳ　日本高配当株アクティブ上場投信　受益証券</t>
  </si>
  <si>
    <t>NEXT FUNDS Japan High Dividend Equity Active Exchange Traded Fund</t>
  </si>
  <si>
    <t>2085</t>
  </si>
  <si>
    <t>ＭＡＸＩＳ高配当日本株アクティブ上場投信　受益証券</t>
  </si>
  <si>
    <t>MAXIS High Dividend Japan Equity Actively Managed ETF</t>
  </si>
  <si>
    <t>2086</t>
  </si>
  <si>
    <t>ＮＺＡＭ　上場投信　Ｓ＆Ｐ５００（為替ヘッジあり）　受益証券</t>
  </si>
  <si>
    <t>NZAM ETF S&amp;P500 (JPY Hedged)</t>
  </si>
  <si>
    <t>2087</t>
  </si>
  <si>
    <t>ＮＺＡＭ　上場投信　ＮＡＳＤＡＱ１００（為替ヘッジあり）　受益証券</t>
  </si>
  <si>
    <t>NZAM ETF NASDAQ100 (JPY Hedged)</t>
  </si>
  <si>
    <t>2088</t>
  </si>
  <si>
    <t>ＮＺＡＭ　上場投信　ＮＹダウ３０（為替ヘッジあり）　受益証券</t>
  </si>
  <si>
    <t>NZAM ETF NY Dow30 (JPY Hedged)</t>
  </si>
  <si>
    <t>2089</t>
  </si>
  <si>
    <t>ＮＺＡＭ　上場投信　ＤＡＸ（為替ヘッジあり）　受益証券</t>
  </si>
  <si>
    <t>NZAM ETF DAX (JPY Hedged)</t>
  </si>
  <si>
    <t>2090</t>
  </si>
  <si>
    <t>ＮＺＡＭ　上場投信　米国国債７－１０年（為替ヘッジあり）　受益証券</t>
  </si>
  <si>
    <t>NZAM ETF US Treasury 7-10Y (JPY Hedged)</t>
  </si>
  <si>
    <t>2091</t>
  </si>
  <si>
    <t>ＮＺＡＭ　上場投信　ドイツ国債７－１０年（為替ヘッジあり）　受益証券</t>
  </si>
  <si>
    <t>NZAM ETF German Government Bond 7-10Y (JPY Hedged)</t>
  </si>
  <si>
    <t>2092</t>
  </si>
  <si>
    <t>ＮＺＡＭ　上場投信　フランス国債７－１０年（為替ヘッジあり）　受益証券</t>
  </si>
  <si>
    <t>NZAM ETF France Government Bond 7-10Y (JPY Hedged)</t>
  </si>
  <si>
    <t>2093</t>
  </si>
  <si>
    <t>上場Ｔｒａｃｅｒｓ　米国債０－２年ラダー（為替ヘッジなし）　受益証券</t>
  </si>
  <si>
    <t>Listed Tracers US Government Bond 0-2years Ladder (No Currency Hedge)</t>
  </si>
  <si>
    <t>2094</t>
  </si>
  <si>
    <t>東証ＲＥＩＴインバースＥＴＦ　受益証券</t>
  </si>
  <si>
    <t>TSE REIT Inverse ETF</t>
  </si>
  <si>
    <t>2095</t>
  </si>
  <si>
    <t>グローバルＸ　Ｓ＆Ｐ５００配当貴族　ＥＴＦ（為替ヘッジあり）　受益証券</t>
  </si>
  <si>
    <t>Global X S&amp;P 500 Dividend Aristocrats ETF (JPY Hedged)</t>
  </si>
  <si>
    <t>2096</t>
  </si>
  <si>
    <t>グローバルＸ　オフィス・Ｊ－ＲＥＩＴ　ＥＴＦ　受益証券</t>
  </si>
  <si>
    <t>Global X Office J-REIT ETF</t>
  </si>
  <si>
    <t>2097</t>
  </si>
  <si>
    <t>グローバルＸ　レジデンシャル・Ｊ－ＲＥＩＴ　ＥＴＦ　受益証券</t>
  </si>
  <si>
    <t>Global X Residential J-REIT ETF</t>
  </si>
  <si>
    <t>2098</t>
  </si>
  <si>
    <t>グローバルＸ　ホテル＆リテール・Ｊ－ＲＥＩＴ　ＥＴＦ　受益証券</t>
  </si>
  <si>
    <t>Global X Hotel &amp; Retail J-REIT ETF</t>
  </si>
  <si>
    <t>210A</t>
  </si>
  <si>
    <t>ｉＦｒｅｅＥＴＦ　日経高利回りＲＥＩＴ指数　受益証券</t>
  </si>
  <si>
    <t>iFreeETF Nikkei High Yield REIT Index</t>
  </si>
  <si>
    <t>213A</t>
  </si>
  <si>
    <t>上場インデックスファンド日経半導体株　受益証券</t>
  </si>
  <si>
    <t>Listed Index Fund Nikkei Semiconductor Stock</t>
  </si>
  <si>
    <t>221A</t>
  </si>
  <si>
    <t>ＭＡＸＩＳ日経半導体株上場投信　受益証券</t>
  </si>
  <si>
    <t>MAXIS Nikkei Semiconductor Stock (Japan) ETF</t>
  </si>
  <si>
    <t>2235</t>
  </si>
  <si>
    <t>上場インデックスファンド米国株式（ダウ平均）為替ヘッジなし　受益証券</t>
  </si>
  <si>
    <t>Listed Index Fund US Equity (Dow Average) No Currency Hedge</t>
  </si>
  <si>
    <t>2236</t>
  </si>
  <si>
    <t>グローバルＸ　Ｓ＆Ｐ５００配当貴族ＥＴＦ　受益証券</t>
  </si>
  <si>
    <t>Global X S&amp;P 500 Dividend Aristocrats ETF</t>
  </si>
  <si>
    <t>2237</t>
  </si>
  <si>
    <t>ｉＦｒｅｅＥＴＦ　Ｓ＆Ｐ５００レバレッジ　受益証券</t>
  </si>
  <si>
    <t>iFreeETF S&amp;P500 Leveraged (2x)</t>
  </si>
  <si>
    <t>2238</t>
  </si>
  <si>
    <t>ｉＦｒｅｅＥＴＦ　Ｓ＆Ｐ５００インバース　受益証券</t>
  </si>
  <si>
    <t>iFreeETF S&amp;P500 Inverse</t>
  </si>
  <si>
    <t>2239</t>
  </si>
  <si>
    <t>上場インデックスファンドＳ＆Ｐ５００先物レバレッジ２倍　受益証券</t>
  </si>
  <si>
    <t>Listed Index Fund S&amp;P500 Futures Leveraged Two Times</t>
  </si>
  <si>
    <t>223A</t>
  </si>
  <si>
    <t>グローバルＸ　ＡＩ＆ビッグデータ　ＥＴＦ　受益証券</t>
  </si>
  <si>
    <t>Global X Artificial Intelligence &amp; Technology ETF</t>
  </si>
  <si>
    <t>2240</t>
  </si>
  <si>
    <t>上場インデックスファンドＳ＆Ｐ５００先物インバース　受益証券</t>
  </si>
  <si>
    <t>Listed Index Fund S&amp;P500 Futures Inverse</t>
  </si>
  <si>
    <t>2241</t>
  </si>
  <si>
    <t>ＭＡＸＩＳ　ＮＹダウ上場投信　受益証券</t>
  </si>
  <si>
    <t>MAXIS NY Dow Industrial Average ETF</t>
  </si>
  <si>
    <t>2242</t>
  </si>
  <si>
    <t>ＭＡＸＩＳ　ＮＹダウ上場投信（為替ヘッジあり）　受益証券</t>
  </si>
  <si>
    <t>MAXIS NY Dow Industrial Average ETF (JPY Hedged)</t>
  </si>
  <si>
    <t>2243</t>
  </si>
  <si>
    <t>グローバルＸ　半導体　ＥＴＦ　受益証券</t>
  </si>
  <si>
    <t>Global X Semiconductor ETF</t>
  </si>
  <si>
    <t>2244</t>
  </si>
  <si>
    <t>グローバルＸ　ＵＳ　テック・トップ２０　ＥＴＦ　受益証券</t>
  </si>
  <si>
    <t>Global X US Tech Top 20 ETF</t>
  </si>
  <si>
    <t>2245</t>
  </si>
  <si>
    <t>ＮＥＸＴ　ＦＵＮＤＳ　ブルームバーグ・ドイツ国債（７－１０年）インデックス（為替ヘッジあり）連動型上場投信　受益証券</t>
  </si>
  <si>
    <t>NEXT FUNDS Bloomberg Germany Treasury Bond (7-10 year) Index (Yen-Hedged) Exchange Traded Fund</t>
  </si>
  <si>
    <t>2246</t>
  </si>
  <si>
    <t>ＮＥＸＴ　ＦＵＮＤＳ　ブルームバーグ・フランス国債（７－１０年）インデックス（為替ヘッジあり）連動型上場投信　受益証券</t>
  </si>
  <si>
    <t>NEXT FUNDS Bloomberg France Treasury Bond (7-10 year) Index (Yen-Hedged) Exchange Traded Fund</t>
  </si>
  <si>
    <t>2247</t>
  </si>
  <si>
    <t>ｉＦｒｅｅＥＴＦ　Ｓ＆Ｐ５００（為替ヘッジなし）　受益証券</t>
  </si>
  <si>
    <t>iFreeETF S&amp;P500 (NON HEDGED)</t>
  </si>
  <si>
    <t>2248</t>
  </si>
  <si>
    <t>ｉＦｒｅｅＥＴＦ　Ｓ＆Ｐ５００（為替ヘッジあり）　受益証券</t>
  </si>
  <si>
    <t>iFreeETF S&amp;P500 (JPY HEDGED)</t>
  </si>
  <si>
    <t>2249</t>
  </si>
  <si>
    <t>ｉＦｒｅｅＥＴＦ　Ｓ＆Ｐ５００ダブルインバース　受益証券</t>
  </si>
  <si>
    <t>iFreeETF S&amp;P500 Double Inverse (-2x)</t>
  </si>
  <si>
    <t>224A</t>
  </si>
  <si>
    <t>グローバルＸ　ウラニウムビジネス　ＥＴＦ　受益証券</t>
  </si>
  <si>
    <t>Global X Uranium ETF</t>
  </si>
  <si>
    <t>2250</t>
  </si>
  <si>
    <t>ｉシェアーズ　ＭＳＣＩ　ジャパン気候変動アクション　ＥＴＦ　受益証券</t>
  </si>
  <si>
    <t>iShares MSCI Japan Climate Action ETF</t>
  </si>
  <si>
    <t>2251</t>
  </si>
  <si>
    <t>ＮＥＸＴ　ＦＵＮＤＳ　ＪＰＸ国債先物ダブルインバース指数連動型上場投信　受益証券</t>
  </si>
  <si>
    <t>NEXT FUNDS JPX JGB Futures Double Inverse Index Exchange Traded Fund</t>
  </si>
  <si>
    <t>2252</t>
  </si>
  <si>
    <t>グローバルＸ　Ｍｏｒｎｉｎｇｓｔａｒ　米国中小型　Ｍｏａｔ　ＥＴＦ　受益証券</t>
  </si>
  <si>
    <t>Global X Morningstar US Small Mid Moat ETF</t>
  </si>
  <si>
    <t>2253</t>
  </si>
  <si>
    <t>グローバルＸ　スーパーディビィデンド－ＵＳ　ＥＴＦ　受益証券</t>
  </si>
  <si>
    <t>Global X SuperDividend U.S. ETF</t>
  </si>
  <si>
    <t>2254</t>
  </si>
  <si>
    <t>グローバルＸ　チャイナＥＶ＆バッテリー　ＥＴＦ　受益証券</t>
  </si>
  <si>
    <t>Global X China Electric Vehicle and Battery ETF</t>
  </si>
  <si>
    <t>2255</t>
  </si>
  <si>
    <t>ｉシェアーズ　米国債２０年超　ＥＴＦ　受益証券</t>
  </si>
  <si>
    <t>iShares 20+ Year US Treasury Bond ETF</t>
  </si>
  <si>
    <t>2256</t>
  </si>
  <si>
    <t>ｉシェアーズ　米国総合債券　ＥＴＦ　受益証券</t>
  </si>
  <si>
    <t>iShares US Aggregate Bond ETF</t>
  </si>
  <si>
    <t>2257</t>
  </si>
  <si>
    <t>ｉシェアーズ　米ドル建て投資適格社債　ＥＴＦ　受益証券</t>
  </si>
  <si>
    <t>iShares USD Investment Grade Corporate Bond ETF</t>
  </si>
  <si>
    <t>2258</t>
  </si>
  <si>
    <t>ｉシェアーズ　米ドル建てハイイールド社債　ＥＴＦ　受益証券</t>
  </si>
  <si>
    <t>iShares USD High Yield Corporate Bond ETF</t>
  </si>
  <si>
    <t>2259</t>
  </si>
  <si>
    <t>ｉシェアーズ　フランス国債７－１０年　ＥＴＦ（為替ヘッジあり）　受益証券</t>
  </si>
  <si>
    <t>iShares 7-10 Year France Government Bond JPY Hedged ETF</t>
  </si>
  <si>
    <t>233A</t>
  </si>
  <si>
    <t>ｉＦｒｅｅＥＴＦ　インドＮｉｆｔｙ５０　受益証券</t>
  </si>
  <si>
    <t>iFreeETF Nifty50</t>
  </si>
  <si>
    <t>234A</t>
  </si>
  <si>
    <t>グローバルＸ　ＭＳＣＩ　キャッシュフローキング－日本株式　ＥＴＦ　受益証券</t>
  </si>
  <si>
    <t>Global X MSCI Japan Cash Flow Kings ETF</t>
  </si>
  <si>
    <t>235A</t>
  </si>
  <si>
    <t>グローバルＸ　高配当３０－日本株式　ＥＴＦ　受益証券</t>
  </si>
  <si>
    <t>Global X Japan High Dividend 30 ETF</t>
  </si>
  <si>
    <t>236A</t>
  </si>
  <si>
    <t>ｉシェアーズ　日本国債７－１０年　ＥＴＦ　受益証券</t>
  </si>
  <si>
    <t>iShares 7-10 Year Japan Government Bond ETF</t>
  </si>
  <si>
    <t>237A</t>
  </si>
  <si>
    <t>ｉシェアーズ　米国債２５年超　ロングデュレーション　ＥＴＦ　受益証券</t>
  </si>
  <si>
    <t>iShares 25+ Year US Treasury Bond Long Duration ETF</t>
  </si>
  <si>
    <t>238A</t>
  </si>
  <si>
    <t>ｉシェアーズ　米国債２５年超　ロングデュレーション　ＥＴＦ（為替ヘッジあり）　受益証券</t>
  </si>
  <si>
    <t>iShares 25+ Year US Treasury Bond Long Duration JPY Hedged ETF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</si>
  <si>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</si>
  <si>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</si>
  <si>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</si>
  <si>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</si>
  <si>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</si>
  <si>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</si>
  <si>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</si>
  <si>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</si>
  <si>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</si>
  <si>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</si>
  <si>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</si>
  <si>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</si>
  <si>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</si>
  <si>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</si>
  <si>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</si>
  <si>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</si>
  <si>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</si>
  <si>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</si>
  <si>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</si>
  <si>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東証グロース２５０ＥＴＦ　受益証券</t>
  </si>
  <si>
    <t>TSE Growth 250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</si>
  <si>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</si>
  <si>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</si>
  <si>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</si>
  <si>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</si>
  <si>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</si>
  <si>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</si>
  <si>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</si>
  <si>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</si>
  <si>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</si>
  <si>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</si>
  <si>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</si>
  <si>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</si>
  <si>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</si>
  <si>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</si>
  <si>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</si>
  <si>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</si>
  <si>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</si>
  <si>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</si>
  <si>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</si>
  <si>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</si>
  <si>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</si>
  <si>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</si>
  <si>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</si>
  <si>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</si>
  <si>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</si>
  <si>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</si>
  <si>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</si>
  <si>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</si>
  <si>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</si>
  <si>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</si>
  <si>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</si>
  <si>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</si>
  <si>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</si>
  <si>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</si>
  <si>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ｉＦｒｅｅＥＴＦ　東証ＲＥＩＴ　Ｃｏｒｅ指数　受益証券</t>
  </si>
  <si>
    <t>iFreeETF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</si>
  <si>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</si>
  <si>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</si>
  <si>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</si>
  <si>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</si>
  <si>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</si>
  <si>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</si>
  <si>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</si>
  <si>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</si>
  <si>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</si>
  <si>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</si>
  <si>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</si>
  <si>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</si>
  <si>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</si>
  <si>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</si>
  <si>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</si>
  <si>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</si>
  <si>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</si>
  <si>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</si>
  <si>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</si>
  <si>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</si>
  <si>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</si>
  <si>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</si>
  <si>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</si>
  <si>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</si>
  <si>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</si>
  <si>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</si>
  <si>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</si>
  <si>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</si>
  <si>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</si>
  <si>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</si>
  <si>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</si>
  <si>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</si>
  <si>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</si>
  <si>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</si>
  <si>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</si>
  <si>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</si>
  <si>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</si>
  <si>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</si>
  <si>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</si>
  <si>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</si>
  <si>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</si>
  <si>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</si>
  <si>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</si>
  <si>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</si>
  <si>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</si>
  <si>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</si>
  <si>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</si>
  <si>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</si>
  <si>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</si>
  <si>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</si>
  <si>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</si>
  <si>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</si>
  <si>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</si>
  <si>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</si>
  <si>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</si>
  <si>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</si>
  <si>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</si>
  <si>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</si>
  <si>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</si>
  <si>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</si>
  <si>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257A</t>
  </si>
  <si>
    <t>ＳＭＴ　ＥＴＦ日本株厳選投資アクティブ　受益証券</t>
  </si>
  <si>
    <t>SMT ETF Selected Japan Equity Active</t>
  </si>
  <si>
    <t>258A</t>
  </si>
  <si>
    <t>ＳＭＴ　ＥＴＦ国内リート厳選投資アクティブ　受益証券</t>
  </si>
  <si>
    <t>SMT ETF Selected J-REIT Active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</si>
  <si>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</si>
  <si>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</si>
  <si>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</si>
  <si>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</si>
  <si>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</si>
  <si>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</si>
  <si>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</si>
  <si>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</si>
  <si>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</si>
  <si>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</si>
  <si>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</si>
  <si>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</si>
  <si>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</si>
  <si>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</si>
  <si>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 Nikkei225 (Quarterly Dividend Type)</t>
  </si>
  <si>
    <t>2625</t>
  </si>
  <si>
    <t>ｉＦｒｅｅＥＴＦ　ＴＯＰＩＸ（年４回決算型）　受益証券</t>
  </si>
  <si>
    <t>iFreeETF TOPIX 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</si>
  <si>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</si>
  <si>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</si>
  <si>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</si>
  <si>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</si>
  <si>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</si>
  <si>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</si>
  <si>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</si>
  <si>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</si>
  <si>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</si>
  <si>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</si>
  <si>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</si>
  <si>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</si>
  <si>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</si>
  <si>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</si>
  <si>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</si>
  <si>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</si>
  <si>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</si>
  <si>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</si>
  <si>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</si>
  <si>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</si>
  <si>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</si>
  <si>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</si>
  <si>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</si>
  <si>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</si>
  <si>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</si>
  <si>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</si>
  <si>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</si>
  <si>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</si>
  <si>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</si>
  <si>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</si>
  <si>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</si>
  <si>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クリーンテック－日本株式　ＥＴＦ　受益証券</t>
  </si>
  <si>
    <t>Global X CleanTech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</si>
  <si>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</si>
  <si>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</si>
  <si>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</si>
  <si>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</si>
  <si>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</si>
  <si>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</si>
  <si>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</si>
  <si>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</si>
  <si>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</si>
  <si>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</si>
  <si>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グローバルリーダーズ－日本株式　ＥＴＦ　受益証券</t>
  </si>
  <si>
    <t>Global X Japan Global Leaders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</si>
  <si>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</si>
  <si>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</si>
  <si>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</si>
  <si>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</si>
  <si>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ＭＳＣＩジャパンカントリー指数（セレクト）連動型上場投信　受益証券</t>
  </si>
  <si>
    <t>NEXT FUNDS MSCI Japan Country Selection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</si>
  <si>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</si>
  <si>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</si>
  <si>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</si>
  <si>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</si>
  <si>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</si>
  <si>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</si>
  <si>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</si>
  <si>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</si>
  <si>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</si>
  <si>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</si>
  <si>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</si>
  <si>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</si>
  <si>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</si>
  <si>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</si>
  <si>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</si>
  <si>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</si>
  <si>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</si>
  <si>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</si>
  <si>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273A</t>
  </si>
  <si>
    <t>ＳＢＩ　サウジアラビア株式上場投信　受益証券</t>
  </si>
  <si>
    <t>SBI Saudi Arabia Equity Exchange Traded Fund</t>
  </si>
  <si>
    <t>282A</t>
  </si>
  <si>
    <t>グローバルＸ　半導体・トップ１０－日本株式　ＥＴＦ　受益証券</t>
  </si>
  <si>
    <t>Global X Japan Semiconductor Top 10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</si>
  <si>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</si>
  <si>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</si>
  <si>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</si>
  <si>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</si>
  <si>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中小型リーダーズ－日本株式　ＥＴＦ　受益証券</t>
  </si>
  <si>
    <t>Global X Japan Mid &amp; Small Cap Leaders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</si>
  <si>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</si>
  <si>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</si>
  <si>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</si>
  <si>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</si>
  <si>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</si>
  <si>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</si>
  <si>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283A</t>
  </si>
  <si>
    <t>グローバルＸ　ＵＳ　テック・配当貴族　ＥＴＦ　受益証券</t>
  </si>
  <si>
    <t>Global X US Tech Dividend Aristocrats ETF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</si>
  <si>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</si>
  <si>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</si>
  <si>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</si>
  <si>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</si>
  <si>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</si>
  <si>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</si>
  <si>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</si>
  <si>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</si>
  <si>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</si>
  <si>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</si>
  <si>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</si>
  <si>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</si>
  <si>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</si>
  <si>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</si>
  <si>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</si>
  <si>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</si>
  <si>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</si>
  <si>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</si>
  <si>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</si>
  <si>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</si>
  <si>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</si>
  <si>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</si>
  <si>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</si>
  <si>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</si>
  <si>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</si>
  <si>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</si>
  <si>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</si>
  <si>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</si>
  <si>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</si>
  <si>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</si>
  <si>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</si>
  <si>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</si>
  <si>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</si>
  <si>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</si>
  <si>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</si>
  <si>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</si>
  <si>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</si>
  <si>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</si>
  <si>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</si>
  <si>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</si>
  <si>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</si>
  <si>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</si>
  <si>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</si>
  <si>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</si>
  <si>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</si>
  <si>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</si>
  <si>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</si>
  <si>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</si>
  <si>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</si>
  <si>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</si>
  <si>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</si>
  <si>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</si>
  <si>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</si>
  <si>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</si>
  <si>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</si>
  <si>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</si>
  <si>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</si>
  <si>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</si>
  <si>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</si>
  <si>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</si>
  <si>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</si>
  <si>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</si>
  <si>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</si>
  <si>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</si>
  <si>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</si>
  <si>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</si>
  <si>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</si>
  <si>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</si>
  <si>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</si>
  <si>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</si>
  <si>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</si>
  <si>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</si>
  <si>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</si>
  <si>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</si>
  <si>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</si>
  <si>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2867</t>
  </si>
  <si>
    <t>グローバルＸ　自動運転＆ＥＶ　ＥＴＦ　受益証券</t>
  </si>
  <si>
    <t>Global X Autonomous &amp; EV ETF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</si>
  <si>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</si>
  <si>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</si>
  <si>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</si>
  <si>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</si>
  <si>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</si>
  <si>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 (2x)</t>
  </si>
  <si>
    <t>2870</t>
  </si>
  <si>
    <t>ｉＦｒｅｅＥＴＦ　ＮＡＳＤＡＱ１００ダブルインバース　受益証券</t>
  </si>
  <si>
    <t>iFreeETF NASDAQ100 Double Inverse (-2x)</t>
  </si>
  <si>
    <t>294A</t>
  </si>
  <si>
    <t>ＮＥＸＴ　ＦＵＮＤＳ　ＭＳＣＩジャパン気候変動指数（セレクト）連動型上場投信　受益証券</t>
  </si>
  <si>
    <t>NEXT FUNDS MSCI Global Climate 500 Japan Selection Index Exchange Traded Fund</t>
  </si>
  <si>
    <t>295A</t>
  </si>
  <si>
    <t>Ｏｎｅ　ＥＴＦ　ＦＴＳＥ・サウジアラビア・インデックス　受益証券</t>
  </si>
  <si>
    <t>One ETF FTSE Saudi Arabia Index</t>
  </si>
  <si>
    <t>313A</t>
  </si>
  <si>
    <t>ｉシェアーズ　Ｓ＆Ｐ　５００　トップ　２０　ＥＴＦ　受益証券</t>
  </si>
  <si>
    <t>iShares S&amp;P 500 Top 20 ETF</t>
  </si>
  <si>
    <t>314A</t>
  </si>
  <si>
    <t>ｉシェアーズ　ゴールド　ＥＴＦ　受益証券</t>
  </si>
  <si>
    <t>iShares Gold ETF</t>
  </si>
  <si>
    <t>315A</t>
  </si>
  <si>
    <t>グローバルＸ　銀行　高配当－日本株式　ＥＴＦ　受益証券</t>
  </si>
  <si>
    <t>Global X Japan Bank High Dividend ETF</t>
  </si>
  <si>
    <t>316A</t>
  </si>
  <si>
    <t>ｉＦｒｅｅＥＴＦ　ＦＡＮＧ＋　受益証券</t>
  </si>
  <si>
    <t>iFreeETF FANG+</t>
  </si>
  <si>
    <t>318A</t>
  </si>
  <si>
    <t>ＶＩＸ短期先物指数ＥＴＦ　受益証券</t>
  </si>
  <si>
    <t>SIMPLEX VIX Short-Term Futures ETF</t>
  </si>
  <si>
    <t>328A</t>
  </si>
  <si>
    <t>グローバルＸ　プライシングパワー・リーダーズ－日本株式　ＥＴＦ　受益証券</t>
  </si>
  <si>
    <t>Global X Japan Pricing Power Leaders ETF</t>
  </si>
  <si>
    <t>345A</t>
  </si>
  <si>
    <t>高配当成長　日本株（ネットリターン）ＥＴＮ　受益証券</t>
  </si>
  <si>
    <t>High Dividend Growth Japan Equity Net Return ETN</t>
  </si>
  <si>
    <t>346A</t>
  </si>
  <si>
    <t>ＮＥＸＴ　ＦＵＮＤＳ　Ｓ＆Ｐ　５００　半導体・半導体製造装置３５％キャップ指数連動型上場投信　受益証券</t>
  </si>
  <si>
    <t>NEXT FUNDS S&amp;P 500 Semiconductors &amp; Semiconductor Equipment (Industry Group) 35% Capped Index Exchange Traded Fund</t>
  </si>
  <si>
    <t>348A</t>
  </si>
  <si>
    <t>ＭＡＸＩＳ読売３３３日本株上場投信　受益証券</t>
  </si>
  <si>
    <t>MAXIS Yomiuri333 Japan Stock ETF</t>
  </si>
  <si>
    <t>349A</t>
  </si>
  <si>
    <t>ＳＭＤＡＭ　Ａｃｔｉｖｅ　ＥＴＦ　日本グロース株式　受益証券</t>
  </si>
  <si>
    <t>SMDAM Active ETF Japan Growth Equity</t>
  </si>
  <si>
    <t>354A</t>
  </si>
  <si>
    <t>ｉＦｒｅｅＥＴＦ　ブルームバーグ日本株高配当５０指数　受益証券</t>
  </si>
  <si>
    <t>iFreeETF Bloomberg Japan High Dividend 50 Index</t>
  </si>
  <si>
    <t>356A</t>
  </si>
  <si>
    <t>グローバルＸ　Ｓ＆Ｐ５００　キャッシュフロー・トップ１００　ＥＴＦ　受益証券</t>
  </si>
  <si>
    <t>Global X S&amp;P 500 Cash Flow Top 100 ETF</t>
  </si>
  <si>
    <t>360A</t>
  </si>
  <si>
    <t>東証ＲＥＩＴ　Ｃｏｒｅ　ＥＴＦ　受益証券</t>
  </si>
  <si>
    <t>TSE REIT Core ETF</t>
  </si>
  <si>
    <t>363A</t>
  </si>
  <si>
    <t>ｉＦｒｅｅＥＴＦ　英国ＦＴＳＥ１００　受益証券</t>
  </si>
  <si>
    <t>iFreeETF FTSE100</t>
  </si>
  <si>
    <t>364A</t>
  </si>
  <si>
    <t>ＮＥＸＴ　ＦＵＮＤＳ　Ｓ＆Ｐ　５００　配当貴族指数連動型上場投信　受益証券</t>
  </si>
  <si>
    <t>NEXT FUNDS S&amp;P 500 Dividend Aristocrats Index Exchange Traded Fund</t>
  </si>
  <si>
    <t>376A</t>
  </si>
  <si>
    <t>ＮＥＸＴ　ＦＵＮＤＳ　ブルームバーグ米国国債（７－１０年）インデックス（７５％為替ヘッジあり）連動型上場投信　受益証券</t>
  </si>
  <si>
    <t>NEXT FUNDS Bloomberg US Treasury Bond (7-10 year) Index (75% Yen-Hedged) Exchange Traded Fund</t>
  </si>
  <si>
    <t>379A</t>
  </si>
  <si>
    <t>グローバルＸ　Ｓ＆Ｐ５００　ＥＴＦ（ダイナミック・プロテクション）　受益証券</t>
  </si>
  <si>
    <t>Global X S&amp;P 500 ETF (Dynamic Protection)</t>
  </si>
  <si>
    <t>380A</t>
  </si>
  <si>
    <t>グローバルＸ　チャイナテック　ＥＴＦ　受益証券</t>
  </si>
  <si>
    <t>Global X China Tech ETF</t>
  </si>
  <si>
    <t>381A</t>
  </si>
  <si>
    <t>ｉＦｒｅｅＥＴＦ　米国国債３－５年（為替ヘッジなし）　受益証券</t>
  </si>
  <si>
    <t>iFreeETF US Treasury Bond 3-5 Year (NON HEDGED)</t>
  </si>
  <si>
    <t>382A</t>
  </si>
  <si>
    <t>ｉＦｒｅｅＥＴＦ　米国国債３－５年（為替ヘッジあり）　受益証券</t>
  </si>
  <si>
    <t>iFreeETF US Treasury Bond 3-5 Year (JPY HEDGED)</t>
  </si>
  <si>
    <t>383A</t>
  </si>
  <si>
    <t>ＭＡＸＩＳ　Ｓ＆Ｐ５００均等ウェイト上場投信　受益証券</t>
  </si>
  <si>
    <t>MAXIS S&amp;P500 Equal Weight ETF</t>
  </si>
  <si>
    <t>392A</t>
  </si>
  <si>
    <t>ｉシェアーズ　ＮＡＳＤＡＱ　トップ　３０　ＥＴＦ　受益証券</t>
  </si>
  <si>
    <t>iShares Nasdaq Top 30 ETF</t>
  </si>
  <si>
    <t>394A</t>
  </si>
  <si>
    <t>業界改革厳選ＥＴＦテレビ業界　受益証券</t>
  </si>
  <si>
    <t>Sector Restructuring Select ETF TV</t>
  </si>
  <si>
    <t>395A</t>
  </si>
  <si>
    <t>業界改革厳選ＥＴＦ地銀　受益証券</t>
  </si>
  <si>
    <t>Sector Restructuring Select ETF Regional Banks</t>
  </si>
  <si>
    <t>396A</t>
  </si>
  <si>
    <t>業界改革厳選ＥＴＦ　ＲＥＩＴイベント・ドリブン　受益証券</t>
  </si>
  <si>
    <t>Sector Restructuring Select ETF Event-Driven REITs</t>
  </si>
  <si>
    <t>399A</t>
  </si>
  <si>
    <t>上場インデックスファンド日経平均高配当株５０　受益証券</t>
  </si>
  <si>
    <t>Listed Index Fund Nikkei 225 High Dividend Yield Stock 50</t>
  </si>
  <si>
    <t>404A</t>
  </si>
  <si>
    <t>グローバルＸ　チャイナテック・トップ１０　ＥＴＦ　受益証券</t>
  </si>
  <si>
    <t>Global X China Tech Top 10 ETF</t>
  </si>
  <si>
    <t>408A</t>
  </si>
  <si>
    <t>ｉシェアーズ　ＡＩ　グローバル・イノベーション　アクティブ　ＥＴＦ　受益証券</t>
  </si>
  <si>
    <t>iShares A.I. Global Innovation Active ETF</t>
  </si>
  <si>
    <t>412A</t>
  </si>
  <si>
    <t>ＮＥＸＴ　ＦＵＮＤＳ　ＴＩＰ　ＦａｃｔＳｅｔ　台湾イノベイティブ・テクノロジー５０指数連動型上場投信　受益証券</t>
  </si>
  <si>
    <t>NEXT FUNDS TIP FactSet Taiwan Innovative Technology 50 Index Exchange Traded Fund</t>
  </si>
  <si>
    <t>413A</t>
  </si>
  <si>
    <t>ｉＦｒｅｅＥＴＦ　キャセイ台湾テックリーダー指数　受益証券</t>
  </si>
  <si>
    <t>iFreeETF Cathay Taiwan Tech Leader Index</t>
  </si>
  <si>
    <t>424A</t>
  </si>
  <si>
    <t>グローバルＸ　ゴールド　ＥＴＦ（為替ヘッジあり）　受益証券</t>
  </si>
  <si>
    <t>Global X Gold ETF (JPY Hedged)</t>
  </si>
  <si>
    <t>425A</t>
  </si>
  <si>
    <t>グローバルＸ　ゴールド　ＥＴＦ　受益証券</t>
  </si>
  <si>
    <t>Global X Gold ETF</t>
  </si>
  <si>
    <t>426A</t>
  </si>
  <si>
    <t>ニッセイＥＴＦ　Ｓ＆Ｐ５００イコール・ウェイト（為替ヘッジなし）　受益証券</t>
  </si>
  <si>
    <t>Nissay ETF S&amp;P500 Equal Weight (Currency Unhedged)</t>
  </si>
  <si>
    <t>435A</t>
  </si>
  <si>
    <t>ｉＦｒｅｅＥＴＦ　日本株配当ローテーション戦略　受益証券</t>
  </si>
  <si>
    <t>iFreeETF Japan Equity Dividend Rotation Strategy</t>
  </si>
  <si>
    <t>443A</t>
  </si>
  <si>
    <t>ｉＦｒｅｅＥＴＦ　東証ＲＥＩＴ指数（２・５・８・１１月決算型）　受益証券</t>
  </si>
  <si>
    <t>iFreeETF Tokyo Stock Exchange REIT Index (Feb/May/Aug/Nov Dividend Type)</t>
  </si>
  <si>
    <t>447A</t>
  </si>
  <si>
    <t>ステート・ストリート・スパイダー　ゴールド　ＥＴＦ（為替ヘッジなし）　受益証券</t>
  </si>
  <si>
    <t>State Street SPDR Gold ETF (JPY Unhedged)</t>
  </si>
  <si>
    <t>448A</t>
  </si>
  <si>
    <t>ステート・ストリート・スパイダー　ゴールド　ＥＴＦ（為替ヘッジあり）　受益証券</t>
  </si>
  <si>
    <t>State Street SPDR Gold ETF (JPY Hedged)</t>
  </si>
  <si>
    <t>449A</t>
  </si>
  <si>
    <t>ステート・ストリート・スパイダー　Ｓ＆Ｐ５００　ＥＴＦ（為替ヘッジなし）　受益証券</t>
  </si>
  <si>
    <t>State Street SPDR S&amp;P 500 ETF (JPY Unhedged)</t>
  </si>
  <si>
    <t>450A</t>
  </si>
  <si>
    <t>ステート・ストリート・スパイダー　Ｓ＆Ｐ５００　ＥＴＦ（為替ヘッジあり）　受益証券</t>
  </si>
  <si>
    <t>State Street SPDR S&amp;P 500 ETF (JPY Hedged)</t>
  </si>
  <si>
    <t>451A</t>
  </si>
  <si>
    <t>ステート・ストリート・スパイダー　Ｓ＆Ｐ５００高配当株　ＥＴＦ　受益証券</t>
  </si>
  <si>
    <t>State Street SPDR S&amp;P 500 High Dividend ETF (JPY Unhedged)</t>
  </si>
  <si>
    <t>452A</t>
  </si>
  <si>
    <t>ｉシェアーズ　Ｓ＆Ｐ　５００　プレミアムインカム　ＥＴＦ　受益証券</t>
  </si>
  <si>
    <t>iShares S&amp;P 500 Premium Income ETF</t>
  </si>
  <si>
    <t>453A</t>
  </si>
  <si>
    <t>ｉシェアーズ　米国債２０年超　プレミアムインカム　ＥＴＦ　受益証券</t>
  </si>
  <si>
    <t>iShares 20+ Year US Treasury Bond Premium Income ETF</t>
  </si>
  <si>
    <t>459A</t>
  </si>
  <si>
    <t>野村高利回りＪリート指数ＥＴＦ　受益証券</t>
  </si>
  <si>
    <t>Nomura High-yield J-REIT Index ETF</t>
  </si>
  <si>
    <t>461A</t>
  </si>
  <si>
    <t>ＭＡＸＩＳ日本株高配当ＳＭＡＲＴ５０上場投信　受益証券</t>
  </si>
  <si>
    <t>MAXIS Japan Equity High Dividend SMART 50 ETF</t>
  </si>
  <si>
    <t>465A</t>
  </si>
  <si>
    <t>グローバルＸ　日経平均株主還元４０－日本株式　ＥＴＦ　受益証券</t>
  </si>
  <si>
    <t>Global X Japan Nikkei 225 Shareholder Return 40 ETF</t>
  </si>
  <si>
    <t>466A</t>
  </si>
  <si>
    <t>グローバルＸ　防衛テック　ＥＴＦ　受益証券</t>
  </si>
  <si>
    <t>Global X Defense Tech ETF</t>
  </si>
  <si>
    <t>467A</t>
  </si>
  <si>
    <t>グローバルＸ　米ドル建て投資適格社債　ＥＴＦ（為替ヘッジあり）　受益証券</t>
  </si>
  <si>
    <t>Global X USD Investment Grade Corporate Bond ETF (JPY Hedged)</t>
  </si>
  <si>
    <t>468A</t>
  </si>
  <si>
    <t>グローバルＸ　米ドル建て投資適格社債　ＥＴＦ　受益証券</t>
  </si>
  <si>
    <t>Global X USD Investment Grade Corporate Bond ETF</t>
  </si>
  <si>
    <t>473A</t>
  </si>
  <si>
    <t>ニッセイＥＴＦ　日経２２５インデックス　受益証券</t>
  </si>
  <si>
    <t>Nissay ETF Nikkei 225 Index</t>
  </si>
  <si>
    <t>486A</t>
  </si>
  <si>
    <t>ＮＥＸＴ　ＦＵＮＤＳ　ユーロ・ストックス５０指数（為替ヘッジなし）連動型上場投信　受益証券</t>
  </si>
  <si>
    <t>NEXT FUNDS EURO STOXX 50 (Unhedged) Exchange Traded Fund</t>
  </si>
  <si>
    <t>487A</t>
  </si>
  <si>
    <t>ＮＥＸＴ　ＦＵＮＤＳ　ドイツ株式・ＤＡＸ（為替ヘッジなし）連動型上場投信　受益証券</t>
  </si>
  <si>
    <t>NEXT FUNDS German Equity DAX (Unhedged) Exchange Traded Fund</t>
  </si>
  <si>
    <t>488A</t>
  </si>
  <si>
    <t>ｉシェアーズ　円高フォーカス　ＥＴＦ　受益証券</t>
  </si>
  <si>
    <t>iShares Yen Appreciation Focus ETF</t>
  </si>
  <si>
    <t>489A</t>
  </si>
  <si>
    <t>東証ＲＥＩＴ物流フォーカスＥＴＦ　受益証券</t>
  </si>
  <si>
    <t>TSE REIT Logistics Focus ETF</t>
  </si>
  <si>
    <t>491A</t>
  </si>
  <si>
    <t>ｉシェアーズ　Ｓ＆Ｐ　５００　除く金融　ＥＴＦ（為替ヘッジあり）　受益証券</t>
  </si>
  <si>
    <t>iShares S&amp;P 500 Ex-Financials JPY Hedged ETF</t>
  </si>
  <si>
    <t xml:space="preserve">新規上場  </t>
  </si>
  <si>
    <t xml:space="preserve">New Listing  </t>
  </si>
  <si>
    <t xml:space="preserve">2026/01/28  </t>
  </si>
  <si>
    <t>492A</t>
  </si>
  <si>
    <t>Ｏｎｅ　ＥＴＦ　日本国債　高クーポン（平均残存１０年未満）　受益証券</t>
  </si>
  <si>
    <t>One ETF Japanese Government Bond High Coupon (Average Duration Below Ten Years)</t>
  </si>
  <si>
    <t xml:space="preserve">2026/01/20  </t>
  </si>
  <si>
    <t>493A</t>
  </si>
  <si>
    <t>Ｏｎｅ　ＥＴＦ　日本国債　１－３年　受益証券</t>
  </si>
  <si>
    <t>One ETF Japanese Government Bond 1-3 years</t>
  </si>
  <si>
    <t>494A</t>
  </si>
  <si>
    <t>Ｏｎｅ　ＥＴＦ　日本国債　３－７年　受益証券</t>
  </si>
  <si>
    <t>One ETF Japanese Government Bond 3-7 years</t>
  </si>
  <si>
    <t>495A</t>
  </si>
  <si>
    <t>Ｏｎｅ　ＥＴＦ　日本国債　７－１０年　受益証券</t>
  </si>
  <si>
    <t>One ETF Japanese Government Bond 7-10 years</t>
  </si>
  <si>
    <t>496A</t>
  </si>
  <si>
    <t>Ｏｎｅ　ＥＴＦ　日本国債　１７－２０年　受益証券</t>
  </si>
  <si>
    <t>One ETF Japanese Government Bond 17-20 years</t>
  </si>
  <si>
    <t>497A</t>
  </si>
  <si>
    <t>インバウンド消費関連　日本株（ネットリターン）ＥＴＮ　受益証券</t>
  </si>
  <si>
    <t>Inbound Consumer Related Japan Equity Net Return ETN</t>
  </si>
  <si>
    <t xml:space="preserve">2026/01/26  </t>
  </si>
  <si>
    <t>498A</t>
  </si>
  <si>
    <t>防衛・航空宇宙　欧州株（ネットリターン）ＥＴＮ　受益証券</t>
  </si>
  <si>
    <t>Defense Aerospace Europe Equity Net Return ETN</t>
  </si>
  <si>
    <t>499A</t>
  </si>
  <si>
    <t>ラグジュアリー厳選１０　欧州株（ネットリターン）ＥＴＮ　受益証券</t>
  </si>
  <si>
    <t>Luxury Select 10 Europe Equity Net Return ETN</t>
  </si>
  <si>
    <t>502A</t>
  </si>
  <si>
    <t>グローバルＸ　超短期円建て債券　ＥＴＦ　受益証券</t>
  </si>
  <si>
    <t>Global X JPY Ultra Short-Term Bond ETF</t>
  </si>
  <si>
    <t xml:space="preserve">2026/01/29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</si>
</sst>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986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9" fontId="2" fillId="0" borderId="0" applyFont="0" applyFill="0" applyBorder="0" applyAlignment="0" applyProtection="0"/>
    <xf numFmtId="0" fontId="12" fillId="0" borderId="0"/>
    <xf numFmtId="0" fontId="8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2" fillId="21" borderId="24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5" applyNumberFormat="0" applyAlignment="0" applyProtection="0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1" fillId="0" borderId="26" applyNumberFormat="0" applyFill="0" applyAlignment="0" applyProtection="0"/>
    <xf numFmtId="0" fontId="32" fillId="0" borderId="27" applyNumberFormat="0" applyFill="0" applyAlignment="0" applyProtection="0"/>
    <xf numFmtId="0" fontId="33" fillId="0" borderId="28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3" applyNumberFormat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7" fillId="0" borderId="0"/>
    <xf numFmtId="0" fontId="35" fillId="0" borderId="29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2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4" applyNumberFormat="0" applyAlignment="0" applyProtection="0">
      <alignment vertical="center"/>
    </xf>
    <xf numFmtId="0" fontId="52" fillId="21" borderId="24" applyNumberFormat="0" applyAlignment="0" applyProtection="0">
      <alignment vertical="center"/>
    </xf>
    <xf numFmtId="0" fontId="52" fillId="21" borderId="24" applyNumberFormat="0" applyAlignment="0" applyProtection="0">
      <alignment vertical="center"/>
    </xf>
    <xf numFmtId="0" fontId="52" fillId="21" borderId="24" applyNumberFormat="0" applyAlignment="0" applyProtection="0">
      <alignment vertical="center"/>
    </xf>
    <xf numFmtId="0" fontId="52" fillId="21" borderId="24" applyNumberFormat="0" applyAlignment="0" applyProtection="0">
      <alignment vertical="center"/>
    </xf>
    <xf numFmtId="0" fontId="52" fillId="21" borderId="24" applyNumberFormat="0" applyAlignment="0" applyProtection="0">
      <alignment vertical="center"/>
    </xf>
    <xf numFmtId="0" fontId="52" fillId="21" borderId="24" applyNumberFormat="0" applyAlignment="0" applyProtection="0">
      <alignment vertical="center"/>
    </xf>
    <xf numFmtId="0" fontId="52" fillId="21" borderId="24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67" fillId="0" borderId="26" applyNumberFormat="0" applyFill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7" applyNumberFormat="0" applyFill="0" applyBorder="0" applyProtection="0"/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64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9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8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8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" fillId="0" borderId="0"/>
    <xf numFmtId="0" fontId="8" fillId="0" borderId="0"/>
    <xf numFmtId="0" fontId="83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3" fillId="0" borderId="0"/>
    <xf numFmtId="0" fontId="8" fillId="0" borderId="0"/>
    <xf numFmtId="0" fontId="83" fillId="0" borderId="0"/>
    <xf numFmtId="0" fontId="1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4" fillId="0" borderId="0">
      <alignment vertical="center"/>
    </xf>
    <xf numFmtId="0" fontId="8" fillId="0" borderId="0"/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8" fillId="0" borderId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</cellStyleXfs>
  <cellXfs count="46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49" fontId="7" fillId="0" borderId="9" xfId="2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49" fontId="2" fillId="0" borderId="15" xfId="2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center" vertical="center"/>
    </xf>
    <xf numFmtId="49" fontId="2" fillId="0" borderId="16" xfId="2" applyNumberFormat="1" applyFont="1" applyBorder="1" applyAlignment="1">
      <alignment horizontal="center" vertical="center"/>
    </xf>
    <xf numFmtId="49" fontId="2" fillId="0" borderId="13" xfId="2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right" vertical="center"/>
    </xf>
    <xf numFmtId="0" fontId="2" fillId="0" borderId="6" xfId="1" applyFont="1" applyBorder="1" applyAlignment="1">
      <alignment horizontal="right" vertical="center"/>
    </xf>
    <xf numFmtId="0" fontId="2" fillId="0" borderId="18" xfId="1" applyFont="1" applyBorder="1" applyAlignment="1">
      <alignment horizontal="right" vertical="center"/>
    </xf>
    <xf numFmtId="0" fontId="2" fillId="0" borderId="19" xfId="1" applyFont="1" applyBorder="1" applyAlignment="1">
      <alignment horizontal="right" vertical="center"/>
    </xf>
    <xf numFmtId="49" fontId="11" fillId="0" borderId="17" xfId="2" applyNumberFormat="1" applyFont="1" applyBorder="1" applyAlignment="1">
      <alignment horizontal="right"/>
    </xf>
    <xf numFmtId="49" fontId="11" fillId="0" borderId="20" xfId="2" applyNumberFormat="1" applyFont="1" applyBorder="1" applyAlignment="1">
      <alignment horizontal="right"/>
    </xf>
    <xf numFmtId="49" fontId="11" fillId="0" borderId="19" xfId="2" applyNumberFormat="1" applyFont="1" applyBorder="1" applyAlignment="1">
      <alignment horizontal="right"/>
    </xf>
    <xf numFmtId="49" fontId="7" fillId="0" borderId="34" xfId="2" applyNumberFormat="1" applyFont="1" applyBorder="1" applyAlignment="1">
      <alignment horizontal="left"/>
    </xf>
    <xf numFmtId="0" fontId="7" fillId="0" borderId="0" xfId="1" applyFont="1">
      <alignment vertical="center"/>
    </xf>
    <xf numFmtId="49" fontId="7" fillId="0" borderId="34" xfId="1" applyNumberFormat="1" applyFont="1" applyBorder="1" applyAlignment="1">
      <alignment horizontal="left" vertical="center"/>
    </xf>
    <xf numFmtId="49" fontId="7" fillId="0" borderId="37" xfId="1" applyNumberFormat="1" applyFont="1" applyBorder="1" applyAlignment="1">
      <alignment horizontal="left" vertical="center"/>
    </xf>
    <xf numFmtId="49" fontId="7" fillId="0" borderId="38" xfId="1" applyNumberFormat="1" applyFont="1" applyBorder="1" applyAlignment="1">
      <alignment horizontal="left" vertical="center"/>
    </xf>
    <xf numFmtId="49" fontId="7" fillId="0" borderId="36" xfId="1" applyNumberFormat="1" applyFont="1" applyBorder="1" applyAlignment="1">
      <alignment horizontal="left" vertical="center"/>
    </xf>
    <xf numFmtId="3" fontId="7" fillId="0" borderId="34" xfId="2" applyNumberFormat="1" applyFont="1" applyBorder="1" applyAlignment="1">
      <alignment horizontal="right"/>
    </xf>
    <xf numFmtId="49" fontId="7" fillId="0" borderId="36" xfId="2" applyNumberFormat="1" applyFont="1" applyBorder="1" applyAlignment="1">
      <alignment horizontal="right"/>
    </xf>
    <xf numFmtId="189" fontId="7" fillId="0" borderId="34" xfId="2" applyNumberFormat="1" applyFont="1" applyBorder="1" applyAlignment="1">
      <alignment horizontal="right"/>
    </xf>
    <xf numFmtId="4" fontId="7" fillId="0" borderId="34" xfId="2" applyNumberFormat="1" applyFont="1" applyBorder="1" applyAlignment="1">
      <alignment horizontal="right"/>
    </xf>
    <xf numFmtId="4" fontId="7" fillId="0" borderId="35" xfId="2" applyNumberFormat="1" applyFont="1" applyBorder="1" applyAlignment="1">
      <alignment horizontal="right"/>
    </xf>
    <xf numFmtId="0" fontId="2" fillId="0" borderId="2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</cellXfs>
  <cellStyles count="1986">
    <cellStyle name="_x000c_ーセン_x000c_" xfId="3" xr:uid="{00000000-0005-0000-0000-000000000000}"/>
    <cellStyle name="_x000d__x000a_JournalTemplate=C:\COMFO\CTALK\JOURSTD.TPL_x000d__x000a_LbStateAddress=3 3 0 251 1 89 2 311_x000d__x000a_LbStateJou" xfId="4" xr:uid="{00000000-0005-0000-0000-000001000000}"/>
    <cellStyle name="0,0_x000d__x000a_NA_x000d__x000a_" xfId="5" xr:uid="{00000000-0005-0000-0000-000002000000}"/>
    <cellStyle name="20% - Accent1" xfId="6" xr:uid="{00000000-0005-0000-0000-000003000000}"/>
    <cellStyle name="20% - Accent2" xfId="7" xr:uid="{00000000-0005-0000-0000-000004000000}"/>
    <cellStyle name="20% - Accent3" xfId="8" xr:uid="{00000000-0005-0000-0000-000005000000}"/>
    <cellStyle name="20% - Accent4" xfId="9" xr:uid="{00000000-0005-0000-0000-000006000000}"/>
    <cellStyle name="20% - Accent5" xfId="10" xr:uid="{00000000-0005-0000-0000-000007000000}"/>
    <cellStyle name="20% - Accent6" xfId="11" xr:uid="{00000000-0005-0000-0000-000008000000}"/>
    <cellStyle name="20% - アクセント 1 2" xfId="12" xr:uid="{00000000-0005-0000-0000-000009000000}"/>
    <cellStyle name="20% - アクセント 1 3" xfId="13" xr:uid="{00000000-0005-0000-0000-00000A000000}"/>
    <cellStyle name="20% - アクセント 1 4" xfId="14" xr:uid="{00000000-0005-0000-0000-00000B000000}"/>
    <cellStyle name="20% - アクセント 1 5" xfId="15" xr:uid="{00000000-0005-0000-0000-00000C000000}"/>
    <cellStyle name="20% - アクセント 1 6" xfId="16" xr:uid="{00000000-0005-0000-0000-00000D000000}"/>
    <cellStyle name="20% - アクセント 1 7" xfId="17" xr:uid="{00000000-0005-0000-0000-00000E000000}"/>
    <cellStyle name="20% - アクセント 1 8" xfId="18" xr:uid="{00000000-0005-0000-0000-00000F000000}"/>
    <cellStyle name="20% - アクセント 1 9" xfId="19" xr:uid="{00000000-0005-0000-0000-000010000000}"/>
    <cellStyle name="20% - アクセント 2 2" xfId="20" xr:uid="{00000000-0005-0000-0000-000011000000}"/>
    <cellStyle name="20% - アクセント 2 3" xfId="21" xr:uid="{00000000-0005-0000-0000-000012000000}"/>
    <cellStyle name="20% - アクセント 2 4" xfId="22" xr:uid="{00000000-0005-0000-0000-000013000000}"/>
    <cellStyle name="20% - アクセント 2 5" xfId="23" xr:uid="{00000000-0005-0000-0000-000014000000}"/>
    <cellStyle name="20% - アクセント 2 6" xfId="24" xr:uid="{00000000-0005-0000-0000-000015000000}"/>
    <cellStyle name="20% - アクセント 2 7" xfId="25" xr:uid="{00000000-0005-0000-0000-000016000000}"/>
    <cellStyle name="20% - アクセント 2 8" xfId="26" xr:uid="{00000000-0005-0000-0000-000017000000}"/>
    <cellStyle name="20% - アクセント 2 9" xfId="27" xr:uid="{00000000-0005-0000-0000-000018000000}"/>
    <cellStyle name="20% - アクセント 3 2" xfId="28" xr:uid="{00000000-0005-0000-0000-000019000000}"/>
    <cellStyle name="20% - アクセント 3 3" xfId="29" xr:uid="{00000000-0005-0000-0000-00001A000000}"/>
    <cellStyle name="20% - アクセント 3 4" xfId="30" xr:uid="{00000000-0005-0000-0000-00001B000000}"/>
    <cellStyle name="20% - アクセント 3 5" xfId="31" xr:uid="{00000000-0005-0000-0000-00001C000000}"/>
    <cellStyle name="20% - アクセント 3 6" xfId="32" xr:uid="{00000000-0005-0000-0000-00001D000000}"/>
    <cellStyle name="20% - アクセント 3 7" xfId="33" xr:uid="{00000000-0005-0000-0000-00001E000000}"/>
    <cellStyle name="20% - アクセント 3 8" xfId="34" xr:uid="{00000000-0005-0000-0000-00001F000000}"/>
    <cellStyle name="20% - アクセント 3 9" xfId="35" xr:uid="{00000000-0005-0000-0000-000020000000}"/>
    <cellStyle name="20% - アクセント 4 2" xfId="36" xr:uid="{00000000-0005-0000-0000-000021000000}"/>
    <cellStyle name="20% - アクセント 4 3" xfId="37" xr:uid="{00000000-0005-0000-0000-000022000000}"/>
    <cellStyle name="20% - アクセント 4 4" xfId="38" xr:uid="{00000000-0005-0000-0000-000023000000}"/>
    <cellStyle name="20% - アクセント 4 5" xfId="39" xr:uid="{00000000-0005-0000-0000-000024000000}"/>
    <cellStyle name="20% - アクセント 4 6" xfId="40" xr:uid="{00000000-0005-0000-0000-000025000000}"/>
    <cellStyle name="20% - アクセント 4 7" xfId="41" xr:uid="{00000000-0005-0000-0000-000026000000}"/>
    <cellStyle name="20% - アクセント 4 8" xfId="42" xr:uid="{00000000-0005-0000-0000-000027000000}"/>
    <cellStyle name="20% - アクセント 4 9" xfId="43" xr:uid="{00000000-0005-0000-0000-000028000000}"/>
    <cellStyle name="20% - アクセント 5 2" xfId="44" xr:uid="{00000000-0005-0000-0000-000029000000}"/>
    <cellStyle name="20% - アクセント 5 3" xfId="45" xr:uid="{00000000-0005-0000-0000-00002A000000}"/>
    <cellStyle name="20% - アクセント 5 4" xfId="46" xr:uid="{00000000-0005-0000-0000-00002B000000}"/>
    <cellStyle name="20% - アクセント 5 5" xfId="47" xr:uid="{00000000-0005-0000-0000-00002C000000}"/>
    <cellStyle name="20% - アクセント 5 6" xfId="48" xr:uid="{00000000-0005-0000-0000-00002D000000}"/>
    <cellStyle name="20% - アクセント 5 7" xfId="49" xr:uid="{00000000-0005-0000-0000-00002E000000}"/>
    <cellStyle name="20% - アクセント 5 8" xfId="50" xr:uid="{00000000-0005-0000-0000-00002F000000}"/>
    <cellStyle name="20% - アクセント 5 9" xfId="51" xr:uid="{00000000-0005-0000-0000-000030000000}"/>
    <cellStyle name="20% - アクセント 6 2" xfId="52" xr:uid="{00000000-0005-0000-0000-000031000000}"/>
    <cellStyle name="20% - アクセント 6 3" xfId="53" xr:uid="{00000000-0005-0000-0000-000032000000}"/>
    <cellStyle name="20% - アクセント 6 4" xfId="54" xr:uid="{00000000-0005-0000-0000-000033000000}"/>
    <cellStyle name="20% - アクセント 6 5" xfId="55" xr:uid="{00000000-0005-0000-0000-000034000000}"/>
    <cellStyle name="20% - アクセント 6 6" xfId="56" xr:uid="{00000000-0005-0000-0000-000035000000}"/>
    <cellStyle name="20% - アクセント 6 7" xfId="57" xr:uid="{00000000-0005-0000-0000-000036000000}"/>
    <cellStyle name="20% - アクセント 6 8" xfId="58" xr:uid="{00000000-0005-0000-0000-000037000000}"/>
    <cellStyle name="20% - アクセント 6 9" xfId="59" xr:uid="{00000000-0005-0000-0000-000038000000}"/>
    <cellStyle name="40% - Accent1" xfId="60" xr:uid="{00000000-0005-0000-0000-000039000000}"/>
    <cellStyle name="40% - Accent2" xfId="61" xr:uid="{00000000-0005-0000-0000-00003A000000}"/>
    <cellStyle name="40% - Accent3" xfId="62" xr:uid="{00000000-0005-0000-0000-00003B000000}"/>
    <cellStyle name="40% - Accent4" xfId="63" xr:uid="{00000000-0005-0000-0000-00003C000000}"/>
    <cellStyle name="40% - Accent5" xfId="64" xr:uid="{00000000-0005-0000-0000-00003D000000}"/>
    <cellStyle name="40% - Accent6" xfId="65" xr:uid="{00000000-0005-0000-0000-00003E000000}"/>
    <cellStyle name="40% - アクセント 1 2" xfId="66" xr:uid="{00000000-0005-0000-0000-00003F000000}"/>
    <cellStyle name="40% - アクセント 1 3" xfId="67" xr:uid="{00000000-0005-0000-0000-000040000000}"/>
    <cellStyle name="40% - アクセント 1 4" xfId="68" xr:uid="{00000000-0005-0000-0000-000041000000}"/>
    <cellStyle name="40% - アクセント 1 5" xfId="69" xr:uid="{00000000-0005-0000-0000-000042000000}"/>
    <cellStyle name="40% - アクセント 1 6" xfId="70" xr:uid="{00000000-0005-0000-0000-000043000000}"/>
    <cellStyle name="40% - アクセント 1 7" xfId="71" xr:uid="{00000000-0005-0000-0000-000044000000}"/>
    <cellStyle name="40% - アクセント 1 8" xfId="72" xr:uid="{00000000-0005-0000-0000-000045000000}"/>
    <cellStyle name="40% - アクセント 1 9" xfId="73" xr:uid="{00000000-0005-0000-0000-000046000000}"/>
    <cellStyle name="40% - アクセント 2 2" xfId="74" xr:uid="{00000000-0005-0000-0000-000047000000}"/>
    <cellStyle name="40% - アクセント 2 3" xfId="75" xr:uid="{00000000-0005-0000-0000-000048000000}"/>
    <cellStyle name="40% - アクセント 2 4" xfId="76" xr:uid="{00000000-0005-0000-0000-000049000000}"/>
    <cellStyle name="40% - アクセント 2 5" xfId="77" xr:uid="{00000000-0005-0000-0000-00004A000000}"/>
    <cellStyle name="40% - アクセント 2 6" xfId="78" xr:uid="{00000000-0005-0000-0000-00004B000000}"/>
    <cellStyle name="40% - アクセント 2 7" xfId="79" xr:uid="{00000000-0005-0000-0000-00004C000000}"/>
    <cellStyle name="40% - アクセント 2 8" xfId="80" xr:uid="{00000000-0005-0000-0000-00004D000000}"/>
    <cellStyle name="40% - アクセント 2 9" xfId="81" xr:uid="{00000000-0005-0000-0000-00004E000000}"/>
    <cellStyle name="40% - アクセント 3 2" xfId="82" xr:uid="{00000000-0005-0000-0000-00004F000000}"/>
    <cellStyle name="40% - アクセント 3 3" xfId="83" xr:uid="{00000000-0005-0000-0000-000050000000}"/>
    <cellStyle name="40% - アクセント 3 4" xfId="84" xr:uid="{00000000-0005-0000-0000-000051000000}"/>
    <cellStyle name="40% - アクセント 3 5" xfId="85" xr:uid="{00000000-0005-0000-0000-000052000000}"/>
    <cellStyle name="40% - アクセント 3 6" xfId="86" xr:uid="{00000000-0005-0000-0000-000053000000}"/>
    <cellStyle name="40% - アクセント 3 7" xfId="87" xr:uid="{00000000-0005-0000-0000-000054000000}"/>
    <cellStyle name="40% - アクセント 3 8" xfId="88" xr:uid="{00000000-0005-0000-0000-000055000000}"/>
    <cellStyle name="40% - アクセント 3 9" xfId="89" xr:uid="{00000000-0005-0000-0000-000056000000}"/>
    <cellStyle name="40% - アクセント 4 2" xfId="90" xr:uid="{00000000-0005-0000-0000-000057000000}"/>
    <cellStyle name="40% - アクセント 4 3" xfId="91" xr:uid="{00000000-0005-0000-0000-000058000000}"/>
    <cellStyle name="40% - アクセント 4 4" xfId="92" xr:uid="{00000000-0005-0000-0000-000059000000}"/>
    <cellStyle name="40% - アクセント 4 5" xfId="93" xr:uid="{00000000-0005-0000-0000-00005A000000}"/>
    <cellStyle name="40% - アクセント 4 6" xfId="94" xr:uid="{00000000-0005-0000-0000-00005B000000}"/>
    <cellStyle name="40% - アクセント 4 7" xfId="95" xr:uid="{00000000-0005-0000-0000-00005C000000}"/>
    <cellStyle name="40% - アクセント 4 8" xfId="96" xr:uid="{00000000-0005-0000-0000-00005D000000}"/>
    <cellStyle name="40% - アクセント 4 9" xfId="97" xr:uid="{00000000-0005-0000-0000-00005E000000}"/>
    <cellStyle name="40% - アクセント 5 2" xfId="98" xr:uid="{00000000-0005-0000-0000-00005F000000}"/>
    <cellStyle name="40% - アクセント 5 3" xfId="99" xr:uid="{00000000-0005-0000-0000-000060000000}"/>
    <cellStyle name="40% - アクセント 5 4" xfId="100" xr:uid="{00000000-0005-0000-0000-000061000000}"/>
    <cellStyle name="40% - アクセント 5 5" xfId="101" xr:uid="{00000000-0005-0000-0000-000062000000}"/>
    <cellStyle name="40% - アクセント 5 6" xfId="102" xr:uid="{00000000-0005-0000-0000-000063000000}"/>
    <cellStyle name="40% - アクセント 5 7" xfId="103" xr:uid="{00000000-0005-0000-0000-000064000000}"/>
    <cellStyle name="40% - アクセント 5 8" xfId="104" xr:uid="{00000000-0005-0000-0000-000065000000}"/>
    <cellStyle name="40% - アクセント 5 9" xfId="105" xr:uid="{00000000-0005-0000-0000-000066000000}"/>
    <cellStyle name="40% - アクセント 6 2" xfId="106" xr:uid="{00000000-0005-0000-0000-000067000000}"/>
    <cellStyle name="40% - アクセント 6 3" xfId="107" xr:uid="{00000000-0005-0000-0000-000068000000}"/>
    <cellStyle name="40% - アクセント 6 4" xfId="108" xr:uid="{00000000-0005-0000-0000-000069000000}"/>
    <cellStyle name="40% - アクセント 6 5" xfId="109" xr:uid="{00000000-0005-0000-0000-00006A000000}"/>
    <cellStyle name="40% - アクセント 6 6" xfId="110" xr:uid="{00000000-0005-0000-0000-00006B000000}"/>
    <cellStyle name="40% - アクセント 6 7" xfId="111" xr:uid="{00000000-0005-0000-0000-00006C000000}"/>
    <cellStyle name="40% - アクセント 6 8" xfId="112" xr:uid="{00000000-0005-0000-0000-00006D000000}"/>
    <cellStyle name="40% - アクセント 6 9" xfId="113" xr:uid="{00000000-0005-0000-0000-00006E000000}"/>
    <cellStyle name="60% - Accent1" xfId="114" xr:uid="{00000000-0005-0000-0000-00006F000000}"/>
    <cellStyle name="60% - Accent2" xfId="115" xr:uid="{00000000-0005-0000-0000-000070000000}"/>
    <cellStyle name="60% - Accent3" xfId="116" xr:uid="{00000000-0005-0000-0000-000071000000}"/>
    <cellStyle name="60% - Accent4" xfId="117" xr:uid="{00000000-0005-0000-0000-000072000000}"/>
    <cellStyle name="60% - Accent5" xfId="118" xr:uid="{00000000-0005-0000-0000-000073000000}"/>
    <cellStyle name="60% - Accent6" xfId="119" xr:uid="{00000000-0005-0000-0000-000074000000}"/>
    <cellStyle name="60% - アクセント 1 2" xfId="120" xr:uid="{00000000-0005-0000-0000-000075000000}"/>
    <cellStyle name="60% - アクセント 1 3" xfId="121" xr:uid="{00000000-0005-0000-0000-000076000000}"/>
    <cellStyle name="60% - アクセント 1 4" xfId="122" xr:uid="{00000000-0005-0000-0000-000077000000}"/>
    <cellStyle name="60% - アクセント 1 5" xfId="123" xr:uid="{00000000-0005-0000-0000-000078000000}"/>
    <cellStyle name="60% - アクセント 1 6" xfId="124" xr:uid="{00000000-0005-0000-0000-000079000000}"/>
    <cellStyle name="60% - アクセント 1 7" xfId="125" xr:uid="{00000000-0005-0000-0000-00007A000000}"/>
    <cellStyle name="60% - アクセント 1 8" xfId="126" xr:uid="{00000000-0005-0000-0000-00007B000000}"/>
    <cellStyle name="60% - アクセント 1 9" xfId="127" xr:uid="{00000000-0005-0000-0000-00007C000000}"/>
    <cellStyle name="60% - アクセント 2 2" xfId="128" xr:uid="{00000000-0005-0000-0000-00007D000000}"/>
    <cellStyle name="60% - アクセント 2 3" xfId="129" xr:uid="{00000000-0005-0000-0000-00007E000000}"/>
    <cellStyle name="60% - アクセント 2 4" xfId="130" xr:uid="{00000000-0005-0000-0000-00007F000000}"/>
    <cellStyle name="60% - アクセント 2 5" xfId="131" xr:uid="{00000000-0005-0000-0000-000080000000}"/>
    <cellStyle name="60% - アクセント 2 6" xfId="132" xr:uid="{00000000-0005-0000-0000-000081000000}"/>
    <cellStyle name="60% - アクセント 2 7" xfId="133" xr:uid="{00000000-0005-0000-0000-000082000000}"/>
    <cellStyle name="60% - アクセント 2 8" xfId="134" xr:uid="{00000000-0005-0000-0000-000083000000}"/>
    <cellStyle name="60% - アクセント 2 9" xfId="135" xr:uid="{00000000-0005-0000-0000-000084000000}"/>
    <cellStyle name="60% - アクセント 3 2" xfId="136" xr:uid="{00000000-0005-0000-0000-000085000000}"/>
    <cellStyle name="60% - アクセント 3 3" xfId="137" xr:uid="{00000000-0005-0000-0000-000086000000}"/>
    <cellStyle name="60% - アクセント 3 4" xfId="138" xr:uid="{00000000-0005-0000-0000-000087000000}"/>
    <cellStyle name="60% - アクセント 3 5" xfId="139" xr:uid="{00000000-0005-0000-0000-000088000000}"/>
    <cellStyle name="60% - アクセント 3 6" xfId="140" xr:uid="{00000000-0005-0000-0000-000089000000}"/>
    <cellStyle name="60% - アクセント 3 7" xfId="141" xr:uid="{00000000-0005-0000-0000-00008A000000}"/>
    <cellStyle name="60% - アクセント 3 8" xfId="142" xr:uid="{00000000-0005-0000-0000-00008B000000}"/>
    <cellStyle name="60% - アクセント 3 9" xfId="143" xr:uid="{00000000-0005-0000-0000-00008C000000}"/>
    <cellStyle name="60% - アクセント 4 2" xfId="144" xr:uid="{00000000-0005-0000-0000-00008D000000}"/>
    <cellStyle name="60% - アクセント 4 3" xfId="145" xr:uid="{00000000-0005-0000-0000-00008E000000}"/>
    <cellStyle name="60% - アクセント 4 4" xfId="146" xr:uid="{00000000-0005-0000-0000-00008F000000}"/>
    <cellStyle name="60% - アクセント 4 5" xfId="147" xr:uid="{00000000-0005-0000-0000-000090000000}"/>
    <cellStyle name="60% - アクセント 4 6" xfId="148" xr:uid="{00000000-0005-0000-0000-000091000000}"/>
    <cellStyle name="60% - アクセント 4 7" xfId="149" xr:uid="{00000000-0005-0000-0000-000092000000}"/>
    <cellStyle name="60% - アクセント 4 8" xfId="150" xr:uid="{00000000-0005-0000-0000-000093000000}"/>
    <cellStyle name="60% - アクセント 4 9" xfId="151" xr:uid="{00000000-0005-0000-0000-000094000000}"/>
    <cellStyle name="60% - アクセント 5 2" xfId="152" xr:uid="{00000000-0005-0000-0000-000095000000}"/>
    <cellStyle name="60% - アクセント 5 3" xfId="153" xr:uid="{00000000-0005-0000-0000-000096000000}"/>
    <cellStyle name="60% - アクセント 5 4" xfId="154" xr:uid="{00000000-0005-0000-0000-000097000000}"/>
    <cellStyle name="60% - アクセント 5 5" xfId="155" xr:uid="{00000000-0005-0000-0000-000098000000}"/>
    <cellStyle name="60% - アクセント 5 6" xfId="156" xr:uid="{00000000-0005-0000-0000-000099000000}"/>
    <cellStyle name="60% - アクセント 5 7" xfId="157" xr:uid="{00000000-0005-0000-0000-00009A000000}"/>
    <cellStyle name="60% - アクセント 5 8" xfId="158" xr:uid="{00000000-0005-0000-0000-00009B000000}"/>
    <cellStyle name="60% - アクセント 5 9" xfId="159" xr:uid="{00000000-0005-0000-0000-00009C000000}"/>
    <cellStyle name="60% - アクセント 6 2" xfId="160" xr:uid="{00000000-0005-0000-0000-00009D000000}"/>
    <cellStyle name="60% - アクセント 6 3" xfId="161" xr:uid="{00000000-0005-0000-0000-00009E000000}"/>
    <cellStyle name="60% - アクセント 6 4" xfId="162" xr:uid="{00000000-0005-0000-0000-00009F000000}"/>
    <cellStyle name="60% - アクセント 6 5" xfId="163" xr:uid="{00000000-0005-0000-0000-0000A0000000}"/>
    <cellStyle name="60% - アクセント 6 6" xfId="164" xr:uid="{00000000-0005-0000-0000-0000A1000000}"/>
    <cellStyle name="60% - アクセント 6 7" xfId="165" xr:uid="{00000000-0005-0000-0000-0000A2000000}"/>
    <cellStyle name="60% - アクセント 6 8" xfId="166" xr:uid="{00000000-0005-0000-0000-0000A3000000}"/>
    <cellStyle name="60% - アクセント 6 9" xfId="167" xr:uid="{00000000-0005-0000-0000-0000A4000000}"/>
    <cellStyle name="Accent1" xfId="168" xr:uid="{00000000-0005-0000-0000-0000A5000000}"/>
    <cellStyle name="Accent2" xfId="169" xr:uid="{00000000-0005-0000-0000-0000A6000000}"/>
    <cellStyle name="Accent3" xfId="170" xr:uid="{00000000-0005-0000-0000-0000A7000000}"/>
    <cellStyle name="Accent4" xfId="171" xr:uid="{00000000-0005-0000-0000-0000A8000000}"/>
    <cellStyle name="Accent5" xfId="172" xr:uid="{00000000-0005-0000-0000-0000A9000000}"/>
    <cellStyle name="Accent6" xfId="173" xr:uid="{00000000-0005-0000-0000-0000AA000000}"/>
    <cellStyle name="args.style" xfId="174" xr:uid="{00000000-0005-0000-0000-0000AB000000}"/>
    <cellStyle name="B10" xfId="175" xr:uid="{00000000-0005-0000-0000-0000AC000000}"/>
    <cellStyle name="Bad" xfId="176" xr:uid="{00000000-0005-0000-0000-0000AD000000}"/>
    <cellStyle name="Body" xfId="177" xr:uid="{00000000-0005-0000-0000-0000AE000000}"/>
    <cellStyle name="Calc Currency (0)" xfId="178" xr:uid="{00000000-0005-0000-0000-0000AF000000}"/>
    <cellStyle name="Calc Currency (0) 2" xfId="179" xr:uid="{00000000-0005-0000-0000-0000B0000000}"/>
    <cellStyle name="Calculation" xfId="180" xr:uid="{00000000-0005-0000-0000-0000B1000000}"/>
    <cellStyle name="Calculation 2" xfId="181" xr:uid="{00000000-0005-0000-0000-0000B2000000}"/>
    <cellStyle name="Calculation 2 2" xfId="182" xr:uid="{00000000-0005-0000-0000-0000B3000000}"/>
    <cellStyle name="Calculation 2 2 2" xfId="183" xr:uid="{00000000-0005-0000-0000-0000B4000000}"/>
    <cellStyle name="Calculation 2 3" xfId="184" xr:uid="{00000000-0005-0000-0000-0000B5000000}"/>
    <cellStyle name="Calculation 2 3 2" xfId="185" xr:uid="{00000000-0005-0000-0000-0000B6000000}"/>
    <cellStyle name="Calculation 2 4" xfId="186" xr:uid="{00000000-0005-0000-0000-0000B7000000}"/>
    <cellStyle name="Calculation 2 4 2" xfId="187" xr:uid="{00000000-0005-0000-0000-0000B8000000}"/>
    <cellStyle name="Calculation 2 5" xfId="188" xr:uid="{00000000-0005-0000-0000-0000B9000000}"/>
    <cellStyle name="Calculation 2 5 2" xfId="189" xr:uid="{00000000-0005-0000-0000-0000BA000000}"/>
    <cellStyle name="Calculation 2 6" xfId="190" xr:uid="{00000000-0005-0000-0000-0000BB000000}"/>
    <cellStyle name="Calculation 2 6 2" xfId="191" xr:uid="{00000000-0005-0000-0000-0000BC000000}"/>
    <cellStyle name="Calculation 2 7" xfId="192" xr:uid="{00000000-0005-0000-0000-0000BD000000}"/>
    <cellStyle name="Calculation 3" xfId="193" xr:uid="{00000000-0005-0000-0000-0000BE000000}"/>
    <cellStyle name="Calculation 3 2" xfId="194" xr:uid="{00000000-0005-0000-0000-0000BF000000}"/>
    <cellStyle name="Calculation 4" xfId="195" xr:uid="{00000000-0005-0000-0000-0000C0000000}"/>
    <cellStyle name="Check Cell" xfId="196" xr:uid="{00000000-0005-0000-0000-0000C1000000}"/>
    <cellStyle name="Column Heading" xfId="197" xr:uid="{00000000-0005-0000-0000-0000C2000000}"/>
    <cellStyle name="Comma [0]_laroux" xfId="198" xr:uid="{00000000-0005-0000-0000-0000C3000000}"/>
    <cellStyle name="Comma_laroux" xfId="199" xr:uid="{00000000-0005-0000-0000-0000C4000000}"/>
    <cellStyle name="Currency [0]_laroux" xfId="200" xr:uid="{00000000-0005-0000-0000-0000C5000000}"/>
    <cellStyle name="Currency_laroux" xfId="201" xr:uid="{00000000-0005-0000-0000-0000C6000000}"/>
    <cellStyle name="entry" xfId="202" xr:uid="{00000000-0005-0000-0000-0000C7000000}"/>
    <cellStyle name="Explanatory Text" xfId="203" xr:uid="{00000000-0005-0000-0000-0000C8000000}"/>
    <cellStyle name="Good" xfId="204" xr:uid="{00000000-0005-0000-0000-0000C9000000}"/>
    <cellStyle name="Grey" xfId="205" xr:uid="{00000000-0005-0000-0000-0000CA000000}"/>
    <cellStyle name="Head 1" xfId="206" xr:uid="{00000000-0005-0000-0000-0000CB000000}"/>
    <cellStyle name="Header1" xfId="207" xr:uid="{00000000-0005-0000-0000-0000CC000000}"/>
    <cellStyle name="Header2" xfId="208" xr:uid="{00000000-0005-0000-0000-0000CD000000}"/>
    <cellStyle name="Header2 2" xfId="209" xr:uid="{00000000-0005-0000-0000-0000CE000000}"/>
    <cellStyle name="Header2 2 2" xfId="210" xr:uid="{00000000-0005-0000-0000-0000CF000000}"/>
    <cellStyle name="Header2 2 2 2" xfId="211" xr:uid="{00000000-0005-0000-0000-0000D0000000}"/>
    <cellStyle name="Header2 2 2 3" xfId="212" xr:uid="{00000000-0005-0000-0000-0000D1000000}"/>
    <cellStyle name="Header2 2 2 4" xfId="213" xr:uid="{00000000-0005-0000-0000-0000D2000000}"/>
    <cellStyle name="Header2 2 2 5" xfId="214" xr:uid="{00000000-0005-0000-0000-0000D3000000}"/>
    <cellStyle name="Header2 2 2 6" xfId="215" xr:uid="{00000000-0005-0000-0000-0000D4000000}"/>
    <cellStyle name="Header2 2 2 7" xfId="216" xr:uid="{00000000-0005-0000-0000-0000D5000000}"/>
    <cellStyle name="Header2 2 2 7 2" xfId="217" xr:uid="{00000000-0005-0000-0000-0000D6000000}"/>
    <cellStyle name="Header2 2 3" xfId="218" xr:uid="{00000000-0005-0000-0000-0000D7000000}"/>
    <cellStyle name="Header2 2 3 2" xfId="219" xr:uid="{00000000-0005-0000-0000-0000D8000000}"/>
    <cellStyle name="Header2 2 3 3" xfId="220" xr:uid="{00000000-0005-0000-0000-0000D9000000}"/>
    <cellStyle name="Header2 3" xfId="221" xr:uid="{00000000-0005-0000-0000-0000DA000000}"/>
    <cellStyle name="Header2 3 2" xfId="222" xr:uid="{00000000-0005-0000-0000-0000DB000000}"/>
    <cellStyle name="Header2 3 2 2" xfId="223" xr:uid="{00000000-0005-0000-0000-0000DC000000}"/>
    <cellStyle name="Header2 3 2 3" xfId="224" xr:uid="{00000000-0005-0000-0000-0000DD000000}"/>
    <cellStyle name="Header2 3 2 4" xfId="225" xr:uid="{00000000-0005-0000-0000-0000DE000000}"/>
    <cellStyle name="Header2 3 2 5" xfId="226" xr:uid="{00000000-0005-0000-0000-0000DF000000}"/>
    <cellStyle name="Header2 3 2 6" xfId="227" xr:uid="{00000000-0005-0000-0000-0000E0000000}"/>
    <cellStyle name="Header2 3 2 7" xfId="228" xr:uid="{00000000-0005-0000-0000-0000E1000000}"/>
    <cellStyle name="Header2 3 2 7 2" xfId="229" xr:uid="{00000000-0005-0000-0000-0000E2000000}"/>
    <cellStyle name="Header2 3 3" xfId="230" xr:uid="{00000000-0005-0000-0000-0000E3000000}"/>
    <cellStyle name="Header2 3 4" xfId="231" xr:uid="{00000000-0005-0000-0000-0000E4000000}"/>
    <cellStyle name="Header2 3 5" xfId="232" xr:uid="{00000000-0005-0000-0000-0000E5000000}"/>
    <cellStyle name="Header2 3 6" xfId="233" xr:uid="{00000000-0005-0000-0000-0000E6000000}"/>
    <cellStyle name="Header2 3 7" xfId="234" xr:uid="{00000000-0005-0000-0000-0000E7000000}"/>
    <cellStyle name="Header2 3 8" xfId="235" xr:uid="{00000000-0005-0000-0000-0000E8000000}"/>
    <cellStyle name="Header2 3 9" xfId="236" xr:uid="{00000000-0005-0000-0000-0000E9000000}"/>
    <cellStyle name="Header2 3 9 2" xfId="237" xr:uid="{00000000-0005-0000-0000-0000EA000000}"/>
    <cellStyle name="Header2 3 9 3" xfId="238" xr:uid="{00000000-0005-0000-0000-0000EB000000}"/>
    <cellStyle name="Header2 4" xfId="239" xr:uid="{00000000-0005-0000-0000-0000EC000000}"/>
    <cellStyle name="Header2 4 2" xfId="240" xr:uid="{00000000-0005-0000-0000-0000ED000000}"/>
    <cellStyle name="Header2 4 3" xfId="241" xr:uid="{00000000-0005-0000-0000-0000EE000000}"/>
    <cellStyle name="Header2 4 4" xfId="242" xr:uid="{00000000-0005-0000-0000-0000EF000000}"/>
    <cellStyle name="Header2 4 5" xfId="243" xr:uid="{00000000-0005-0000-0000-0000F0000000}"/>
    <cellStyle name="Header2 4 6" xfId="244" xr:uid="{00000000-0005-0000-0000-0000F1000000}"/>
    <cellStyle name="Header2 4 7" xfId="245" xr:uid="{00000000-0005-0000-0000-0000F2000000}"/>
    <cellStyle name="Header2 4 7 2" xfId="246" xr:uid="{00000000-0005-0000-0000-0000F3000000}"/>
    <cellStyle name="Header2 5" xfId="247" xr:uid="{00000000-0005-0000-0000-0000F4000000}"/>
    <cellStyle name="Header2 6" xfId="248" xr:uid="{00000000-0005-0000-0000-0000F5000000}"/>
    <cellStyle name="Header2 7" xfId="249" xr:uid="{00000000-0005-0000-0000-0000F6000000}"/>
    <cellStyle name="Header2 7 2" xfId="250" xr:uid="{00000000-0005-0000-0000-0000F7000000}"/>
    <cellStyle name="Header2 7 3" xfId="251" xr:uid="{00000000-0005-0000-0000-0000F8000000}"/>
    <cellStyle name="Heading 1" xfId="252" xr:uid="{00000000-0005-0000-0000-0000F9000000}"/>
    <cellStyle name="Heading 2" xfId="253" xr:uid="{00000000-0005-0000-0000-0000FA000000}"/>
    <cellStyle name="Heading 3" xfId="254" xr:uid="{00000000-0005-0000-0000-0000FB000000}"/>
    <cellStyle name="Heading 4" xfId="255" xr:uid="{00000000-0005-0000-0000-0000FC000000}"/>
    <cellStyle name="IBM(401K)" xfId="256" xr:uid="{00000000-0005-0000-0000-0000FD000000}"/>
    <cellStyle name="Input" xfId="257" xr:uid="{00000000-0005-0000-0000-0000FE000000}"/>
    <cellStyle name="Input [yellow]" xfId="258" xr:uid="{00000000-0005-0000-0000-0000FF000000}"/>
    <cellStyle name="Input [yellow] 2" xfId="259" xr:uid="{00000000-0005-0000-0000-000000010000}"/>
    <cellStyle name="Input [yellow] 2 2" xfId="260" xr:uid="{00000000-0005-0000-0000-000001010000}"/>
    <cellStyle name="Input [yellow] 2 2 10" xfId="1940" xr:uid="{00000000-0005-0000-0000-000002010000}"/>
    <cellStyle name="Input [yellow] 2 2 2" xfId="261" xr:uid="{00000000-0005-0000-0000-000003010000}"/>
    <cellStyle name="Input [yellow] 2 2 2 2" xfId="1941" xr:uid="{00000000-0005-0000-0000-000004010000}"/>
    <cellStyle name="Input [yellow] 2 2 3" xfId="262" xr:uid="{00000000-0005-0000-0000-000005010000}"/>
    <cellStyle name="Input [yellow] 2 2 3 2" xfId="1942" xr:uid="{00000000-0005-0000-0000-000006010000}"/>
    <cellStyle name="Input [yellow] 2 2 4" xfId="263" xr:uid="{00000000-0005-0000-0000-000007010000}"/>
    <cellStyle name="Input [yellow] 2 2 4 2" xfId="1943" xr:uid="{00000000-0005-0000-0000-000008010000}"/>
    <cellStyle name="Input [yellow] 2 2 5" xfId="264" xr:uid="{00000000-0005-0000-0000-000009010000}"/>
    <cellStyle name="Input [yellow] 2 2 5 2" xfId="1944" xr:uid="{00000000-0005-0000-0000-00000A010000}"/>
    <cellStyle name="Input [yellow] 2 2 6" xfId="265" xr:uid="{00000000-0005-0000-0000-00000B010000}"/>
    <cellStyle name="Input [yellow] 2 2 6 2" xfId="1945" xr:uid="{00000000-0005-0000-0000-00000C010000}"/>
    <cellStyle name="Input [yellow] 2 2 7" xfId="266" xr:uid="{00000000-0005-0000-0000-00000D010000}"/>
    <cellStyle name="Input [yellow] 2 2 7 2" xfId="1946" xr:uid="{00000000-0005-0000-0000-00000E010000}"/>
    <cellStyle name="Input [yellow] 2 2 8" xfId="267" xr:uid="{00000000-0005-0000-0000-00000F010000}"/>
    <cellStyle name="Input [yellow] 2 2 8 2" xfId="1947" xr:uid="{00000000-0005-0000-0000-000010010000}"/>
    <cellStyle name="Input [yellow] 2 2 9" xfId="268" xr:uid="{00000000-0005-0000-0000-000011010000}"/>
    <cellStyle name="Input [yellow] 2 2 9 2" xfId="1948" xr:uid="{00000000-0005-0000-0000-000012010000}"/>
    <cellStyle name="Input [yellow] 2 3" xfId="269" xr:uid="{00000000-0005-0000-0000-000013010000}"/>
    <cellStyle name="Input [yellow] 2 3 2" xfId="270" xr:uid="{00000000-0005-0000-0000-000014010000}"/>
    <cellStyle name="Input [yellow] 2 3 2 2" xfId="1950" xr:uid="{00000000-0005-0000-0000-000015010000}"/>
    <cellStyle name="Input [yellow] 2 3 3" xfId="271" xr:uid="{00000000-0005-0000-0000-000016010000}"/>
    <cellStyle name="Input [yellow] 2 3 3 2" xfId="1951" xr:uid="{00000000-0005-0000-0000-000017010000}"/>
    <cellStyle name="Input [yellow] 2 3 4" xfId="1949" xr:uid="{00000000-0005-0000-0000-000018010000}"/>
    <cellStyle name="Input [yellow] 2 4" xfId="1939" xr:uid="{00000000-0005-0000-0000-000019010000}"/>
    <cellStyle name="Input [yellow] 3" xfId="272" xr:uid="{00000000-0005-0000-0000-00001A010000}"/>
    <cellStyle name="Input [yellow] 3 10" xfId="1952" xr:uid="{00000000-0005-0000-0000-00001B010000}"/>
    <cellStyle name="Input [yellow] 3 2" xfId="273" xr:uid="{00000000-0005-0000-0000-00001C010000}"/>
    <cellStyle name="Input [yellow] 3 2 10" xfId="1953" xr:uid="{00000000-0005-0000-0000-00001D010000}"/>
    <cellStyle name="Input [yellow] 3 2 2" xfId="274" xr:uid="{00000000-0005-0000-0000-00001E010000}"/>
    <cellStyle name="Input [yellow] 3 2 2 2" xfId="1954" xr:uid="{00000000-0005-0000-0000-00001F010000}"/>
    <cellStyle name="Input [yellow] 3 2 3" xfId="275" xr:uid="{00000000-0005-0000-0000-000020010000}"/>
    <cellStyle name="Input [yellow] 3 2 3 2" xfId="1955" xr:uid="{00000000-0005-0000-0000-000021010000}"/>
    <cellStyle name="Input [yellow] 3 2 4" xfId="276" xr:uid="{00000000-0005-0000-0000-000022010000}"/>
    <cellStyle name="Input [yellow] 3 2 4 2" xfId="1956" xr:uid="{00000000-0005-0000-0000-000023010000}"/>
    <cellStyle name="Input [yellow] 3 2 5" xfId="277" xr:uid="{00000000-0005-0000-0000-000024010000}"/>
    <cellStyle name="Input [yellow] 3 2 5 2" xfId="1957" xr:uid="{00000000-0005-0000-0000-000025010000}"/>
    <cellStyle name="Input [yellow] 3 2 6" xfId="278" xr:uid="{00000000-0005-0000-0000-000026010000}"/>
    <cellStyle name="Input [yellow] 3 2 6 2" xfId="1958" xr:uid="{00000000-0005-0000-0000-000027010000}"/>
    <cellStyle name="Input [yellow] 3 2 7" xfId="279" xr:uid="{00000000-0005-0000-0000-000028010000}"/>
    <cellStyle name="Input [yellow] 3 2 7 2" xfId="1959" xr:uid="{00000000-0005-0000-0000-000029010000}"/>
    <cellStyle name="Input [yellow] 3 2 8" xfId="280" xr:uid="{00000000-0005-0000-0000-00002A010000}"/>
    <cellStyle name="Input [yellow] 3 2 8 2" xfId="1960" xr:uid="{00000000-0005-0000-0000-00002B010000}"/>
    <cellStyle name="Input [yellow] 3 2 9" xfId="281" xr:uid="{00000000-0005-0000-0000-00002C010000}"/>
    <cellStyle name="Input [yellow] 3 2 9 2" xfId="1961" xr:uid="{00000000-0005-0000-0000-00002D010000}"/>
    <cellStyle name="Input [yellow] 3 3" xfId="282" xr:uid="{00000000-0005-0000-0000-00002E010000}"/>
    <cellStyle name="Input [yellow] 3 3 2" xfId="1962" xr:uid="{00000000-0005-0000-0000-00002F010000}"/>
    <cellStyle name="Input [yellow] 3 4" xfId="283" xr:uid="{00000000-0005-0000-0000-000030010000}"/>
    <cellStyle name="Input [yellow] 3 4 2" xfId="1963" xr:uid="{00000000-0005-0000-0000-000031010000}"/>
    <cellStyle name="Input [yellow] 3 5" xfId="284" xr:uid="{00000000-0005-0000-0000-000032010000}"/>
    <cellStyle name="Input [yellow] 3 5 2" xfId="1964" xr:uid="{00000000-0005-0000-0000-000033010000}"/>
    <cellStyle name="Input [yellow] 3 6" xfId="285" xr:uid="{00000000-0005-0000-0000-000034010000}"/>
    <cellStyle name="Input [yellow] 3 6 2" xfId="1965" xr:uid="{00000000-0005-0000-0000-000035010000}"/>
    <cellStyle name="Input [yellow] 3 7" xfId="286" xr:uid="{00000000-0005-0000-0000-000036010000}"/>
    <cellStyle name="Input [yellow] 3 7 2" xfId="1966" xr:uid="{00000000-0005-0000-0000-000037010000}"/>
    <cellStyle name="Input [yellow] 3 8" xfId="287" xr:uid="{00000000-0005-0000-0000-000038010000}"/>
    <cellStyle name="Input [yellow] 3 8 2" xfId="1967" xr:uid="{00000000-0005-0000-0000-000039010000}"/>
    <cellStyle name="Input [yellow] 3 9" xfId="288" xr:uid="{00000000-0005-0000-0000-00003A010000}"/>
    <cellStyle name="Input [yellow] 3 9 2" xfId="289" xr:uid="{00000000-0005-0000-0000-00003B010000}"/>
    <cellStyle name="Input [yellow] 3 9 2 2" xfId="1969" xr:uid="{00000000-0005-0000-0000-00003C010000}"/>
    <cellStyle name="Input [yellow] 3 9 3" xfId="290" xr:uid="{00000000-0005-0000-0000-00003D010000}"/>
    <cellStyle name="Input [yellow] 3 9 3 2" xfId="1970" xr:uid="{00000000-0005-0000-0000-00003E010000}"/>
    <cellStyle name="Input [yellow] 3 9 4" xfId="1968" xr:uid="{00000000-0005-0000-0000-00003F010000}"/>
    <cellStyle name="Input [yellow] 4" xfId="291" xr:uid="{00000000-0005-0000-0000-000040010000}"/>
    <cellStyle name="Input [yellow] 4 2" xfId="292" xr:uid="{00000000-0005-0000-0000-000041010000}"/>
    <cellStyle name="Input [yellow] 4 2 2" xfId="1972" xr:uid="{00000000-0005-0000-0000-000042010000}"/>
    <cellStyle name="Input [yellow] 4 3" xfId="293" xr:uid="{00000000-0005-0000-0000-000043010000}"/>
    <cellStyle name="Input [yellow] 4 3 2" xfId="1973" xr:uid="{00000000-0005-0000-0000-000044010000}"/>
    <cellStyle name="Input [yellow] 4 4" xfId="294" xr:uid="{00000000-0005-0000-0000-000045010000}"/>
    <cellStyle name="Input [yellow] 4 4 2" xfId="1974" xr:uid="{00000000-0005-0000-0000-000046010000}"/>
    <cellStyle name="Input [yellow] 4 5" xfId="295" xr:uid="{00000000-0005-0000-0000-000047010000}"/>
    <cellStyle name="Input [yellow] 4 5 2" xfId="1975" xr:uid="{00000000-0005-0000-0000-000048010000}"/>
    <cellStyle name="Input [yellow] 4 6" xfId="296" xr:uid="{00000000-0005-0000-0000-000049010000}"/>
    <cellStyle name="Input [yellow] 4 6 2" xfId="1976" xr:uid="{00000000-0005-0000-0000-00004A010000}"/>
    <cellStyle name="Input [yellow] 4 7" xfId="297" xr:uid="{00000000-0005-0000-0000-00004B010000}"/>
    <cellStyle name="Input [yellow] 4 7 2" xfId="1977" xr:uid="{00000000-0005-0000-0000-00004C010000}"/>
    <cellStyle name="Input [yellow] 4 8" xfId="298" xr:uid="{00000000-0005-0000-0000-00004D010000}"/>
    <cellStyle name="Input [yellow] 4 8 2" xfId="299" xr:uid="{00000000-0005-0000-0000-00004E010000}"/>
    <cellStyle name="Input [yellow] 4 8 2 2" xfId="1979" xr:uid="{00000000-0005-0000-0000-00004F010000}"/>
    <cellStyle name="Input [yellow] 4 8 3" xfId="300" xr:uid="{00000000-0005-0000-0000-000050010000}"/>
    <cellStyle name="Input [yellow] 4 8 3 2" xfId="1980" xr:uid="{00000000-0005-0000-0000-000051010000}"/>
    <cellStyle name="Input [yellow] 4 8 4" xfId="1978" xr:uid="{00000000-0005-0000-0000-000052010000}"/>
    <cellStyle name="Input [yellow] 4 9" xfId="1971" xr:uid="{00000000-0005-0000-0000-000053010000}"/>
    <cellStyle name="Input [yellow] 5" xfId="301" xr:uid="{00000000-0005-0000-0000-000054010000}"/>
    <cellStyle name="Input [yellow] 5 2" xfId="1981" xr:uid="{00000000-0005-0000-0000-000055010000}"/>
    <cellStyle name="Input [yellow] 6" xfId="302" xr:uid="{00000000-0005-0000-0000-000056010000}"/>
    <cellStyle name="Input [yellow] 6 2" xfId="1982" xr:uid="{00000000-0005-0000-0000-000057010000}"/>
    <cellStyle name="Input [yellow] 7" xfId="303" xr:uid="{00000000-0005-0000-0000-000058010000}"/>
    <cellStyle name="Input [yellow] 7 2" xfId="304" xr:uid="{00000000-0005-0000-0000-000059010000}"/>
    <cellStyle name="Input [yellow] 7 2 2" xfId="1984" xr:uid="{00000000-0005-0000-0000-00005A010000}"/>
    <cellStyle name="Input [yellow] 7 3" xfId="305" xr:uid="{00000000-0005-0000-0000-00005B010000}"/>
    <cellStyle name="Input [yellow] 7 3 2" xfId="1985" xr:uid="{00000000-0005-0000-0000-00005C010000}"/>
    <cellStyle name="Input [yellow] 7 4" xfId="1983" xr:uid="{00000000-0005-0000-0000-00005D010000}"/>
    <cellStyle name="Input [yellow] 8" xfId="1938" xr:uid="{00000000-0005-0000-0000-00005E010000}"/>
    <cellStyle name="Input 10" xfId="306" xr:uid="{00000000-0005-0000-0000-00005F010000}"/>
    <cellStyle name="Input 10 2" xfId="307" xr:uid="{00000000-0005-0000-0000-000060010000}"/>
    <cellStyle name="Input 11" xfId="308" xr:uid="{00000000-0005-0000-0000-000061010000}"/>
    <cellStyle name="Input 11 2" xfId="309" xr:uid="{00000000-0005-0000-0000-000062010000}"/>
    <cellStyle name="Input 12" xfId="310" xr:uid="{00000000-0005-0000-0000-000063010000}"/>
    <cellStyle name="Input 12 2" xfId="311" xr:uid="{00000000-0005-0000-0000-000064010000}"/>
    <cellStyle name="Input 13" xfId="312" xr:uid="{00000000-0005-0000-0000-000065010000}"/>
    <cellStyle name="Input 13 2" xfId="313" xr:uid="{00000000-0005-0000-0000-000066010000}"/>
    <cellStyle name="Input 14" xfId="314" xr:uid="{00000000-0005-0000-0000-000067010000}"/>
    <cellStyle name="Input 14 2" xfId="315" xr:uid="{00000000-0005-0000-0000-000068010000}"/>
    <cellStyle name="Input 15" xfId="316" xr:uid="{00000000-0005-0000-0000-000069010000}"/>
    <cellStyle name="Input 15 2" xfId="317" xr:uid="{00000000-0005-0000-0000-00006A010000}"/>
    <cellStyle name="Input 16" xfId="318" xr:uid="{00000000-0005-0000-0000-00006B010000}"/>
    <cellStyle name="Input 16 2" xfId="319" xr:uid="{00000000-0005-0000-0000-00006C010000}"/>
    <cellStyle name="Input 17" xfId="320" xr:uid="{00000000-0005-0000-0000-00006D010000}"/>
    <cellStyle name="Input 17 2" xfId="321" xr:uid="{00000000-0005-0000-0000-00006E010000}"/>
    <cellStyle name="Input 18" xfId="322" xr:uid="{00000000-0005-0000-0000-00006F010000}"/>
    <cellStyle name="Input 19" xfId="323" xr:uid="{00000000-0005-0000-0000-000070010000}"/>
    <cellStyle name="Input 2" xfId="324" xr:uid="{00000000-0005-0000-0000-000071010000}"/>
    <cellStyle name="Input 2 2" xfId="325" xr:uid="{00000000-0005-0000-0000-000072010000}"/>
    <cellStyle name="Input 2 2 2" xfId="326" xr:uid="{00000000-0005-0000-0000-000073010000}"/>
    <cellStyle name="Input 2 3" xfId="327" xr:uid="{00000000-0005-0000-0000-000074010000}"/>
    <cellStyle name="Input 2 3 2" xfId="328" xr:uid="{00000000-0005-0000-0000-000075010000}"/>
    <cellStyle name="Input 2 4" xfId="329" xr:uid="{00000000-0005-0000-0000-000076010000}"/>
    <cellStyle name="Input 2 4 2" xfId="330" xr:uid="{00000000-0005-0000-0000-000077010000}"/>
    <cellStyle name="Input 2 5" xfId="331" xr:uid="{00000000-0005-0000-0000-000078010000}"/>
    <cellStyle name="Input 2 5 2" xfId="332" xr:uid="{00000000-0005-0000-0000-000079010000}"/>
    <cellStyle name="Input 2 6" xfId="333" xr:uid="{00000000-0005-0000-0000-00007A010000}"/>
    <cellStyle name="Input 2 6 2" xfId="334" xr:uid="{00000000-0005-0000-0000-00007B010000}"/>
    <cellStyle name="Input 2 7" xfId="335" xr:uid="{00000000-0005-0000-0000-00007C010000}"/>
    <cellStyle name="Input 20" xfId="336" xr:uid="{00000000-0005-0000-0000-00007D010000}"/>
    <cellStyle name="Input 21" xfId="337" xr:uid="{00000000-0005-0000-0000-00007E010000}"/>
    <cellStyle name="Input 22" xfId="338" xr:uid="{00000000-0005-0000-0000-00007F010000}"/>
    <cellStyle name="Input 23" xfId="339" xr:uid="{00000000-0005-0000-0000-000080010000}"/>
    <cellStyle name="Input 24" xfId="340" xr:uid="{00000000-0005-0000-0000-000081010000}"/>
    <cellStyle name="Input 25" xfId="341" xr:uid="{00000000-0005-0000-0000-000082010000}"/>
    <cellStyle name="Input 26" xfId="342" xr:uid="{00000000-0005-0000-0000-000083010000}"/>
    <cellStyle name="Input 3" xfId="343" xr:uid="{00000000-0005-0000-0000-000084010000}"/>
    <cellStyle name="Input 3 2" xfId="344" xr:uid="{00000000-0005-0000-0000-000085010000}"/>
    <cellStyle name="Input 4" xfId="345" xr:uid="{00000000-0005-0000-0000-000086010000}"/>
    <cellStyle name="Input 4 2" xfId="346" xr:uid="{00000000-0005-0000-0000-000087010000}"/>
    <cellStyle name="Input 5" xfId="347" xr:uid="{00000000-0005-0000-0000-000088010000}"/>
    <cellStyle name="Input 5 2" xfId="348" xr:uid="{00000000-0005-0000-0000-000089010000}"/>
    <cellStyle name="Input 6" xfId="349" xr:uid="{00000000-0005-0000-0000-00008A010000}"/>
    <cellStyle name="Input 6 2" xfId="350" xr:uid="{00000000-0005-0000-0000-00008B010000}"/>
    <cellStyle name="Input 7" xfId="351" xr:uid="{00000000-0005-0000-0000-00008C010000}"/>
    <cellStyle name="Input 7 2" xfId="352" xr:uid="{00000000-0005-0000-0000-00008D010000}"/>
    <cellStyle name="Input 8" xfId="353" xr:uid="{00000000-0005-0000-0000-00008E010000}"/>
    <cellStyle name="Input 8 2" xfId="354" xr:uid="{00000000-0005-0000-0000-00008F010000}"/>
    <cellStyle name="Input 9" xfId="355" xr:uid="{00000000-0005-0000-0000-000090010000}"/>
    <cellStyle name="Input 9 2" xfId="356" xr:uid="{00000000-0005-0000-0000-000091010000}"/>
    <cellStyle name="J401K" xfId="357" xr:uid="{00000000-0005-0000-0000-000092010000}"/>
    <cellStyle name="Linked Cell" xfId="358" xr:uid="{00000000-0005-0000-0000-000093010000}"/>
    <cellStyle name="Millares [0]_Compra" xfId="359" xr:uid="{00000000-0005-0000-0000-000094010000}"/>
    <cellStyle name="Millares_Compra" xfId="360" xr:uid="{00000000-0005-0000-0000-000095010000}"/>
    <cellStyle name="Moneda [0]_Compra" xfId="361" xr:uid="{00000000-0005-0000-0000-000096010000}"/>
    <cellStyle name="Moneda_Compra" xfId="362" xr:uid="{00000000-0005-0000-0000-000097010000}"/>
    <cellStyle name="Neutral" xfId="363" xr:uid="{00000000-0005-0000-0000-000098010000}"/>
    <cellStyle name="no dec" xfId="364" xr:uid="{00000000-0005-0000-0000-000099010000}"/>
    <cellStyle name="Normal - Style1" xfId="365" xr:uid="{00000000-0005-0000-0000-00009A010000}"/>
    <cellStyle name="Normal - Style1 2" xfId="366" xr:uid="{00000000-0005-0000-0000-00009B010000}"/>
    <cellStyle name="Normal - Style1 2 2" xfId="367" xr:uid="{00000000-0005-0000-0000-00009C010000}"/>
    <cellStyle name="Normal - Style1 2 3" xfId="368" xr:uid="{00000000-0005-0000-0000-00009D010000}"/>
    <cellStyle name="Normal_#18-Internet" xfId="369" xr:uid="{00000000-0005-0000-0000-00009E010000}"/>
    <cellStyle name="Note" xfId="370" xr:uid="{00000000-0005-0000-0000-00009F010000}"/>
    <cellStyle name="Note 2" xfId="371" xr:uid="{00000000-0005-0000-0000-0000A0010000}"/>
    <cellStyle name="Note 2 2" xfId="372" xr:uid="{00000000-0005-0000-0000-0000A1010000}"/>
    <cellStyle name="Note 2 2 2" xfId="373" xr:uid="{00000000-0005-0000-0000-0000A2010000}"/>
    <cellStyle name="Note 2 2 2 2" xfId="374" xr:uid="{00000000-0005-0000-0000-0000A3010000}"/>
    <cellStyle name="Note 2 2 3" xfId="375" xr:uid="{00000000-0005-0000-0000-0000A4010000}"/>
    <cellStyle name="Note 2 2 3 2" xfId="376" xr:uid="{00000000-0005-0000-0000-0000A5010000}"/>
    <cellStyle name="Note 2 2 4" xfId="377" xr:uid="{00000000-0005-0000-0000-0000A6010000}"/>
    <cellStyle name="Note 2 2 4 2" xfId="378" xr:uid="{00000000-0005-0000-0000-0000A7010000}"/>
    <cellStyle name="Note 2 2 5" xfId="379" xr:uid="{00000000-0005-0000-0000-0000A8010000}"/>
    <cellStyle name="Note 2 2 5 2" xfId="380" xr:uid="{00000000-0005-0000-0000-0000A9010000}"/>
    <cellStyle name="Note 2 2 6" xfId="381" xr:uid="{00000000-0005-0000-0000-0000AA010000}"/>
    <cellStyle name="Note 2 2 6 2" xfId="382" xr:uid="{00000000-0005-0000-0000-0000AB010000}"/>
    <cellStyle name="Note 2 2 7" xfId="383" xr:uid="{00000000-0005-0000-0000-0000AC010000}"/>
    <cellStyle name="Note 2 3" xfId="384" xr:uid="{00000000-0005-0000-0000-0000AD010000}"/>
    <cellStyle name="Note 2 3 2" xfId="385" xr:uid="{00000000-0005-0000-0000-0000AE010000}"/>
    <cellStyle name="Note 2 4" xfId="386" xr:uid="{00000000-0005-0000-0000-0000AF010000}"/>
    <cellStyle name="Note 3" xfId="387" xr:uid="{00000000-0005-0000-0000-0000B0010000}"/>
    <cellStyle name="Note 3 2" xfId="388" xr:uid="{00000000-0005-0000-0000-0000B1010000}"/>
    <cellStyle name="Note 3 2 2" xfId="389" xr:uid="{00000000-0005-0000-0000-0000B2010000}"/>
    <cellStyle name="Note 3 2 2 2" xfId="390" xr:uid="{00000000-0005-0000-0000-0000B3010000}"/>
    <cellStyle name="Note 3 2 3" xfId="391" xr:uid="{00000000-0005-0000-0000-0000B4010000}"/>
    <cellStyle name="Note 3 2 3 2" xfId="392" xr:uid="{00000000-0005-0000-0000-0000B5010000}"/>
    <cellStyle name="Note 3 2 4" xfId="393" xr:uid="{00000000-0005-0000-0000-0000B6010000}"/>
    <cellStyle name="Note 3 2 4 2" xfId="394" xr:uid="{00000000-0005-0000-0000-0000B7010000}"/>
    <cellStyle name="Note 3 2 5" xfId="395" xr:uid="{00000000-0005-0000-0000-0000B8010000}"/>
    <cellStyle name="Note 3 2 5 2" xfId="396" xr:uid="{00000000-0005-0000-0000-0000B9010000}"/>
    <cellStyle name="Note 3 2 6" xfId="397" xr:uid="{00000000-0005-0000-0000-0000BA010000}"/>
    <cellStyle name="Note 3 2 6 2" xfId="398" xr:uid="{00000000-0005-0000-0000-0000BB010000}"/>
    <cellStyle name="Note 3 2 7" xfId="399" xr:uid="{00000000-0005-0000-0000-0000BC010000}"/>
    <cellStyle name="Note 3 3" xfId="400" xr:uid="{00000000-0005-0000-0000-0000BD010000}"/>
    <cellStyle name="Note 3 3 2" xfId="401" xr:uid="{00000000-0005-0000-0000-0000BE010000}"/>
    <cellStyle name="Note 3 4" xfId="402" xr:uid="{00000000-0005-0000-0000-0000BF010000}"/>
    <cellStyle name="Note 3 4 2" xfId="403" xr:uid="{00000000-0005-0000-0000-0000C0010000}"/>
    <cellStyle name="Note 3 5" xfId="404" xr:uid="{00000000-0005-0000-0000-0000C1010000}"/>
    <cellStyle name="Note 3 5 2" xfId="405" xr:uid="{00000000-0005-0000-0000-0000C2010000}"/>
    <cellStyle name="Note 3 6" xfId="406" xr:uid="{00000000-0005-0000-0000-0000C3010000}"/>
    <cellStyle name="Note 3 6 2" xfId="407" xr:uid="{00000000-0005-0000-0000-0000C4010000}"/>
    <cellStyle name="Note 3 7" xfId="408" xr:uid="{00000000-0005-0000-0000-0000C5010000}"/>
    <cellStyle name="Note 3 7 2" xfId="409" xr:uid="{00000000-0005-0000-0000-0000C6010000}"/>
    <cellStyle name="Note 3 8" xfId="410" xr:uid="{00000000-0005-0000-0000-0000C7010000}"/>
    <cellStyle name="Note 4" xfId="411" xr:uid="{00000000-0005-0000-0000-0000C8010000}"/>
    <cellStyle name="Note 4 2" xfId="412" xr:uid="{00000000-0005-0000-0000-0000C9010000}"/>
    <cellStyle name="Note 4 2 2" xfId="413" xr:uid="{00000000-0005-0000-0000-0000CA010000}"/>
    <cellStyle name="Note 4 3" xfId="414" xr:uid="{00000000-0005-0000-0000-0000CB010000}"/>
    <cellStyle name="Note 4 3 2" xfId="415" xr:uid="{00000000-0005-0000-0000-0000CC010000}"/>
    <cellStyle name="Note 4 4" xfId="416" xr:uid="{00000000-0005-0000-0000-0000CD010000}"/>
    <cellStyle name="Note 4 4 2" xfId="417" xr:uid="{00000000-0005-0000-0000-0000CE010000}"/>
    <cellStyle name="Note 4 5" xfId="418" xr:uid="{00000000-0005-0000-0000-0000CF010000}"/>
    <cellStyle name="Note 4 5 2" xfId="419" xr:uid="{00000000-0005-0000-0000-0000D0010000}"/>
    <cellStyle name="Note 4 6" xfId="420" xr:uid="{00000000-0005-0000-0000-0000D1010000}"/>
    <cellStyle name="Note 4 6 2" xfId="421" xr:uid="{00000000-0005-0000-0000-0000D2010000}"/>
    <cellStyle name="Note 4 7" xfId="422" xr:uid="{00000000-0005-0000-0000-0000D3010000}"/>
    <cellStyle name="Note 5" xfId="423" xr:uid="{00000000-0005-0000-0000-0000D4010000}"/>
    <cellStyle name="Note 5 2" xfId="424" xr:uid="{00000000-0005-0000-0000-0000D5010000}"/>
    <cellStyle name="Output" xfId="425" xr:uid="{00000000-0005-0000-0000-0000D6010000}"/>
    <cellStyle name="Output 2" xfId="426" xr:uid="{00000000-0005-0000-0000-0000D7010000}"/>
    <cellStyle name="Output 2 2" xfId="427" xr:uid="{00000000-0005-0000-0000-0000D8010000}"/>
    <cellStyle name="Output 2 2 2" xfId="428" xr:uid="{00000000-0005-0000-0000-0000D9010000}"/>
    <cellStyle name="Output 2 3" xfId="429" xr:uid="{00000000-0005-0000-0000-0000DA010000}"/>
    <cellStyle name="Output 2 3 2" xfId="430" xr:uid="{00000000-0005-0000-0000-0000DB010000}"/>
    <cellStyle name="Output 2 4" xfId="431" xr:uid="{00000000-0005-0000-0000-0000DC010000}"/>
    <cellStyle name="Output 2 4 2" xfId="432" xr:uid="{00000000-0005-0000-0000-0000DD010000}"/>
    <cellStyle name="Output 2 5" xfId="433" xr:uid="{00000000-0005-0000-0000-0000DE010000}"/>
    <cellStyle name="Output 2 5 2" xfId="434" xr:uid="{00000000-0005-0000-0000-0000DF010000}"/>
    <cellStyle name="Output 2 6" xfId="435" xr:uid="{00000000-0005-0000-0000-0000E0010000}"/>
    <cellStyle name="Output 2 6 2" xfId="436" xr:uid="{00000000-0005-0000-0000-0000E1010000}"/>
    <cellStyle name="Output 2 7" xfId="437" xr:uid="{00000000-0005-0000-0000-0000E2010000}"/>
    <cellStyle name="Output 3" xfId="438" xr:uid="{00000000-0005-0000-0000-0000E3010000}"/>
    <cellStyle name="Output 3 2" xfId="439" xr:uid="{00000000-0005-0000-0000-0000E4010000}"/>
    <cellStyle name="per.style" xfId="440" xr:uid="{00000000-0005-0000-0000-0000E5010000}"/>
    <cellStyle name="Percent [2]" xfId="441" xr:uid="{00000000-0005-0000-0000-0000E6010000}"/>
    <cellStyle name="price" xfId="442" xr:uid="{00000000-0005-0000-0000-0000E7010000}"/>
    <cellStyle name="PSChar" xfId="443" xr:uid="{00000000-0005-0000-0000-0000E8010000}"/>
    <cellStyle name="PSHeading" xfId="444" xr:uid="{00000000-0005-0000-0000-0000E9010000}"/>
    <cellStyle name="QDF" xfId="445" xr:uid="{00000000-0005-0000-0000-0000EA010000}"/>
    <cellStyle name="revised" xfId="446" xr:uid="{00000000-0005-0000-0000-0000EB010000}"/>
    <cellStyle name="section" xfId="447" xr:uid="{00000000-0005-0000-0000-0000EC010000}"/>
    <cellStyle name="subhead" xfId="448" xr:uid="{00000000-0005-0000-0000-0000ED010000}"/>
    <cellStyle name="title" xfId="449" xr:uid="{00000000-0005-0000-0000-0000EE010000}"/>
    <cellStyle name="Total" xfId="450" xr:uid="{00000000-0005-0000-0000-0000EF010000}"/>
    <cellStyle name="Total 2" xfId="451" xr:uid="{00000000-0005-0000-0000-0000F0010000}"/>
    <cellStyle name="Total 2 2" xfId="452" xr:uid="{00000000-0005-0000-0000-0000F1010000}"/>
    <cellStyle name="Total 2 2 2" xfId="453" xr:uid="{00000000-0005-0000-0000-0000F2010000}"/>
    <cellStyle name="Total 2 3" xfId="454" xr:uid="{00000000-0005-0000-0000-0000F3010000}"/>
    <cellStyle name="Total 2 3 2" xfId="455" xr:uid="{00000000-0005-0000-0000-0000F4010000}"/>
    <cellStyle name="Total 2 4" xfId="456" xr:uid="{00000000-0005-0000-0000-0000F5010000}"/>
    <cellStyle name="Total 2 4 2" xfId="457" xr:uid="{00000000-0005-0000-0000-0000F6010000}"/>
    <cellStyle name="Total 2 5" xfId="458" xr:uid="{00000000-0005-0000-0000-0000F7010000}"/>
    <cellStyle name="Total 2 5 2" xfId="459" xr:uid="{00000000-0005-0000-0000-0000F8010000}"/>
    <cellStyle name="Total 2 6" xfId="460" xr:uid="{00000000-0005-0000-0000-0000F9010000}"/>
    <cellStyle name="Total 2 6 2" xfId="461" xr:uid="{00000000-0005-0000-0000-0000FA010000}"/>
    <cellStyle name="Total 2 7" xfId="462" xr:uid="{00000000-0005-0000-0000-0000FB010000}"/>
    <cellStyle name="Total 3" xfId="463" xr:uid="{00000000-0005-0000-0000-0000FC010000}"/>
    <cellStyle name="Total 3 2" xfId="464" xr:uid="{00000000-0005-0000-0000-0000FD010000}"/>
    <cellStyle name="Warning Text" xfId="465" xr:uid="{00000000-0005-0000-0000-0000FE010000}"/>
    <cellStyle name="アクセント 1 2" xfId="466" xr:uid="{00000000-0005-0000-0000-0000FF010000}"/>
    <cellStyle name="アクセント 1 3" xfId="467" xr:uid="{00000000-0005-0000-0000-000000020000}"/>
    <cellStyle name="アクセント 1 4" xfId="468" xr:uid="{00000000-0005-0000-0000-000001020000}"/>
    <cellStyle name="アクセント 1 5" xfId="469" xr:uid="{00000000-0005-0000-0000-000002020000}"/>
    <cellStyle name="アクセント 1 6" xfId="470" xr:uid="{00000000-0005-0000-0000-000003020000}"/>
    <cellStyle name="アクセント 1 7" xfId="471" xr:uid="{00000000-0005-0000-0000-000004020000}"/>
    <cellStyle name="アクセント 1 8" xfId="472" xr:uid="{00000000-0005-0000-0000-000005020000}"/>
    <cellStyle name="アクセント 1 9" xfId="473" xr:uid="{00000000-0005-0000-0000-000006020000}"/>
    <cellStyle name="アクセント 2 2" xfId="474" xr:uid="{00000000-0005-0000-0000-000007020000}"/>
    <cellStyle name="アクセント 2 3" xfId="475" xr:uid="{00000000-0005-0000-0000-000008020000}"/>
    <cellStyle name="アクセント 2 4" xfId="476" xr:uid="{00000000-0005-0000-0000-000009020000}"/>
    <cellStyle name="アクセント 2 5" xfId="477" xr:uid="{00000000-0005-0000-0000-00000A020000}"/>
    <cellStyle name="アクセント 2 6" xfId="478" xr:uid="{00000000-0005-0000-0000-00000B020000}"/>
    <cellStyle name="アクセント 2 7" xfId="479" xr:uid="{00000000-0005-0000-0000-00000C020000}"/>
    <cellStyle name="アクセント 2 8" xfId="480" xr:uid="{00000000-0005-0000-0000-00000D020000}"/>
    <cellStyle name="アクセント 2 9" xfId="481" xr:uid="{00000000-0005-0000-0000-00000E020000}"/>
    <cellStyle name="アクセント 3 2" xfId="482" xr:uid="{00000000-0005-0000-0000-00000F020000}"/>
    <cellStyle name="アクセント 3 3" xfId="483" xr:uid="{00000000-0005-0000-0000-000010020000}"/>
    <cellStyle name="アクセント 3 4" xfId="484" xr:uid="{00000000-0005-0000-0000-000011020000}"/>
    <cellStyle name="アクセント 3 5" xfId="485" xr:uid="{00000000-0005-0000-0000-000012020000}"/>
    <cellStyle name="アクセント 3 6" xfId="486" xr:uid="{00000000-0005-0000-0000-000013020000}"/>
    <cellStyle name="アクセント 3 7" xfId="487" xr:uid="{00000000-0005-0000-0000-000014020000}"/>
    <cellStyle name="アクセント 3 8" xfId="488" xr:uid="{00000000-0005-0000-0000-000015020000}"/>
    <cellStyle name="アクセント 3 9" xfId="489" xr:uid="{00000000-0005-0000-0000-000016020000}"/>
    <cellStyle name="アクセント 4 2" xfId="490" xr:uid="{00000000-0005-0000-0000-000017020000}"/>
    <cellStyle name="アクセント 4 3" xfId="491" xr:uid="{00000000-0005-0000-0000-000018020000}"/>
    <cellStyle name="アクセント 4 4" xfId="492" xr:uid="{00000000-0005-0000-0000-000019020000}"/>
    <cellStyle name="アクセント 4 5" xfId="493" xr:uid="{00000000-0005-0000-0000-00001A020000}"/>
    <cellStyle name="アクセント 4 6" xfId="494" xr:uid="{00000000-0005-0000-0000-00001B020000}"/>
    <cellStyle name="アクセント 4 7" xfId="495" xr:uid="{00000000-0005-0000-0000-00001C020000}"/>
    <cellStyle name="アクセント 4 8" xfId="496" xr:uid="{00000000-0005-0000-0000-00001D020000}"/>
    <cellStyle name="アクセント 4 9" xfId="497" xr:uid="{00000000-0005-0000-0000-00001E020000}"/>
    <cellStyle name="アクセント 5 2" xfId="498" xr:uid="{00000000-0005-0000-0000-00001F020000}"/>
    <cellStyle name="アクセント 5 3" xfId="499" xr:uid="{00000000-0005-0000-0000-000020020000}"/>
    <cellStyle name="アクセント 5 4" xfId="500" xr:uid="{00000000-0005-0000-0000-000021020000}"/>
    <cellStyle name="アクセント 5 5" xfId="501" xr:uid="{00000000-0005-0000-0000-000022020000}"/>
    <cellStyle name="アクセント 5 6" xfId="502" xr:uid="{00000000-0005-0000-0000-000023020000}"/>
    <cellStyle name="アクセント 5 7" xfId="503" xr:uid="{00000000-0005-0000-0000-000024020000}"/>
    <cellStyle name="アクセント 5 8" xfId="504" xr:uid="{00000000-0005-0000-0000-000025020000}"/>
    <cellStyle name="アクセント 5 9" xfId="505" xr:uid="{00000000-0005-0000-0000-000026020000}"/>
    <cellStyle name="アクセント 6 2" xfId="506" xr:uid="{00000000-0005-0000-0000-000027020000}"/>
    <cellStyle name="アクセント 6 3" xfId="507" xr:uid="{00000000-0005-0000-0000-000028020000}"/>
    <cellStyle name="アクセント 6 4" xfId="508" xr:uid="{00000000-0005-0000-0000-000029020000}"/>
    <cellStyle name="アクセント 6 5" xfId="509" xr:uid="{00000000-0005-0000-0000-00002A020000}"/>
    <cellStyle name="アクセント 6 6" xfId="510" xr:uid="{00000000-0005-0000-0000-00002B020000}"/>
    <cellStyle name="アクセント 6 7" xfId="511" xr:uid="{00000000-0005-0000-0000-00002C020000}"/>
    <cellStyle name="アクセント 6 8" xfId="512" xr:uid="{00000000-0005-0000-0000-00002D020000}"/>
    <cellStyle name="アクセント 6 9" xfId="513" xr:uid="{00000000-0005-0000-0000-00002E020000}"/>
    <cellStyle name="センター" xfId="514" xr:uid="{00000000-0005-0000-0000-00002F020000}"/>
    <cellStyle name="タイトル 2" xfId="515" xr:uid="{00000000-0005-0000-0000-000030020000}"/>
    <cellStyle name="タイトル 3" xfId="516" xr:uid="{00000000-0005-0000-0000-000031020000}"/>
    <cellStyle name="タイトル 4" xfId="517" xr:uid="{00000000-0005-0000-0000-000032020000}"/>
    <cellStyle name="タイトル 5" xfId="518" xr:uid="{00000000-0005-0000-0000-000033020000}"/>
    <cellStyle name="タイトル 6" xfId="519" xr:uid="{00000000-0005-0000-0000-000034020000}"/>
    <cellStyle name="タイトル 7" xfId="520" xr:uid="{00000000-0005-0000-0000-000035020000}"/>
    <cellStyle name="タイトル 8" xfId="521" xr:uid="{00000000-0005-0000-0000-000036020000}"/>
    <cellStyle name="タイトル 9" xfId="522" xr:uid="{00000000-0005-0000-0000-000037020000}"/>
    <cellStyle name="チェック セル 2" xfId="523" xr:uid="{00000000-0005-0000-0000-000038020000}"/>
    <cellStyle name="チェック セル 3" xfId="524" xr:uid="{00000000-0005-0000-0000-000039020000}"/>
    <cellStyle name="チェック セル 4" xfId="525" xr:uid="{00000000-0005-0000-0000-00003A020000}"/>
    <cellStyle name="チェック セル 5" xfId="526" xr:uid="{00000000-0005-0000-0000-00003B020000}"/>
    <cellStyle name="チェック セル 6" xfId="527" xr:uid="{00000000-0005-0000-0000-00003C020000}"/>
    <cellStyle name="チェック セル 7" xfId="528" xr:uid="{00000000-0005-0000-0000-00003D020000}"/>
    <cellStyle name="チェック セル 8" xfId="529" xr:uid="{00000000-0005-0000-0000-00003E020000}"/>
    <cellStyle name="チェック セル 9" xfId="530" xr:uid="{00000000-0005-0000-0000-00003F020000}"/>
    <cellStyle name="チャート" xfId="531" xr:uid="{00000000-0005-0000-0000-000040020000}"/>
    <cellStyle name="どちらでもない 2" xfId="532" xr:uid="{00000000-0005-0000-0000-000041020000}"/>
    <cellStyle name="どちらでもない 3" xfId="533" xr:uid="{00000000-0005-0000-0000-000042020000}"/>
    <cellStyle name="どちらでもない 4" xfId="534" xr:uid="{00000000-0005-0000-0000-000043020000}"/>
    <cellStyle name="どちらでもない 5" xfId="535" xr:uid="{00000000-0005-0000-0000-000044020000}"/>
    <cellStyle name="どちらでもない 6" xfId="536" xr:uid="{00000000-0005-0000-0000-000045020000}"/>
    <cellStyle name="どちらでもない 7" xfId="537" xr:uid="{00000000-0005-0000-0000-000046020000}"/>
    <cellStyle name="どちらでもない 8" xfId="538" xr:uid="{00000000-0005-0000-0000-000047020000}"/>
    <cellStyle name="どちらでもない 9" xfId="539" xr:uid="{00000000-0005-0000-0000-000048020000}"/>
    <cellStyle name="パーセント 2" xfId="540" xr:uid="{00000000-0005-0000-0000-000049020000}"/>
    <cellStyle name="パーセント 2 2" xfId="541" xr:uid="{00000000-0005-0000-0000-00004A020000}"/>
    <cellStyle name="パーセント 3" xfId="542" xr:uid="{00000000-0005-0000-0000-00004B020000}"/>
    <cellStyle name="ハイパーリンク 2" xfId="543" xr:uid="{00000000-0005-0000-0000-00004C020000}"/>
    <cellStyle name="ハイパーリンク 2 2" xfId="544" xr:uid="{00000000-0005-0000-0000-00004D020000}"/>
    <cellStyle name="ハイパーリンク 2 3" xfId="545" xr:uid="{00000000-0005-0000-0000-00004E020000}"/>
    <cellStyle name="ハイパーリンク 3" xfId="546" xr:uid="{00000000-0005-0000-0000-00004F020000}"/>
    <cellStyle name="メモ 2" xfId="547" xr:uid="{00000000-0005-0000-0000-000050020000}"/>
    <cellStyle name="メモ 2 2" xfId="548" xr:uid="{00000000-0005-0000-0000-000051020000}"/>
    <cellStyle name="メモ 2 2 2" xfId="549" xr:uid="{00000000-0005-0000-0000-000052020000}"/>
    <cellStyle name="メモ 2 2 2 2" xfId="550" xr:uid="{00000000-0005-0000-0000-000053020000}"/>
    <cellStyle name="メモ 2 2 2 2 2" xfId="551" xr:uid="{00000000-0005-0000-0000-000054020000}"/>
    <cellStyle name="メモ 2 2 2 3" xfId="552" xr:uid="{00000000-0005-0000-0000-000055020000}"/>
    <cellStyle name="メモ 2 2 2 3 2" xfId="553" xr:uid="{00000000-0005-0000-0000-000056020000}"/>
    <cellStyle name="メモ 2 2 2 4" xfId="554" xr:uid="{00000000-0005-0000-0000-000057020000}"/>
    <cellStyle name="メモ 2 2 2 4 2" xfId="555" xr:uid="{00000000-0005-0000-0000-000058020000}"/>
    <cellStyle name="メモ 2 2 2 5" xfId="556" xr:uid="{00000000-0005-0000-0000-000059020000}"/>
    <cellStyle name="メモ 2 2 2 5 2" xfId="557" xr:uid="{00000000-0005-0000-0000-00005A020000}"/>
    <cellStyle name="メモ 2 2 2 6" xfId="558" xr:uid="{00000000-0005-0000-0000-00005B020000}"/>
    <cellStyle name="メモ 2 2 2 6 2" xfId="559" xr:uid="{00000000-0005-0000-0000-00005C020000}"/>
    <cellStyle name="メモ 2 2 2 7" xfId="560" xr:uid="{00000000-0005-0000-0000-00005D020000}"/>
    <cellStyle name="メモ 2 2 3" xfId="561" xr:uid="{00000000-0005-0000-0000-00005E020000}"/>
    <cellStyle name="メモ 2 2 3 2" xfId="562" xr:uid="{00000000-0005-0000-0000-00005F020000}"/>
    <cellStyle name="メモ 2 2 4" xfId="563" xr:uid="{00000000-0005-0000-0000-000060020000}"/>
    <cellStyle name="メモ 2 3" xfId="564" xr:uid="{00000000-0005-0000-0000-000061020000}"/>
    <cellStyle name="メモ 2 3 2" xfId="565" xr:uid="{00000000-0005-0000-0000-000062020000}"/>
    <cellStyle name="メモ 2 3 2 2" xfId="566" xr:uid="{00000000-0005-0000-0000-000063020000}"/>
    <cellStyle name="メモ 2 3 2 2 2" xfId="567" xr:uid="{00000000-0005-0000-0000-000064020000}"/>
    <cellStyle name="メモ 2 3 2 3" xfId="568" xr:uid="{00000000-0005-0000-0000-000065020000}"/>
    <cellStyle name="メモ 2 3 2 3 2" xfId="569" xr:uid="{00000000-0005-0000-0000-000066020000}"/>
    <cellStyle name="メモ 2 3 2 4" xfId="570" xr:uid="{00000000-0005-0000-0000-000067020000}"/>
    <cellStyle name="メモ 2 3 2 4 2" xfId="571" xr:uid="{00000000-0005-0000-0000-000068020000}"/>
    <cellStyle name="メモ 2 3 2 5" xfId="572" xr:uid="{00000000-0005-0000-0000-000069020000}"/>
    <cellStyle name="メモ 2 3 2 5 2" xfId="573" xr:uid="{00000000-0005-0000-0000-00006A020000}"/>
    <cellStyle name="メモ 2 3 2 6" xfId="574" xr:uid="{00000000-0005-0000-0000-00006B020000}"/>
    <cellStyle name="メモ 2 3 2 6 2" xfId="575" xr:uid="{00000000-0005-0000-0000-00006C020000}"/>
    <cellStyle name="メモ 2 3 2 7" xfId="576" xr:uid="{00000000-0005-0000-0000-00006D020000}"/>
    <cellStyle name="メモ 2 3 3" xfId="577" xr:uid="{00000000-0005-0000-0000-00006E020000}"/>
    <cellStyle name="メモ 2 3 3 2" xfId="578" xr:uid="{00000000-0005-0000-0000-00006F020000}"/>
    <cellStyle name="メモ 2 4" xfId="579" xr:uid="{00000000-0005-0000-0000-000070020000}"/>
    <cellStyle name="メモ 2 4 2" xfId="580" xr:uid="{00000000-0005-0000-0000-000071020000}"/>
    <cellStyle name="メモ 2 4 2 2" xfId="581" xr:uid="{00000000-0005-0000-0000-000072020000}"/>
    <cellStyle name="メモ 2 4 2 2 2" xfId="582" xr:uid="{00000000-0005-0000-0000-000073020000}"/>
    <cellStyle name="メモ 2 4 2 3" xfId="583" xr:uid="{00000000-0005-0000-0000-000074020000}"/>
    <cellStyle name="メモ 2 4 2 3 2" xfId="584" xr:uid="{00000000-0005-0000-0000-000075020000}"/>
    <cellStyle name="メモ 2 4 2 4" xfId="585" xr:uid="{00000000-0005-0000-0000-000076020000}"/>
    <cellStyle name="メモ 2 4 2 4 2" xfId="586" xr:uid="{00000000-0005-0000-0000-000077020000}"/>
    <cellStyle name="メモ 2 4 2 5" xfId="587" xr:uid="{00000000-0005-0000-0000-000078020000}"/>
    <cellStyle name="メモ 2 4 2 5 2" xfId="588" xr:uid="{00000000-0005-0000-0000-000079020000}"/>
    <cellStyle name="メモ 2 4 2 6" xfId="589" xr:uid="{00000000-0005-0000-0000-00007A020000}"/>
    <cellStyle name="メモ 2 4 2 6 2" xfId="590" xr:uid="{00000000-0005-0000-0000-00007B020000}"/>
    <cellStyle name="メモ 2 4 2 7" xfId="591" xr:uid="{00000000-0005-0000-0000-00007C020000}"/>
    <cellStyle name="メモ 2 4 3" xfId="592" xr:uid="{00000000-0005-0000-0000-00007D020000}"/>
    <cellStyle name="メモ 2 4 3 2" xfId="593" xr:uid="{00000000-0005-0000-0000-00007E020000}"/>
    <cellStyle name="メモ 2 4 4" xfId="594" xr:uid="{00000000-0005-0000-0000-00007F020000}"/>
    <cellStyle name="メモ 2 4 4 2" xfId="595" xr:uid="{00000000-0005-0000-0000-000080020000}"/>
    <cellStyle name="メモ 2 4 5" xfId="596" xr:uid="{00000000-0005-0000-0000-000081020000}"/>
    <cellStyle name="メモ 2 4 5 2" xfId="597" xr:uid="{00000000-0005-0000-0000-000082020000}"/>
    <cellStyle name="メモ 2 4 6" xfId="598" xr:uid="{00000000-0005-0000-0000-000083020000}"/>
    <cellStyle name="メモ 2 4 6 2" xfId="599" xr:uid="{00000000-0005-0000-0000-000084020000}"/>
    <cellStyle name="メモ 2 4 7" xfId="600" xr:uid="{00000000-0005-0000-0000-000085020000}"/>
    <cellStyle name="メモ 2 4 7 2" xfId="601" xr:uid="{00000000-0005-0000-0000-000086020000}"/>
    <cellStyle name="メモ 2 4 8" xfId="602" xr:uid="{00000000-0005-0000-0000-000087020000}"/>
    <cellStyle name="メモ 2 5" xfId="603" xr:uid="{00000000-0005-0000-0000-000088020000}"/>
    <cellStyle name="メモ 2 5 2" xfId="604" xr:uid="{00000000-0005-0000-0000-000089020000}"/>
    <cellStyle name="メモ 2 5 2 2" xfId="605" xr:uid="{00000000-0005-0000-0000-00008A020000}"/>
    <cellStyle name="メモ 2 5 2 2 2" xfId="606" xr:uid="{00000000-0005-0000-0000-00008B020000}"/>
    <cellStyle name="メモ 2 5 2 3" xfId="607" xr:uid="{00000000-0005-0000-0000-00008C020000}"/>
    <cellStyle name="メモ 2 5 2 3 2" xfId="608" xr:uid="{00000000-0005-0000-0000-00008D020000}"/>
    <cellStyle name="メモ 2 5 2 4" xfId="609" xr:uid="{00000000-0005-0000-0000-00008E020000}"/>
    <cellStyle name="メモ 2 5 2 4 2" xfId="610" xr:uid="{00000000-0005-0000-0000-00008F020000}"/>
    <cellStyle name="メモ 2 5 2 5" xfId="611" xr:uid="{00000000-0005-0000-0000-000090020000}"/>
    <cellStyle name="メモ 2 5 2 5 2" xfId="612" xr:uid="{00000000-0005-0000-0000-000091020000}"/>
    <cellStyle name="メモ 2 5 2 6" xfId="613" xr:uid="{00000000-0005-0000-0000-000092020000}"/>
    <cellStyle name="メモ 2 5 2 6 2" xfId="614" xr:uid="{00000000-0005-0000-0000-000093020000}"/>
    <cellStyle name="メモ 2 5 2 7" xfId="615" xr:uid="{00000000-0005-0000-0000-000094020000}"/>
    <cellStyle name="メモ 2 5 3" xfId="616" xr:uid="{00000000-0005-0000-0000-000095020000}"/>
    <cellStyle name="メモ 2 5 3 2" xfId="617" xr:uid="{00000000-0005-0000-0000-000096020000}"/>
    <cellStyle name="メモ 2 5 4" xfId="618" xr:uid="{00000000-0005-0000-0000-000097020000}"/>
    <cellStyle name="メモ 2 5 4 2" xfId="619" xr:uid="{00000000-0005-0000-0000-000098020000}"/>
    <cellStyle name="メモ 2 5 5" xfId="620" xr:uid="{00000000-0005-0000-0000-000099020000}"/>
    <cellStyle name="メモ 2 5 5 2" xfId="621" xr:uid="{00000000-0005-0000-0000-00009A020000}"/>
    <cellStyle name="メモ 2 5 6" xfId="622" xr:uid="{00000000-0005-0000-0000-00009B020000}"/>
    <cellStyle name="メモ 2 5 6 2" xfId="623" xr:uid="{00000000-0005-0000-0000-00009C020000}"/>
    <cellStyle name="メモ 2 5 7" xfId="624" xr:uid="{00000000-0005-0000-0000-00009D020000}"/>
    <cellStyle name="メモ 2 5 7 2" xfId="625" xr:uid="{00000000-0005-0000-0000-00009E020000}"/>
    <cellStyle name="メモ 2 5 8" xfId="626" xr:uid="{00000000-0005-0000-0000-00009F020000}"/>
    <cellStyle name="メモ 2 6" xfId="627" xr:uid="{00000000-0005-0000-0000-0000A0020000}"/>
    <cellStyle name="メモ 2 6 2" xfId="628" xr:uid="{00000000-0005-0000-0000-0000A1020000}"/>
    <cellStyle name="メモ 2 6 2 2" xfId="629" xr:uid="{00000000-0005-0000-0000-0000A2020000}"/>
    <cellStyle name="メモ 2 6 2 2 2" xfId="630" xr:uid="{00000000-0005-0000-0000-0000A3020000}"/>
    <cellStyle name="メモ 2 6 2 3" xfId="631" xr:uid="{00000000-0005-0000-0000-0000A4020000}"/>
    <cellStyle name="メモ 2 6 2 3 2" xfId="632" xr:uid="{00000000-0005-0000-0000-0000A5020000}"/>
    <cellStyle name="メモ 2 6 2 4" xfId="633" xr:uid="{00000000-0005-0000-0000-0000A6020000}"/>
    <cellStyle name="メモ 2 6 2 4 2" xfId="634" xr:uid="{00000000-0005-0000-0000-0000A7020000}"/>
    <cellStyle name="メモ 2 6 2 5" xfId="635" xr:uid="{00000000-0005-0000-0000-0000A8020000}"/>
    <cellStyle name="メモ 2 6 2 5 2" xfId="636" xr:uid="{00000000-0005-0000-0000-0000A9020000}"/>
    <cellStyle name="メモ 2 6 2 6" xfId="637" xr:uid="{00000000-0005-0000-0000-0000AA020000}"/>
    <cellStyle name="メモ 2 6 2 6 2" xfId="638" xr:uid="{00000000-0005-0000-0000-0000AB020000}"/>
    <cellStyle name="メモ 2 6 2 7" xfId="639" xr:uid="{00000000-0005-0000-0000-0000AC020000}"/>
    <cellStyle name="メモ 2 6 3" xfId="640" xr:uid="{00000000-0005-0000-0000-0000AD020000}"/>
    <cellStyle name="メモ 2 6 3 2" xfId="641" xr:uid="{00000000-0005-0000-0000-0000AE020000}"/>
    <cellStyle name="メモ 2 6 4" xfId="642" xr:uid="{00000000-0005-0000-0000-0000AF020000}"/>
    <cellStyle name="メモ 2 6 4 2" xfId="643" xr:uid="{00000000-0005-0000-0000-0000B0020000}"/>
    <cellStyle name="メモ 2 6 5" xfId="644" xr:uid="{00000000-0005-0000-0000-0000B1020000}"/>
    <cellStyle name="メモ 2 6 5 2" xfId="645" xr:uid="{00000000-0005-0000-0000-0000B2020000}"/>
    <cellStyle name="メモ 2 6 6" xfId="646" xr:uid="{00000000-0005-0000-0000-0000B3020000}"/>
    <cellStyle name="メモ 2 6 6 2" xfId="647" xr:uid="{00000000-0005-0000-0000-0000B4020000}"/>
    <cellStyle name="メモ 2 6 7" xfId="648" xr:uid="{00000000-0005-0000-0000-0000B5020000}"/>
    <cellStyle name="メモ 2 6 7 2" xfId="649" xr:uid="{00000000-0005-0000-0000-0000B6020000}"/>
    <cellStyle name="メモ 2 6 8" xfId="650" xr:uid="{00000000-0005-0000-0000-0000B7020000}"/>
    <cellStyle name="メモ 2 7" xfId="651" xr:uid="{00000000-0005-0000-0000-0000B8020000}"/>
    <cellStyle name="メモ 2 7 2" xfId="652" xr:uid="{00000000-0005-0000-0000-0000B9020000}"/>
    <cellStyle name="メモ 2 7 2 2" xfId="653" xr:uid="{00000000-0005-0000-0000-0000BA020000}"/>
    <cellStyle name="メモ 2 7 3" xfId="654" xr:uid="{00000000-0005-0000-0000-0000BB020000}"/>
    <cellStyle name="メモ 2 7 3 2" xfId="655" xr:uid="{00000000-0005-0000-0000-0000BC020000}"/>
    <cellStyle name="メモ 2 7 4" xfId="656" xr:uid="{00000000-0005-0000-0000-0000BD020000}"/>
    <cellStyle name="メモ 2 7 4 2" xfId="657" xr:uid="{00000000-0005-0000-0000-0000BE020000}"/>
    <cellStyle name="メモ 2 7 5" xfId="658" xr:uid="{00000000-0005-0000-0000-0000BF020000}"/>
    <cellStyle name="メモ 2 7 5 2" xfId="659" xr:uid="{00000000-0005-0000-0000-0000C0020000}"/>
    <cellStyle name="メモ 2 7 6" xfId="660" xr:uid="{00000000-0005-0000-0000-0000C1020000}"/>
    <cellStyle name="メモ 2 7 6 2" xfId="661" xr:uid="{00000000-0005-0000-0000-0000C2020000}"/>
    <cellStyle name="メモ 2 7 7" xfId="662" xr:uid="{00000000-0005-0000-0000-0000C3020000}"/>
    <cellStyle name="メモ 2 8" xfId="663" xr:uid="{00000000-0005-0000-0000-0000C4020000}"/>
    <cellStyle name="メモ 2 8 2" xfId="664" xr:uid="{00000000-0005-0000-0000-0000C5020000}"/>
    <cellStyle name="メモ 3" xfId="665" xr:uid="{00000000-0005-0000-0000-0000C6020000}"/>
    <cellStyle name="メモ 3 2" xfId="666" xr:uid="{00000000-0005-0000-0000-0000C7020000}"/>
    <cellStyle name="メモ 3 2 2" xfId="667" xr:uid="{00000000-0005-0000-0000-0000C8020000}"/>
    <cellStyle name="メモ 3 2 2 2" xfId="668" xr:uid="{00000000-0005-0000-0000-0000C9020000}"/>
    <cellStyle name="メモ 3 2 3" xfId="669" xr:uid="{00000000-0005-0000-0000-0000CA020000}"/>
    <cellStyle name="メモ 3 2 3 2" xfId="670" xr:uid="{00000000-0005-0000-0000-0000CB020000}"/>
    <cellStyle name="メモ 3 2 4" xfId="671" xr:uid="{00000000-0005-0000-0000-0000CC020000}"/>
    <cellStyle name="メモ 3 2 4 2" xfId="672" xr:uid="{00000000-0005-0000-0000-0000CD020000}"/>
    <cellStyle name="メモ 3 2 5" xfId="673" xr:uid="{00000000-0005-0000-0000-0000CE020000}"/>
    <cellStyle name="メモ 3 2 5 2" xfId="674" xr:uid="{00000000-0005-0000-0000-0000CF020000}"/>
    <cellStyle name="メモ 3 2 6" xfId="675" xr:uid="{00000000-0005-0000-0000-0000D0020000}"/>
    <cellStyle name="メモ 3 2 6 2" xfId="676" xr:uid="{00000000-0005-0000-0000-0000D1020000}"/>
    <cellStyle name="メモ 3 2 7" xfId="677" xr:uid="{00000000-0005-0000-0000-0000D2020000}"/>
    <cellStyle name="メモ 3 3" xfId="678" xr:uid="{00000000-0005-0000-0000-0000D3020000}"/>
    <cellStyle name="メモ 3 3 2" xfId="679" xr:uid="{00000000-0005-0000-0000-0000D4020000}"/>
    <cellStyle name="メモ 3 4" xfId="680" xr:uid="{00000000-0005-0000-0000-0000D5020000}"/>
    <cellStyle name="メモ 3 5" xfId="681" xr:uid="{00000000-0005-0000-0000-0000D6020000}"/>
    <cellStyle name="メモ 4" xfId="682" xr:uid="{00000000-0005-0000-0000-0000D7020000}"/>
    <cellStyle name="メモ 4 2" xfId="683" xr:uid="{00000000-0005-0000-0000-0000D8020000}"/>
    <cellStyle name="メモ 4 2 2" xfId="684" xr:uid="{00000000-0005-0000-0000-0000D9020000}"/>
    <cellStyle name="メモ 4 2 2 2" xfId="685" xr:uid="{00000000-0005-0000-0000-0000DA020000}"/>
    <cellStyle name="メモ 4 2 3" xfId="686" xr:uid="{00000000-0005-0000-0000-0000DB020000}"/>
    <cellStyle name="メモ 4 2 3 2" xfId="687" xr:uid="{00000000-0005-0000-0000-0000DC020000}"/>
    <cellStyle name="メモ 4 2 4" xfId="688" xr:uid="{00000000-0005-0000-0000-0000DD020000}"/>
    <cellStyle name="メモ 4 2 4 2" xfId="689" xr:uid="{00000000-0005-0000-0000-0000DE020000}"/>
    <cellStyle name="メモ 4 2 5" xfId="690" xr:uid="{00000000-0005-0000-0000-0000DF020000}"/>
    <cellStyle name="メモ 4 2 5 2" xfId="691" xr:uid="{00000000-0005-0000-0000-0000E0020000}"/>
    <cellStyle name="メモ 4 2 6" xfId="692" xr:uid="{00000000-0005-0000-0000-0000E1020000}"/>
    <cellStyle name="メモ 4 2 6 2" xfId="693" xr:uid="{00000000-0005-0000-0000-0000E2020000}"/>
    <cellStyle name="メモ 4 2 7" xfId="694" xr:uid="{00000000-0005-0000-0000-0000E3020000}"/>
    <cellStyle name="メモ 4 3" xfId="695" xr:uid="{00000000-0005-0000-0000-0000E4020000}"/>
    <cellStyle name="メモ 4 3 2" xfId="696" xr:uid="{00000000-0005-0000-0000-0000E5020000}"/>
    <cellStyle name="メモ 4 4" xfId="697" xr:uid="{00000000-0005-0000-0000-0000E6020000}"/>
    <cellStyle name="メモ 5" xfId="698" xr:uid="{00000000-0005-0000-0000-0000E7020000}"/>
    <cellStyle name="メモ 5 2" xfId="699" xr:uid="{00000000-0005-0000-0000-0000E8020000}"/>
    <cellStyle name="メモ 5 2 2" xfId="700" xr:uid="{00000000-0005-0000-0000-0000E9020000}"/>
    <cellStyle name="メモ 5 3" xfId="701" xr:uid="{00000000-0005-0000-0000-0000EA020000}"/>
    <cellStyle name="メモ 5 3 2" xfId="702" xr:uid="{00000000-0005-0000-0000-0000EB020000}"/>
    <cellStyle name="メモ 5 4" xfId="703" xr:uid="{00000000-0005-0000-0000-0000EC020000}"/>
    <cellStyle name="メモ 5 4 2" xfId="704" xr:uid="{00000000-0005-0000-0000-0000ED020000}"/>
    <cellStyle name="メモ 5 5" xfId="705" xr:uid="{00000000-0005-0000-0000-0000EE020000}"/>
    <cellStyle name="メモ 5 5 2" xfId="706" xr:uid="{00000000-0005-0000-0000-0000EF020000}"/>
    <cellStyle name="メモ 5 6" xfId="707" xr:uid="{00000000-0005-0000-0000-0000F0020000}"/>
    <cellStyle name="メモ 5 6 2" xfId="708" xr:uid="{00000000-0005-0000-0000-0000F1020000}"/>
    <cellStyle name="メモ 5 7" xfId="709" xr:uid="{00000000-0005-0000-0000-0000F2020000}"/>
    <cellStyle name="メモ 5 7 2" xfId="710" xr:uid="{00000000-0005-0000-0000-0000F3020000}"/>
    <cellStyle name="メモ 6" xfId="711" xr:uid="{00000000-0005-0000-0000-0000F4020000}"/>
    <cellStyle name="メモ 7" xfId="712" xr:uid="{00000000-0005-0000-0000-0000F5020000}"/>
    <cellStyle name="メモ 8" xfId="713" xr:uid="{00000000-0005-0000-0000-0000F6020000}"/>
    <cellStyle name="メモ 9" xfId="714" xr:uid="{00000000-0005-0000-0000-0000F7020000}"/>
    <cellStyle name="リンク セル 2" xfId="715" xr:uid="{00000000-0005-0000-0000-0000F8020000}"/>
    <cellStyle name="リンク セル 3" xfId="716" xr:uid="{00000000-0005-0000-0000-0000F9020000}"/>
    <cellStyle name="リンク セル 4" xfId="717" xr:uid="{00000000-0005-0000-0000-0000FA020000}"/>
    <cellStyle name="リンク セル 5" xfId="718" xr:uid="{00000000-0005-0000-0000-0000FB020000}"/>
    <cellStyle name="リンク セル 6" xfId="719" xr:uid="{00000000-0005-0000-0000-0000FC020000}"/>
    <cellStyle name="リンク セル 7" xfId="720" xr:uid="{00000000-0005-0000-0000-0000FD020000}"/>
    <cellStyle name="リンク セル 8" xfId="721" xr:uid="{00000000-0005-0000-0000-0000FE020000}"/>
    <cellStyle name="リンク セル 9" xfId="722" xr:uid="{00000000-0005-0000-0000-0000FF020000}"/>
    <cellStyle name="_x001d_・_x000c_ﾏ・_x000d_ﾂ・_x0001__x0016__x0011_F5_x0007__x0001__x0001_" xfId="723" xr:uid="{00000000-0005-0000-0000-000000030000}"/>
    <cellStyle name="_x001d_・_x000c_ﾏ・_x000d_ﾂ・_x0001__x0016__x0011_F5_x0007__x0001__x0001_ 2" xfId="724" xr:uid="{00000000-0005-0000-0000-000001030000}"/>
    <cellStyle name="_x001d_・_x000c_ﾏ・_x000d_ﾂ・_x0001__x0016__x0011_F5_x0007__x0001__x0001_ 2 2" xfId="725" xr:uid="{00000000-0005-0000-0000-000002030000}"/>
    <cellStyle name="_x001d_・_x000c_ﾏ・_x000d_ﾂ・_x0001__x0016__x0011_F5_x0007__x0001__x0001_ 2 2 2" xfId="726" xr:uid="{00000000-0005-0000-0000-000003030000}"/>
    <cellStyle name="_x001d_・_x000c_ﾏ・_x000d_ﾂ・_x0001__x0016__x0011_F5_x0007__x0001__x0001_ 2 3" xfId="727" xr:uid="{00000000-0005-0000-0000-000004030000}"/>
    <cellStyle name="_x001d_・_x000c_ﾏ・_x000d_ﾂ・_x0001__x0016__x0011_F5_x0007__x0001__x0001_ 3" xfId="728" xr:uid="{00000000-0005-0000-0000-000005030000}"/>
    <cellStyle name="_x001d_・_x000c_ﾏ・_x000d_ﾂ・_x0001__x0016__x0011_F5_x0007__x0001__x0001_ 3 2" xfId="729" xr:uid="{00000000-0005-0000-0000-000006030000}"/>
    <cellStyle name="悪い 2" xfId="730" xr:uid="{00000000-0005-0000-0000-000007030000}"/>
    <cellStyle name="悪い 3" xfId="731" xr:uid="{00000000-0005-0000-0000-000008030000}"/>
    <cellStyle name="悪い 4" xfId="732" xr:uid="{00000000-0005-0000-0000-000009030000}"/>
    <cellStyle name="悪い 5" xfId="733" xr:uid="{00000000-0005-0000-0000-00000A030000}"/>
    <cellStyle name="悪い 6" xfId="734" xr:uid="{00000000-0005-0000-0000-00000B030000}"/>
    <cellStyle name="悪い 7" xfId="735" xr:uid="{00000000-0005-0000-0000-00000C030000}"/>
    <cellStyle name="悪い 8" xfId="736" xr:uid="{00000000-0005-0000-0000-00000D030000}"/>
    <cellStyle name="悪い 9" xfId="737" xr:uid="{00000000-0005-0000-0000-00000E030000}"/>
    <cellStyle name="計算 2" xfId="738" xr:uid="{00000000-0005-0000-0000-00000F030000}"/>
    <cellStyle name="計算 2 2" xfId="739" xr:uid="{00000000-0005-0000-0000-000010030000}"/>
    <cellStyle name="計算 2 2 2" xfId="740" xr:uid="{00000000-0005-0000-0000-000011030000}"/>
    <cellStyle name="計算 2 2 2 2" xfId="741" xr:uid="{00000000-0005-0000-0000-000012030000}"/>
    <cellStyle name="計算 2 2 2 2 2" xfId="742" xr:uid="{00000000-0005-0000-0000-000013030000}"/>
    <cellStyle name="計算 2 2 2 3" xfId="743" xr:uid="{00000000-0005-0000-0000-000014030000}"/>
    <cellStyle name="計算 2 2 2 3 2" xfId="744" xr:uid="{00000000-0005-0000-0000-000015030000}"/>
    <cellStyle name="計算 2 2 2 4" xfId="745" xr:uid="{00000000-0005-0000-0000-000016030000}"/>
    <cellStyle name="計算 2 2 2 4 2" xfId="746" xr:uid="{00000000-0005-0000-0000-000017030000}"/>
    <cellStyle name="計算 2 2 2 5" xfId="747" xr:uid="{00000000-0005-0000-0000-000018030000}"/>
    <cellStyle name="計算 2 2 2 5 2" xfId="748" xr:uid="{00000000-0005-0000-0000-000019030000}"/>
    <cellStyle name="計算 2 2 2 6" xfId="749" xr:uid="{00000000-0005-0000-0000-00001A030000}"/>
    <cellStyle name="計算 2 2 2 6 2" xfId="750" xr:uid="{00000000-0005-0000-0000-00001B030000}"/>
    <cellStyle name="計算 2 2 2 7" xfId="751" xr:uid="{00000000-0005-0000-0000-00001C030000}"/>
    <cellStyle name="計算 2 2 3" xfId="752" xr:uid="{00000000-0005-0000-0000-00001D030000}"/>
    <cellStyle name="計算 2 2 3 2" xfId="753" xr:uid="{00000000-0005-0000-0000-00001E030000}"/>
    <cellStyle name="計算 2 2 4" xfId="754" xr:uid="{00000000-0005-0000-0000-00001F030000}"/>
    <cellStyle name="計算 2 3" xfId="755" xr:uid="{00000000-0005-0000-0000-000020030000}"/>
    <cellStyle name="計算 2 3 2" xfId="756" xr:uid="{00000000-0005-0000-0000-000021030000}"/>
    <cellStyle name="計算 2 3 2 2" xfId="757" xr:uid="{00000000-0005-0000-0000-000022030000}"/>
    <cellStyle name="計算 2 3 3" xfId="758" xr:uid="{00000000-0005-0000-0000-000023030000}"/>
    <cellStyle name="計算 2 3 3 2" xfId="759" xr:uid="{00000000-0005-0000-0000-000024030000}"/>
    <cellStyle name="計算 2 3 4" xfId="760" xr:uid="{00000000-0005-0000-0000-000025030000}"/>
    <cellStyle name="計算 2 3 4 2" xfId="761" xr:uid="{00000000-0005-0000-0000-000026030000}"/>
    <cellStyle name="計算 2 3 5" xfId="762" xr:uid="{00000000-0005-0000-0000-000027030000}"/>
    <cellStyle name="計算 2 3 5 2" xfId="763" xr:uid="{00000000-0005-0000-0000-000028030000}"/>
    <cellStyle name="計算 2 3 6" xfId="764" xr:uid="{00000000-0005-0000-0000-000029030000}"/>
    <cellStyle name="計算 2 3 6 2" xfId="765" xr:uid="{00000000-0005-0000-0000-00002A030000}"/>
    <cellStyle name="計算 2 3 7" xfId="766" xr:uid="{00000000-0005-0000-0000-00002B030000}"/>
    <cellStyle name="計算 2 4" xfId="767" xr:uid="{00000000-0005-0000-0000-00002C030000}"/>
    <cellStyle name="計算 2 4 2" xfId="768" xr:uid="{00000000-0005-0000-0000-00002D030000}"/>
    <cellStyle name="計算 2 5" xfId="769" xr:uid="{00000000-0005-0000-0000-00002E030000}"/>
    <cellStyle name="計算 3" xfId="770" xr:uid="{00000000-0005-0000-0000-00002F030000}"/>
    <cellStyle name="計算 3 2" xfId="771" xr:uid="{00000000-0005-0000-0000-000030030000}"/>
    <cellStyle name="計算 3 2 2" xfId="772" xr:uid="{00000000-0005-0000-0000-000031030000}"/>
    <cellStyle name="計算 3 2 2 2" xfId="773" xr:uid="{00000000-0005-0000-0000-000032030000}"/>
    <cellStyle name="計算 3 2 3" xfId="774" xr:uid="{00000000-0005-0000-0000-000033030000}"/>
    <cellStyle name="計算 3 2 3 2" xfId="775" xr:uid="{00000000-0005-0000-0000-000034030000}"/>
    <cellStyle name="計算 3 2 4" xfId="776" xr:uid="{00000000-0005-0000-0000-000035030000}"/>
    <cellStyle name="計算 3 2 4 2" xfId="777" xr:uid="{00000000-0005-0000-0000-000036030000}"/>
    <cellStyle name="計算 3 2 5" xfId="778" xr:uid="{00000000-0005-0000-0000-000037030000}"/>
    <cellStyle name="計算 3 2 5 2" xfId="779" xr:uid="{00000000-0005-0000-0000-000038030000}"/>
    <cellStyle name="計算 3 2 6" xfId="780" xr:uid="{00000000-0005-0000-0000-000039030000}"/>
    <cellStyle name="計算 3 2 6 2" xfId="781" xr:uid="{00000000-0005-0000-0000-00003A030000}"/>
    <cellStyle name="計算 3 2 7" xfId="782" xr:uid="{00000000-0005-0000-0000-00003B030000}"/>
    <cellStyle name="計算 3 3" xfId="783" xr:uid="{00000000-0005-0000-0000-00003C030000}"/>
    <cellStyle name="計算 3 3 2" xfId="784" xr:uid="{00000000-0005-0000-0000-00003D030000}"/>
    <cellStyle name="計算 3 4" xfId="785" xr:uid="{00000000-0005-0000-0000-00003E030000}"/>
    <cellStyle name="計算 4" xfId="786" xr:uid="{00000000-0005-0000-0000-00003F030000}"/>
    <cellStyle name="計算 4 2" xfId="787" xr:uid="{00000000-0005-0000-0000-000040030000}"/>
    <cellStyle name="計算 4 2 2" xfId="788" xr:uid="{00000000-0005-0000-0000-000041030000}"/>
    <cellStyle name="計算 4 3" xfId="789" xr:uid="{00000000-0005-0000-0000-000042030000}"/>
    <cellStyle name="計算 4 3 2" xfId="790" xr:uid="{00000000-0005-0000-0000-000043030000}"/>
    <cellStyle name="計算 4 4" xfId="791" xr:uid="{00000000-0005-0000-0000-000044030000}"/>
    <cellStyle name="計算 4 4 2" xfId="792" xr:uid="{00000000-0005-0000-0000-000045030000}"/>
    <cellStyle name="計算 4 5" xfId="793" xr:uid="{00000000-0005-0000-0000-000046030000}"/>
    <cellStyle name="計算 4 5 2" xfId="794" xr:uid="{00000000-0005-0000-0000-000047030000}"/>
    <cellStyle name="計算 4 6" xfId="795" xr:uid="{00000000-0005-0000-0000-000048030000}"/>
    <cellStyle name="計算 4 6 2" xfId="796" xr:uid="{00000000-0005-0000-0000-000049030000}"/>
    <cellStyle name="計算 4 7" xfId="797" xr:uid="{00000000-0005-0000-0000-00004A030000}"/>
    <cellStyle name="計算 5" xfId="798" xr:uid="{00000000-0005-0000-0000-00004B030000}"/>
    <cellStyle name="計算 6" xfId="799" xr:uid="{00000000-0005-0000-0000-00004C030000}"/>
    <cellStyle name="計算 7" xfId="800" xr:uid="{00000000-0005-0000-0000-00004D030000}"/>
    <cellStyle name="計算 8" xfId="801" xr:uid="{00000000-0005-0000-0000-00004E030000}"/>
    <cellStyle name="計算 9" xfId="802" xr:uid="{00000000-0005-0000-0000-00004F030000}"/>
    <cellStyle name="警告文 2" xfId="803" xr:uid="{00000000-0005-0000-0000-000050030000}"/>
    <cellStyle name="警告文 3" xfId="804" xr:uid="{00000000-0005-0000-0000-000051030000}"/>
    <cellStyle name="警告文 4" xfId="805" xr:uid="{00000000-0005-0000-0000-000052030000}"/>
    <cellStyle name="警告文 5" xfId="806" xr:uid="{00000000-0005-0000-0000-000053030000}"/>
    <cellStyle name="警告文 6" xfId="807" xr:uid="{00000000-0005-0000-0000-000054030000}"/>
    <cellStyle name="警告文 7" xfId="808" xr:uid="{00000000-0005-0000-0000-000055030000}"/>
    <cellStyle name="警告文 8" xfId="809" xr:uid="{00000000-0005-0000-0000-000056030000}"/>
    <cellStyle name="警告文 9" xfId="810" xr:uid="{00000000-0005-0000-0000-000057030000}"/>
    <cellStyle name="桁蟻唇Ｆ [0.00]_laroux" xfId="811" xr:uid="{00000000-0005-0000-0000-000058030000}"/>
    <cellStyle name="桁蟻唇Ｆ_A°DAU±ATIsA" xfId="812" xr:uid="{00000000-0005-0000-0000-000059030000}"/>
    <cellStyle name="桁区切り 2" xfId="813" xr:uid="{00000000-0005-0000-0000-00005A030000}"/>
    <cellStyle name="桁区切り 2 2" xfId="814" xr:uid="{00000000-0005-0000-0000-00005B030000}"/>
    <cellStyle name="桁区切り 2 2 2" xfId="815" xr:uid="{00000000-0005-0000-0000-00005C030000}"/>
    <cellStyle name="桁区切り 2 3" xfId="816" xr:uid="{00000000-0005-0000-0000-00005D030000}"/>
    <cellStyle name="桁区切り 2 4" xfId="817" xr:uid="{00000000-0005-0000-0000-00005E030000}"/>
    <cellStyle name="桁区切り 2 4 2" xfId="818" xr:uid="{00000000-0005-0000-0000-00005F030000}"/>
    <cellStyle name="桁区切り 2 4 3" xfId="819" xr:uid="{00000000-0005-0000-0000-000060030000}"/>
    <cellStyle name="桁区切り 2 5" xfId="820" xr:uid="{00000000-0005-0000-0000-000061030000}"/>
    <cellStyle name="桁区切り 2 5 2" xfId="821" xr:uid="{00000000-0005-0000-0000-000062030000}"/>
    <cellStyle name="桁区切り 2 5 3" xfId="822" xr:uid="{00000000-0005-0000-0000-000063030000}"/>
    <cellStyle name="桁区切り 2 6" xfId="823" xr:uid="{00000000-0005-0000-0000-000064030000}"/>
    <cellStyle name="桁区切り 2_バックアップセンタ_切替テストスケジュール_20120406~10" xfId="824" xr:uid="{00000000-0005-0000-0000-000065030000}"/>
    <cellStyle name="桁区切り 3" xfId="825" xr:uid="{00000000-0005-0000-0000-000066030000}"/>
    <cellStyle name="桁区切り 3 2" xfId="826" xr:uid="{00000000-0005-0000-0000-000067030000}"/>
    <cellStyle name="桁区切り 3 2 2" xfId="827" xr:uid="{00000000-0005-0000-0000-000068030000}"/>
    <cellStyle name="桁区切り 3 2 3" xfId="828" xr:uid="{00000000-0005-0000-0000-000069030000}"/>
    <cellStyle name="桁区切り 3 3" xfId="829" xr:uid="{00000000-0005-0000-0000-00006A030000}"/>
    <cellStyle name="桁区切り 4" xfId="830" xr:uid="{00000000-0005-0000-0000-00006B030000}"/>
    <cellStyle name="桁区切り 4 2" xfId="831" xr:uid="{00000000-0005-0000-0000-00006C030000}"/>
    <cellStyle name="桁区切り 4 2 2" xfId="832" xr:uid="{00000000-0005-0000-0000-00006D030000}"/>
    <cellStyle name="桁区切り 4 2 3" xfId="833" xr:uid="{00000000-0005-0000-0000-00006E030000}"/>
    <cellStyle name="桁区切り 4 3" xfId="834" xr:uid="{00000000-0005-0000-0000-00006F030000}"/>
    <cellStyle name="桁区切り 4 4" xfId="835" xr:uid="{00000000-0005-0000-0000-000070030000}"/>
    <cellStyle name="桁区切り 5" xfId="836" xr:uid="{00000000-0005-0000-0000-000071030000}"/>
    <cellStyle name="桁区切り 5 2" xfId="837" xr:uid="{00000000-0005-0000-0000-000072030000}"/>
    <cellStyle name="桁区切り 5 3" xfId="838" xr:uid="{00000000-0005-0000-0000-000073030000}"/>
    <cellStyle name="桁区切り 6" xfId="839" xr:uid="{00000000-0005-0000-0000-000074030000}"/>
    <cellStyle name="見出し 1 2" xfId="840" xr:uid="{00000000-0005-0000-0000-000075030000}"/>
    <cellStyle name="見出し 1 3" xfId="841" xr:uid="{00000000-0005-0000-0000-000076030000}"/>
    <cellStyle name="見出し 1 4" xfId="842" xr:uid="{00000000-0005-0000-0000-000077030000}"/>
    <cellStyle name="見出し 1 5" xfId="843" xr:uid="{00000000-0005-0000-0000-000078030000}"/>
    <cellStyle name="見出し 1 6" xfId="844" xr:uid="{00000000-0005-0000-0000-000079030000}"/>
    <cellStyle name="見出し 1 7" xfId="845" xr:uid="{00000000-0005-0000-0000-00007A030000}"/>
    <cellStyle name="見出し 1 8" xfId="846" xr:uid="{00000000-0005-0000-0000-00007B030000}"/>
    <cellStyle name="見出し 1 9" xfId="847" xr:uid="{00000000-0005-0000-0000-00007C030000}"/>
    <cellStyle name="見出し 2 2" xfId="848" xr:uid="{00000000-0005-0000-0000-00007D030000}"/>
    <cellStyle name="見出し 2 3" xfId="849" xr:uid="{00000000-0005-0000-0000-00007E030000}"/>
    <cellStyle name="見出し 2 4" xfId="850" xr:uid="{00000000-0005-0000-0000-00007F030000}"/>
    <cellStyle name="見出し 2 5" xfId="851" xr:uid="{00000000-0005-0000-0000-000080030000}"/>
    <cellStyle name="見出し 2 6" xfId="852" xr:uid="{00000000-0005-0000-0000-000081030000}"/>
    <cellStyle name="見出し 2 7" xfId="853" xr:uid="{00000000-0005-0000-0000-000082030000}"/>
    <cellStyle name="見出し 2 8" xfId="854" xr:uid="{00000000-0005-0000-0000-000083030000}"/>
    <cellStyle name="見出し 2 9" xfId="855" xr:uid="{00000000-0005-0000-0000-000084030000}"/>
    <cellStyle name="見出し 3 2" xfId="856" xr:uid="{00000000-0005-0000-0000-000085030000}"/>
    <cellStyle name="見出し 3 3" xfId="857" xr:uid="{00000000-0005-0000-0000-000086030000}"/>
    <cellStyle name="見出し 3 4" xfId="858" xr:uid="{00000000-0005-0000-0000-000087030000}"/>
    <cellStyle name="見出し 3 5" xfId="859" xr:uid="{00000000-0005-0000-0000-000088030000}"/>
    <cellStyle name="見出し 3 6" xfId="860" xr:uid="{00000000-0005-0000-0000-000089030000}"/>
    <cellStyle name="見出し 3 7" xfId="861" xr:uid="{00000000-0005-0000-0000-00008A030000}"/>
    <cellStyle name="見出し 3 8" xfId="862" xr:uid="{00000000-0005-0000-0000-00008B030000}"/>
    <cellStyle name="見出し 3 9" xfId="863" xr:uid="{00000000-0005-0000-0000-00008C030000}"/>
    <cellStyle name="見出し 4 2" xfId="864" xr:uid="{00000000-0005-0000-0000-00008D030000}"/>
    <cellStyle name="見出し 4 3" xfId="865" xr:uid="{00000000-0005-0000-0000-00008E030000}"/>
    <cellStyle name="見出し 4 4" xfId="866" xr:uid="{00000000-0005-0000-0000-00008F030000}"/>
    <cellStyle name="見出し 4 5" xfId="867" xr:uid="{00000000-0005-0000-0000-000090030000}"/>
    <cellStyle name="見出し 4 6" xfId="868" xr:uid="{00000000-0005-0000-0000-000091030000}"/>
    <cellStyle name="見出し 4 7" xfId="869" xr:uid="{00000000-0005-0000-0000-000092030000}"/>
    <cellStyle name="見出し 4 8" xfId="870" xr:uid="{00000000-0005-0000-0000-000093030000}"/>
    <cellStyle name="見出し 4 9" xfId="871" xr:uid="{00000000-0005-0000-0000-000094030000}"/>
    <cellStyle name="構成図作成用" xfId="872" xr:uid="{00000000-0005-0000-0000-000095030000}"/>
    <cellStyle name="取り消し" xfId="873" xr:uid="{00000000-0005-0000-0000-000096030000}"/>
    <cellStyle name="集計 2" xfId="874" xr:uid="{00000000-0005-0000-0000-000097030000}"/>
    <cellStyle name="集計 2 2" xfId="875" xr:uid="{00000000-0005-0000-0000-000098030000}"/>
    <cellStyle name="集計 2 2 2" xfId="876" xr:uid="{00000000-0005-0000-0000-000099030000}"/>
    <cellStyle name="集計 2 2 2 2" xfId="877" xr:uid="{00000000-0005-0000-0000-00009A030000}"/>
    <cellStyle name="集計 2 2 2 2 2" xfId="878" xr:uid="{00000000-0005-0000-0000-00009B030000}"/>
    <cellStyle name="集計 2 2 2 3" xfId="879" xr:uid="{00000000-0005-0000-0000-00009C030000}"/>
    <cellStyle name="集計 2 2 2 3 2" xfId="880" xr:uid="{00000000-0005-0000-0000-00009D030000}"/>
    <cellStyle name="集計 2 2 2 4" xfId="881" xr:uid="{00000000-0005-0000-0000-00009E030000}"/>
    <cellStyle name="集計 2 2 2 4 2" xfId="882" xr:uid="{00000000-0005-0000-0000-00009F030000}"/>
    <cellStyle name="集計 2 2 2 5" xfId="883" xr:uid="{00000000-0005-0000-0000-0000A0030000}"/>
    <cellStyle name="集計 2 2 2 5 2" xfId="884" xr:uid="{00000000-0005-0000-0000-0000A1030000}"/>
    <cellStyle name="集計 2 2 2 6" xfId="885" xr:uid="{00000000-0005-0000-0000-0000A2030000}"/>
    <cellStyle name="集計 2 2 2 6 2" xfId="886" xr:uid="{00000000-0005-0000-0000-0000A3030000}"/>
    <cellStyle name="集計 2 2 2 7" xfId="887" xr:uid="{00000000-0005-0000-0000-0000A4030000}"/>
    <cellStyle name="集計 2 2 3" xfId="888" xr:uid="{00000000-0005-0000-0000-0000A5030000}"/>
    <cellStyle name="集計 2 2 3 2" xfId="889" xr:uid="{00000000-0005-0000-0000-0000A6030000}"/>
    <cellStyle name="集計 2 3" xfId="890" xr:uid="{00000000-0005-0000-0000-0000A7030000}"/>
    <cellStyle name="集計 2 3 2" xfId="891" xr:uid="{00000000-0005-0000-0000-0000A8030000}"/>
    <cellStyle name="集計 2 3 2 2" xfId="892" xr:uid="{00000000-0005-0000-0000-0000A9030000}"/>
    <cellStyle name="集計 2 3 3" xfId="893" xr:uid="{00000000-0005-0000-0000-0000AA030000}"/>
    <cellStyle name="集計 2 3 3 2" xfId="894" xr:uid="{00000000-0005-0000-0000-0000AB030000}"/>
    <cellStyle name="集計 2 3 4" xfId="895" xr:uid="{00000000-0005-0000-0000-0000AC030000}"/>
    <cellStyle name="集計 2 3 4 2" xfId="896" xr:uid="{00000000-0005-0000-0000-0000AD030000}"/>
    <cellStyle name="集計 2 3 5" xfId="897" xr:uid="{00000000-0005-0000-0000-0000AE030000}"/>
    <cellStyle name="集計 2 3 5 2" xfId="898" xr:uid="{00000000-0005-0000-0000-0000AF030000}"/>
    <cellStyle name="集計 2 3 6" xfId="899" xr:uid="{00000000-0005-0000-0000-0000B0030000}"/>
    <cellStyle name="集計 2 3 6 2" xfId="900" xr:uid="{00000000-0005-0000-0000-0000B1030000}"/>
    <cellStyle name="集計 2 3 7" xfId="901" xr:uid="{00000000-0005-0000-0000-0000B2030000}"/>
    <cellStyle name="集計 2 4" xfId="902" xr:uid="{00000000-0005-0000-0000-0000B3030000}"/>
    <cellStyle name="集計 2 4 2" xfId="903" xr:uid="{00000000-0005-0000-0000-0000B4030000}"/>
    <cellStyle name="集計 3" xfId="904" xr:uid="{00000000-0005-0000-0000-0000B5030000}"/>
    <cellStyle name="集計 3 2" xfId="905" xr:uid="{00000000-0005-0000-0000-0000B6030000}"/>
    <cellStyle name="集計 3 2 2" xfId="906" xr:uid="{00000000-0005-0000-0000-0000B7030000}"/>
    <cellStyle name="集計 3 2 2 2" xfId="907" xr:uid="{00000000-0005-0000-0000-0000B8030000}"/>
    <cellStyle name="集計 3 2 3" xfId="908" xr:uid="{00000000-0005-0000-0000-0000B9030000}"/>
    <cellStyle name="集計 3 2 3 2" xfId="909" xr:uid="{00000000-0005-0000-0000-0000BA030000}"/>
    <cellStyle name="集計 3 2 4" xfId="910" xr:uid="{00000000-0005-0000-0000-0000BB030000}"/>
    <cellStyle name="集計 3 2 4 2" xfId="911" xr:uid="{00000000-0005-0000-0000-0000BC030000}"/>
    <cellStyle name="集計 3 2 5" xfId="912" xr:uid="{00000000-0005-0000-0000-0000BD030000}"/>
    <cellStyle name="集計 3 2 5 2" xfId="913" xr:uid="{00000000-0005-0000-0000-0000BE030000}"/>
    <cellStyle name="集計 3 2 6" xfId="914" xr:uid="{00000000-0005-0000-0000-0000BF030000}"/>
    <cellStyle name="集計 3 2 6 2" xfId="915" xr:uid="{00000000-0005-0000-0000-0000C0030000}"/>
    <cellStyle name="集計 3 2 7" xfId="916" xr:uid="{00000000-0005-0000-0000-0000C1030000}"/>
    <cellStyle name="集計 3 3" xfId="917" xr:uid="{00000000-0005-0000-0000-0000C2030000}"/>
    <cellStyle name="集計 3 3 2" xfId="918" xr:uid="{00000000-0005-0000-0000-0000C3030000}"/>
    <cellStyle name="集計 3 4" xfId="919" xr:uid="{00000000-0005-0000-0000-0000C4030000}"/>
    <cellStyle name="集計 4" xfId="920" xr:uid="{00000000-0005-0000-0000-0000C5030000}"/>
    <cellStyle name="集計 4 2" xfId="921" xr:uid="{00000000-0005-0000-0000-0000C6030000}"/>
    <cellStyle name="集計 4 2 2" xfId="922" xr:uid="{00000000-0005-0000-0000-0000C7030000}"/>
    <cellStyle name="集計 4 3" xfId="923" xr:uid="{00000000-0005-0000-0000-0000C8030000}"/>
    <cellStyle name="集計 4 3 2" xfId="924" xr:uid="{00000000-0005-0000-0000-0000C9030000}"/>
    <cellStyle name="集計 4 4" xfId="925" xr:uid="{00000000-0005-0000-0000-0000CA030000}"/>
    <cellStyle name="集計 4 4 2" xfId="926" xr:uid="{00000000-0005-0000-0000-0000CB030000}"/>
    <cellStyle name="集計 4 5" xfId="927" xr:uid="{00000000-0005-0000-0000-0000CC030000}"/>
    <cellStyle name="集計 4 5 2" xfId="928" xr:uid="{00000000-0005-0000-0000-0000CD030000}"/>
    <cellStyle name="集計 4 6" xfId="929" xr:uid="{00000000-0005-0000-0000-0000CE030000}"/>
    <cellStyle name="集計 4 6 2" xfId="930" xr:uid="{00000000-0005-0000-0000-0000CF030000}"/>
    <cellStyle name="集計 4 7" xfId="931" xr:uid="{00000000-0005-0000-0000-0000D0030000}"/>
    <cellStyle name="集計 5" xfId="932" xr:uid="{00000000-0005-0000-0000-0000D1030000}"/>
    <cellStyle name="集計 6" xfId="933" xr:uid="{00000000-0005-0000-0000-0000D2030000}"/>
    <cellStyle name="集計 7" xfId="934" xr:uid="{00000000-0005-0000-0000-0000D3030000}"/>
    <cellStyle name="集計 8" xfId="935" xr:uid="{00000000-0005-0000-0000-0000D4030000}"/>
    <cellStyle name="集計 9" xfId="936" xr:uid="{00000000-0005-0000-0000-0000D5030000}"/>
    <cellStyle name="出力 2" xfId="937" xr:uid="{00000000-0005-0000-0000-0000D6030000}"/>
    <cellStyle name="出力 2 2" xfId="938" xr:uid="{00000000-0005-0000-0000-0000D7030000}"/>
    <cellStyle name="出力 2 2 2" xfId="939" xr:uid="{00000000-0005-0000-0000-0000D8030000}"/>
    <cellStyle name="出力 2 2 2 2" xfId="940" xr:uid="{00000000-0005-0000-0000-0000D9030000}"/>
    <cellStyle name="出力 2 2 2 2 2" xfId="941" xr:uid="{00000000-0005-0000-0000-0000DA030000}"/>
    <cellStyle name="出力 2 2 2 3" xfId="942" xr:uid="{00000000-0005-0000-0000-0000DB030000}"/>
    <cellStyle name="出力 2 2 2 3 2" xfId="943" xr:uid="{00000000-0005-0000-0000-0000DC030000}"/>
    <cellStyle name="出力 2 2 2 4" xfId="944" xr:uid="{00000000-0005-0000-0000-0000DD030000}"/>
    <cellStyle name="出力 2 2 2 4 2" xfId="945" xr:uid="{00000000-0005-0000-0000-0000DE030000}"/>
    <cellStyle name="出力 2 2 2 5" xfId="946" xr:uid="{00000000-0005-0000-0000-0000DF030000}"/>
    <cellStyle name="出力 2 2 2 5 2" xfId="947" xr:uid="{00000000-0005-0000-0000-0000E0030000}"/>
    <cellStyle name="出力 2 2 2 6" xfId="948" xr:uid="{00000000-0005-0000-0000-0000E1030000}"/>
    <cellStyle name="出力 2 2 2 6 2" xfId="949" xr:uid="{00000000-0005-0000-0000-0000E2030000}"/>
    <cellStyle name="出力 2 2 2 7" xfId="950" xr:uid="{00000000-0005-0000-0000-0000E3030000}"/>
    <cellStyle name="出力 2 2 3" xfId="951" xr:uid="{00000000-0005-0000-0000-0000E4030000}"/>
    <cellStyle name="出力 2 2 3 2" xfId="952" xr:uid="{00000000-0005-0000-0000-0000E5030000}"/>
    <cellStyle name="出力 2 3" xfId="953" xr:uid="{00000000-0005-0000-0000-0000E6030000}"/>
    <cellStyle name="出力 2 3 2" xfId="954" xr:uid="{00000000-0005-0000-0000-0000E7030000}"/>
    <cellStyle name="出力 2 3 2 2" xfId="955" xr:uid="{00000000-0005-0000-0000-0000E8030000}"/>
    <cellStyle name="出力 2 3 3" xfId="956" xr:uid="{00000000-0005-0000-0000-0000E9030000}"/>
    <cellStyle name="出力 2 3 3 2" xfId="957" xr:uid="{00000000-0005-0000-0000-0000EA030000}"/>
    <cellStyle name="出力 2 3 4" xfId="958" xr:uid="{00000000-0005-0000-0000-0000EB030000}"/>
    <cellStyle name="出力 2 3 4 2" xfId="959" xr:uid="{00000000-0005-0000-0000-0000EC030000}"/>
    <cellStyle name="出力 2 3 5" xfId="960" xr:uid="{00000000-0005-0000-0000-0000ED030000}"/>
    <cellStyle name="出力 2 3 5 2" xfId="961" xr:uid="{00000000-0005-0000-0000-0000EE030000}"/>
    <cellStyle name="出力 2 3 6" xfId="962" xr:uid="{00000000-0005-0000-0000-0000EF030000}"/>
    <cellStyle name="出力 2 3 6 2" xfId="963" xr:uid="{00000000-0005-0000-0000-0000F0030000}"/>
    <cellStyle name="出力 2 3 7" xfId="964" xr:uid="{00000000-0005-0000-0000-0000F1030000}"/>
    <cellStyle name="出力 2 4" xfId="965" xr:uid="{00000000-0005-0000-0000-0000F2030000}"/>
    <cellStyle name="出力 2 4 2" xfId="966" xr:uid="{00000000-0005-0000-0000-0000F3030000}"/>
    <cellStyle name="出力 3" xfId="967" xr:uid="{00000000-0005-0000-0000-0000F4030000}"/>
    <cellStyle name="出力 3 2" xfId="968" xr:uid="{00000000-0005-0000-0000-0000F5030000}"/>
    <cellStyle name="出力 3 2 2" xfId="969" xr:uid="{00000000-0005-0000-0000-0000F6030000}"/>
    <cellStyle name="出力 3 2 2 2" xfId="970" xr:uid="{00000000-0005-0000-0000-0000F7030000}"/>
    <cellStyle name="出力 3 2 3" xfId="971" xr:uid="{00000000-0005-0000-0000-0000F8030000}"/>
    <cellStyle name="出力 3 2 3 2" xfId="972" xr:uid="{00000000-0005-0000-0000-0000F9030000}"/>
    <cellStyle name="出力 3 2 4" xfId="973" xr:uid="{00000000-0005-0000-0000-0000FA030000}"/>
    <cellStyle name="出力 3 2 4 2" xfId="974" xr:uid="{00000000-0005-0000-0000-0000FB030000}"/>
    <cellStyle name="出力 3 2 5" xfId="975" xr:uid="{00000000-0005-0000-0000-0000FC030000}"/>
    <cellStyle name="出力 3 2 5 2" xfId="976" xr:uid="{00000000-0005-0000-0000-0000FD030000}"/>
    <cellStyle name="出力 3 2 6" xfId="977" xr:uid="{00000000-0005-0000-0000-0000FE030000}"/>
    <cellStyle name="出力 3 2 6 2" xfId="978" xr:uid="{00000000-0005-0000-0000-0000FF030000}"/>
    <cellStyle name="出力 3 2 7" xfId="979" xr:uid="{00000000-0005-0000-0000-000000040000}"/>
    <cellStyle name="出力 3 3" xfId="980" xr:uid="{00000000-0005-0000-0000-000001040000}"/>
    <cellStyle name="出力 3 3 2" xfId="981" xr:uid="{00000000-0005-0000-0000-000002040000}"/>
    <cellStyle name="出力 3 4" xfId="982" xr:uid="{00000000-0005-0000-0000-000003040000}"/>
    <cellStyle name="出力 4" xfId="983" xr:uid="{00000000-0005-0000-0000-000004040000}"/>
    <cellStyle name="出力 4 2" xfId="984" xr:uid="{00000000-0005-0000-0000-000005040000}"/>
    <cellStyle name="出力 4 2 2" xfId="985" xr:uid="{00000000-0005-0000-0000-000006040000}"/>
    <cellStyle name="出力 4 3" xfId="986" xr:uid="{00000000-0005-0000-0000-000007040000}"/>
    <cellStyle name="出力 4 3 2" xfId="987" xr:uid="{00000000-0005-0000-0000-000008040000}"/>
    <cellStyle name="出力 4 4" xfId="988" xr:uid="{00000000-0005-0000-0000-000009040000}"/>
    <cellStyle name="出力 4 4 2" xfId="989" xr:uid="{00000000-0005-0000-0000-00000A040000}"/>
    <cellStyle name="出力 4 5" xfId="990" xr:uid="{00000000-0005-0000-0000-00000B040000}"/>
    <cellStyle name="出力 4 5 2" xfId="991" xr:uid="{00000000-0005-0000-0000-00000C040000}"/>
    <cellStyle name="出力 4 6" xfId="992" xr:uid="{00000000-0005-0000-0000-00000D040000}"/>
    <cellStyle name="出力 4 6 2" xfId="993" xr:uid="{00000000-0005-0000-0000-00000E040000}"/>
    <cellStyle name="出力 4 7" xfId="994" xr:uid="{00000000-0005-0000-0000-00000F040000}"/>
    <cellStyle name="出力 5" xfId="995" xr:uid="{00000000-0005-0000-0000-000010040000}"/>
    <cellStyle name="出力 6" xfId="996" xr:uid="{00000000-0005-0000-0000-000011040000}"/>
    <cellStyle name="出力 7" xfId="997" xr:uid="{00000000-0005-0000-0000-000012040000}"/>
    <cellStyle name="出力 8" xfId="998" xr:uid="{00000000-0005-0000-0000-000013040000}"/>
    <cellStyle name="出力 9" xfId="999" xr:uid="{00000000-0005-0000-0000-000014040000}"/>
    <cellStyle name="人月" xfId="1000" xr:uid="{00000000-0005-0000-0000-000015040000}"/>
    <cellStyle name="説明文 2" xfId="1001" xr:uid="{00000000-0005-0000-0000-000016040000}"/>
    <cellStyle name="説明文 3" xfId="1002" xr:uid="{00000000-0005-0000-0000-000017040000}"/>
    <cellStyle name="説明文 4" xfId="1003" xr:uid="{00000000-0005-0000-0000-000018040000}"/>
    <cellStyle name="説明文 5" xfId="1004" xr:uid="{00000000-0005-0000-0000-000019040000}"/>
    <cellStyle name="説明文 6" xfId="1005" xr:uid="{00000000-0005-0000-0000-00001A040000}"/>
    <cellStyle name="説明文 7" xfId="1006" xr:uid="{00000000-0005-0000-0000-00001B040000}"/>
    <cellStyle name="説明文 8" xfId="1007" xr:uid="{00000000-0005-0000-0000-00001C040000}"/>
    <cellStyle name="説明文 9" xfId="1008" xr:uid="{00000000-0005-0000-0000-00001D040000}"/>
    <cellStyle name="脱浦 [0.00]_laroux" xfId="1009" xr:uid="{00000000-0005-0000-0000-00001E040000}"/>
    <cellStyle name="脱浦_laroux" xfId="1010" xr:uid="{00000000-0005-0000-0000-00001F040000}"/>
    <cellStyle name="通貨 [0.00" xfId="1011" xr:uid="{00000000-0005-0000-0000-000020040000}"/>
    <cellStyle name="通貨 [0.00 2" xfId="1012" xr:uid="{00000000-0005-0000-0000-000021040000}"/>
    <cellStyle name="通貨 [0.00 3" xfId="1013" xr:uid="{00000000-0005-0000-0000-000022040000}"/>
    <cellStyle name="通貨 [0.00 4" xfId="1014" xr:uid="{00000000-0005-0000-0000-000023040000}"/>
    <cellStyle name="通貨 [0.00 5" xfId="1015" xr:uid="{00000000-0005-0000-0000-000024040000}"/>
    <cellStyle name="通貨 [0.00 6" xfId="1016" xr:uid="{00000000-0005-0000-0000-000025040000}"/>
    <cellStyle name="通貨 2" xfId="1017" xr:uid="{00000000-0005-0000-0000-000026040000}"/>
    <cellStyle name="通貨 2 2" xfId="1018" xr:uid="{00000000-0005-0000-0000-000027040000}"/>
    <cellStyle name="通貨 2 2 2" xfId="1019" xr:uid="{00000000-0005-0000-0000-000028040000}"/>
    <cellStyle name="通貨 2 2 3" xfId="1020" xr:uid="{00000000-0005-0000-0000-000029040000}"/>
    <cellStyle name="通貨 2 3" xfId="1021" xr:uid="{00000000-0005-0000-0000-00002A040000}"/>
    <cellStyle name="通貨 2 4" xfId="1022" xr:uid="{00000000-0005-0000-0000-00002B040000}"/>
    <cellStyle name="通貨 2 5" xfId="1023" xr:uid="{00000000-0005-0000-0000-00002C040000}"/>
    <cellStyle name="通貨 3" xfId="1024" xr:uid="{00000000-0005-0000-0000-00002D040000}"/>
    <cellStyle name="入力 2" xfId="1025" xr:uid="{00000000-0005-0000-0000-00002E040000}"/>
    <cellStyle name="入力 2 2" xfId="1026" xr:uid="{00000000-0005-0000-0000-00002F040000}"/>
    <cellStyle name="入力 2 2 2" xfId="1027" xr:uid="{00000000-0005-0000-0000-000030040000}"/>
    <cellStyle name="入力 2 2 2 2" xfId="1028" xr:uid="{00000000-0005-0000-0000-000031040000}"/>
    <cellStyle name="入力 2 2 2 2 2" xfId="1029" xr:uid="{00000000-0005-0000-0000-000032040000}"/>
    <cellStyle name="入力 2 2 2 3" xfId="1030" xr:uid="{00000000-0005-0000-0000-000033040000}"/>
    <cellStyle name="入力 2 2 2 3 2" xfId="1031" xr:uid="{00000000-0005-0000-0000-000034040000}"/>
    <cellStyle name="入力 2 2 2 4" xfId="1032" xr:uid="{00000000-0005-0000-0000-000035040000}"/>
    <cellStyle name="入力 2 2 2 4 2" xfId="1033" xr:uid="{00000000-0005-0000-0000-000036040000}"/>
    <cellStyle name="入力 2 2 2 5" xfId="1034" xr:uid="{00000000-0005-0000-0000-000037040000}"/>
    <cellStyle name="入力 2 2 2 5 2" xfId="1035" xr:uid="{00000000-0005-0000-0000-000038040000}"/>
    <cellStyle name="入力 2 2 2 6" xfId="1036" xr:uid="{00000000-0005-0000-0000-000039040000}"/>
    <cellStyle name="入力 2 2 2 6 2" xfId="1037" xr:uid="{00000000-0005-0000-0000-00003A040000}"/>
    <cellStyle name="入力 2 2 2 7" xfId="1038" xr:uid="{00000000-0005-0000-0000-00003B040000}"/>
    <cellStyle name="入力 2 2 3" xfId="1039" xr:uid="{00000000-0005-0000-0000-00003C040000}"/>
    <cellStyle name="入力 2 2 3 2" xfId="1040" xr:uid="{00000000-0005-0000-0000-00003D040000}"/>
    <cellStyle name="入力 2 2 4" xfId="1041" xr:uid="{00000000-0005-0000-0000-00003E040000}"/>
    <cellStyle name="入力 2 3" xfId="1042" xr:uid="{00000000-0005-0000-0000-00003F040000}"/>
    <cellStyle name="入力 2 3 2" xfId="1043" xr:uid="{00000000-0005-0000-0000-000040040000}"/>
    <cellStyle name="入力 2 3 2 2" xfId="1044" xr:uid="{00000000-0005-0000-0000-000041040000}"/>
    <cellStyle name="入力 2 3 3" xfId="1045" xr:uid="{00000000-0005-0000-0000-000042040000}"/>
    <cellStyle name="入力 2 3 3 2" xfId="1046" xr:uid="{00000000-0005-0000-0000-000043040000}"/>
    <cellStyle name="入力 2 3 4" xfId="1047" xr:uid="{00000000-0005-0000-0000-000044040000}"/>
    <cellStyle name="入力 2 3 4 2" xfId="1048" xr:uid="{00000000-0005-0000-0000-000045040000}"/>
    <cellStyle name="入力 2 3 5" xfId="1049" xr:uid="{00000000-0005-0000-0000-000046040000}"/>
    <cellStyle name="入力 2 3 5 2" xfId="1050" xr:uid="{00000000-0005-0000-0000-000047040000}"/>
    <cellStyle name="入力 2 3 6" xfId="1051" xr:uid="{00000000-0005-0000-0000-000048040000}"/>
    <cellStyle name="入力 2 3 6 2" xfId="1052" xr:uid="{00000000-0005-0000-0000-000049040000}"/>
    <cellStyle name="入力 2 3 7" xfId="1053" xr:uid="{00000000-0005-0000-0000-00004A040000}"/>
    <cellStyle name="入力 2 4" xfId="1054" xr:uid="{00000000-0005-0000-0000-00004B040000}"/>
    <cellStyle name="入力 2 4 2" xfId="1055" xr:uid="{00000000-0005-0000-0000-00004C040000}"/>
    <cellStyle name="入力 2 5" xfId="1056" xr:uid="{00000000-0005-0000-0000-00004D040000}"/>
    <cellStyle name="入力 3" xfId="1057" xr:uid="{00000000-0005-0000-0000-00004E040000}"/>
    <cellStyle name="入力 3 2" xfId="1058" xr:uid="{00000000-0005-0000-0000-00004F040000}"/>
    <cellStyle name="入力 3 2 2" xfId="1059" xr:uid="{00000000-0005-0000-0000-000050040000}"/>
    <cellStyle name="入力 3 2 2 2" xfId="1060" xr:uid="{00000000-0005-0000-0000-000051040000}"/>
    <cellStyle name="入力 3 2 3" xfId="1061" xr:uid="{00000000-0005-0000-0000-000052040000}"/>
    <cellStyle name="入力 3 2 3 2" xfId="1062" xr:uid="{00000000-0005-0000-0000-000053040000}"/>
    <cellStyle name="入力 3 2 4" xfId="1063" xr:uid="{00000000-0005-0000-0000-000054040000}"/>
    <cellStyle name="入力 3 2 4 2" xfId="1064" xr:uid="{00000000-0005-0000-0000-000055040000}"/>
    <cellStyle name="入力 3 2 5" xfId="1065" xr:uid="{00000000-0005-0000-0000-000056040000}"/>
    <cellStyle name="入力 3 2 5 2" xfId="1066" xr:uid="{00000000-0005-0000-0000-000057040000}"/>
    <cellStyle name="入力 3 2 6" xfId="1067" xr:uid="{00000000-0005-0000-0000-000058040000}"/>
    <cellStyle name="入力 3 2 6 2" xfId="1068" xr:uid="{00000000-0005-0000-0000-000059040000}"/>
    <cellStyle name="入力 3 2 7" xfId="1069" xr:uid="{00000000-0005-0000-0000-00005A040000}"/>
    <cellStyle name="入力 3 3" xfId="1070" xr:uid="{00000000-0005-0000-0000-00005B040000}"/>
    <cellStyle name="入力 3 3 2" xfId="1071" xr:uid="{00000000-0005-0000-0000-00005C040000}"/>
    <cellStyle name="入力 3 4" xfId="1072" xr:uid="{00000000-0005-0000-0000-00005D040000}"/>
    <cellStyle name="入力 4" xfId="1073" xr:uid="{00000000-0005-0000-0000-00005E040000}"/>
    <cellStyle name="入力 4 2" xfId="1074" xr:uid="{00000000-0005-0000-0000-00005F040000}"/>
    <cellStyle name="入力 4 2 2" xfId="1075" xr:uid="{00000000-0005-0000-0000-000060040000}"/>
    <cellStyle name="入力 4 3" xfId="1076" xr:uid="{00000000-0005-0000-0000-000061040000}"/>
    <cellStyle name="入力 4 3 2" xfId="1077" xr:uid="{00000000-0005-0000-0000-000062040000}"/>
    <cellStyle name="入力 4 4" xfId="1078" xr:uid="{00000000-0005-0000-0000-000063040000}"/>
    <cellStyle name="入力 4 4 2" xfId="1079" xr:uid="{00000000-0005-0000-0000-000064040000}"/>
    <cellStyle name="入力 4 5" xfId="1080" xr:uid="{00000000-0005-0000-0000-000065040000}"/>
    <cellStyle name="入力 4 5 2" xfId="1081" xr:uid="{00000000-0005-0000-0000-000066040000}"/>
    <cellStyle name="入力 4 6" xfId="1082" xr:uid="{00000000-0005-0000-0000-000067040000}"/>
    <cellStyle name="入力 4 6 2" xfId="1083" xr:uid="{00000000-0005-0000-0000-000068040000}"/>
    <cellStyle name="入力 4 7" xfId="1084" xr:uid="{00000000-0005-0000-0000-000069040000}"/>
    <cellStyle name="入力 5" xfId="1085" xr:uid="{00000000-0005-0000-0000-00006A040000}"/>
    <cellStyle name="入力 6" xfId="1086" xr:uid="{00000000-0005-0000-0000-00006B040000}"/>
    <cellStyle name="入力 7" xfId="1087" xr:uid="{00000000-0005-0000-0000-00006C040000}"/>
    <cellStyle name="入力 8" xfId="1088" xr:uid="{00000000-0005-0000-0000-00006D040000}"/>
    <cellStyle name="入力 9" xfId="1089" xr:uid="{00000000-0005-0000-0000-00006E040000}"/>
    <cellStyle name="標準" xfId="0" builtinId="0"/>
    <cellStyle name="標準 10" xfId="1090" xr:uid="{00000000-0005-0000-0000-000070040000}"/>
    <cellStyle name="標準 10 2" xfId="1091" xr:uid="{00000000-0005-0000-0000-000071040000}"/>
    <cellStyle name="標準 10 3" xfId="2" xr:uid="{00000000-0005-0000-0000-000072040000}"/>
    <cellStyle name="標準 10 4" xfId="1092" xr:uid="{00000000-0005-0000-0000-000073040000}"/>
    <cellStyle name="標準 10 5" xfId="1093" xr:uid="{00000000-0005-0000-0000-000074040000}"/>
    <cellStyle name="標準 100" xfId="1094" xr:uid="{00000000-0005-0000-0000-000075040000}"/>
    <cellStyle name="標準 100 2" xfId="1095" xr:uid="{00000000-0005-0000-0000-000076040000}"/>
    <cellStyle name="標準 100 2 2" xfId="1096" xr:uid="{00000000-0005-0000-0000-000077040000}"/>
    <cellStyle name="標準 100 2 2 2" xfId="1097" xr:uid="{00000000-0005-0000-0000-000078040000}"/>
    <cellStyle name="標準 100 2 2 3" xfId="1098" xr:uid="{00000000-0005-0000-0000-000079040000}"/>
    <cellStyle name="標準 100 2 2 4" xfId="1099" xr:uid="{00000000-0005-0000-0000-00007A040000}"/>
    <cellStyle name="標準 100 2 3" xfId="1100" xr:uid="{00000000-0005-0000-0000-00007B040000}"/>
    <cellStyle name="標準 100 2 4" xfId="1101" xr:uid="{00000000-0005-0000-0000-00007C040000}"/>
    <cellStyle name="標準 100 2 5" xfId="1102" xr:uid="{00000000-0005-0000-0000-00007D040000}"/>
    <cellStyle name="標準 100 3" xfId="1103" xr:uid="{00000000-0005-0000-0000-00007E040000}"/>
    <cellStyle name="標準 100 3 2" xfId="1104" xr:uid="{00000000-0005-0000-0000-00007F040000}"/>
    <cellStyle name="標準 100 3 3" xfId="1105" xr:uid="{00000000-0005-0000-0000-000080040000}"/>
    <cellStyle name="標準 100 3 4" xfId="1106" xr:uid="{00000000-0005-0000-0000-000081040000}"/>
    <cellStyle name="標準 100 4" xfId="1107" xr:uid="{00000000-0005-0000-0000-000082040000}"/>
    <cellStyle name="標準 100 5" xfId="1108" xr:uid="{00000000-0005-0000-0000-000083040000}"/>
    <cellStyle name="標準 100 6" xfId="1109" xr:uid="{00000000-0005-0000-0000-000084040000}"/>
    <cellStyle name="標準 101" xfId="1110" xr:uid="{00000000-0005-0000-0000-000085040000}"/>
    <cellStyle name="標準 102" xfId="1111" xr:uid="{00000000-0005-0000-0000-000086040000}"/>
    <cellStyle name="標準 102 2" xfId="1112" xr:uid="{00000000-0005-0000-0000-000087040000}"/>
    <cellStyle name="標準 102 2 2" xfId="1113" xr:uid="{00000000-0005-0000-0000-000088040000}"/>
    <cellStyle name="標準 102 2 3" xfId="1114" xr:uid="{00000000-0005-0000-0000-000089040000}"/>
    <cellStyle name="標準 102 2 4" xfId="1115" xr:uid="{00000000-0005-0000-0000-00008A040000}"/>
    <cellStyle name="標準 102 3" xfId="1116" xr:uid="{00000000-0005-0000-0000-00008B040000}"/>
    <cellStyle name="標準 102 4" xfId="1117" xr:uid="{00000000-0005-0000-0000-00008C040000}"/>
    <cellStyle name="標準 102 5" xfId="1118" xr:uid="{00000000-0005-0000-0000-00008D040000}"/>
    <cellStyle name="標準 103" xfId="1119" xr:uid="{00000000-0005-0000-0000-00008E040000}"/>
    <cellStyle name="標準 104" xfId="1120" xr:uid="{00000000-0005-0000-0000-00008F040000}"/>
    <cellStyle name="標準 104 2" xfId="1121" xr:uid="{00000000-0005-0000-0000-000090040000}"/>
    <cellStyle name="標準 104 3" xfId="1122" xr:uid="{00000000-0005-0000-0000-000091040000}"/>
    <cellStyle name="標準 104 4" xfId="1123" xr:uid="{00000000-0005-0000-0000-000092040000}"/>
    <cellStyle name="標準 105" xfId="1124" xr:uid="{00000000-0005-0000-0000-000093040000}"/>
    <cellStyle name="標準 106" xfId="1125" xr:uid="{00000000-0005-0000-0000-000094040000}"/>
    <cellStyle name="標準 107" xfId="1126" xr:uid="{00000000-0005-0000-0000-000095040000}"/>
    <cellStyle name="標準 108" xfId="1127" xr:uid="{00000000-0005-0000-0000-000096040000}"/>
    <cellStyle name="標準 109" xfId="1128" xr:uid="{00000000-0005-0000-0000-000097040000}"/>
    <cellStyle name="標準 11" xfId="1129" xr:uid="{00000000-0005-0000-0000-000098040000}"/>
    <cellStyle name="標準 11 2" xfId="1130" xr:uid="{00000000-0005-0000-0000-000099040000}"/>
    <cellStyle name="標準 11 3" xfId="1131" xr:uid="{00000000-0005-0000-0000-00009A040000}"/>
    <cellStyle name="標準 110" xfId="1132" xr:uid="{00000000-0005-0000-0000-00009B040000}"/>
    <cellStyle name="標準 111" xfId="1133" xr:uid="{00000000-0005-0000-0000-00009C040000}"/>
    <cellStyle name="標準 112" xfId="1134" xr:uid="{00000000-0005-0000-0000-00009D040000}"/>
    <cellStyle name="標準 113" xfId="1135" xr:uid="{00000000-0005-0000-0000-00009E040000}"/>
    <cellStyle name="標準 114" xfId="1136" xr:uid="{00000000-0005-0000-0000-00009F040000}"/>
    <cellStyle name="標準 115" xfId="1137" xr:uid="{00000000-0005-0000-0000-0000A0040000}"/>
    <cellStyle name="標準 116" xfId="1138" xr:uid="{00000000-0005-0000-0000-0000A1040000}"/>
    <cellStyle name="標準 117" xfId="1139" xr:uid="{00000000-0005-0000-0000-0000A2040000}"/>
    <cellStyle name="標準 118" xfId="1140" xr:uid="{00000000-0005-0000-0000-0000A3040000}"/>
    <cellStyle name="標準 119" xfId="1141" xr:uid="{00000000-0005-0000-0000-0000A4040000}"/>
    <cellStyle name="標準 12" xfId="1142" xr:uid="{00000000-0005-0000-0000-0000A5040000}"/>
    <cellStyle name="標準 12 2" xfId="1143" xr:uid="{00000000-0005-0000-0000-0000A6040000}"/>
    <cellStyle name="標準 12 2 2" xfId="1144" xr:uid="{00000000-0005-0000-0000-0000A7040000}"/>
    <cellStyle name="標準 12 2 3" xfId="1145" xr:uid="{00000000-0005-0000-0000-0000A8040000}"/>
    <cellStyle name="標準 12 3" xfId="1146" xr:uid="{00000000-0005-0000-0000-0000A9040000}"/>
    <cellStyle name="標準 12 3 2" xfId="1147" xr:uid="{00000000-0005-0000-0000-0000AA040000}"/>
    <cellStyle name="標準 12 3 3" xfId="1148" xr:uid="{00000000-0005-0000-0000-0000AB040000}"/>
    <cellStyle name="標準 120" xfId="1149" xr:uid="{00000000-0005-0000-0000-0000AC040000}"/>
    <cellStyle name="標準 121" xfId="1150" xr:uid="{00000000-0005-0000-0000-0000AD040000}"/>
    <cellStyle name="標準 122" xfId="1151" xr:uid="{00000000-0005-0000-0000-0000AE040000}"/>
    <cellStyle name="標準 123" xfId="1152" xr:uid="{00000000-0005-0000-0000-0000AF040000}"/>
    <cellStyle name="標準 124" xfId="1153" xr:uid="{00000000-0005-0000-0000-0000B0040000}"/>
    <cellStyle name="標準 125" xfId="1154" xr:uid="{00000000-0005-0000-0000-0000B1040000}"/>
    <cellStyle name="標準 126" xfId="1155" xr:uid="{00000000-0005-0000-0000-0000B2040000}"/>
    <cellStyle name="標準 127" xfId="1156" xr:uid="{00000000-0005-0000-0000-0000B3040000}"/>
    <cellStyle name="標準 128" xfId="1157" xr:uid="{00000000-0005-0000-0000-0000B4040000}"/>
    <cellStyle name="標準 129" xfId="1158" xr:uid="{00000000-0005-0000-0000-0000B5040000}"/>
    <cellStyle name="標準 13" xfId="1159" xr:uid="{00000000-0005-0000-0000-0000B6040000}"/>
    <cellStyle name="標準 13 2" xfId="1160" xr:uid="{00000000-0005-0000-0000-0000B7040000}"/>
    <cellStyle name="標準 13 3" xfId="1161" xr:uid="{00000000-0005-0000-0000-0000B8040000}"/>
    <cellStyle name="標準 13 4" xfId="1162" xr:uid="{00000000-0005-0000-0000-0000B9040000}"/>
    <cellStyle name="標準 13 5" xfId="1163" xr:uid="{00000000-0005-0000-0000-0000BA040000}"/>
    <cellStyle name="標準 130" xfId="1164" xr:uid="{00000000-0005-0000-0000-0000BB040000}"/>
    <cellStyle name="標準 131" xfId="1165" xr:uid="{00000000-0005-0000-0000-0000BC040000}"/>
    <cellStyle name="標準 132" xfId="1" xr:uid="{00000000-0005-0000-0000-0000BD040000}"/>
    <cellStyle name="標準 136" xfId="1166" xr:uid="{00000000-0005-0000-0000-0000BE040000}"/>
    <cellStyle name="標準 14" xfId="1167" xr:uid="{00000000-0005-0000-0000-0000BF040000}"/>
    <cellStyle name="標準 14 2" xfId="1168" xr:uid="{00000000-0005-0000-0000-0000C0040000}"/>
    <cellStyle name="標準 14 2 2" xfId="1169" xr:uid="{00000000-0005-0000-0000-0000C1040000}"/>
    <cellStyle name="標準 14 2 3" xfId="1170" xr:uid="{00000000-0005-0000-0000-0000C2040000}"/>
    <cellStyle name="標準 14 3" xfId="1171" xr:uid="{00000000-0005-0000-0000-0000C3040000}"/>
    <cellStyle name="標準 14 4" xfId="1172" xr:uid="{00000000-0005-0000-0000-0000C4040000}"/>
    <cellStyle name="標準 15" xfId="1173" xr:uid="{00000000-0005-0000-0000-0000C5040000}"/>
    <cellStyle name="標準 15 2" xfId="1174" xr:uid="{00000000-0005-0000-0000-0000C6040000}"/>
    <cellStyle name="標準 15 2 2" xfId="1175" xr:uid="{00000000-0005-0000-0000-0000C7040000}"/>
    <cellStyle name="標準 15 2 3" xfId="1176" xr:uid="{00000000-0005-0000-0000-0000C8040000}"/>
    <cellStyle name="標準 15 3" xfId="1177" xr:uid="{00000000-0005-0000-0000-0000C9040000}"/>
    <cellStyle name="標準 15 4" xfId="1178" xr:uid="{00000000-0005-0000-0000-0000CA040000}"/>
    <cellStyle name="標準 15 5" xfId="1179" xr:uid="{00000000-0005-0000-0000-0000CB040000}"/>
    <cellStyle name="標準 15 6" xfId="1180" xr:uid="{00000000-0005-0000-0000-0000CC040000}"/>
    <cellStyle name="標準 16" xfId="1181" xr:uid="{00000000-0005-0000-0000-0000CD040000}"/>
    <cellStyle name="標準 16 2" xfId="1182" xr:uid="{00000000-0005-0000-0000-0000CE040000}"/>
    <cellStyle name="標準 16 2 2" xfId="1183" xr:uid="{00000000-0005-0000-0000-0000CF040000}"/>
    <cellStyle name="標準 16 2 3" xfId="1184" xr:uid="{00000000-0005-0000-0000-0000D0040000}"/>
    <cellStyle name="標準 16 3" xfId="1185" xr:uid="{00000000-0005-0000-0000-0000D1040000}"/>
    <cellStyle name="標準 16 4" xfId="1186" xr:uid="{00000000-0005-0000-0000-0000D2040000}"/>
    <cellStyle name="標準 16 5" xfId="1187" xr:uid="{00000000-0005-0000-0000-0000D3040000}"/>
    <cellStyle name="標準 17" xfId="1188" xr:uid="{00000000-0005-0000-0000-0000D4040000}"/>
    <cellStyle name="標準 17 2" xfId="1189" xr:uid="{00000000-0005-0000-0000-0000D5040000}"/>
    <cellStyle name="標準 17 2 2" xfId="1190" xr:uid="{00000000-0005-0000-0000-0000D6040000}"/>
    <cellStyle name="標準 17 2 3" xfId="1191" xr:uid="{00000000-0005-0000-0000-0000D7040000}"/>
    <cellStyle name="標準 17 3" xfId="1192" xr:uid="{00000000-0005-0000-0000-0000D8040000}"/>
    <cellStyle name="標準 17 4" xfId="1193" xr:uid="{00000000-0005-0000-0000-0000D9040000}"/>
    <cellStyle name="標準 17 5" xfId="1194" xr:uid="{00000000-0005-0000-0000-0000DA040000}"/>
    <cellStyle name="標準 18" xfId="1195" xr:uid="{00000000-0005-0000-0000-0000DB040000}"/>
    <cellStyle name="標準 18 2" xfId="1196" xr:uid="{00000000-0005-0000-0000-0000DC040000}"/>
    <cellStyle name="標準 18 2 2" xfId="1197" xr:uid="{00000000-0005-0000-0000-0000DD040000}"/>
    <cellStyle name="標準 18 2 3" xfId="1198" xr:uid="{00000000-0005-0000-0000-0000DE040000}"/>
    <cellStyle name="標準 18 2 4" xfId="1199" xr:uid="{00000000-0005-0000-0000-0000DF040000}"/>
    <cellStyle name="標準 18 3" xfId="1200" xr:uid="{00000000-0005-0000-0000-0000E0040000}"/>
    <cellStyle name="標準 18 4" xfId="1201" xr:uid="{00000000-0005-0000-0000-0000E1040000}"/>
    <cellStyle name="標準 18 5" xfId="1202" xr:uid="{00000000-0005-0000-0000-0000E2040000}"/>
    <cellStyle name="標準 18 6" xfId="1203" xr:uid="{00000000-0005-0000-0000-0000E3040000}"/>
    <cellStyle name="標準 19" xfId="1204" xr:uid="{00000000-0005-0000-0000-0000E4040000}"/>
    <cellStyle name="標準 19 2" xfId="1205" xr:uid="{00000000-0005-0000-0000-0000E5040000}"/>
    <cellStyle name="標準 19 3" xfId="1206" xr:uid="{00000000-0005-0000-0000-0000E6040000}"/>
    <cellStyle name="標準 2" xfId="1207" xr:uid="{00000000-0005-0000-0000-0000E7040000}"/>
    <cellStyle name="標準 2 10" xfId="1208" xr:uid="{00000000-0005-0000-0000-0000E8040000}"/>
    <cellStyle name="標準 2 11" xfId="1209" xr:uid="{00000000-0005-0000-0000-0000E9040000}"/>
    <cellStyle name="標準 2 12" xfId="1210" xr:uid="{00000000-0005-0000-0000-0000EA040000}"/>
    <cellStyle name="標準 2 13" xfId="1211" xr:uid="{00000000-0005-0000-0000-0000EB040000}"/>
    <cellStyle name="標準 2 2" xfId="1212" xr:uid="{00000000-0005-0000-0000-0000EC040000}"/>
    <cellStyle name="標準 2 2 2" xfId="1213" xr:uid="{00000000-0005-0000-0000-0000ED040000}"/>
    <cellStyle name="標準 2 2 2 2" xfId="1214" xr:uid="{00000000-0005-0000-0000-0000EE040000}"/>
    <cellStyle name="標準 2 2 2 2 2" xfId="1215" xr:uid="{00000000-0005-0000-0000-0000EF040000}"/>
    <cellStyle name="標準 2 2 2 2 3" xfId="1216" xr:uid="{00000000-0005-0000-0000-0000F0040000}"/>
    <cellStyle name="標準 2 2 2 3" xfId="1217" xr:uid="{00000000-0005-0000-0000-0000F1040000}"/>
    <cellStyle name="標準 2 2 3" xfId="1218" xr:uid="{00000000-0005-0000-0000-0000F2040000}"/>
    <cellStyle name="標準 2 2 3 2" xfId="1219" xr:uid="{00000000-0005-0000-0000-0000F3040000}"/>
    <cellStyle name="標準 2 2 3 3" xfId="1220" xr:uid="{00000000-0005-0000-0000-0000F4040000}"/>
    <cellStyle name="標準 2 2 4" xfId="1221" xr:uid="{00000000-0005-0000-0000-0000F5040000}"/>
    <cellStyle name="標準 2 2 4 2" xfId="1222" xr:uid="{00000000-0005-0000-0000-0000F6040000}"/>
    <cellStyle name="標準 2 2 4 3" xfId="1223" xr:uid="{00000000-0005-0000-0000-0000F7040000}"/>
    <cellStyle name="標準 2 2 5" xfId="1224" xr:uid="{00000000-0005-0000-0000-0000F8040000}"/>
    <cellStyle name="標準 2 2 5 2" xfId="1225" xr:uid="{00000000-0005-0000-0000-0000F9040000}"/>
    <cellStyle name="標準 2 2 5 3" xfId="1226" xr:uid="{00000000-0005-0000-0000-0000FA040000}"/>
    <cellStyle name="標準 2 2 6" xfId="1227" xr:uid="{00000000-0005-0000-0000-0000FB040000}"/>
    <cellStyle name="標準 2 2 6 2" xfId="1228" xr:uid="{00000000-0005-0000-0000-0000FC040000}"/>
    <cellStyle name="標準 2 2 6 3" xfId="1229" xr:uid="{00000000-0005-0000-0000-0000FD040000}"/>
    <cellStyle name="標準 2 2 7" xfId="1230" xr:uid="{00000000-0005-0000-0000-0000FE040000}"/>
    <cellStyle name="標準 2 2 8" xfId="1231" xr:uid="{00000000-0005-0000-0000-0000FF040000}"/>
    <cellStyle name="標準 2 2_(別紙1)参加者テスト仕様書(JPN)_ver1.81" xfId="1232" xr:uid="{00000000-0005-0000-0000-000000050000}"/>
    <cellStyle name="標準 2 3" xfId="1233" xr:uid="{00000000-0005-0000-0000-000001050000}"/>
    <cellStyle name="標準 2 3 2" xfId="1234" xr:uid="{00000000-0005-0000-0000-000002050000}"/>
    <cellStyle name="標準 2 3 2 2" xfId="1235" xr:uid="{00000000-0005-0000-0000-000003050000}"/>
    <cellStyle name="標準 2 3 3" xfId="1236" xr:uid="{00000000-0005-0000-0000-000004050000}"/>
    <cellStyle name="標準 2 3 3 2" xfId="1237" xr:uid="{00000000-0005-0000-0000-000005050000}"/>
    <cellStyle name="標準 2 3 3 3" xfId="1238" xr:uid="{00000000-0005-0000-0000-000006050000}"/>
    <cellStyle name="標準 2 3 4" xfId="1239" xr:uid="{00000000-0005-0000-0000-000007050000}"/>
    <cellStyle name="標準 2 4" xfId="1240" xr:uid="{00000000-0005-0000-0000-000008050000}"/>
    <cellStyle name="標準 2 4 2" xfId="1241" xr:uid="{00000000-0005-0000-0000-000009050000}"/>
    <cellStyle name="標準 2 4 2 2" xfId="1242" xr:uid="{00000000-0005-0000-0000-00000A050000}"/>
    <cellStyle name="標準 2 4 3" xfId="1243" xr:uid="{00000000-0005-0000-0000-00000B050000}"/>
    <cellStyle name="標準 2 5" xfId="1244" xr:uid="{00000000-0005-0000-0000-00000C050000}"/>
    <cellStyle name="標準 2 5 2" xfId="1245" xr:uid="{00000000-0005-0000-0000-00000D050000}"/>
    <cellStyle name="標準 2 5 3" xfId="1246" xr:uid="{00000000-0005-0000-0000-00000E050000}"/>
    <cellStyle name="標準 2 6" xfId="1247" xr:uid="{00000000-0005-0000-0000-00000F050000}"/>
    <cellStyle name="標準 2 6 2" xfId="1248" xr:uid="{00000000-0005-0000-0000-000010050000}"/>
    <cellStyle name="標準 2 6 3" xfId="1249" xr:uid="{00000000-0005-0000-0000-000011050000}"/>
    <cellStyle name="標準 2 6 4" xfId="1250" xr:uid="{00000000-0005-0000-0000-000012050000}"/>
    <cellStyle name="標準 2 7" xfId="1251" xr:uid="{00000000-0005-0000-0000-000013050000}"/>
    <cellStyle name="標準 2 7 2" xfId="1252" xr:uid="{00000000-0005-0000-0000-000014050000}"/>
    <cellStyle name="標準 2 8" xfId="1253" xr:uid="{00000000-0005-0000-0000-000015050000}"/>
    <cellStyle name="標準 2 8 2" xfId="1254" xr:uid="{00000000-0005-0000-0000-000016050000}"/>
    <cellStyle name="標準 2 9" xfId="1255" xr:uid="{00000000-0005-0000-0000-000017050000}"/>
    <cellStyle name="標準 2_(別紙1)参加者テスト仕様書(JPN)_ver1.81" xfId="1256" xr:uid="{00000000-0005-0000-0000-000018050000}"/>
    <cellStyle name="標準 20" xfId="1257" xr:uid="{00000000-0005-0000-0000-000019050000}"/>
    <cellStyle name="標準 20 2" xfId="1258" xr:uid="{00000000-0005-0000-0000-00001A050000}"/>
    <cellStyle name="標準 20 3" xfId="1259" xr:uid="{00000000-0005-0000-0000-00001B050000}"/>
    <cellStyle name="標準 20 4" xfId="1260" xr:uid="{00000000-0005-0000-0000-00001C050000}"/>
    <cellStyle name="標準 20 5" xfId="1261" xr:uid="{00000000-0005-0000-0000-00001D050000}"/>
    <cellStyle name="標準 21" xfId="1262" xr:uid="{00000000-0005-0000-0000-00001E050000}"/>
    <cellStyle name="標準 21 2" xfId="1263" xr:uid="{00000000-0005-0000-0000-00001F050000}"/>
    <cellStyle name="標準 21 2 2" xfId="1264" xr:uid="{00000000-0005-0000-0000-000020050000}"/>
    <cellStyle name="標準 21 3" xfId="1265" xr:uid="{00000000-0005-0000-0000-000021050000}"/>
    <cellStyle name="標準 21 3 2" xfId="1266" xr:uid="{00000000-0005-0000-0000-000022050000}"/>
    <cellStyle name="標準 21 4" xfId="1267" xr:uid="{00000000-0005-0000-0000-000023050000}"/>
    <cellStyle name="標準 21 5" xfId="1268" xr:uid="{00000000-0005-0000-0000-000024050000}"/>
    <cellStyle name="標準 22" xfId="1269" xr:uid="{00000000-0005-0000-0000-000025050000}"/>
    <cellStyle name="標準 22 2" xfId="1270" xr:uid="{00000000-0005-0000-0000-000026050000}"/>
    <cellStyle name="標準 22 3" xfId="1271" xr:uid="{00000000-0005-0000-0000-000027050000}"/>
    <cellStyle name="標準 23" xfId="1272" xr:uid="{00000000-0005-0000-0000-000028050000}"/>
    <cellStyle name="標準 23 2" xfId="1273" xr:uid="{00000000-0005-0000-0000-000029050000}"/>
    <cellStyle name="標準 23 3" xfId="1274" xr:uid="{00000000-0005-0000-0000-00002A050000}"/>
    <cellStyle name="標準 24" xfId="1275" xr:uid="{00000000-0005-0000-0000-00002B050000}"/>
    <cellStyle name="標準 24 2" xfId="1276" xr:uid="{00000000-0005-0000-0000-00002C050000}"/>
    <cellStyle name="標準 24 3" xfId="1277" xr:uid="{00000000-0005-0000-0000-00002D050000}"/>
    <cellStyle name="標準 25" xfId="1278" xr:uid="{00000000-0005-0000-0000-00002E050000}"/>
    <cellStyle name="標準 26" xfId="1279" xr:uid="{00000000-0005-0000-0000-00002F050000}"/>
    <cellStyle name="標準 27" xfId="1280" xr:uid="{00000000-0005-0000-0000-000030050000}"/>
    <cellStyle name="標準 28" xfId="1281" xr:uid="{00000000-0005-0000-0000-000031050000}"/>
    <cellStyle name="標準 29" xfId="1282" xr:uid="{00000000-0005-0000-0000-000032050000}"/>
    <cellStyle name="標準 3" xfId="1283" xr:uid="{00000000-0005-0000-0000-000033050000}"/>
    <cellStyle name="標準 3 10" xfId="1284" xr:uid="{00000000-0005-0000-0000-000034050000}"/>
    <cellStyle name="標準 3 11" xfId="1285" xr:uid="{00000000-0005-0000-0000-000035050000}"/>
    <cellStyle name="標準 3 2" xfId="1286" xr:uid="{00000000-0005-0000-0000-000036050000}"/>
    <cellStyle name="標準 3 2 2" xfId="1287" xr:uid="{00000000-0005-0000-0000-000037050000}"/>
    <cellStyle name="標準 3 2 2 2" xfId="1288" xr:uid="{00000000-0005-0000-0000-000038050000}"/>
    <cellStyle name="標準 3 2 2 3" xfId="1289" xr:uid="{00000000-0005-0000-0000-000039050000}"/>
    <cellStyle name="標準 3 2 3" xfId="1290" xr:uid="{00000000-0005-0000-0000-00003A050000}"/>
    <cellStyle name="標準 3 2 3 2" xfId="1291" xr:uid="{00000000-0005-0000-0000-00003B050000}"/>
    <cellStyle name="標準 3 2 3 3" xfId="1292" xr:uid="{00000000-0005-0000-0000-00003C050000}"/>
    <cellStyle name="標準 3 2 4" xfId="1293" xr:uid="{00000000-0005-0000-0000-00003D050000}"/>
    <cellStyle name="標準 3 2 5" xfId="1294" xr:uid="{00000000-0005-0000-0000-00003E050000}"/>
    <cellStyle name="標準 3 3" xfId="1295" xr:uid="{00000000-0005-0000-0000-00003F050000}"/>
    <cellStyle name="標準 3 4" xfId="1296" xr:uid="{00000000-0005-0000-0000-000040050000}"/>
    <cellStyle name="標準 3 4 2" xfId="1297" xr:uid="{00000000-0005-0000-0000-000041050000}"/>
    <cellStyle name="標準 3 4 3" xfId="1298" xr:uid="{00000000-0005-0000-0000-000042050000}"/>
    <cellStyle name="標準 3 5" xfId="1299" xr:uid="{00000000-0005-0000-0000-000043050000}"/>
    <cellStyle name="標準 3 5 2" xfId="1300" xr:uid="{00000000-0005-0000-0000-000044050000}"/>
    <cellStyle name="標準 3 5 3" xfId="1301" xr:uid="{00000000-0005-0000-0000-000045050000}"/>
    <cellStyle name="標準 3 6" xfId="1302" xr:uid="{00000000-0005-0000-0000-000046050000}"/>
    <cellStyle name="標準 3 6 2" xfId="1303" xr:uid="{00000000-0005-0000-0000-000047050000}"/>
    <cellStyle name="標準 3 7" xfId="1304" xr:uid="{00000000-0005-0000-0000-000048050000}"/>
    <cellStyle name="標準 3 8" xfId="1305" xr:uid="{00000000-0005-0000-0000-000049050000}"/>
    <cellStyle name="標準 3 9" xfId="1306" xr:uid="{00000000-0005-0000-0000-00004A050000}"/>
    <cellStyle name="標準 3_【Quick取得データ配信ツール(仮)】課題管理表（EUC）_20121210" xfId="1307" xr:uid="{00000000-0005-0000-0000-00004B050000}"/>
    <cellStyle name="標準 30" xfId="1308" xr:uid="{00000000-0005-0000-0000-00004C050000}"/>
    <cellStyle name="標準 31" xfId="1309" xr:uid="{00000000-0005-0000-0000-00004D050000}"/>
    <cellStyle name="標準 31 2" xfId="1310" xr:uid="{00000000-0005-0000-0000-00004E050000}"/>
    <cellStyle name="標準 31 3" xfId="1311" xr:uid="{00000000-0005-0000-0000-00004F050000}"/>
    <cellStyle name="標準 32" xfId="1312" xr:uid="{00000000-0005-0000-0000-000050050000}"/>
    <cellStyle name="標準 32 2" xfId="1313" xr:uid="{00000000-0005-0000-0000-000051050000}"/>
    <cellStyle name="標準 32 3" xfId="1314" xr:uid="{00000000-0005-0000-0000-000052050000}"/>
    <cellStyle name="標準 33" xfId="1315" xr:uid="{00000000-0005-0000-0000-000053050000}"/>
    <cellStyle name="標準 33 2" xfId="1316" xr:uid="{00000000-0005-0000-0000-000054050000}"/>
    <cellStyle name="標準 33 3" xfId="1317" xr:uid="{00000000-0005-0000-0000-000055050000}"/>
    <cellStyle name="標準 34" xfId="1318" xr:uid="{00000000-0005-0000-0000-000056050000}"/>
    <cellStyle name="標準 34 2" xfId="1319" xr:uid="{00000000-0005-0000-0000-000057050000}"/>
    <cellStyle name="標準 34 3" xfId="1320" xr:uid="{00000000-0005-0000-0000-000058050000}"/>
    <cellStyle name="標準 35" xfId="1321" xr:uid="{00000000-0005-0000-0000-000059050000}"/>
    <cellStyle name="標準 35 2" xfId="1322" xr:uid="{00000000-0005-0000-0000-00005A050000}"/>
    <cellStyle name="標準 35 3" xfId="1323" xr:uid="{00000000-0005-0000-0000-00005B050000}"/>
    <cellStyle name="標準 36" xfId="1324" xr:uid="{00000000-0005-0000-0000-00005C050000}"/>
    <cellStyle name="標準 36 2" xfId="1325" xr:uid="{00000000-0005-0000-0000-00005D050000}"/>
    <cellStyle name="標準 36 3" xfId="1326" xr:uid="{00000000-0005-0000-0000-00005E050000}"/>
    <cellStyle name="標準 37" xfId="1327" xr:uid="{00000000-0005-0000-0000-00005F050000}"/>
    <cellStyle name="標準 37 2" xfId="1328" xr:uid="{00000000-0005-0000-0000-000060050000}"/>
    <cellStyle name="標準 37 3" xfId="1329" xr:uid="{00000000-0005-0000-0000-000061050000}"/>
    <cellStyle name="標準 38" xfId="1330" xr:uid="{00000000-0005-0000-0000-000062050000}"/>
    <cellStyle name="標準 39" xfId="1331" xr:uid="{00000000-0005-0000-0000-000063050000}"/>
    <cellStyle name="標準 39 2" xfId="1332" xr:uid="{00000000-0005-0000-0000-000064050000}"/>
    <cellStyle name="標準 39 3" xfId="1333" xr:uid="{00000000-0005-0000-0000-000065050000}"/>
    <cellStyle name="標準 4" xfId="1334" xr:uid="{00000000-0005-0000-0000-000066050000}"/>
    <cellStyle name="標準 4 2" xfId="1335" xr:uid="{00000000-0005-0000-0000-000067050000}"/>
    <cellStyle name="標準 4 2 2" xfId="1336" xr:uid="{00000000-0005-0000-0000-000068050000}"/>
    <cellStyle name="標準 4 2 2 2" xfId="1337" xr:uid="{00000000-0005-0000-0000-000069050000}"/>
    <cellStyle name="標準 4 2 2 3" xfId="1338" xr:uid="{00000000-0005-0000-0000-00006A050000}"/>
    <cellStyle name="標準 4 2 3" xfId="1339" xr:uid="{00000000-0005-0000-0000-00006B050000}"/>
    <cellStyle name="標準 4 3" xfId="1340" xr:uid="{00000000-0005-0000-0000-00006C050000}"/>
    <cellStyle name="標準 4 3 2" xfId="1341" xr:uid="{00000000-0005-0000-0000-00006D050000}"/>
    <cellStyle name="標準 4 3 3" xfId="1342" xr:uid="{00000000-0005-0000-0000-00006E050000}"/>
    <cellStyle name="標準 4 4" xfId="1343" xr:uid="{00000000-0005-0000-0000-00006F050000}"/>
    <cellStyle name="標準 4 4 2" xfId="1344" xr:uid="{00000000-0005-0000-0000-000070050000}"/>
    <cellStyle name="標準 4 4 3" xfId="1345" xr:uid="{00000000-0005-0000-0000-000071050000}"/>
    <cellStyle name="標準 4 5" xfId="1346" xr:uid="{00000000-0005-0000-0000-000072050000}"/>
    <cellStyle name="標準 4 6" xfId="1347" xr:uid="{00000000-0005-0000-0000-000073050000}"/>
    <cellStyle name="標準 4_20121011__1_F⇒O_【証拠金１本化】課題管理（清算）" xfId="1348" xr:uid="{00000000-0005-0000-0000-000074050000}"/>
    <cellStyle name="標準 40" xfId="1349" xr:uid="{00000000-0005-0000-0000-000075050000}"/>
    <cellStyle name="標準 41" xfId="1350" xr:uid="{00000000-0005-0000-0000-000076050000}"/>
    <cellStyle name="標準 42" xfId="1351" xr:uid="{00000000-0005-0000-0000-000077050000}"/>
    <cellStyle name="標準 43" xfId="1352" xr:uid="{00000000-0005-0000-0000-000078050000}"/>
    <cellStyle name="標準 44" xfId="1353" xr:uid="{00000000-0005-0000-0000-000079050000}"/>
    <cellStyle name="標準 45" xfId="1354" xr:uid="{00000000-0005-0000-0000-00007A050000}"/>
    <cellStyle name="標準 46" xfId="1355" xr:uid="{00000000-0005-0000-0000-00007B050000}"/>
    <cellStyle name="標準 47" xfId="1356" xr:uid="{00000000-0005-0000-0000-00007C050000}"/>
    <cellStyle name="標準 48" xfId="1357" xr:uid="{00000000-0005-0000-0000-00007D050000}"/>
    <cellStyle name="標準 49" xfId="1358" xr:uid="{00000000-0005-0000-0000-00007E050000}"/>
    <cellStyle name="標準 5" xfId="1359" xr:uid="{00000000-0005-0000-0000-00007F050000}"/>
    <cellStyle name="標準 5 2" xfId="1360" xr:uid="{00000000-0005-0000-0000-000080050000}"/>
    <cellStyle name="標準 5 2 2" xfId="1361" xr:uid="{00000000-0005-0000-0000-000081050000}"/>
    <cellStyle name="標準 5 2 2 2" xfId="1362" xr:uid="{00000000-0005-0000-0000-000082050000}"/>
    <cellStyle name="標準 5 2 2 3" xfId="1363" xr:uid="{00000000-0005-0000-0000-000083050000}"/>
    <cellStyle name="標準 5 2 3" xfId="1364" xr:uid="{00000000-0005-0000-0000-000084050000}"/>
    <cellStyle name="標準 5 2 3 2" xfId="1365" xr:uid="{00000000-0005-0000-0000-000085050000}"/>
    <cellStyle name="標準 5 2 3 3" xfId="1366" xr:uid="{00000000-0005-0000-0000-000086050000}"/>
    <cellStyle name="標準 5 3" xfId="1367" xr:uid="{00000000-0005-0000-0000-000087050000}"/>
    <cellStyle name="標準 5 4" xfId="1368" xr:uid="{00000000-0005-0000-0000-000088050000}"/>
    <cellStyle name="標準 5 4 2" xfId="1369" xr:uid="{00000000-0005-0000-0000-000089050000}"/>
    <cellStyle name="標準 5_バックアップセンタ_切替テストスケジュール_20120406~10" xfId="1370" xr:uid="{00000000-0005-0000-0000-00008A050000}"/>
    <cellStyle name="標準 50" xfId="1371" xr:uid="{00000000-0005-0000-0000-00008B050000}"/>
    <cellStyle name="標準 51" xfId="1372" xr:uid="{00000000-0005-0000-0000-00008C050000}"/>
    <cellStyle name="標準 52" xfId="1373" xr:uid="{00000000-0005-0000-0000-00008D050000}"/>
    <cellStyle name="標準 53" xfId="1374" xr:uid="{00000000-0005-0000-0000-00008E050000}"/>
    <cellStyle name="標準 54" xfId="1375" xr:uid="{00000000-0005-0000-0000-00008F050000}"/>
    <cellStyle name="標準 55" xfId="1376" xr:uid="{00000000-0005-0000-0000-000090050000}"/>
    <cellStyle name="標準 56" xfId="1377" xr:uid="{00000000-0005-0000-0000-000091050000}"/>
    <cellStyle name="標準 57" xfId="1378" xr:uid="{00000000-0005-0000-0000-000092050000}"/>
    <cellStyle name="標準 58" xfId="1379" xr:uid="{00000000-0005-0000-0000-000093050000}"/>
    <cellStyle name="標準 59" xfId="1380" xr:uid="{00000000-0005-0000-0000-000094050000}"/>
    <cellStyle name="標準 6" xfId="1381" xr:uid="{00000000-0005-0000-0000-000095050000}"/>
    <cellStyle name="標準 6 2" xfId="1382" xr:uid="{00000000-0005-0000-0000-000096050000}"/>
    <cellStyle name="標準 6 2 2" xfId="1383" xr:uid="{00000000-0005-0000-0000-000097050000}"/>
    <cellStyle name="標準 6 2 3" xfId="1384" xr:uid="{00000000-0005-0000-0000-000098050000}"/>
    <cellStyle name="標準 6 2 4" xfId="1385" xr:uid="{00000000-0005-0000-0000-000099050000}"/>
    <cellStyle name="標準 6 3" xfId="1386" xr:uid="{00000000-0005-0000-0000-00009A050000}"/>
    <cellStyle name="標準 6_バックアップセンタ_切替テストスケジュール_20120406~10" xfId="1387" xr:uid="{00000000-0005-0000-0000-00009B050000}"/>
    <cellStyle name="標準 60" xfId="1388" xr:uid="{00000000-0005-0000-0000-00009C050000}"/>
    <cellStyle name="標準 61" xfId="1389" xr:uid="{00000000-0005-0000-0000-00009D050000}"/>
    <cellStyle name="標準 62" xfId="1390" xr:uid="{00000000-0005-0000-0000-00009E050000}"/>
    <cellStyle name="標準 63" xfId="1391" xr:uid="{00000000-0005-0000-0000-00009F050000}"/>
    <cellStyle name="標準 64" xfId="1392" xr:uid="{00000000-0005-0000-0000-0000A0050000}"/>
    <cellStyle name="標準 65" xfId="1393" xr:uid="{00000000-0005-0000-0000-0000A1050000}"/>
    <cellStyle name="標準 66" xfId="1394" xr:uid="{00000000-0005-0000-0000-0000A2050000}"/>
    <cellStyle name="標準 67" xfId="1395" xr:uid="{00000000-0005-0000-0000-0000A3050000}"/>
    <cellStyle name="標準 68" xfId="1396" xr:uid="{00000000-0005-0000-0000-0000A4050000}"/>
    <cellStyle name="標準 69" xfId="1397" xr:uid="{00000000-0005-0000-0000-0000A5050000}"/>
    <cellStyle name="標準 69 2" xfId="1398" xr:uid="{00000000-0005-0000-0000-0000A6050000}"/>
    <cellStyle name="標準 69 2 2" xfId="1399" xr:uid="{00000000-0005-0000-0000-0000A7050000}"/>
    <cellStyle name="標準 69 2 2 2" xfId="1400" xr:uid="{00000000-0005-0000-0000-0000A8050000}"/>
    <cellStyle name="標準 69 2 2 3" xfId="1401" xr:uid="{00000000-0005-0000-0000-0000A9050000}"/>
    <cellStyle name="標準 69 2 2 4" xfId="1402" xr:uid="{00000000-0005-0000-0000-0000AA050000}"/>
    <cellStyle name="標準 69 2 3" xfId="1403" xr:uid="{00000000-0005-0000-0000-0000AB050000}"/>
    <cellStyle name="標準 69 2 4" xfId="1404" xr:uid="{00000000-0005-0000-0000-0000AC050000}"/>
    <cellStyle name="標準 69 2 5" xfId="1405" xr:uid="{00000000-0005-0000-0000-0000AD050000}"/>
    <cellStyle name="標準 69 3" xfId="1406" xr:uid="{00000000-0005-0000-0000-0000AE050000}"/>
    <cellStyle name="標準 69 3 2" xfId="1407" xr:uid="{00000000-0005-0000-0000-0000AF050000}"/>
    <cellStyle name="標準 69 3 3" xfId="1408" xr:uid="{00000000-0005-0000-0000-0000B0050000}"/>
    <cellStyle name="標準 69 3 4" xfId="1409" xr:uid="{00000000-0005-0000-0000-0000B1050000}"/>
    <cellStyle name="標準 69 4" xfId="1410" xr:uid="{00000000-0005-0000-0000-0000B2050000}"/>
    <cellStyle name="標準 69 5" xfId="1411" xr:uid="{00000000-0005-0000-0000-0000B3050000}"/>
    <cellStyle name="標準 69 6" xfId="1412" xr:uid="{00000000-0005-0000-0000-0000B4050000}"/>
    <cellStyle name="標準 69 7" xfId="1413" xr:uid="{00000000-0005-0000-0000-0000B5050000}"/>
    <cellStyle name="標準 69 8" xfId="1414" xr:uid="{00000000-0005-0000-0000-0000B6050000}"/>
    <cellStyle name="標準 7" xfId="1415" xr:uid="{00000000-0005-0000-0000-0000B7050000}"/>
    <cellStyle name="標準 7 2" xfId="1416" xr:uid="{00000000-0005-0000-0000-0000B8050000}"/>
    <cellStyle name="標準 7 2 2" xfId="1417" xr:uid="{00000000-0005-0000-0000-0000B9050000}"/>
    <cellStyle name="標準 7 2 3" xfId="1418" xr:uid="{00000000-0005-0000-0000-0000BA050000}"/>
    <cellStyle name="標準 7 3" xfId="1419" xr:uid="{00000000-0005-0000-0000-0000BB050000}"/>
    <cellStyle name="標準 7 3 2" xfId="1420" xr:uid="{00000000-0005-0000-0000-0000BC050000}"/>
    <cellStyle name="標準 7 3 3" xfId="1421" xr:uid="{00000000-0005-0000-0000-0000BD050000}"/>
    <cellStyle name="標準 7 4" xfId="1422" xr:uid="{00000000-0005-0000-0000-0000BE050000}"/>
    <cellStyle name="標準 7 4 2" xfId="1423" xr:uid="{00000000-0005-0000-0000-0000BF050000}"/>
    <cellStyle name="標準 7 4 3" xfId="1424" xr:uid="{00000000-0005-0000-0000-0000C0050000}"/>
    <cellStyle name="標準 7 5" xfId="1425" xr:uid="{00000000-0005-0000-0000-0000C1050000}"/>
    <cellStyle name="標準 70" xfId="1426" xr:uid="{00000000-0005-0000-0000-0000C2050000}"/>
    <cellStyle name="標準 70 2" xfId="1427" xr:uid="{00000000-0005-0000-0000-0000C3050000}"/>
    <cellStyle name="標準 70 2 2" xfId="1428" xr:uid="{00000000-0005-0000-0000-0000C4050000}"/>
    <cellStyle name="標準 70 2 2 2" xfId="1429" xr:uid="{00000000-0005-0000-0000-0000C5050000}"/>
    <cellStyle name="標準 70 2 2 3" xfId="1430" xr:uid="{00000000-0005-0000-0000-0000C6050000}"/>
    <cellStyle name="標準 70 2 2 4" xfId="1431" xr:uid="{00000000-0005-0000-0000-0000C7050000}"/>
    <cellStyle name="標準 70 2 3" xfId="1432" xr:uid="{00000000-0005-0000-0000-0000C8050000}"/>
    <cellStyle name="標準 70 2 4" xfId="1433" xr:uid="{00000000-0005-0000-0000-0000C9050000}"/>
    <cellStyle name="標準 70 2 5" xfId="1434" xr:uid="{00000000-0005-0000-0000-0000CA050000}"/>
    <cellStyle name="標準 70 3" xfId="1435" xr:uid="{00000000-0005-0000-0000-0000CB050000}"/>
    <cellStyle name="標準 70 3 2" xfId="1436" xr:uid="{00000000-0005-0000-0000-0000CC050000}"/>
    <cellStyle name="標準 70 3 3" xfId="1437" xr:uid="{00000000-0005-0000-0000-0000CD050000}"/>
    <cellStyle name="標準 70 3 4" xfId="1438" xr:uid="{00000000-0005-0000-0000-0000CE050000}"/>
    <cellStyle name="標準 70 4" xfId="1439" xr:uid="{00000000-0005-0000-0000-0000CF050000}"/>
    <cellStyle name="標準 70 5" xfId="1440" xr:uid="{00000000-0005-0000-0000-0000D0050000}"/>
    <cellStyle name="標準 70 6" xfId="1441" xr:uid="{00000000-0005-0000-0000-0000D1050000}"/>
    <cellStyle name="標準 70 7" xfId="1442" xr:uid="{00000000-0005-0000-0000-0000D2050000}"/>
    <cellStyle name="標準 70 8" xfId="1443" xr:uid="{00000000-0005-0000-0000-0000D3050000}"/>
    <cellStyle name="標準 71" xfId="1444" xr:uid="{00000000-0005-0000-0000-0000D4050000}"/>
    <cellStyle name="標準 71 2" xfId="1445" xr:uid="{00000000-0005-0000-0000-0000D5050000}"/>
    <cellStyle name="標準 71 2 2" xfId="1446" xr:uid="{00000000-0005-0000-0000-0000D6050000}"/>
    <cellStyle name="標準 71 2 2 2" xfId="1447" xr:uid="{00000000-0005-0000-0000-0000D7050000}"/>
    <cellStyle name="標準 71 2 2 3" xfId="1448" xr:uid="{00000000-0005-0000-0000-0000D8050000}"/>
    <cellStyle name="標準 71 2 2 4" xfId="1449" xr:uid="{00000000-0005-0000-0000-0000D9050000}"/>
    <cellStyle name="標準 71 2 3" xfId="1450" xr:uid="{00000000-0005-0000-0000-0000DA050000}"/>
    <cellStyle name="標準 71 2 4" xfId="1451" xr:uid="{00000000-0005-0000-0000-0000DB050000}"/>
    <cellStyle name="標準 71 2 5" xfId="1452" xr:uid="{00000000-0005-0000-0000-0000DC050000}"/>
    <cellStyle name="標準 71 3" xfId="1453" xr:uid="{00000000-0005-0000-0000-0000DD050000}"/>
    <cellStyle name="標準 71 3 2" xfId="1454" xr:uid="{00000000-0005-0000-0000-0000DE050000}"/>
    <cellStyle name="標準 71 3 3" xfId="1455" xr:uid="{00000000-0005-0000-0000-0000DF050000}"/>
    <cellStyle name="標準 71 3 4" xfId="1456" xr:uid="{00000000-0005-0000-0000-0000E0050000}"/>
    <cellStyle name="標準 71 4" xfId="1457" xr:uid="{00000000-0005-0000-0000-0000E1050000}"/>
    <cellStyle name="標準 71 5" xfId="1458" xr:uid="{00000000-0005-0000-0000-0000E2050000}"/>
    <cellStyle name="標準 71 6" xfId="1459" xr:uid="{00000000-0005-0000-0000-0000E3050000}"/>
    <cellStyle name="標準 71 7" xfId="1460" xr:uid="{00000000-0005-0000-0000-0000E4050000}"/>
    <cellStyle name="標準 71 8" xfId="1461" xr:uid="{00000000-0005-0000-0000-0000E5050000}"/>
    <cellStyle name="標準 72" xfId="1462" xr:uid="{00000000-0005-0000-0000-0000E6050000}"/>
    <cellStyle name="標準 72 2" xfId="1463" xr:uid="{00000000-0005-0000-0000-0000E7050000}"/>
    <cellStyle name="標準 72 2 2" xfId="1464" xr:uid="{00000000-0005-0000-0000-0000E8050000}"/>
    <cellStyle name="標準 72 2 2 2" xfId="1465" xr:uid="{00000000-0005-0000-0000-0000E9050000}"/>
    <cellStyle name="標準 72 2 2 3" xfId="1466" xr:uid="{00000000-0005-0000-0000-0000EA050000}"/>
    <cellStyle name="標準 72 2 2 4" xfId="1467" xr:uid="{00000000-0005-0000-0000-0000EB050000}"/>
    <cellStyle name="標準 72 2 3" xfId="1468" xr:uid="{00000000-0005-0000-0000-0000EC050000}"/>
    <cellStyle name="標準 72 2 4" xfId="1469" xr:uid="{00000000-0005-0000-0000-0000ED050000}"/>
    <cellStyle name="標準 72 2 5" xfId="1470" xr:uid="{00000000-0005-0000-0000-0000EE050000}"/>
    <cellStyle name="標準 72 3" xfId="1471" xr:uid="{00000000-0005-0000-0000-0000EF050000}"/>
    <cellStyle name="標準 72 3 2" xfId="1472" xr:uid="{00000000-0005-0000-0000-0000F0050000}"/>
    <cellStyle name="標準 72 3 3" xfId="1473" xr:uid="{00000000-0005-0000-0000-0000F1050000}"/>
    <cellStyle name="標準 72 3 4" xfId="1474" xr:uid="{00000000-0005-0000-0000-0000F2050000}"/>
    <cellStyle name="標準 72 4" xfId="1475" xr:uid="{00000000-0005-0000-0000-0000F3050000}"/>
    <cellStyle name="標準 72 5" xfId="1476" xr:uid="{00000000-0005-0000-0000-0000F4050000}"/>
    <cellStyle name="標準 72 6" xfId="1477" xr:uid="{00000000-0005-0000-0000-0000F5050000}"/>
    <cellStyle name="標準 72 7" xfId="1478" xr:uid="{00000000-0005-0000-0000-0000F6050000}"/>
    <cellStyle name="標準 72 8" xfId="1479" xr:uid="{00000000-0005-0000-0000-0000F7050000}"/>
    <cellStyle name="標準 73" xfId="1480" xr:uid="{00000000-0005-0000-0000-0000F8050000}"/>
    <cellStyle name="標準 73 2" xfId="1481" xr:uid="{00000000-0005-0000-0000-0000F9050000}"/>
    <cellStyle name="標準 73 2 2" xfId="1482" xr:uid="{00000000-0005-0000-0000-0000FA050000}"/>
    <cellStyle name="標準 73 2 2 2" xfId="1483" xr:uid="{00000000-0005-0000-0000-0000FB050000}"/>
    <cellStyle name="標準 73 2 2 3" xfId="1484" xr:uid="{00000000-0005-0000-0000-0000FC050000}"/>
    <cellStyle name="標準 73 2 2 4" xfId="1485" xr:uid="{00000000-0005-0000-0000-0000FD050000}"/>
    <cellStyle name="標準 73 2 3" xfId="1486" xr:uid="{00000000-0005-0000-0000-0000FE050000}"/>
    <cellStyle name="標準 73 2 4" xfId="1487" xr:uid="{00000000-0005-0000-0000-0000FF050000}"/>
    <cellStyle name="標準 73 2 5" xfId="1488" xr:uid="{00000000-0005-0000-0000-000000060000}"/>
    <cellStyle name="標準 73 3" xfId="1489" xr:uid="{00000000-0005-0000-0000-000001060000}"/>
    <cellStyle name="標準 73 3 2" xfId="1490" xr:uid="{00000000-0005-0000-0000-000002060000}"/>
    <cellStyle name="標準 73 3 3" xfId="1491" xr:uid="{00000000-0005-0000-0000-000003060000}"/>
    <cellStyle name="標準 73 3 4" xfId="1492" xr:uid="{00000000-0005-0000-0000-000004060000}"/>
    <cellStyle name="標準 73 4" xfId="1493" xr:uid="{00000000-0005-0000-0000-000005060000}"/>
    <cellStyle name="標準 73 5" xfId="1494" xr:uid="{00000000-0005-0000-0000-000006060000}"/>
    <cellStyle name="標準 73 6" xfId="1495" xr:uid="{00000000-0005-0000-0000-000007060000}"/>
    <cellStyle name="標準 74" xfId="1496" xr:uid="{00000000-0005-0000-0000-000008060000}"/>
    <cellStyle name="標準 74 2" xfId="1497" xr:uid="{00000000-0005-0000-0000-000009060000}"/>
    <cellStyle name="標準 74 2 2" xfId="1498" xr:uid="{00000000-0005-0000-0000-00000A060000}"/>
    <cellStyle name="標準 74 2 2 2" xfId="1499" xr:uid="{00000000-0005-0000-0000-00000B060000}"/>
    <cellStyle name="標準 74 2 2 3" xfId="1500" xr:uid="{00000000-0005-0000-0000-00000C060000}"/>
    <cellStyle name="標準 74 2 2 4" xfId="1501" xr:uid="{00000000-0005-0000-0000-00000D060000}"/>
    <cellStyle name="標準 74 2 3" xfId="1502" xr:uid="{00000000-0005-0000-0000-00000E060000}"/>
    <cellStyle name="標準 74 2 4" xfId="1503" xr:uid="{00000000-0005-0000-0000-00000F060000}"/>
    <cellStyle name="標準 74 2 5" xfId="1504" xr:uid="{00000000-0005-0000-0000-000010060000}"/>
    <cellStyle name="標準 74 3" xfId="1505" xr:uid="{00000000-0005-0000-0000-000011060000}"/>
    <cellStyle name="標準 74 3 2" xfId="1506" xr:uid="{00000000-0005-0000-0000-000012060000}"/>
    <cellStyle name="標準 74 3 3" xfId="1507" xr:uid="{00000000-0005-0000-0000-000013060000}"/>
    <cellStyle name="標準 74 3 4" xfId="1508" xr:uid="{00000000-0005-0000-0000-000014060000}"/>
    <cellStyle name="標準 74 4" xfId="1509" xr:uid="{00000000-0005-0000-0000-000015060000}"/>
    <cellStyle name="標準 74 5" xfId="1510" xr:uid="{00000000-0005-0000-0000-000016060000}"/>
    <cellStyle name="標準 74 6" xfId="1511" xr:uid="{00000000-0005-0000-0000-000017060000}"/>
    <cellStyle name="標準 75" xfId="1512" xr:uid="{00000000-0005-0000-0000-000018060000}"/>
    <cellStyle name="標準 75 2" xfId="1513" xr:uid="{00000000-0005-0000-0000-000019060000}"/>
    <cellStyle name="標準 75 2 2" xfId="1514" xr:uid="{00000000-0005-0000-0000-00001A060000}"/>
    <cellStyle name="標準 75 2 2 2" xfId="1515" xr:uid="{00000000-0005-0000-0000-00001B060000}"/>
    <cellStyle name="標準 75 2 2 3" xfId="1516" xr:uid="{00000000-0005-0000-0000-00001C060000}"/>
    <cellStyle name="標準 75 2 2 4" xfId="1517" xr:uid="{00000000-0005-0000-0000-00001D060000}"/>
    <cellStyle name="標準 75 2 3" xfId="1518" xr:uid="{00000000-0005-0000-0000-00001E060000}"/>
    <cellStyle name="標準 75 2 4" xfId="1519" xr:uid="{00000000-0005-0000-0000-00001F060000}"/>
    <cellStyle name="標準 75 2 5" xfId="1520" xr:uid="{00000000-0005-0000-0000-000020060000}"/>
    <cellStyle name="標準 75 3" xfId="1521" xr:uid="{00000000-0005-0000-0000-000021060000}"/>
    <cellStyle name="標準 75 3 2" xfId="1522" xr:uid="{00000000-0005-0000-0000-000022060000}"/>
    <cellStyle name="標準 75 3 3" xfId="1523" xr:uid="{00000000-0005-0000-0000-000023060000}"/>
    <cellStyle name="標準 75 3 4" xfId="1524" xr:uid="{00000000-0005-0000-0000-000024060000}"/>
    <cellStyle name="標準 75 4" xfId="1525" xr:uid="{00000000-0005-0000-0000-000025060000}"/>
    <cellStyle name="標準 75 5" xfId="1526" xr:uid="{00000000-0005-0000-0000-000026060000}"/>
    <cellStyle name="標準 75 6" xfId="1527" xr:uid="{00000000-0005-0000-0000-000027060000}"/>
    <cellStyle name="標準 76" xfId="1528" xr:uid="{00000000-0005-0000-0000-000028060000}"/>
    <cellStyle name="標準 76 2" xfId="1529" xr:uid="{00000000-0005-0000-0000-000029060000}"/>
    <cellStyle name="標準 76 2 2" xfId="1530" xr:uid="{00000000-0005-0000-0000-00002A060000}"/>
    <cellStyle name="標準 76 2 2 2" xfId="1531" xr:uid="{00000000-0005-0000-0000-00002B060000}"/>
    <cellStyle name="標準 76 2 2 3" xfId="1532" xr:uid="{00000000-0005-0000-0000-00002C060000}"/>
    <cellStyle name="標準 76 2 2 4" xfId="1533" xr:uid="{00000000-0005-0000-0000-00002D060000}"/>
    <cellStyle name="標準 76 2 3" xfId="1534" xr:uid="{00000000-0005-0000-0000-00002E060000}"/>
    <cellStyle name="標準 76 2 4" xfId="1535" xr:uid="{00000000-0005-0000-0000-00002F060000}"/>
    <cellStyle name="標準 76 2 5" xfId="1536" xr:uid="{00000000-0005-0000-0000-000030060000}"/>
    <cellStyle name="標準 76 3" xfId="1537" xr:uid="{00000000-0005-0000-0000-000031060000}"/>
    <cellStyle name="標準 76 3 2" xfId="1538" xr:uid="{00000000-0005-0000-0000-000032060000}"/>
    <cellStyle name="標準 76 3 3" xfId="1539" xr:uid="{00000000-0005-0000-0000-000033060000}"/>
    <cellStyle name="標準 76 3 4" xfId="1540" xr:uid="{00000000-0005-0000-0000-000034060000}"/>
    <cellStyle name="標準 76 4" xfId="1541" xr:uid="{00000000-0005-0000-0000-000035060000}"/>
    <cellStyle name="標準 76 5" xfId="1542" xr:uid="{00000000-0005-0000-0000-000036060000}"/>
    <cellStyle name="標準 76 6" xfId="1543" xr:uid="{00000000-0005-0000-0000-000037060000}"/>
    <cellStyle name="標準 77" xfId="1544" xr:uid="{00000000-0005-0000-0000-000038060000}"/>
    <cellStyle name="標準 77 2" xfId="1545" xr:uid="{00000000-0005-0000-0000-000039060000}"/>
    <cellStyle name="標準 77 2 2" xfId="1546" xr:uid="{00000000-0005-0000-0000-00003A060000}"/>
    <cellStyle name="標準 77 2 2 2" xfId="1547" xr:uid="{00000000-0005-0000-0000-00003B060000}"/>
    <cellStyle name="標準 77 2 2 3" xfId="1548" xr:uid="{00000000-0005-0000-0000-00003C060000}"/>
    <cellStyle name="標準 77 2 2 4" xfId="1549" xr:uid="{00000000-0005-0000-0000-00003D060000}"/>
    <cellStyle name="標準 77 2 3" xfId="1550" xr:uid="{00000000-0005-0000-0000-00003E060000}"/>
    <cellStyle name="標準 77 2 4" xfId="1551" xr:uid="{00000000-0005-0000-0000-00003F060000}"/>
    <cellStyle name="標準 77 2 5" xfId="1552" xr:uid="{00000000-0005-0000-0000-000040060000}"/>
    <cellStyle name="標準 77 3" xfId="1553" xr:uid="{00000000-0005-0000-0000-000041060000}"/>
    <cellStyle name="標準 77 3 2" xfId="1554" xr:uid="{00000000-0005-0000-0000-000042060000}"/>
    <cellStyle name="標準 77 3 3" xfId="1555" xr:uid="{00000000-0005-0000-0000-000043060000}"/>
    <cellStyle name="標準 77 3 4" xfId="1556" xr:uid="{00000000-0005-0000-0000-000044060000}"/>
    <cellStyle name="標準 77 4" xfId="1557" xr:uid="{00000000-0005-0000-0000-000045060000}"/>
    <cellStyle name="標準 77 5" xfId="1558" xr:uid="{00000000-0005-0000-0000-000046060000}"/>
    <cellStyle name="標準 77 6" xfId="1559" xr:uid="{00000000-0005-0000-0000-000047060000}"/>
    <cellStyle name="標準 78" xfId="1560" xr:uid="{00000000-0005-0000-0000-000048060000}"/>
    <cellStyle name="標準 78 2" xfId="1561" xr:uid="{00000000-0005-0000-0000-000049060000}"/>
    <cellStyle name="標準 78 2 2" xfId="1562" xr:uid="{00000000-0005-0000-0000-00004A060000}"/>
    <cellStyle name="標準 78 2 2 2" xfId="1563" xr:uid="{00000000-0005-0000-0000-00004B060000}"/>
    <cellStyle name="標準 78 2 2 3" xfId="1564" xr:uid="{00000000-0005-0000-0000-00004C060000}"/>
    <cellStyle name="標準 78 2 2 4" xfId="1565" xr:uid="{00000000-0005-0000-0000-00004D060000}"/>
    <cellStyle name="標準 78 2 3" xfId="1566" xr:uid="{00000000-0005-0000-0000-00004E060000}"/>
    <cellStyle name="標準 78 2 4" xfId="1567" xr:uid="{00000000-0005-0000-0000-00004F060000}"/>
    <cellStyle name="標準 78 2 5" xfId="1568" xr:uid="{00000000-0005-0000-0000-000050060000}"/>
    <cellStyle name="標準 78 3" xfId="1569" xr:uid="{00000000-0005-0000-0000-000051060000}"/>
    <cellStyle name="標準 78 3 2" xfId="1570" xr:uid="{00000000-0005-0000-0000-000052060000}"/>
    <cellStyle name="標準 78 3 3" xfId="1571" xr:uid="{00000000-0005-0000-0000-000053060000}"/>
    <cellStyle name="標準 78 3 4" xfId="1572" xr:uid="{00000000-0005-0000-0000-000054060000}"/>
    <cellStyle name="標準 78 4" xfId="1573" xr:uid="{00000000-0005-0000-0000-000055060000}"/>
    <cellStyle name="標準 78 5" xfId="1574" xr:uid="{00000000-0005-0000-0000-000056060000}"/>
    <cellStyle name="標準 78 6" xfId="1575" xr:uid="{00000000-0005-0000-0000-000057060000}"/>
    <cellStyle name="標準 79" xfId="1576" xr:uid="{00000000-0005-0000-0000-000058060000}"/>
    <cellStyle name="標準 79 2" xfId="1577" xr:uid="{00000000-0005-0000-0000-000059060000}"/>
    <cellStyle name="標準 79 2 2" xfId="1578" xr:uid="{00000000-0005-0000-0000-00005A060000}"/>
    <cellStyle name="標準 79 2 2 2" xfId="1579" xr:uid="{00000000-0005-0000-0000-00005B060000}"/>
    <cellStyle name="標準 79 2 2 3" xfId="1580" xr:uid="{00000000-0005-0000-0000-00005C060000}"/>
    <cellStyle name="標準 79 2 2 4" xfId="1581" xr:uid="{00000000-0005-0000-0000-00005D060000}"/>
    <cellStyle name="標準 79 2 3" xfId="1582" xr:uid="{00000000-0005-0000-0000-00005E060000}"/>
    <cellStyle name="標準 79 2 4" xfId="1583" xr:uid="{00000000-0005-0000-0000-00005F060000}"/>
    <cellStyle name="標準 79 2 5" xfId="1584" xr:uid="{00000000-0005-0000-0000-000060060000}"/>
    <cellStyle name="標準 79 3" xfId="1585" xr:uid="{00000000-0005-0000-0000-000061060000}"/>
    <cellStyle name="標準 79 3 2" xfId="1586" xr:uid="{00000000-0005-0000-0000-000062060000}"/>
    <cellStyle name="標準 79 3 3" xfId="1587" xr:uid="{00000000-0005-0000-0000-000063060000}"/>
    <cellStyle name="標準 79 3 4" xfId="1588" xr:uid="{00000000-0005-0000-0000-000064060000}"/>
    <cellStyle name="標準 79 4" xfId="1589" xr:uid="{00000000-0005-0000-0000-000065060000}"/>
    <cellStyle name="標準 79 5" xfId="1590" xr:uid="{00000000-0005-0000-0000-000066060000}"/>
    <cellStyle name="標準 79 6" xfId="1591" xr:uid="{00000000-0005-0000-0000-000067060000}"/>
    <cellStyle name="標準 8" xfId="1592" xr:uid="{00000000-0005-0000-0000-000068060000}"/>
    <cellStyle name="標準 8 2" xfId="1593" xr:uid="{00000000-0005-0000-0000-000069060000}"/>
    <cellStyle name="標準 8 3" xfId="1594" xr:uid="{00000000-0005-0000-0000-00006A060000}"/>
    <cellStyle name="標準 8 4" xfId="1595" xr:uid="{00000000-0005-0000-0000-00006B060000}"/>
    <cellStyle name="標準 8 5" xfId="1596" xr:uid="{00000000-0005-0000-0000-00006C060000}"/>
    <cellStyle name="標準 8 6" xfId="1597" xr:uid="{00000000-0005-0000-0000-00006D060000}"/>
    <cellStyle name="標準 80" xfId="1598" xr:uid="{00000000-0005-0000-0000-00006E060000}"/>
    <cellStyle name="標準 80 2" xfId="1599" xr:uid="{00000000-0005-0000-0000-00006F060000}"/>
    <cellStyle name="標準 80 2 2" xfId="1600" xr:uid="{00000000-0005-0000-0000-000070060000}"/>
    <cellStyle name="標準 80 2 2 2" xfId="1601" xr:uid="{00000000-0005-0000-0000-000071060000}"/>
    <cellStyle name="標準 80 2 2 3" xfId="1602" xr:uid="{00000000-0005-0000-0000-000072060000}"/>
    <cellStyle name="標準 80 2 2 4" xfId="1603" xr:uid="{00000000-0005-0000-0000-000073060000}"/>
    <cellStyle name="標準 80 2 3" xfId="1604" xr:uid="{00000000-0005-0000-0000-000074060000}"/>
    <cellStyle name="標準 80 2 4" xfId="1605" xr:uid="{00000000-0005-0000-0000-000075060000}"/>
    <cellStyle name="標準 80 2 5" xfId="1606" xr:uid="{00000000-0005-0000-0000-000076060000}"/>
    <cellStyle name="標準 80 3" xfId="1607" xr:uid="{00000000-0005-0000-0000-000077060000}"/>
    <cellStyle name="標準 80 3 2" xfId="1608" xr:uid="{00000000-0005-0000-0000-000078060000}"/>
    <cellStyle name="標準 80 3 3" xfId="1609" xr:uid="{00000000-0005-0000-0000-000079060000}"/>
    <cellStyle name="標準 80 3 4" xfId="1610" xr:uid="{00000000-0005-0000-0000-00007A060000}"/>
    <cellStyle name="標準 80 4" xfId="1611" xr:uid="{00000000-0005-0000-0000-00007B060000}"/>
    <cellStyle name="標準 80 5" xfId="1612" xr:uid="{00000000-0005-0000-0000-00007C060000}"/>
    <cellStyle name="標準 80 6" xfId="1613" xr:uid="{00000000-0005-0000-0000-00007D060000}"/>
    <cellStyle name="標準 81" xfId="1614" xr:uid="{00000000-0005-0000-0000-00007E060000}"/>
    <cellStyle name="標準 81 2" xfId="1615" xr:uid="{00000000-0005-0000-0000-00007F060000}"/>
    <cellStyle name="標準 81 2 2" xfId="1616" xr:uid="{00000000-0005-0000-0000-000080060000}"/>
    <cellStyle name="標準 81 2 2 2" xfId="1617" xr:uid="{00000000-0005-0000-0000-000081060000}"/>
    <cellStyle name="標準 81 2 2 3" xfId="1618" xr:uid="{00000000-0005-0000-0000-000082060000}"/>
    <cellStyle name="標準 81 2 2 4" xfId="1619" xr:uid="{00000000-0005-0000-0000-000083060000}"/>
    <cellStyle name="標準 81 2 3" xfId="1620" xr:uid="{00000000-0005-0000-0000-000084060000}"/>
    <cellStyle name="標準 81 2 4" xfId="1621" xr:uid="{00000000-0005-0000-0000-000085060000}"/>
    <cellStyle name="標準 81 2 5" xfId="1622" xr:uid="{00000000-0005-0000-0000-000086060000}"/>
    <cellStyle name="標準 81 3" xfId="1623" xr:uid="{00000000-0005-0000-0000-000087060000}"/>
    <cellStyle name="標準 81 3 2" xfId="1624" xr:uid="{00000000-0005-0000-0000-000088060000}"/>
    <cellStyle name="標準 81 3 3" xfId="1625" xr:uid="{00000000-0005-0000-0000-000089060000}"/>
    <cellStyle name="標準 81 3 4" xfId="1626" xr:uid="{00000000-0005-0000-0000-00008A060000}"/>
    <cellStyle name="標準 81 4" xfId="1627" xr:uid="{00000000-0005-0000-0000-00008B060000}"/>
    <cellStyle name="標準 81 5" xfId="1628" xr:uid="{00000000-0005-0000-0000-00008C060000}"/>
    <cellStyle name="標準 81 6" xfId="1629" xr:uid="{00000000-0005-0000-0000-00008D060000}"/>
    <cellStyle name="標準 82" xfId="1630" xr:uid="{00000000-0005-0000-0000-00008E060000}"/>
    <cellStyle name="標準 82 2" xfId="1631" xr:uid="{00000000-0005-0000-0000-00008F060000}"/>
    <cellStyle name="標準 82 2 2" xfId="1632" xr:uid="{00000000-0005-0000-0000-000090060000}"/>
    <cellStyle name="標準 82 2 2 2" xfId="1633" xr:uid="{00000000-0005-0000-0000-000091060000}"/>
    <cellStyle name="標準 82 2 2 3" xfId="1634" xr:uid="{00000000-0005-0000-0000-000092060000}"/>
    <cellStyle name="標準 82 2 2 4" xfId="1635" xr:uid="{00000000-0005-0000-0000-000093060000}"/>
    <cellStyle name="標準 82 2 3" xfId="1636" xr:uid="{00000000-0005-0000-0000-000094060000}"/>
    <cellStyle name="標準 82 2 4" xfId="1637" xr:uid="{00000000-0005-0000-0000-000095060000}"/>
    <cellStyle name="標準 82 2 5" xfId="1638" xr:uid="{00000000-0005-0000-0000-000096060000}"/>
    <cellStyle name="標準 82 3" xfId="1639" xr:uid="{00000000-0005-0000-0000-000097060000}"/>
    <cellStyle name="標準 82 3 2" xfId="1640" xr:uid="{00000000-0005-0000-0000-000098060000}"/>
    <cellStyle name="標準 82 3 3" xfId="1641" xr:uid="{00000000-0005-0000-0000-000099060000}"/>
    <cellStyle name="標準 82 3 4" xfId="1642" xr:uid="{00000000-0005-0000-0000-00009A060000}"/>
    <cellStyle name="標準 82 4" xfId="1643" xr:uid="{00000000-0005-0000-0000-00009B060000}"/>
    <cellStyle name="標準 82 5" xfId="1644" xr:uid="{00000000-0005-0000-0000-00009C060000}"/>
    <cellStyle name="標準 82 6" xfId="1645" xr:uid="{00000000-0005-0000-0000-00009D060000}"/>
    <cellStyle name="標準 83" xfId="1646" xr:uid="{00000000-0005-0000-0000-00009E060000}"/>
    <cellStyle name="標準 83 2" xfId="1647" xr:uid="{00000000-0005-0000-0000-00009F060000}"/>
    <cellStyle name="標準 83 2 2" xfId="1648" xr:uid="{00000000-0005-0000-0000-0000A0060000}"/>
    <cellStyle name="標準 83 2 2 2" xfId="1649" xr:uid="{00000000-0005-0000-0000-0000A1060000}"/>
    <cellStyle name="標準 83 2 2 3" xfId="1650" xr:uid="{00000000-0005-0000-0000-0000A2060000}"/>
    <cellStyle name="標準 83 2 2 4" xfId="1651" xr:uid="{00000000-0005-0000-0000-0000A3060000}"/>
    <cellStyle name="標準 83 2 3" xfId="1652" xr:uid="{00000000-0005-0000-0000-0000A4060000}"/>
    <cellStyle name="標準 83 2 4" xfId="1653" xr:uid="{00000000-0005-0000-0000-0000A5060000}"/>
    <cellStyle name="標準 83 2 5" xfId="1654" xr:uid="{00000000-0005-0000-0000-0000A6060000}"/>
    <cellStyle name="標準 83 3" xfId="1655" xr:uid="{00000000-0005-0000-0000-0000A7060000}"/>
    <cellStyle name="標準 83 3 2" xfId="1656" xr:uid="{00000000-0005-0000-0000-0000A8060000}"/>
    <cellStyle name="標準 83 3 3" xfId="1657" xr:uid="{00000000-0005-0000-0000-0000A9060000}"/>
    <cellStyle name="標準 83 3 4" xfId="1658" xr:uid="{00000000-0005-0000-0000-0000AA060000}"/>
    <cellStyle name="標準 83 4" xfId="1659" xr:uid="{00000000-0005-0000-0000-0000AB060000}"/>
    <cellStyle name="標準 83 5" xfId="1660" xr:uid="{00000000-0005-0000-0000-0000AC060000}"/>
    <cellStyle name="標準 83 6" xfId="1661" xr:uid="{00000000-0005-0000-0000-0000AD060000}"/>
    <cellStyle name="標準 84" xfId="1662" xr:uid="{00000000-0005-0000-0000-0000AE060000}"/>
    <cellStyle name="標準 84 2" xfId="1663" xr:uid="{00000000-0005-0000-0000-0000AF060000}"/>
    <cellStyle name="標準 84 2 2" xfId="1664" xr:uid="{00000000-0005-0000-0000-0000B0060000}"/>
    <cellStyle name="標準 84 2 2 2" xfId="1665" xr:uid="{00000000-0005-0000-0000-0000B1060000}"/>
    <cellStyle name="標準 84 2 2 3" xfId="1666" xr:uid="{00000000-0005-0000-0000-0000B2060000}"/>
    <cellStyle name="標準 84 2 2 4" xfId="1667" xr:uid="{00000000-0005-0000-0000-0000B3060000}"/>
    <cellStyle name="標準 84 2 3" xfId="1668" xr:uid="{00000000-0005-0000-0000-0000B4060000}"/>
    <cellStyle name="標準 84 2 4" xfId="1669" xr:uid="{00000000-0005-0000-0000-0000B5060000}"/>
    <cellStyle name="標準 84 2 5" xfId="1670" xr:uid="{00000000-0005-0000-0000-0000B6060000}"/>
    <cellStyle name="標準 84 3" xfId="1671" xr:uid="{00000000-0005-0000-0000-0000B7060000}"/>
    <cellStyle name="標準 84 3 2" xfId="1672" xr:uid="{00000000-0005-0000-0000-0000B8060000}"/>
    <cellStyle name="標準 84 3 3" xfId="1673" xr:uid="{00000000-0005-0000-0000-0000B9060000}"/>
    <cellStyle name="標準 84 3 4" xfId="1674" xr:uid="{00000000-0005-0000-0000-0000BA060000}"/>
    <cellStyle name="標準 84 4" xfId="1675" xr:uid="{00000000-0005-0000-0000-0000BB060000}"/>
    <cellStyle name="標準 84 5" xfId="1676" xr:uid="{00000000-0005-0000-0000-0000BC060000}"/>
    <cellStyle name="標準 84 6" xfId="1677" xr:uid="{00000000-0005-0000-0000-0000BD060000}"/>
    <cellStyle name="標準 85" xfId="1678" xr:uid="{00000000-0005-0000-0000-0000BE060000}"/>
    <cellStyle name="標準 85 2" xfId="1679" xr:uid="{00000000-0005-0000-0000-0000BF060000}"/>
    <cellStyle name="標準 85 2 2" xfId="1680" xr:uid="{00000000-0005-0000-0000-0000C0060000}"/>
    <cellStyle name="標準 85 2 2 2" xfId="1681" xr:uid="{00000000-0005-0000-0000-0000C1060000}"/>
    <cellStyle name="標準 85 2 2 3" xfId="1682" xr:uid="{00000000-0005-0000-0000-0000C2060000}"/>
    <cellStyle name="標準 85 2 2 4" xfId="1683" xr:uid="{00000000-0005-0000-0000-0000C3060000}"/>
    <cellStyle name="標準 85 2 3" xfId="1684" xr:uid="{00000000-0005-0000-0000-0000C4060000}"/>
    <cellStyle name="標準 85 2 4" xfId="1685" xr:uid="{00000000-0005-0000-0000-0000C5060000}"/>
    <cellStyle name="標準 85 2 5" xfId="1686" xr:uid="{00000000-0005-0000-0000-0000C6060000}"/>
    <cellStyle name="標準 85 3" xfId="1687" xr:uid="{00000000-0005-0000-0000-0000C7060000}"/>
    <cellStyle name="標準 85 3 2" xfId="1688" xr:uid="{00000000-0005-0000-0000-0000C8060000}"/>
    <cellStyle name="標準 85 3 3" xfId="1689" xr:uid="{00000000-0005-0000-0000-0000C9060000}"/>
    <cellStyle name="標準 85 3 4" xfId="1690" xr:uid="{00000000-0005-0000-0000-0000CA060000}"/>
    <cellStyle name="標準 85 4" xfId="1691" xr:uid="{00000000-0005-0000-0000-0000CB060000}"/>
    <cellStyle name="標準 85 5" xfId="1692" xr:uid="{00000000-0005-0000-0000-0000CC060000}"/>
    <cellStyle name="標準 85 6" xfId="1693" xr:uid="{00000000-0005-0000-0000-0000CD060000}"/>
    <cellStyle name="標準 86" xfId="1694" xr:uid="{00000000-0005-0000-0000-0000CE060000}"/>
    <cellStyle name="標準 86 2" xfId="1695" xr:uid="{00000000-0005-0000-0000-0000CF060000}"/>
    <cellStyle name="標準 86 2 2" xfId="1696" xr:uid="{00000000-0005-0000-0000-0000D0060000}"/>
    <cellStyle name="標準 86 2 2 2" xfId="1697" xr:uid="{00000000-0005-0000-0000-0000D1060000}"/>
    <cellStyle name="標準 86 2 2 3" xfId="1698" xr:uid="{00000000-0005-0000-0000-0000D2060000}"/>
    <cellStyle name="標準 86 2 2 4" xfId="1699" xr:uid="{00000000-0005-0000-0000-0000D3060000}"/>
    <cellStyle name="標準 86 2 3" xfId="1700" xr:uid="{00000000-0005-0000-0000-0000D4060000}"/>
    <cellStyle name="標準 86 2 4" xfId="1701" xr:uid="{00000000-0005-0000-0000-0000D5060000}"/>
    <cellStyle name="標準 86 2 5" xfId="1702" xr:uid="{00000000-0005-0000-0000-0000D6060000}"/>
    <cellStyle name="標準 86 3" xfId="1703" xr:uid="{00000000-0005-0000-0000-0000D7060000}"/>
    <cellStyle name="標準 86 3 2" xfId="1704" xr:uid="{00000000-0005-0000-0000-0000D8060000}"/>
    <cellStyle name="標準 86 3 3" xfId="1705" xr:uid="{00000000-0005-0000-0000-0000D9060000}"/>
    <cellStyle name="標準 86 3 4" xfId="1706" xr:uid="{00000000-0005-0000-0000-0000DA060000}"/>
    <cellStyle name="標準 86 4" xfId="1707" xr:uid="{00000000-0005-0000-0000-0000DB060000}"/>
    <cellStyle name="標準 86 5" xfId="1708" xr:uid="{00000000-0005-0000-0000-0000DC060000}"/>
    <cellStyle name="標準 86 6" xfId="1709" xr:uid="{00000000-0005-0000-0000-0000DD060000}"/>
    <cellStyle name="標準 87" xfId="1710" xr:uid="{00000000-0005-0000-0000-0000DE060000}"/>
    <cellStyle name="標準 87 2" xfId="1711" xr:uid="{00000000-0005-0000-0000-0000DF060000}"/>
    <cellStyle name="標準 87 2 2" xfId="1712" xr:uid="{00000000-0005-0000-0000-0000E0060000}"/>
    <cellStyle name="標準 87 2 2 2" xfId="1713" xr:uid="{00000000-0005-0000-0000-0000E1060000}"/>
    <cellStyle name="標準 87 2 2 3" xfId="1714" xr:uid="{00000000-0005-0000-0000-0000E2060000}"/>
    <cellStyle name="標準 87 2 2 4" xfId="1715" xr:uid="{00000000-0005-0000-0000-0000E3060000}"/>
    <cellStyle name="標準 87 2 3" xfId="1716" xr:uid="{00000000-0005-0000-0000-0000E4060000}"/>
    <cellStyle name="標準 87 2 4" xfId="1717" xr:uid="{00000000-0005-0000-0000-0000E5060000}"/>
    <cellStyle name="標準 87 2 5" xfId="1718" xr:uid="{00000000-0005-0000-0000-0000E6060000}"/>
    <cellStyle name="標準 87 3" xfId="1719" xr:uid="{00000000-0005-0000-0000-0000E7060000}"/>
    <cellStyle name="標準 87 3 2" xfId="1720" xr:uid="{00000000-0005-0000-0000-0000E8060000}"/>
    <cellStyle name="標準 87 3 3" xfId="1721" xr:uid="{00000000-0005-0000-0000-0000E9060000}"/>
    <cellStyle name="標準 87 3 4" xfId="1722" xr:uid="{00000000-0005-0000-0000-0000EA060000}"/>
    <cellStyle name="標準 87 4" xfId="1723" xr:uid="{00000000-0005-0000-0000-0000EB060000}"/>
    <cellStyle name="標準 87 5" xfId="1724" xr:uid="{00000000-0005-0000-0000-0000EC060000}"/>
    <cellStyle name="標準 87 6" xfId="1725" xr:uid="{00000000-0005-0000-0000-0000ED060000}"/>
    <cellStyle name="標準 88" xfId="1726" xr:uid="{00000000-0005-0000-0000-0000EE060000}"/>
    <cellStyle name="標準 88 2" xfId="1727" xr:uid="{00000000-0005-0000-0000-0000EF060000}"/>
    <cellStyle name="標準 88 2 2" xfId="1728" xr:uid="{00000000-0005-0000-0000-0000F0060000}"/>
    <cellStyle name="標準 88 2 2 2" xfId="1729" xr:uid="{00000000-0005-0000-0000-0000F1060000}"/>
    <cellStyle name="標準 88 2 2 3" xfId="1730" xr:uid="{00000000-0005-0000-0000-0000F2060000}"/>
    <cellStyle name="標準 88 2 2 4" xfId="1731" xr:uid="{00000000-0005-0000-0000-0000F3060000}"/>
    <cellStyle name="標準 88 2 3" xfId="1732" xr:uid="{00000000-0005-0000-0000-0000F4060000}"/>
    <cellStyle name="標準 88 2 4" xfId="1733" xr:uid="{00000000-0005-0000-0000-0000F5060000}"/>
    <cellStyle name="標準 88 2 5" xfId="1734" xr:uid="{00000000-0005-0000-0000-0000F6060000}"/>
    <cellStyle name="標準 88 3" xfId="1735" xr:uid="{00000000-0005-0000-0000-0000F7060000}"/>
    <cellStyle name="標準 88 3 2" xfId="1736" xr:uid="{00000000-0005-0000-0000-0000F8060000}"/>
    <cellStyle name="標準 88 3 3" xfId="1737" xr:uid="{00000000-0005-0000-0000-0000F9060000}"/>
    <cellStyle name="標準 88 3 4" xfId="1738" xr:uid="{00000000-0005-0000-0000-0000FA060000}"/>
    <cellStyle name="標準 88 4" xfId="1739" xr:uid="{00000000-0005-0000-0000-0000FB060000}"/>
    <cellStyle name="標準 88 5" xfId="1740" xr:uid="{00000000-0005-0000-0000-0000FC060000}"/>
    <cellStyle name="標準 88 6" xfId="1741" xr:uid="{00000000-0005-0000-0000-0000FD060000}"/>
    <cellStyle name="標準 89" xfId="1742" xr:uid="{00000000-0005-0000-0000-0000FE060000}"/>
    <cellStyle name="標準 89 2" xfId="1743" xr:uid="{00000000-0005-0000-0000-0000FF060000}"/>
    <cellStyle name="標準 89 2 2" xfId="1744" xr:uid="{00000000-0005-0000-0000-000000070000}"/>
    <cellStyle name="標準 89 2 2 2" xfId="1745" xr:uid="{00000000-0005-0000-0000-000001070000}"/>
    <cellStyle name="標準 89 2 2 3" xfId="1746" xr:uid="{00000000-0005-0000-0000-000002070000}"/>
    <cellStyle name="標準 89 2 2 4" xfId="1747" xr:uid="{00000000-0005-0000-0000-000003070000}"/>
    <cellStyle name="標準 89 2 3" xfId="1748" xr:uid="{00000000-0005-0000-0000-000004070000}"/>
    <cellStyle name="標準 89 2 4" xfId="1749" xr:uid="{00000000-0005-0000-0000-000005070000}"/>
    <cellStyle name="標準 89 2 5" xfId="1750" xr:uid="{00000000-0005-0000-0000-000006070000}"/>
    <cellStyle name="標準 89 3" xfId="1751" xr:uid="{00000000-0005-0000-0000-000007070000}"/>
    <cellStyle name="標準 89 3 2" xfId="1752" xr:uid="{00000000-0005-0000-0000-000008070000}"/>
    <cellStyle name="標準 89 3 3" xfId="1753" xr:uid="{00000000-0005-0000-0000-000009070000}"/>
    <cellStyle name="標準 89 3 4" xfId="1754" xr:uid="{00000000-0005-0000-0000-00000A070000}"/>
    <cellStyle name="標準 89 4" xfId="1755" xr:uid="{00000000-0005-0000-0000-00000B070000}"/>
    <cellStyle name="標準 89 5" xfId="1756" xr:uid="{00000000-0005-0000-0000-00000C070000}"/>
    <cellStyle name="標準 89 6" xfId="1757" xr:uid="{00000000-0005-0000-0000-00000D070000}"/>
    <cellStyle name="標準 9" xfId="1758" xr:uid="{00000000-0005-0000-0000-00000E070000}"/>
    <cellStyle name="標準 9 2" xfId="1759" xr:uid="{00000000-0005-0000-0000-00000F070000}"/>
    <cellStyle name="標準 9 3" xfId="1760" xr:uid="{00000000-0005-0000-0000-000010070000}"/>
    <cellStyle name="標準 90" xfId="1761" xr:uid="{00000000-0005-0000-0000-000011070000}"/>
    <cellStyle name="標準 90 2" xfId="1762" xr:uid="{00000000-0005-0000-0000-000012070000}"/>
    <cellStyle name="標準 90 2 2" xfId="1763" xr:uid="{00000000-0005-0000-0000-000013070000}"/>
    <cellStyle name="標準 90 2 2 2" xfId="1764" xr:uid="{00000000-0005-0000-0000-000014070000}"/>
    <cellStyle name="標準 90 2 2 3" xfId="1765" xr:uid="{00000000-0005-0000-0000-000015070000}"/>
    <cellStyle name="標準 90 2 2 4" xfId="1766" xr:uid="{00000000-0005-0000-0000-000016070000}"/>
    <cellStyle name="標準 90 2 3" xfId="1767" xr:uid="{00000000-0005-0000-0000-000017070000}"/>
    <cellStyle name="標準 90 2 4" xfId="1768" xr:uid="{00000000-0005-0000-0000-000018070000}"/>
    <cellStyle name="標準 90 2 5" xfId="1769" xr:uid="{00000000-0005-0000-0000-000019070000}"/>
    <cellStyle name="標準 90 3" xfId="1770" xr:uid="{00000000-0005-0000-0000-00001A070000}"/>
    <cellStyle name="標準 90 3 2" xfId="1771" xr:uid="{00000000-0005-0000-0000-00001B070000}"/>
    <cellStyle name="標準 90 3 3" xfId="1772" xr:uid="{00000000-0005-0000-0000-00001C070000}"/>
    <cellStyle name="標準 90 3 4" xfId="1773" xr:uid="{00000000-0005-0000-0000-00001D070000}"/>
    <cellStyle name="標準 90 4" xfId="1774" xr:uid="{00000000-0005-0000-0000-00001E070000}"/>
    <cellStyle name="標準 90 5" xfId="1775" xr:uid="{00000000-0005-0000-0000-00001F070000}"/>
    <cellStyle name="標準 90 6" xfId="1776" xr:uid="{00000000-0005-0000-0000-000020070000}"/>
    <cellStyle name="標準 91" xfId="1777" xr:uid="{00000000-0005-0000-0000-000021070000}"/>
    <cellStyle name="標準 91 2" xfId="1778" xr:uid="{00000000-0005-0000-0000-000022070000}"/>
    <cellStyle name="標準 91 2 2" xfId="1779" xr:uid="{00000000-0005-0000-0000-000023070000}"/>
    <cellStyle name="標準 91 2 2 2" xfId="1780" xr:uid="{00000000-0005-0000-0000-000024070000}"/>
    <cellStyle name="標準 91 2 2 3" xfId="1781" xr:uid="{00000000-0005-0000-0000-000025070000}"/>
    <cellStyle name="標準 91 2 2 4" xfId="1782" xr:uid="{00000000-0005-0000-0000-000026070000}"/>
    <cellStyle name="標準 91 2 3" xfId="1783" xr:uid="{00000000-0005-0000-0000-000027070000}"/>
    <cellStyle name="標準 91 2 4" xfId="1784" xr:uid="{00000000-0005-0000-0000-000028070000}"/>
    <cellStyle name="標準 91 2 5" xfId="1785" xr:uid="{00000000-0005-0000-0000-000029070000}"/>
    <cellStyle name="標準 91 3" xfId="1786" xr:uid="{00000000-0005-0000-0000-00002A070000}"/>
    <cellStyle name="標準 91 3 2" xfId="1787" xr:uid="{00000000-0005-0000-0000-00002B070000}"/>
    <cellStyle name="標準 91 3 3" xfId="1788" xr:uid="{00000000-0005-0000-0000-00002C070000}"/>
    <cellStyle name="標準 91 3 4" xfId="1789" xr:uid="{00000000-0005-0000-0000-00002D070000}"/>
    <cellStyle name="標準 91 4" xfId="1790" xr:uid="{00000000-0005-0000-0000-00002E070000}"/>
    <cellStyle name="標準 91 5" xfId="1791" xr:uid="{00000000-0005-0000-0000-00002F070000}"/>
    <cellStyle name="標準 91 6" xfId="1792" xr:uid="{00000000-0005-0000-0000-000030070000}"/>
    <cellStyle name="標準 92" xfId="1793" xr:uid="{00000000-0005-0000-0000-000031070000}"/>
    <cellStyle name="標準 92 2" xfId="1794" xr:uid="{00000000-0005-0000-0000-000032070000}"/>
    <cellStyle name="標準 92 2 2" xfId="1795" xr:uid="{00000000-0005-0000-0000-000033070000}"/>
    <cellStyle name="標準 92 2 2 2" xfId="1796" xr:uid="{00000000-0005-0000-0000-000034070000}"/>
    <cellStyle name="標準 92 2 2 3" xfId="1797" xr:uid="{00000000-0005-0000-0000-000035070000}"/>
    <cellStyle name="標準 92 2 2 4" xfId="1798" xr:uid="{00000000-0005-0000-0000-000036070000}"/>
    <cellStyle name="標準 92 2 3" xfId="1799" xr:uid="{00000000-0005-0000-0000-000037070000}"/>
    <cellStyle name="標準 92 2 4" xfId="1800" xr:uid="{00000000-0005-0000-0000-000038070000}"/>
    <cellStyle name="標準 92 2 5" xfId="1801" xr:uid="{00000000-0005-0000-0000-000039070000}"/>
    <cellStyle name="標準 92 3" xfId="1802" xr:uid="{00000000-0005-0000-0000-00003A070000}"/>
    <cellStyle name="標準 92 3 2" xfId="1803" xr:uid="{00000000-0005-0000-0000-00003B070000}"/>
    <cellStyle name="標準 92 3 3" xfId="1804" xr:uid="{00000000-0005-0000-0000-00003C070000}"/>
    <cellStyle name="標準 92 3 4" xfId="1805" xr:uid="{00000000-0005-0000-0000-00003D070000}"/>
    <cellStyle name="標準 92 4" xfId="1806" xr:uid="{00000000-0005-0000-0000-00003E070000}"/>
    <cellStyle name="標準 92 5" xfId="1807" xr:uid="{00000000-0005-0000-0000-00003F070000}"/>
    <cellStyle name="標準 92 6" xfId="1808" xr:uid="{00000000-0005-0000-0000-000040070000}"/>
    <cellStyle name="標準 93" xfId="1809" xr:uid="{00000000-0005-0000-0000-000041070000}"/>
    <cellStyle name="標準 93 2" xfId="1810" xr:uid="{00000000-0005-0000-0000-000042070000}"/>
    <cellStyle name="標準 93 2 2" xfId="1811" xr:uid="{00000000-0005-0000-0000-000043070000}"/>
    <cellStyle name="標準 93 2 2 2" xfId="1812" xr:uid="{00000000-0005-0000-0000-000044070000}"/>
    <cellStyle name="標準 93 2 2 3" xfId="1813" xr:uid="{00000000-0005-0000-0000-000045070000}"/>
    <cellStyle name="標準 93 2 2 4" xfId="1814" xr:uid="{00000000-0005-0000-0000-000046070000}"/>
    <cellStyle name="標準 93 2 3" xfId="1815" xr:uid="{00000000-0005-0000-0000-000047070000}"/>
    <cellStyle name="標準 93 2 4" xfId="1816" xr:uid="{00000000-0005-0000-0000-000048070000}"/>
    <cellStyle name="標準 93 2 5" xfId="1817" xr:uid="{00000000-0005-0000-0000-000049070000}"/>
    <cellStyle name="標準 93 3" xfId="1818" xr:uid="{00000000-0005-0000-0000-00004A070000}"/>
    <cellStyle name="標準 93 3 2" xfId="1819" xr:uid="{00000000-0005-0000-0000-00004B070000}"/>
    <cellStyle name="標準 93 3 3" xfId="1820" xr:uid="{00000000-0005-0000-0000-00004C070000}"/>
    <cellStyle name="標準 93 3 4" xfId="1821" xr:uid="{00000000-0005-0000-0000-00004D070000}"/>
    <cellStyle name="標準 93 4" xfId="1822" xr:uid="{00000000-0005-0000-0000-00004E070000}"/>
    <cellStyle name="標準 93 5" xfId="1823" xr:uid="{00000000-0005-0000-0000-00004F070000}"/>
    <cellStyle name="標準 93 6" xfId="1824" xr:uid="{00000000-0005-0000-0000-000050070000}"/>
    <cellStyle name="標準 94" xfId="1825" xr:uid="{00000000-0005-0000-0000-000051070000}"/>
    <cellStyle name="標準 94 2" xfId="1826" xr:uid="{00000000-0005-0000-0000-000052070000}"/>
    <cellStyle name="標準 94 2 2" xfId="1827" xr:uid="{00000000-0005-0000-0000-000053070000}"/>
    <cellStyle name="標準 94 2 2 2" xfId="1828" xr:uid="{00000000-0005-0000-0000-000054070000}"/>
    <cellStyle name="標準 94 2 2 3" xfId="1829" xr:uid="{00000000-0005-0000-0000-000055070000}"/>
    <cellStyle name="標準 94 2 2 4" xfId="1830" xr:uid="{00000000-0005-0000-0000-000056070000}"/>
    <cellStyle name="標準 94 2 3" xfId="1831" xr:uid="{00000000-0005-0000-0000-000057070000}"/>
    <cellStyle name="標準 94 2 4" xfId="1832" xr:uid="{00000000-0005-0000-0000-000058070000}"/>
    <cellStyle name="標準 94 2 5" xfId="1833" xr:uid="{00000000-0005-0000-0000-000059070000}"/>
    <cellStyle name="標準 94 3" xfId="1834" xr:uid="{00000000-0005-0000-0000-00005A070000}"/>
    <cellStyle name="標準 94 3 2" xfId="1835" xr:uid="{00000000-0005-0000-0000-00005B070000}"/>
    <cellStyle name="標準 94 3 3" xfId="1836" xr:uid="{00000000-0005-0000-0000-00005C070000}"/>
    <cellStyle name="標準 94 3 4" xfId="1837" xr:uid="{00000000-0005-0000-0000-00005D070000}"/>
    <cellStyle name="標準 94 4" xfId="1838" xr:uid="{00000000-0005-0000-0000-00005E070000}"/>
    <cellStyle name="標準 94 5" xfId="1839" xr:uid="{00000000-0005-0000-0000-00005F070000}"/>
    <cellStyle name="標準 94 6" xfId="1840" xr:uid="{00000000-0005-0000-0000-000060070000}"/>
    <cellStyle name="標準 95" xfId="1841" xr:uid="{00000000-0005-0000-0000-000061070000}"/>
    <cellStyle name="標準 95 2" xfId="1842" xr:uid="{00000000-0005-0000-0000-000062070000}"/>
    <cellStyle name="標準 95 2 2" xfId="1843" xr:uid="{00000000-0005-0000-0000-000063070000}"/>
    <cellStyle name="標準 95 2 2 2" xfId="1844" xr:uid="{00000000-0005-0000-0000-000064070000}"/>
    <cellStyle name="標準 95 2 2 3" xfId="1845" xr:uid="{00000000-0005-0000-0000-000065070000}"/>
    <cellStyle name="標準 95 2 2 4" xfId="1846" xr:uid="{00000000-0005-0000-0000-000066070000}"/>
    <cellStyle name="標準 95 2 3" xfId="1847" xr:uid="{00000000-0005-0000-0000-000067070000}"/>
    <cellStyle name="標準 95 2 4" xfId="1848" xr:uid="{00000000-0005-0000-0000-000068070000}"/>
    <cellStyle name="標準 95 2 5" xfId="1849" xr:uid="{00000000-0005-0000-0000-000069070000}"/>
    <cellStyle name="標準 95 3" xfId="1850" xr:uid="{00000000-0005-0000-0000-00006A070000}"/>
    <cellStyle name="標準 95 3 2" xfId="1851" xr:uid="{00000000-0005-0000-0000-00006B070000}"/>
    <cellStyle name="標準 95 3 3" xfId="1852" xr:uid="{00000000-0005-0000-0000-00006C070000}"/>
    <cellStyle name="標準 95 3 4" xfId="1853" xr:uid="{00000000-0005-0000-0000-00006D070000}"/>
    <cellStyle name="標準 95 4" xfId="1854" xr:uid="{00000000-0005-0000-0000-00006E070000}"/>
    <cellStyle name="標準 95 5" xfId="1855" xr:uid="{00000000-0005-0000-0000-00006F070000}"/>
    <cellStyle name="標準 95 6" xfId="1856" xr:uid="{00000000-0005-0000-0000-000070070000}"/>
    <cellStyle name="標準 96" xfId="1857" xr:uid="{00000000-0005-0000-0000-000071070000}"/>
    <cellStyle name="標準 96 2" xfId="1858" xr:uid="{00000000-0005-0000-0000-000072070000}"/>
    <cellStyle name="標準 96 2 2" xfId="1859" xr:uid="{00000000-0005-0000-0000-000073070000}"/>
    <cellStyle name="標準 96 2 2 2" xfId="1860" xr:uid="{00000000-0005-0000-0000-000074070000}"/>
    <cellStyle name="標準 96 2 2 3" xfId="1861" xr:uid="{00000000-0005-0000-0000-000075070000}"/>
    <cellStyle name="標準 96 2 2 4" xfId="1862" xr:uid="{00000000-0005-0000-0000-000076070000}"/>
    <cellStyle name="標準 96 2 3" xfId="1863" xr:uid="{00000000-0005-0000-0000-000077070000}"/>
    <cellStyle name="標準 96 2 4" xfId="1864" xr:uid="{00000000-0005-0000-0000-000078070000}"/>
    <cellStyle name="標準 96 2 5" xfId="1865" xr:uid="{00000000-0005-0000-0000-000079070000}"/>
    <cellStyle name="標準 96 3" xfId="1866" xr:uid="{00000000-0005-0000-0000-00007A070000}"/>
    <cellStyle name="標準 96 3 2" xfId="1867" xr:uid="{00000000-0005-0000-0000-00007B070000}"/>
    <cellStyle name="標準 96 3 3" xfId="1868" xr:uid="{00000000-0005-0000-0000-00007C070000}"/>
    <cellStyle name="標準 96 3 4" xfId="1869" xr:uid="{00000000-0005-0000-0000-00007D070000}"/>
    <cellStyle name="標準 96 4" xfId="1870" xr:uid="{00000000-0005-0000-0000-00007E070000}"/>
    <cellStyle name="標準 96 5" xfId="1871" xr:uid="{00000000-0005-0000-0000-00007F070000}"/>
    <cellStyle name="標準 96 6" xfId="1872" xr:uid="{00000000-0005-0000-0000-000080070000}"/>
    <cellStyle name="標準 97" xfId="1873" xr:uid="{00000000-0005-0000-0000-000081070000}"/>
    <cellStyle name="標準 97 2" xfId="1874" xr:uid="{00000000-0005-0000-0000-000082070000}"/>
    <cellStyle name="標準 97 2 2" xfId="1875" xr:uid="{00000000-0005-0000-0000-000083070000}"/>
    <cellStyle name="標準 97 2 2 2" xfId="1876" xr:uid="{00000000-0005-0000-0000-000084070000}"/>
    <cellStyle name="標準 97 2 2 3" xfId="1877" xr:uid="{00000000-0005-0000-0000-000085070000}"/>
    <cellStyle name="標準 97 2 2 4" xfId="1878" xr:uid="{00000000-0005-0000-0000-000086070000}"/>
    <cellStyle name="標準 97 2 3" xfId="1879" xr:uid="{00000000-0005-0000-0000-000087070000}"/>
    <cellStyle name="標準 97 2 4" xfId="1880" xr:uid="{00000000-0005-0000-0000-000088070000}"/>
    <cellStyle name="標準 97 2 5" xfId="1881" xr:uid="{00000000-0005-0000-0000-000089070000}"/>
    <cellStyle name="標準 97 3" xfId="1882" xr:uid="{00000000-0005-0000-0000-00008A070000}"/>
    <cellStyle name="標準 97 3 2" xfId="1883" xr:uid="{00000000-0005-0000-0000-00008B070000}"/>
    <cellStyle name="標準 97 3 3" xfId="1884" xr:uid="{00000000-0005-0000-0000-00008C070000}"/>
    <cellStyle name="標準 97 3 4" xfId="1885" xr:uid="{00000000-0005-0000-0000-00008D070000}"/>
    <cellStyle name="標準 97 4" xfId="1886" xr:uid="{00000000-0005-0000-0000-00008E070000}"/>
    <cellStyle name="標準 97 5" xfId="1887" xr:uid="{00000000-0005-0000-0000-00008F070000}"/>
    <cellStyle name="標準 97 6" xfId="1888" xr:uid="{00000000-0005-0000-0000-000090070000}"/>
    <cellStyle name="標準 98" xfId="1889" xr:uid="{00000000-0005-0000-0000-000091070000}"/>
    <cellStyle name="標準 98 2" xfId="1890" xr:uid="{00000000-0005-0000-0000-000092070000}"/>
    <cellStyle name="標準 98 2 2" xfId="1891" xr:uid="{00000000-0005-0000-0000-000093070000}"/>
    <cellStyle name="標準 98 2 2 2" xfId="1892" xr:uid="{00000000-0005-0000-0000-000094070000}"/>
    <cellStyle name="標準 98 2 2 3" xfId="1893" xr:uid="{00000000-0005-0000-0000-000095070000}"/>
    <cellStyle name="標準 98 2 2 4" xfId="1894" xr:uid="{00000000-0005-0000-0000-000096070000}"/>
    <cellStyle name="標準 98 2 3" xfId="1895" xr:uid="{00000000-0005-0000-0000-000097070000}"/>
    <cellStyle name="標準 98 2 4" xfId="1896" xr:uid="{00000000-0005-0000-0000-000098070000}"/>
    <cellStyle name="標準 98 2 5" xfId="1897" xr:uid="{00000000-0005-0000-0000-000099070000}"/>
    <cellStyle name="標準 98 3" xfId="1898" xr:uid="{00000000-0005-0000-0000-00009A070000}"/>
    <cellStyle name="標準 98 3 2" xfId="1899" xr:uid="{00000000-0005-0000-0000-00009B070000}"/>
    <cellStyle name="標準 98 3 3" xfId="1900" xr:uid="{00000000-0005-0000-0000-00009C070000}"/>
    <cellStyle name="標準 98 3 4" xfId="1901" xr:uid="{00000000-0005-0000-0000-00009D070000}"/>
    <cellStyle name="標準 98 4" xfId="1902" xr:uid="{00000000-0005-0000-0000-00009E070000}"/>
    <cellStyle name="標準 98 5" xfId="1903" xr:uid="{00000000-0005-0000-0000-00009F070000}"/>
    <cellStyle name="標準 98 6" xfId="1904" xr:uid="{00000000-0005-0000-0000-0000A0070000}"/>
    <cellStyle name="標準 99" xfId="1905" xr:uid="{00000000-0005-0000-0000-0000A1070000}"/>
    <cellStyle name="標準 99 2" xfId="1906" xr:uid="{00000000-0005-0000-0000-0000A2070000}"/>
    <cellStyle name="標準 99 2 2" xfId="1907" xr:uid="{00000000-0005-0000-0000-0000A3070000}"/>
    <cellStyle name="標準 99 2 2 2" xfId="1908" xr:uid="{00000000-0005-0000-0000-0000A4070000}"/>
    <cellStyle name="標準 99 2 2 3" xfId="1909" xr:uid="{00000000-0005-0000-0000-0000A5070000}"/>
    <cellStyle name="標準 99 2 2 4" xfId="1910" xr:uid="{00000000-0005-0000-0000-0000A6070000}"/>
    <cellStyle name="標準 99 2 3" xfId="1911" xr:uid="{00000000-0005-0000-0000-0000A7070000}"/>
    <cellStyle name="標準 99 2 4" xfId="1912" xr:uid="{00000000-0005-0000-0000-0000A8070000}"/>
    <cellStyle name="標準 99 2 5" xfId="1913" xr:uid="{00000000-0005-0000-0000-0000A9070000}"/>
    <cellStyle name="標準 99 3" xfId="1914" xr:uid="{00000000-0005-0000-0000-0000AA070000}"/>
    <cellStyle name="標準 99 3 2" xfId="1915" xr:uid="{00000000-0005-0000-0000-0000AB070000}"/>
    <cellStyle name="標準 99 3 3" xfId="1916" xr:uid="{00000000-0005-0000-0000-0000AC070000}"/>
    <cellStyle name="標準 99 3 4" xfId="1917" xr:uid="{00000000-0005-0000-0000-0000AD070000}"/>
    <cellStyle name="標準 99 4" xfId="1918" xr:uid="{00000000-0005-0000-0000-0000AE070000}"/>
    <cellStyle name="標準 99 5" xfId="1919" xr:uid="{00000000-0005-0000-0000-0000AF070000}"/>
    <cellStyle name="標準 99 6" xfId="1920" xr:uid="{00000000-0005-0000-0000-0000B0070000}"/>
    <cellStyle name="標準１" xfId="1921" xr:uid="{00000000-0005-0000-0000-0000B1070000}"/>
    <cellStyle name="標準10" xfId="1922" xr:uid="{00000000-0005-0000-0000-0000B2070000}"/>
    <cellStyle name="標準12" xfId="1923" xr:uid="{00000000-0005-0000-0000-0000B3070000}"/>
    <cellStyle name="文字列" xfId="1924" xr:uid="{00000000-0005-0000-0000-0000B4070000}"/>
    <cellStyle name="未定義" xfId="1925" xr:uid="{00000000-0005-0000-0000-0000B5070000}"/>
    <cellStyle name="未定義 2" xfId="1926" xr:uid="{00000000-0005-0000-0000-0000B6070000}"/>
    <cellStyle name="未定義 3" xfId="1927" xr:uid="{00000000-0005-0000-0000-0000B7070000}"/>
    <cellStyle name="未定義_030_上場有価証券総括表_詳細設計書_府令改正対応" xfId="1928" xr:uid="{00000000-0005-0000-0000-0000B8070000}"/>
    <cellStyle name="良い 2" xfId="1929" xr:uid="{00000000-0005-0000-0000-0000B9070000}"/>
    <cellStyle name="良い 3" xfId="1930" xr:uid="{00000000-0005-0000-0000-0000BA070000}"/>
    <cellStyle name="良い 4" xfId="1931" xr:uid="{00000000-0005-0000-0000-0000BB070000}"/>
    <cellStyle name="良い 5" xfId="1932" xr:uid="{00000000-0005-0000-0000-0000BC070000}"/>
    <cellStyle name="良い 6" xfId="1933" xr:uid="{00000000-0005-0000-0000-0000BD070000}"/>
    <cellStyle name="良い 7" xfId="1934" xr:uid="{00000000-0005-0000-0000-0000BE070000}"/>
    <cellStyle name="良い 8" xfId="1935" xr:uid="{00000000-0005-0000-0000-0000BF070000}"/>
    <cellStyle name="良い 9" xfId="1936" xr:uid="{00000000-0005-0000-0000-0000C0070000}"/>
    <cellStyle name="표준_4.3.1_取引処理（取引処理制御１－１）" xfId="1937" xr:uid="{00000000-0005-0000-0000-0000C1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437"/>
  <sheetViews>
    <sheetView showGridLines="0" tabSelected="1" view="pageBreakPreview" zoomScaleNormal="70" zoomScaleSheetLayoutView="100" workbookViewId="0">
      <pane ySplit="6" topLeftCell="A7" activePane="bottomLeft" state="frozen"/>
      <selection pane="bottomLeft"/>
    </sheetView>
  </sheetViews>
  <sheetFormatPr defaultColWidth="9" defaultRowHeight="13.2"/>
  <cols>
    <col min="1" max="1" width="13.109375" style="1" bestFit="1" customWidth="1"/>
    <col min="2" max="2" width="10.77734375" style="1" bestFit="1" customWidth="1"/>
    <col min="3" max="4" width="27.6640625" style="1" customWidth="1"/>
    <col min="5" max="5" width="13.77734375" style="1" bestFit="1" customWidth="1"/>
    <col min="6" max="6" width="20.77734375" style="1" bestFit="1" customWidth="1"/>
    <col min="7" max="7" width="11.21875" style="1" customWidth="1"/>
    <col min="8" max="8" width="8.77734375" style="1" bestFit="1" customWidth="1"/>
    <col min="9" max="9" width="11.77734375" style="1" bestFit="1" customWidth="1"/>
    <col min="10" max="10" width="12.6640625" style="1" bestFit="1" customWidth="1"/>
    <col min="11" max="11" width="16.21875" style="1" customWidth="1"/>
    <col min="12" max="12" width="5.6640625" style="1" bestFit="1" customWidth="1"/>
    <col min="13" max="13" width="16.21875" style="1" customWidth="1"/>
    <col min="14" max="14" width="5.6640625" style="1" bestFit="1" customWidth="1"/>
    <col min="15" max="15" width="16.21875" style="1" customWidth="1"/>
    <col min="16" max="16" width="5.6640625" style="1" bestFit="1" customWidth="1"/>
    <col min="17" max="17" width="16.21875" style="1" customWidth="1"/>
    <col min="18" max="18" width="5.6640625" style="1" bestFit="1" customWidth="1"/>
    <col min="19" max="19" width="23.88671875" style="1" bestFit="1" customWidth="1"/>
    <col min="20" max="20" width="16.21875" style="1" customWidth="1"/>
    <col min="21" max="21" width="24.109375" style="1" customWidth="1"/>
    <col min="22" max="22" width="19.88671875" style="1" bestFit="1" customWidth="1"/>
    <col min="23" max="23" width="25" style="1" bestFit="1" customWidth="1"/>
    <col min="24" max="24" width="13.109375" style="1" bestFit="1" customWidth="1"/>
    <col min="25" max="16384" width="9" style="1"/>
  </cols>
  <sheetData>
    <row r="1" spans="1:24" ht="13.5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36" t="s">
        <v>22</v>
      </c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24" ht="99" customHeight="1">
      <c r="A2" s="42" t="s">
        <v>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1:24" ht="39" customHeight="1">
      <c r="A3" s="44" t="s">
        <v>24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s="2" customFormat="1" ht="13.5" customHeight="1">
      <c r="A4" s="5" t="s">
        <v>25</v>
      </c>
      <c r="B4" s="5" t="s">
        <v>0</v>
      </c>
      <c r="C4" s="5"/>
      <c r="D4" s="5"/>
      <c r="E4" s="6"/>
      <c r="F4" s="7"/>
      <c r="G4" s="8" t="s">
        <v>2</v>
      </c>
      <c r="H4" s="5" t="s">
        <v>26</v>
      </c>
      <c r="I4" s="5" t="s">
        <v>3</v>
      </c>
      <c r="J4" s="5" t="s">
        <v>4</v>
      </c>
      <c r="K4" s="9" t="s">
        <v>5</v>
      </c>
      <c r="L4" s="8" t="s">
        <v>2</v>
      </c>
      <c r="M4" s="9" t="s">
        <v>6</v>
      </c>
      <c r="N4" s="8" t="s">
        <v>2</v>
      </c>
      <c r="O4" s="9" t="s">
        <v>7</v>
      </c>
      <c r="P4" s="8" t="s">
        <v>2</v>
      </c>
      <c r="Q4" s="9" t="s">
        <v>8</v>
      </c>
      <c r="R4" s="8" t="s">
        <v>2</v>
      </c>
      <c r="S4" s="5" t="s">
        <v>9</v>
      </c>
      <c r="T4" s="5" t="s">
        <v>10</v>
      </c>
      <c r="U4" s="10" t="s">
        <v>11</v>
      </c>
      <c r="V4" s="5" t="s">
        <v>12</v>
      </c>
      <c r="W4" s="5" t="s">
        <v>13</v>
      </c>
      <c r="X4" s="5" t="s">
        <v>14</v>
      </c>
    </row>
    <row r="5" spans="1:24">
      <c r="A5" s="11" t="s">
        <v>27</v>
      </c>
      <c r="B5" s="11" t="s">
        <v>28</v>
      </c>
      <c r="C5" s="11" t="s">
        <v>29</v>
      </c>
      <c r="D5" s="11" t="s">
        <v>1</v>
      </c>
      <c r="E5" s="12" t="s">
        <v>30</v>
      </c>
      <c r="F5" s="13" t="s">
        <v>31</v>
      </c>
      <c r="G5" s="14" t="s">
        <v>32</v>
      </c>
      <c r="H5" s="15" t="s">
        <v>33</v>
      </c>
      <c r="I5" s="15" t="s">
        <v>15</v>
      </c>
      <c r="J5" s="15" t="s">
        <v>34</v>
      </c>
      <c r="K5" s="16" t="s">
        <v>16</v>
      </c>
      <c r="L5" s="14" t="s">
        <v>32</v>
      </c>
      <c r="M5" s="16" t="s">
        <v>35</v>
      </c>
      <c r="N5" s="14" t="s">
        <v>32</v>
      </c>
      <c r="O5" s="16" t="s">
        <v>17</v>
      </c>
      <c r="P5" s="14" t="s">
        <v>32</v>
      </c>
      <c r="Q5" s="16" t="s">
        <v>18</v>
      </c>
      <c r="R5" s="14" t="s">
        <v>32</v>
      </c>
      <c r="S5" s="17" t="s">
        <v>36</v>
      </c>
      <c r="T5" s="17" t="s">
        <v>19</v>
      </c>
      <c r="U5" s="11" t="s">
        <v>37</v>
      </c>
      <c r="V5" s="17" t="s">
        <v>20</v>
      </c>
      <c r="W5" s="17" t="s">
        <v>38</v>
      </c>
      <c r="X5" s="17" t="s">
        <v>39</v>
      </c>
    </row>
    <row r="6" spans="1:24">
      <c r="A6" s="18"/>
      <c r="B6" s="18"/>
      <c r="C6" s="18"/>
      <c r="D6" s="18"/>
      <c r="E6" s="19"/>
      <c r="F6" s="20"/>
      <c r="G6" s="21"/>
      <c r="H6" s="22"/>
      <c r="I6" s="22"/>
      <c r="J6" s="22" t="s">
        <v>40</v>
      </c>
      <c r="K6" s="23" t="s">
        <v>41</v>
      </c>
      <c r="L6" s="24"/>
      <c r="M6" s="23" t="s">
        <v>41</v>
      </c>
      <c r="N6" s="24"/>
      <c r="O6" s="23" t="s">
        <v>41</v>
      </c>
      <c r="P6" s="24"/>
      <c r="Q6" s="23" t="s">
        <v>41</v>
      </c>
      <c r="R6" s="24"/>
      <c r="S6" s="23" t="s">
        <v>41</v>
      </c>
      <c r="T6" s="22" t="s">
        <v>21</v>
      </c>
      <c r="U6" s="22" t="s">
        <v>21</v>
      </c>
      <c r="V6" s="23" t="s">
        <v>41</v>
      </c>
      <c r="W6" s="23" t="s">
        <v>41</v>
      </c>
      <c r="X6" s="22"/>
    </row>
    <row r="7" spans="1:24" s="26" customFormat="1" ht="13.5" customHeight="1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25"/>
      <c r="I7" s="25" t="s">
        <v>47</v>
      </c>
      <c r="J7" s="31">
        <v>10</v>
      </c>
      <c r="K7" s="35">
        <f>3660</f>
        <v>3660</v>
      </c>
      <c r="L7" s="32" t="s">
        <v>48</v>
      </c>
      <c r="M7" s="35">
        <f>3901</f>
        <v>3901</v>
      </c>
      <c r="N7" s="32" t="s">
        <v>49</v>
      </c>
      <c r="O7" s="35">
        <f>3660</f>
        <v>3660</v>
      </c>
      <c r="P7" s="32" t="s">
        <v>48</v>
      </c>
      <c r="Q7" s="35">
        <f>3785</f>
        <v>3785</v>
      </c>
      <c r="R7" s="32" t="s">
        <v>50</v>
      </c>
      <c r="S7" s="34">
        <f>3794.68</f>
        <v>3794.68</v>
      </c>
      <c r="T7" s="31">
        <f>7786590</f>
        <v>7786590</v>
      </c>
      <c r="U7" s="31">
        <f>5283050</f>
        <v>5283050</v>
      </c>
      <c r="V7" s="31">
        <f>29101824180</f>
        <v>29101824180</v>
      </c>
      <c r="W7" s="31">
        <f>19648416600</f>
        <v>19648416600</v>
      </c>
      <c r="X7" s="33">
        <f>19</f>
        <v>19</v>
      </c>
    </row>
    <row r="8" spans="1:24">
      <c r="A8" s="27" t="s">
        <v>42</v>
      </c>
      <c r="B8" s="27" t="s">
        <v>51</v>
      </c>
      <c r="C8" s="27" t="s">
        <v>52</v>
      </c>
      <c r="D8" s="27" t="s">
        <v>53</v>
      </c>
      <c r="E8" s="28" t="s">
        <v>46</v>
      </c>
      <c r="F8" s="29" t="s">
        <v>46</v>
      </c>
      <c r="G8" s="30" t="s">
        <v>46</v>
      </c>
      <c r="H8" s="25"/>
      <c r="I8" s="25" t="s">
        <v>47</v>
      </c>
      <c r="J8" s="31">
        <v>10</v>
      </c>
      <c r="K8" s="35">
        <f>3622</f>
        <v>3622</v>
      </c>
      <c r="L8" s="32" t="s">
        <v>48</v>
      </c>
      <c r="M8" s="35">
        <f>3859</f>
        <v>3859</v>
      </c>
      <c r="N8" s="32" t="s">
        <v>49</v>
      </c>
      <c r="O8" s="35">
        <f>3622</f>
        <v>3622</v>
      </c>
      <c r="P8" s="32" t="s">
        <v>48</v>
      </c>
      <c r="Q8" s="35">
        <f>3744</f>
        <v>3744</v>
      </c>
      <c r="R8" s="32" t="s">
        <v>50</v>
      </c>
      <c r="S8" s="34">
        <f>3755.84</f>
        <v>3755.84</v>
      </c>
      <c r="T8" s="31">
        <f>51026230</f>
        <v>51026230</v>
      </c>
      <c r="U8" s="31">
        <f>16594780</f>
        <v>16594780</v>
      </c>
      <c r="V8" s="31">
        <f>191551642074</f>
        <v>191551642074</v>
      </c>
      <c r="W8" s="31">
        <f>62502565034</f>
        <v>62502565034</v>
      </c>
      <c r="X8" s="33">
        <f>19</f>
        <v>19</v>
      </c>
    </row>
    <row r="9" spans="1:24">
      <c r="A9" s="27" t="s">
        <v>42</v>
      </c>
      <c r="B9" s="27" t="s">
        <v>54</v>
      </c>
      <c r="C9" s="27" t="s">
        <v>55</v>
      </c>
      <c r="D9" s="27" t="s">
        <v>56</v>
      </c>
      <c r="E9" s="28" t="s">
        <v>46</v>
      </c>
      <c r="F9" s="29" t="s">
        <v>46</v>
      </c>
      <c r="G9" s="30" t="s">
        <v>46</v>
      </c>
      <c r="H9" s="25"/>
      <c r="I9" s="25" t="s">
        <v>47</v>
      </c>
      <c r="J9" s="31">
        <v>1</v>
      </c>
      <c r="K9" s="35">
        <f>3576</f>
        <v>3576</v>
      </c>
      <c r="L9" s="32" t="s">
        <v>48</v>
      </c>
      <c r="M9" s="35">
        <f>3811</f>
        <v>3811</v>
      </c>
      <c r="N9" s="32" t="s">
        <v>49</v>
      </c>
      <c r="O9" s="35">
        <f>3576</f>
        <v>3576</v>
      </c>
      <c r="P9" s="32" t="s">
        <v>48</v>
      </c>
      <c r="Q9" s="35">
        <f>3706</f>
        <v>3706</v>
      </c>
      <c r="R9" s="32" t="s">
        <v>50</v>
      </c>
      <c r="S9" s="34">
        <f>3710.84</f>
        <v>3710.84</v>
      </c>
      <c r="T9" s="31">
        <f>13072368</f>
        <v>13072368</v>
      </c>
      <c r="U9" s="31">
        <f>7505458</f>
        <v>7505458</v>
      </c>
      <c r="V9" s="31">
        <f>48164887031</f>
        <v>48164887031</v>
      </c>
      <c r="W9" s="31">
        <f>27533504781</f>
        <v>27533504781</v>
      </c>
      <c r="X9" s="33">
        <f>19</f>
        <v>19</v>
      </c>
    </row>
    <row r="10" spans="1:24">
      <c r="A10" s="27" t="s">
        <v>42</v>
      </c>
      <c r="B10" s="27" t="s">
        <v>57</v>
      </c>
      <c r="C10" s="27" t="s">
        <v>58</v>
      </c>
      <c r="D10" s="27" t="s">
        <v>59</v>
      </c>
      <c r="E10" s="28" t="s">
        <v>46</v>
      </c>
      <c r="F10" s="29" t="s">
        <v>46</v>
      </c>
      <c r="G10" s="30" t="s">
        <v>46</v>
      </c>
      <c r="H10" s="25"/>
      <c r="I10" s="25" t="s">
        <v>47</v>
      </c>
      <c r="J10" s="31">
        <v>1</v>
      </c>
      <c r="K10" s="35">
        <f>54240</f>
        <v>54240</v>
      </c>
      <c r="L10" s="32" t="s">
        <v>48</v>
      </c>
      <c r="M10" s="35">
        <f>57500</f>
        <v>57500</v>
      </c>
      <c r="N10" s="32" t="s">
        <v>60</v>
      </c>
      <c r="O10" s="35">
        <f>53500</f>
        <v>53500</v>
      </c>
      <c r="P10" s="32" t="s">
        <v>61</v>
      </c>
      <c r="Q10" s="35">
        <f>54960</f>
        <v>54960</v>
      </c>
      <c r="R10" s="32" t="s">
        <v>50</v>
      </c>
      <c r="S10" s="34">
        <f>55666.84</f>
        <v>55666.84</v>
      </c>
      <c r="T10" s="31">
        <f>3448</f>
        <v>3448</v>
      </c>
      <c r="U10" s="31" t="str">
        <f>"－"</f>
        <v>－</v>
      </c>
      <c r="V10" s="31">
        <f>191913660</f>
        <v>191913660</v>
      </c>
      <c r="W10" s="31" t="str">
        <f>"－"</f>
        <v>－</v>
      </c>
      <c r="X10" s="33">
        <f>19</f>
        <v>19</v>
      </c>
    </row>
    <row r="11" spans="1:24">
      <c r="A11" s="27" t="s">
        <v>42</v>
      </c>
      <c r="B11" s="27" t="s">
        <v>62</v>
      </c>
      <c r="C11" s="27" t="s">
        <v>63</v>
      </c>
      <c r="D11" s="27" t="s">
        <v>64</v>
      </c>
      <c r="E11" s="28" t="s">
        <v>46</v>
      </c>
      <c r="F11" s="29" t="s">
        <v>46</v>
      </c>
      <c r="G11" s="30" t="s">
        <v>46</v>
      </c>
      <c r="H11" s="25"/>
      <c r="I11" s="25" t="s">
        <v>47</v>
      </c>
      <c r="J11" s="31">
        <v>1</v>
      </c>
      <c r="K11" s="35">
        <f>1818</f>
        <v>1818</v>
      </c>
      <c r="L11" s="32" t="s">
        <v>48</v>
      </c>
      <c r="M11" s="35">
        <f>1950</f>
        <v>1950</v>
      </c>
      <c r="N11" s="32" t="s">
        <v>65</v>
      </c>
      <c r="O11" s="35">
        <f>1810</f>
        <v>1810</v>
      </c>
      <c r="P11" s="32" t="s">
        <v>48</v>
      </c>
      <c r="Q11" s="35">
        <f>1870</f>
        <v>1870</v>
      </c>
      <c r="R11" s="32" t="s">
        <v>50</v>
      </c>
      <c r="S11" s="34">
        <f>1880.42</f>
        <v>1880.42</v>
      </c>
      <c r="T11" s="31">
        <f>1291833</f>
        <v>1291833</v>
      </c>
      <c r="U11" s="31">
        <f>688978</f>
        <v>688978</v>
      </c>
      <c r="V11" s="31">
        <f>2437301848</f>
        <v>2437301848</v>
      </c>
      <c r="W11" s="31">
        <f>1299842515</f>
        <v>1299842515</v>
      </c>
      <c r="X11" s="33">
        <f>19</f>
        <v>19</v>
      </c>
    </row>
    <row r="12" spans="1:24">
      <c r="A12" s="27" t="s">
        <v>42</v>
      </c>
      <c r="B12" s="27" t="s">
        <v>66</v>
      </c>
      <c r="C12" s="27" t="s">
        <v>67</v>
      </c>
      <c r="D12" s="27" t="s">
        <v>68</v>
      </c>
      <c r="E12" s="28" t="s">
        <v>46</v>
      </c>
      <c r="F12" s="29" t="s">
        <v>46</v>
      </c>
      <c r="G12" s="30" t="s">
        <v>46</v>
      </c>
      <c r="H12" s="25"/>
      <c r="I12" s="25" t="s">
        <v>47</v>
      </c>
      <c r="J12" s="31">
        <v>1000</v>
      </c>
      <c r="K12" s="35">
        <f>670</f>
        <v>670</v>
      </c>
      <c r="L12" s="32" t="s">
        <v>48</v>
      </c>
      <c r="M12" s="35">
        <f>675</f>
        <v>675</v>
      </c>
      <c r="N12" s="32" t="s">
        <v>69</v>
      </c>
      <c r="O12" s="35">
        <f>651.1</f>
        <v>651.1</v>
      </c>
      <c r="P12" s="32" t="s">
        <v>70</v>
      </c>
      <c r="Q12" s="35">
        <f>651.1</f>
        <v>651.1</v>
      </c>
      <c r="R12" s="32" t="s">
        <v>70</v>
      </c>
      <c r="S12" s="34">
        <f>659.9</f>
        <v>659.9</v>
      </c>
      <c r="T12" s="31">
        <f>34000</f>
        <v>34000</v>
      </c>
      <c r="U12" s="31">
        <f>2000</f>
        <v>2000</v>
      </c>
      <c r="V12" s="31">
        <f>22502000</f>
        <v>22502000</v>
      </c>
      <c r="W12" s="31">
        <f>1306700</f>
        <v>1306700</v>
      </c>
      <c r="X12" s="33">
        <f>14</f>
        <v>14</v>
      </c>
    </row>
    <row r="13" spans="1:24">
      <c r="A13" s="27" t="s">
        <v>42</v>
      </c>
      <c r="B13" s="27" t="s">
        <v>71</v>
      </c>
      <c r="C13" s="27" t="s">
        <v>72</v>
      </c>
      <c r="D13" s="27" t="s">
        <v>73</v>
      </c>
      <c r="E13" s="28" t="s">
        <v>46</v>
      </c>
      <c r="F13" s="29" t="s">
        <v>46</v>
      </c>
      <c r="G13" s="30" t="s">
        <v>46</v>
      </c>
      <c r="H13" s="25"/>
      <c r="I13" s="25" t="s">
        <v>47</v>
      </c>
      <c r="J13" s="31">
        <v>1</v>
      </c>
      <c r="K13" s="35">
        <f>52960</f>
        <v>52960</v>
      </c>
      <c r="L13" s="32" t="s">
        <v>48</v>
      </c>
      <c r="M13" s="35">
        <f>56400</f>
        <v>56400</v>
      </c>
      <c r="N13" s="32" t="s">
        <v>74</v>
      </c>
      <c r="O13" s="35">
        <f>52830</f>
        <v>52830</v>
      </c>
      <c r="P13" s="32" t="s">
        <v>75</v>
      </c>
      <c r="Q13" s="35">
        <f>55170</f>
        <v>55170</v>
      </c>
      <c r="R13" s="32" t="s">
        <v>50</v>
      </c>
      <c r="S13" s="34">
        <f>54920</f>
        <v>54920</v>
      </c>
      <c r="T13" s="31">
        <f>855482</f>
        <v>855482</v>
      </c>
      <c r="U13" s="31">
        <f>139122</f>
        <v>139122</v>
      </c>
      <c r="V13" s="31">
        <f>46827632859</f>
        <v>46827632859</v>
      </c>
      <c r="W13" s="31">
        <f>7638126189</f>
        <v>7638126189</v>
      </c>
      <c r="X13" s="33">
        <f>19</f>
        <v>19</v>
      </c>
    </row>
    <row r="14" spans="1:24">
      <c r="A14" s="27" t="s">
        <v>42</v>
      </c>
      <c r="B14" s="27" t="s">
        <v>76</v>
      </c>
      <c r="C14" s="27" t="s">
        <v>77</v>
      </c>
      <c r="D14" s="27" t="s">
        <v>78</v>
      </c>
      <c r="E14" s="28" t="s">
        <v>46</v>
      </c>
      <c r="F14" s="29" t="s">
        <v>46</v>
      </c>
      <c r="G14" s="30" t="s">
        <v>46</v>
      </c>
      <c r="H14" s="25"/>
      <c r="I14" s="25" t="s">
        <v>47</v>
      </c>
      <c r="J14" s="31">
        <v>1</v>
      </c>
      <c r="K14" s="35">
        <f>53190</f>
        <v>53190</v>
      </c>
      <c r="L14" s="32" t="s">
        <v>48</v>
      </c>
      <c r="M14" s="35">
        <f>56600</f>
        <v>56600</v>
      </c>
      <c r="N14" s="32" t="s">
        <v>74</v>
      </c>
      <c r="O14" s="35">
        <f>53030</f>
        <v>53030</v>
      </c>
      <c r="P14" s="32" t="s">
        <v>75</v>
      </c>
      <c r="Q14" s="35">
        <f>55390</f>
        <v>55390</v>
      </c>
      <c r="R14" s="32" t="s">
        <v>50</v>
      </c>
      <c r="S14" s="34">
        <f>55140</f>
        <v>55140</v>
      </c>
      <c r="T14" s="31">
        <f>6641464</f>
        <v>6641464</v>
      </c>
      <c r="U14" s="31">
        <f>1089255</f>
        <v>1089255</v>
      </c>
      <c r="V14" s="31">
        <f>365788278881</f>
        <v>365788278881</v>
      </c>
      <c r="W14" s="31">
        <f>60123223921</f>
        <v>60123223921</v>
      </c>
      <c r="X14" s="33">
        <f>19</f>
        <v>19</v>
      </c>
    </row>
    <row r="15" spans="1:24">
      <c r="A15" s="27" t="s">
        <v>42</v>
      </c>
      <c r="B15" s="27" t="s">
        <v>79</v>
      </c>
      <c r="C15" s="27" t="s">
        <v>80</v>
      </c>
      <c r="D15" s="27" t="s">
        <v>81</v>
      </c>
      <c r="E15" s="28" t="s">
        <v>46</v>
      </c>
      <c r="F15" s="29" t="s">
        <v>46</v>
      </c>
      <c r="G15" s="30" t="s">
        <v>46</v>
      </c>
      <c r="H15" s="25"/>
      <c r="I15" s="25" t="s">
        <v>47</v>
      </c>
      <c r="J15" s="31">
        <v>1</v>
      </c>
      <c r="K15" s="35">
        <f>11125</f>
        <v>11125</v>
      </c>
      <c r="L15" s="32" t="s">
        <v>48</v>
      </c>
      <c r="M15" s="35">
        <f>11650</f>
        <v>11650</v>
      </c>
      <c r="N15" s="32" t="s">
        <v>60</v>
      </c>
      <c r="O15" s="35">
        <f>10985</f>
        <v>10985</v>
      </c>
      <c r="P15" s="32" t="s">
        <v>50</v>
      </c>
      <c r="Q15" s="35">
        <f>11050</f>
        <v>11050</v>
      </c>
      <c r="R15" s="32" t="s">
        <v>50</v>
      </c>
      <c r="S15" s="34">
        <f>11331.58</f>
        <v>11331.58</v>
      </c>
      <c r="T15" s="31">
        <f>15414</f>
        <v>15414</v>
      </c>
      <c r="U15" s="31">
        <f>3494</f>
        <v>3494</v>
      </c>
      <c r="V15" s="31">
        <f>174963806</f>
        <v>174963806</v>
      </c>
      <c r="W15" s="31">
        <f>39999661</f>
        <v>39999661</v>
      </c>
      <c r="X15" s="33">
        <f>19</f>
        <v>19</v>
      </c>
    </row>
    <row r="16" spans="1:24">
      <c r="A16" s="27" t="s">
        <v>42</v>
      </c>
      <c r="B16" s="27" t="s">
        <v>82</v>
      </c>
      <c r="C16" s="27" t="s">
        <v>83</v>
      </c>
      <c r="D16" s="27" t="s">
        <v>84</v>
      </c>
      <c r="E16" s="28" t="s">
        <v>46</v>
      </c>
      <c r="F16" s="29" t="s">
        <v>46</v>
      </c>
      <c r="G16" s="30" t="s">
        <v>46</v>
      </c>
      <c r="H16" s="25"/>
      <c r="I16" s="25" t="s">
        <v>47</v>
      </c>
      <c r="J16" s="31">
        <v>10</v>
      </c>
      <c r="K16" s="35">
        <f>252.1</f>
        <v>252.1</v>
      </c>
      <c r="L16" s="32" t="s">
        <v>48</v>
      </c>
      <c r="M16" s="35">
        <f>309.5</f>
        <v>309.5</v>
      </c>
      <c r="N16" s="32" t="s">
        <v>70</v>
      </c>
      <c r="O16" s="35">
        <f>252.1</f>
        <v>252.1</v>
      </c>
      <c r="P16" s="32" t="s">
        <v>48</v>
      </c>
      <c r="Q16" s="35">
        <f>299.3</f>
        <v>299.3</v>
      </c>
      <c r="R16" s="32" t="s">
        <v>50</v>
      </c>
      <c r="S16" s="34">
        <f>276.75</f>
        <v>276.75</v>
      </c>
      <c r="T16" s="31">
        <f>1490460</f>
        <v>1490460</v>
      </c>
      <c r="U16" s="31">
        <f>16160</f>
        <v>16160</v>
      </c>
      <c r="V16" s="31">
        <f>428781772</f>
        <v>428781772</v>
      </c>
      <c r="W16" s="31">
        <f>4637940</f>
        <v>4637940</v>
      </c>
      <c r="X16" s="33">
        <f>19</f>
        <v>19</v>
      </c>
    </row>
    <row r="17" spans="1:24">
      <c r="A17" s="27" t="s">
        <v>42</v>
      </c>
      <c r="B17" s="27" t="s">
        <v>85</v>
      </c>
      <c r="C17" s="27" t="s">
        <v>86</v>
      </c>
      <c r="D17" s="27" t="s">
        <v>87</v>
      </c>
      <c r="E17" s="28" t="s">
        <v>46</v>
      </c>
      <c r="F17" s="29" t="s">
        <v>46</v>
      </c>
      <c r="G17" s="30" t="s">
        <v>46</v>
      </c>
      <c r="H17" s="25"/>
      <c r="I17" s="25" t="s">
        <v>47</v>
      </c>
      <c r="J17" s="31">
        <v>1</v>
      </c>
      <c r="K17" s="35">
        <f>63220</f>
        <v>63220</v>
      </c>
      <c r="L17" s="32" t="s">
        <v>48</v>
      </c>
      <c r="M17" s="35">
        <f>78660</f>
        <v>78660</v>
      </c>
      <c r="N17" s="32" t="s">
        <v>70</v>
      </c>
      <c r="O17" s="35">
        <f>63140</f>
        <v>63140</v>
      </c>
      <c r="P17" s="32" t="s">
        <v>48</v>
      </c>
      <c r="Q17" s="35">
        <f>73120</f>
        <v>73120</v>
      </c>
      <c r="R17" s="32" t="s">
        <v>50</v>
      </c>
      <c r="S17" s="34">
        <f>68920.53</f>
        <v>68920.53</v>
      </c>
      <c r="T17" s="31">
        <f>857384</f>
        <v>857384</v>
      </c>
      <c r="U17" s="31">
        <f>1585</f>
        <v>1585</v>
      </c>
      <c r="V17" s="31">
        <f>60479520528</f>
        <v>60479520528</v>
      </c>
      <c r="W17" s="31">
        <f>103090518</f>
        <v>103090518</v>
      </c>
      <c r="X17" s="33">
        <f>19</f>
        <v>19</v>
      </c>
    </row>
    <row r="18" spans="1:24">
      <c r="A18" s="27" t="s">
        <v>42</v>
      </c>
      <c r="B18" s="27" t="s">
        <v>88</v>
      </c>
      <c r="C18" s="27" t="s">
        <v>89</v>
      </c>
      <c r="D18" s="27" t="s">
        <v>90</v>
      </c>
      <c r="E18" s="28" t="s">
        <v>46</v>
      </c>
      <c r="F18" s="29" t="s">
        <v>46</v>
      </c>
      <c r="G18" s="30" t="s">
        <v>46</v>
      </c>
      <c r="H18" s="25"/>
      <c r="I18" s="25" t="s">
        <v>47</v>
      </c>
      <c r="J18" s="31">
        <v>1</v>
      </c>
      <c r="K18" s="35">
        <f>16350</f>
        <v>16350</v>
      </c>
      <c r="L18" s="32" t="s">
        <v>48</v>
      </c>
      <c r="M18" s="35">
        <f>20325</f>
        <v>20325</v>
      </c>
      <c r="N18" s="32" t="s">
        <v>70</v>
      </c>
      <c r="O18" s="35">
        <f>16320</f>
        <v>16320</v>
      </c>
      <c r="P18" s="32" t="s">
        <v>48</v>
      </c>
      <c r="Q18" s="35">
        <f>18895</f>
        <v>18895</v>
      </c>
      <c r="R18" s="32" t="s">
        <v>50</v>
      </c>
      <c r="S18" s="34">
        <f>17840</f>
        <v>17840</v>
      </c>
      <c r="T18" s="31">
        <f>3120708</f>
        <v>3120708</v>
      </c>
      <c r="U18" s="31">
        <f>97967</f>
        <v>97967</v>
      </c>
      <c r="V18" s="31">
        <f>56893888194</f>
        <v>56893888194</v>
      </c>
      <c r="W18" s="31">
        <f>1720950599</f>
        <v>1720950599</v>
      </c>
      <c r="X18" s="33">
        <f>19</f>
        <v>19</v>
      </c>
    </row>
    <row r="19" spans="1:24">
      <c r="A19" s="27" t="s">
        <v>42</v>
      </c>
      <c r="B19" s="27" t="s">
        <v>91</v>
      </c>
      <c r="C19" s="27" t="s">
        <v>92</v>
      </c>
      <c r="D19" s="27" t="s">
        <v>93</v>
      </c>
      <c r="E19" s="28" t="s">
        <v>46</v>
      </c>
      <c r="F19" s="29" t="s">
        <v>46</v>
      </c>
      <c r="G19" s="30" t="s">
        <v>46</v>
      </c>
      <c r="H19" s="25"/>
      <c r="I19" s="25" t="s">
        <v>47</v>
      </c>
      <c r="J19" s="31">
        <v>1</v>
      </c>
      <c r="K19" s="35">
        <f>5334</f>
        <v>5334</v>
      </c>
      <c r="L19" s="32" t="s">
        <v>48</v>
      </c>
      <c r="M19" s="35">
        <f>5673</f>
        <v>5673</v>
      </c>
      <c r="N19" s="32" t="s">
        <v>74</v>
      </c>
      <c r="O19" s="35">
        <f>5316</f>
        <v>5316</v>
      </c>
      <c r="P19" s="32" t="s">
        <v>75</v>
      </c>
      <c r="Q19" s="35">
        <f>5546</f>
        <v>5546</v>
      </c>
      <c r="R19" s="32" t="s">
        <v>50</v>
      </c>
      <c r="S19" s="34">
        <f>5526.42</f>
        <v>5526.42</v>
      </c>
      <c r="T19" s="31">
        <f>20459668</f>
        <v>20459668</v>
      </c>
      <c r="U19" s="31">
        <f>8326482</f>
        <v>8326482</v>
      </c>
      <c r="V19" s="31">
        <f>112201622897</f>
        <v>112201622897</v>
      </c>
      <c r="W19" s="31">
        <f>45357384860</f>
        <v>45357384860</v>
      </c>
      <c r="X19" s="33">
        <f>19</f>
        <v>19</v>
      </c>
    </row>
    <row r="20" spans="1:24">
      <c r="A20" s="27" t="s">
        <v>42</v>
      </c>
      <c r="B20" s="27" t="s">
        <v>94</v>
      </c>
      <c r="C20" s="27" t="s">
        <v>95</v>
      </c>
      <c r="D20" s="27" t="s">
        <v>96</v>
      </c>
      <c r="E20" s="28" t="s">
        <v>46</v>
      </c>
      <c r="F20" s="29" t="s">
        <v>46</v>
      </c>
      <c r="G20" s="30" t="s">
        <v>46</v>
      </c>
      <c r="H20" s="25"/>
      <c r="I20" s="25" t="s">
        <v>47</v>
      </c>
      <c r="J20" s="31">
        <v>1</v>
      </c>
      <c r="K20" s="35">
        <f>53210</f>
        <v>53210</v>
      </c>
      <c r="L20" s="32" t="s">
        <v>48</v>
      </c>
      <c r="M20" s="35">
        <f>56670</f>
        <v>56670</v>
      </c>
      <c r="N20" s="32" t="s">
        <v>74</v>
      </c>
      <c r="O20" s="35">
        <f>53090</f>
        <v>53090</v>
      </c>
      <c r="P20" s="32" t="s">
        <v>75</v>
      </c>
      <c r="Q20" s="35">
        <f>55460</f>
        <v>55460</v>
      </c>
      <c r="R20" s="32" t="s">
        <v>50</v>
      </c>
      <c r="S20" s="34">
        <f>55193.16</f>
        <v>55193.16</v>
      </c>
      <c r="T20" s="31">
        <f>1233170</f>
        <v>1233170</v>
      </c>
      <c r="U20" s="31">
        <f>589290</f>
        <v>589290</v>
      </c>
      <c r="V20" s="31">
        <f>67904523922</f>
        <v>67904523922</v>
      </c>
      <c r="W20" s="31">
        <f>32489232922</f>
        <v>32489232922</v>
      </c>
      <c r="X20" s="33">
        <f>19</f>
        <v>19</v>
      </c>
    </row>
    <row r="21" spans="1:24">
      <c r="A21" s="27" t="s">
        <v>42</v>
      </c>
      <c r="B21" s="27" t="s">
        <v>97</v>
      </c>
      <c r="C21" s="27" t="s">
        <v>98</v>
      </c>
      <c r="D21" s="27" t="s">
        <v>99</v>
      </c>
      <c r="E21" s="28" t="s">
        <v>46</v>
      </c>
      <c r="F21" s="29" t="s">
        <v>46</v>
      </c>
      <c r="G21" s="30" t="s">
        <v>46</v>
      </c>
      <c r="H21" s="25"/>
      <c r="I21" s="25" t="s">
        <v>47</v>
      </c>
      <c r="J21" s="31">
        <v>1</v>
      </c>
      <c r="K21" s="35">
        <f>1055</f>
        <v>1055</v>
      </c>
      <c r="L21" s="32" t="s">
        <v>48</v>
      </c>
      <c r="M21" s="35">
        <f>1078</f>
        <v>1078</v>
      </c>
      <c r="N21" s="32" t="s">
        <v>74</v>
      </c>
      <c r="O21" s="35">
        <f>1025</f>
        <v>1025</v>
      </c>
      <c r="P21" s="32" t="s">
        <v>61</v>
      </c>
      <c r="Q21" s="35">
        <f>1040</f>
        <v>1040</v>
      </c>
      <c r="R21" s="32" t="s">
        <v>50</v>
      </c>
      <c r="S21" s="34">
        <f>1059.95</f>
        <v>1059.95</v>
      </c>
      <c r="T21" s="31">
        <f>10841549</f>
        <v>10841549</v>
      </c>
      <c r="U21" s="31">
        <f>7921412</f>
        <v>7921412</v>
      </c>
      <c r="V21" s="31">
        <f>11542170416</f>
        <v>11542170416</v>
      </c>
      <c r="W21" s="31">
        <f>8440195533</f>
        <v>8440195533</v>
      </c>
      <c r="X21" s="33">
        <f>19</f>
        <v>19</v>
      </c>
    </row>
    <row r="22" spans="1:24">
      <c r="A22" s="27" t="s">
        <v>42</v>
      </c>
      <c r="B22" s="27" t="s">
        <v>100</v>
      </c>
      <c r="C22" s="27" t="s">
        <v>101</v>
      </c>
      <c r="D22" s="27" t="s">
        <v>102</v>
      </c>
      <c r="E22" s="28" t="s">
        <v>46</v>
      </c>
      <c r="F22" s="29" t="s">
        <v>46</v>
      </c>
      <c r="G22" s="30" t="s">
        <v>46</v>
      </c>
      <c r="H22" s="25"/>
      <c r="I22" s="25" t="s">
        <v>47</v>
      </c>
      <c r="J22" s="31">
        <v>10</v>
      </c>
      <c r="K22" s="35">
        <f>2199</f>
        <v>2199</v>
      </c>
      <c r="L22" s="32" t="s">
        <v>48</v>
      </c>
      <c r="M22" s="35">
        <f>2249.5</f>
        <v>2249.5</v>
      </c>
      <c r="N22" s="32" t="s">
        <v>103</v>
      </c>
      <c r="O22" s="35">
        <f>2121.5</f>
        <v>2121.5</v>
      </c>
      <c r="P22" s="32" t="s">
        <v>70</v>
      </c>
      <c r="Q22" s="35">
        <f>2151.5</f>
        <v>2151.5</v>
      </c>
      <c r="R22" s="32" t="s">
        <v>50</v>
      </c>
      <c r="S22" s="34">
        <f>2188.47</f>
        <v>2188.4699999999998</v>
      </c>
      <c r="T22" s="31">
        <f>26825170</f>
        <v>26825170</v>
      </c>
      <c r="U22" s="31">
        <f>11020160</f>
        <v>11020160</v>
      </c>
      <c r="V22" s="31">
        <f>58828802610</f>
        <v>58828802610</v>
      </c>
      <c r="W22" s="31">
        <f>24335756620</f>
        <v>24335756620</v>
      </c>
      <c r="X22" s="33">
        <f>19</f>
        <v>19</v>
      </c>
    </row>
    <row r="23" spans="1:24">
      <c r="A23" s="27" t="s">
        <v>42</v>
      </c>
      <c r="B23" s="27" t="s">
        <v>104</v>
      </c>
      <c r="C23" s="27" t="s">
        <v>105</v>
      </c>
      <c r="D23" s="27" t="s">
        <v>106</v>
      </c>
      <c r="E23" s="28" t="s">
        <v>46</v>
      </c>
      <c r="F23" s="29" t="s">
        <v>46</v>
      </c>
      <c r="G23" s="30" t="s">
        <v>46</v>
      </c>
      <c r="H23" s="25"/>
      <c r="I23" s="25" t="s">
        <v>47</v>
      </c>
      <c r="J23" s="31">
        <v>100</v>
      </c>
      <c r="K23" s="35">
        <f>2070.5</f>
        <v>2070.5</v>
      </c>
      <c r="L23" s="32" t="s">
        <v>48</v>
      </c>
      <c r="M23" s="35">
        <f>2101.5</f>
        <v>2101.5</v>
      </c>
      <c r="N23" s="32" t="s">
        <v>103</v>
      </c>
      <c r="O23" s="35">
        <f>1985.5</f>
        <v>1985.5</v>
      </c>
      <c r="P23" s="32" t="s">
        <v>70</v>
      </c>
      <c r="Q23" s="35">
        <f>2014.5</f>
        <v>2014.5</v>
      </c>
      <c r="R23" s="32" t="s">
        <v>50</v>
      </c>
      <c r="S23" s="34">
        <f>2048.37</f>
        <v>2048.37</v>
      </c>
      <c r="T23" s="31">
        <f>2996300</f>
        <v>2996300</v>
      </c>
      <c r="U23" s="31">
        <f>1811900</f>
        <v>1811900</v>
      </c>
      <c r="V23" s="31">
        <f>6130097716</f>
        <v>6130097716</v>
      </c>
      <c r="W23" s="31">
        <f>3709836216</f>
        <v>3709836216</v>
      </c>
      <c r="X23" s="33">
        <f>19</f>
        <v>19</v>
      </c>
    </row>
    <row r="24" spans="1:24">
      <c r="A24" s="27" t="s">
        <v>42</v>
      </c>
      <c r="B24" s="27" t="s">
        <v>107</v>
      </c>
      <c r="C24" s="27" t="s">
        <v>108</v>
      </c>
      <c r="D24" s="27" t="s">
        <v>109</v>
      </c>
      <c r="E24" s="28" t="s">
        <v>46</v>
      </c>
      <c r="F24" s="29" t="s">
        <v>46</v>
      </c>
      <c r="G24" s="30" t="s">
        <v>46</v>
      </c>
      <c r="H24" s="25"/>
      <c r="I24" s="25" t="s">
        <v>47</v>
      </c>
      <c r="J24" s="31">
        <v>1</v>
      </c>
      <c r="K24" s="35">
        <f>53220</f>
        <v>53220</v>
      </c>
      <c r="L24" s="32" t="s">
        <v>48</v>
      </c>
      <c r="M24" s="35">
        <f>56660</f>
        <v>56660</v>
      </c>
      <c r="N24" s="32" t="s">
        <v>74</v>
      </c>
      <c r="O24" s="35">
        <f>53100</f>
        <v>53100</v>
      </c>
      <c r="P24" s="32" t="s">
        <v>75</v>
      </c>
      <c r="Q24" s="35">
        <f>55090</f>
        <v>55090</v>
      </c>
      <c r="R24" s="32" t="s">
        <v>50</v>
      </c>
      <c r="S24" s="34">
        <f>54955.26</f>
        <v>54955.26</v>
      </c>
      <c r="T24" s="31">
        <f>554578</f>
        <v>554578</v>
      </c>
      <c r="U24" s="31">
        <f>209942</f>
        <v>209942</v>
      </c>
      <c r="V24" s="31">
        <f>30522161942</f>
        <v>30522161942</v>
      </c>
      <c r="W24" s="31">
        <f>11596010452</f>
        <v>11596010452</v>
      </c>
      <c r="X24" s="33">
        <f>19</f>
        <v>19</v>
      </c>
    </row>
    <row r="25" spans="1:24">
      <c r="A25" s="27" t="s">
        <v>42</v>
      </c>
      <c r="B25" s="27" t="s">
        <v>110</v>
      </c>
      <c r="C25" s="27" t="s">
        <v>111</v>
      </c>
      <c r="D25" s="27" t="s">
        <v>112</v>
      </c>
      <c r="E25" s="28" t="s">
        <v>46</v>
      </c>
      <c r="F25" s="29" t="s">
        <v>46</v>
      </c>
      <c r="G25" s="30" t="s">
        <v>46</v>
      </c>
      <c r="H25" s="25"/>
      <c r="I25" s="25" t="s">
        <v>47</v>
      </c>
      <c r="J25" s="31">
        <v>1</v>
      </c>
      <c r="K25" s="35">
        <f>3606</f>
        <v>3606</v>
      </c>
      <c r="L25" s="32" t="s">
        <v>48</v>
      </c>
      <c r="M25" s="35">
        <f>3810</f>
        <v>3810</v>
      </c>
      <c r="N25" s="32" t="s">
        <v>49</v>
      </c>
      <c r="O25" s="35">
        <f>3606</f>
        <v>3606</v>
      </c>
      <c r="P25" s="32" t="s">
        <v>48</v>
      </c>
      <c r="Q25" s="35">
        <f>3705</f>
        <v>3705</v>
      </c>
      <c r="R25" s="32" t="s">
        <v>50</v>
      </c>
      <c r="S25" s="34">
        <f>3722.32</f>
        <v>3722.32</v>
      </c>
      <c r="T25" s="31">
        <f>10762376</f>
        <v>10762376</v>
      </c>
      <c r="U25" s="31">
        <f>8815010</f>
        <v>8815010</v>
      </c>
      <c r="V25" s="31">
        <f>40042980978</f>
        <v>40042980978</v>
      </c>
      <c r="W25" s="31">
        <f>32770721929</f>
        <v>32770721929</v>
      </c>
      <c r="X25" s="33">
        <f>19</f>
        <v>19</v>
      </c>
    </row>
    <row r="26" spans="1:24">
      <c r="A26" s="27" t="s">
        <v>42</v>
      </c>
      <c r="B26" s="27" t="s">
        <v>113</v>
      </c>
      <c r="C26" s="27" t="s">
        <v>114</v>
      </c>
      <c r="D26" s="27" t="s">
        <v>115</v>
      </c>
      <c r="E26" s="28" t="s">
        <v>46</v>
      </c>
      <c r="F26" s="29" t="s">
        <v>46</v>
      </c>
      <c r="G26" s="30" t="s">
        <v>46</v>
      </c>
      <c r="H26" s="25"/>
      <c r="I26" s="25" t="s">
        <v>47</v>
      </c>
      <c r="J26" s="31">
        <v>1</v>
      </c>
      <c r="K26" s="35">
        <f>20695</f>
        <v>20695</v>
      </c>
      <c r="L26" s="32" t="s">
        <v>48</v>
      </c>
      <c r="M26" s="35">
        <f>20695</f>
        <v>20695</v>
      </c>
      <c r="N26" s="32" t="s">
        <v>48</v>
      </c>
      <c r="O26" s="35">
        <f>17185</f>
        <v>17185</v>
      </c>
      <c r="P26" s="32" t="s">
        <v>70</v>
      </c>
      <c r="Q26" s="35">
        <f>17455</f>
        <v>17455</v>
      </c>
      <c r="R26" s="32" t="s">
        <v>50</v>
      </c>
      <c r="S26" s="34">
        <f>17853.68</f>
        <v>17853.68</v>
      </c>
      <c r="T26" s="31">
        <f>732</f>
        <v>732</v>
      </c>
      <c r="U26" s="31" t="str">
        <f>"－"</f>
        <v>－</v>
      </c>
      <c r="V26" s="31">
        <f>13118845</f>
        <v>13118845</v>
      </c>
      <c r="W26" s="31" t="str">
        <f>"－"</f>
        <v>－</v>
      </c>
      <c r="X26" s="33">
        <f>19</f>
        <v>19</v>
      </c>
    </row>
    <row r="27" spans="1:24">
      <c r="A27" s="27" t="s">
        <v>42</v>
      </c>
      <c r="B27" s="27" t="s">
        <v>116</v>
      </c>
      <c r="C27" s="27" t="s">
        <v>117</v>
      </c>
      <c r="D27" s="27" t="s">
        <v>118</v>
      </c>
      <c r="E27" s="28" t="s">
        <v>46</v>
      </c>
      <c r="F27" s="29" t="s">
        <v>46</v>
      </c>
      <c r="G27" s="30" t="s">
        <v>46</v>
      </c>
      <c r="H27" s="25"/>
      <c r="I27" s="25" t="s">
        <v>47</v>
      </c>
      <c r="J27" s="31">
        <v>10</v>
      </c>
      <c r="K27" s="35">
        <f>166.7</f>
        <v>166.7</v>
      </c>
      <c r="L27" s="32" t="s">
        <v>48</v>
      </c>
      <c r="M27" s="35">
        <f>166.7</f>
        <v>166.7</v>
      </c>
      <c r="N27" s="32" t="s">
        <v>48</v>
      </c>
      <c r="O27" s="35">
        <f>146.2</f>
        <v>146.19999999999999</v>
      </c>
      <c r="P27" s="32" t="s">
        <v>49</v>
      </c>
      <c r="Q27" s="35">
        <f>154.6</f>
        <v>154.6</v>
      </c>
      <c r="R27" s="32" t="s">
        <v>50</v>
      </c>
      <c r="S27" s="34">
        <f>154.66</f>
        <v>154.66</v>
      </c>
      <c r="T27" s="31">
        <f>54455350</f>
        <v>54455350</v>
      </c>
      <c r="U27" s="31">
        <f>402970</f>
        <v>402970</v>
      </c>
      <c r="V27" s="31">
        <f>8436420550</f>
        <v>8436420550</v>
      </c>
      <c r="W27" s="31">
        <f>61955073</f>
        <v>61955073</v>
      </c>
      <c r="X27" s="33">
        <f>19</f>
        <v>19</v>
      </c>
    </row>
    <row r="28" spans="1:24">
      <c r="A28" s="27" t="s">
        <v>42</v>
      </c>
      <c r="B28" s="27" t="s">
        <v>119</v>
      </c>
      <c r="C28" s="27" t="s">
        <v>120</v>
      </c>
      <c r="D28" s="27" t="s">
        <v>121</v>
      </c>
      <c r="E28" s="28" t="s">
        <v>46</v>
      </c>
      <c r="F28" s="29" t="s">
        <v>46</v>
      </c>
      <c r="G28" s="30" t="s">
        <v>46</v>
      </c>
      <c r="H28" s="25"/>
      <c r="I28" s="25" t="s">
        <v>47</v>
      </c>
      <c r="J28" s="31">
        <v>1</v>
      </c>
      <c r="K28" s="35">
        <f>5584</f>
        <v>5584</v>
      </c>
      <c r="L28" s="32" t="s">
        <v>48</v>
      </c>
      <c r="M28" s="35">
        <f>5655</f>
        <v>5655</v>
      </c>
      <c r="N28" s="32" t="s">
        <v>75</v>
      </c>
      <c r="O28" s="35">
        <f>4942</f>
        <v>4942</v>
      </c>
      <c r="P28" s="32" t="s">
        <v>74</v>
      </c>
      <c r="Q28" s="35">
        <f>5150</f>
        <v>5150</v>
      </c>
      <c r="R28" s="32" t="s">
        <v>50</v>
      </c>
      <c r="S28" s="34">
        <f>5216.95</f>
        <v>5216.95</v>
      </c>
      <c r="T28" s="31">
        <f>79381130</f>
        <v>79381130</v>
      </c>
      <c r="U28" s="31">
        <f>1741577</f>
        <v>1741577</v>
      </c>
      <c r="V28" s="31">
        <f>415659233439</f>
        <v>415659233439</v>
      </c>
      <c r="W28" s="31">
        <f>9086513363</f>
        <v>9086513363</v>
      </c>
      <c r="X28" s="33">
        <f>19</f>
        <v>19</v>
      </c>
    </row>
    <row r="29" spans="1:24">
      <c r="A29" s="27" t="s">
        <v>42</v>
      </c>
      <c r="B29" s="27" t="s">
        <v>122</v>
      </c>
      <c r="C29" s="27" t="s">
        <v>123</v>
      </c>
      <c r="D29" s="27" t="s">
        <v>124</v>
      </c>
      <c r="E29" s="28" t="s">
        <v>46</v>
      </c>
      <c r="F29" s="29" t="s">
        <v>46</v>
      </c>
      <c r="G29" s="30" t="s">
        <v>46</v>
      </c>
      <c r="H29" s="25"/>
      <c r="I29" s="25" t="s">
        <v>47</v>
      </c>
      <c r="J29" s="31">
        <v>1</v>
      </c>
      <c r="K29" s="35">
        <f>85430</f>
        <v>85430</v>
      </c>
      <c r="L29" s="32" t="s">
        <v>48</v>
      </c>
      <c r="M29" s="35">
        <f>95450</f>
        <v>95450</v>
      </c>
      <c r="N29" s="32" t="s">
        <v>74</v>
      </c>
      <c r="O29" s="35">
        <f>83920</f>
        <v>83920</v>
      </c>
      <c r="P29" s="32" t="s">
        <v>75</v>
      </c>
      <c r="Q29" s="35">
        <f>91200</f>
        <v>91200</v>
      </c>
      <c r="R29" s="32" t="s">
        <v>50</v>
      </c>
      <c r="S29" s="34">
        <f>90537.89</f>
        <v>90537.89</v>
      </c>
      <c r="T29" s="31">
        <f>231529</f>
        <v>231529</v>
      </c>
      <c r="U29" s="31">
        <f>2066</f>
        <v>2066</v>
      </c>
      <c r="V29" s="31">
        <f>20979212204</f>
        <v>20979212204</v>
      </c>
      <c r="W29" s="31">
        <f>187598174</f>
        <v>187598174</v>
      </c>
      <c r="X29" s="33">
        <f>19</f>
        <v>19</v>
      </c>
    </row>
    <row r="30" spans="1:24">
      <c r="A30" s="27" t="s">
        <v>42</v>
      </c>
      <c r="B30" s="27" t="s">
        <v>125</v>
      </c>
      <c r="C30" s="27" t="s">
        <v>126</v>
      </c>
      <c r="D30" s="27" t="s">
        <v>127</v>
      </c>
      <c r="E30" s="28" t="s">
        <v>46</v>
      </c>
      <c r="F30" s="29" t="s">
        <v>46</v>
      </c>
      <c r="G30" s="30" t="s">
        <v>46</v>
      </c>
      <c r="H30" s="25"/>
      <c r="I30" s="25" t="s">
        <v>47</v>
      </c>
      <c r="J30" s="31">
        <v>10</v>
      </c>
      <c r="K30" s="35">
        <f>138.6</f>
        <v>138.6</v>
      </c>
      <c r="L30" s="32" t="s">
        <v>48</v>
      </c>
      <c r="M30" s="35">
        <f>139</f>
        <v>139</v>
      </c>
      <c r="N30" s="32" t="s">
        <v>75</v>
      </c>
      <c r="O30" s="35">
        <f>121.4</f>
        <v>121.4</v>
      </c>
      <c r="P30" s="32" t="s">
        <v>74</v>
      </c>
      <c r="Q30" s="35">
        <f>126.5</f>
        <v>126.5</v>
      </c>
      <c r="R30" s="32" t="s">
        <v>50</v>
      </c>
      <c r="S30" s="34">
        <f>128.14</f>
        <v>128.13999999999999</v>
      </c>
      <c r="T30" s="31">
        <f>1820538280</f>
        <v>1820538280</v>
      </c>
      <c r="U30" s="31">
        <f>14812600</f>
        <v>14812600</v>
      </c>
      <c r="V30" s="31">
        <f>233292681636</f>
        <v>233292681636</v>
      </c>
      <c r="W30" s="31">
        <f>1895869922</f>
        <v>1895869922</v>
      </c>
      <c r="X30" s="33">
        <f>19</f>
        <v>19</v>
      </c>
    </row>
    <row r="31" spans="1:24">
      <c r="A31" s="27" t="s">
        <v>42</v>
      </c>
      <c r="B31" s="27" t="s">
        <v>128</v>
      </c>
      <c r="C31" s="27" t="s">
        <v>129</v>
      </c>
      <c r="D31" s="27" t="s">
        <v>130</v>
      </c>
      <c r="E31" s="28" t="s">
        <v>46</v>
      </c>
      <c r="F31" s="29" t="s">
        <v>46</v>
      </c>
      <c r="G31" s="30" t="s">
        <v>46</v>
      </c>
      <c r="H31" s="25"/>
      <c r="I31" s="25" t="s">
        <v>47</v>
      </c>
      <c r="J31" s="31">
        <v>1</v>
      </c>
      <c r="K31" s="35">
        <f>3214</f>
        <v>3214</v>
      </c>
      <c r="L31" s="32" t="s">
        <v>48</v>
      </c>
      <c r="M31" s="35">
        <f>3465</f>
        <v>3465</v>
      </c>
      <c r="N31" s="32" t="s">
        <v>49</v>
      </c>
      <c r="O31" s="35">
        <f>3212</f>
        <v>3212</v>
      </c>
      <c r="P31" s="32" t="s">
        <v>48</v>
      </c>
      <c r="Q31" s="35">
        <f>3317</f>
        <v>3317</v>
      </c>
      <c r="R31" s="32" t="s">
        <v>50</v>
      </c>
      <c r="S31" s="34">
        <f>3326.11</f>
        <v>3326.11</v>
      </c>
      <c r="T31" s="31">
        <f>2043081</f>
        <v>2043081</v>
      </c>
      <c r="U31" s="31">
        <f>1840723</f>
        <v>1840723</v>
      </c>
      <c r="V31" s="31">
        <f>6869415400</f>
        <v>6869415400</v>
      </c>
      <c r="W31" s="31">
        <f>6193473409</f>
        <v>6193473409</v>
      </c>
      <c r="X31" s="33">
        <f>19</f>
        <v>19</v>
      </c>
    </row>
    <row r="32" spans="1:24">
      <c r="A32" s="27" t="s">
        <v>42</v>
      </c>
      <c r="B32" s="27" t="s">
        <v>131</v>
      </c>
      <c r="C32" s="27" t="s">
        <v>132</v>
      </c>
      <c r="D32" s="27" t="s">
        <v>133</v>
      </c>
      <c r="E32" s="28" t="s">
        <v>46</v>
      </c>
      <c r="F32" s="29" t="s">
        <v>46</v>
      </c>
      <c r="G32" s="30" t="s">
        <v>46</v>
      </c>
      <c r="H32" s="25"/>
      <c r="I32" s="25" t="s">
        <v>47</v>
      </c>
      <c r="J32" s="31">
        <v>1</v>
      </c>
      <c r="K32" s="35">
        <f>69070</f>
        <v>69070</v>
      </c>
      <c r="L32" s="32" t="s">
        <v>48</v>
      </c>
      <c r="M32" s="35">
        <f>77200</f>
        <v>77200</v>
      </c>
      <c r="N32" s="32" t="s">
        <v>74</v>
      </c>
      <c r="O32" s="35">
        <f>67870</f>
        <v>67870</v>
      </c>
      <c r="P32" s="32" t="s">
        <v>75</v>
      </c>
      <c r="Q32" s="35">
        <f>73600</f>
        <v>73600</v>
      </c>
      <c r="R32" s="32" t="s">
        <v>50</v>
      </c>
      <c r="S32" s="34">
        <f>73217.37</f>
        <v>73217.37</v>
      </c>
      <c r="T32" s="31">
        <f>558476</f>
        <v>558476</v>
      </c>
      <c r="U32" s="31">
        <f>15225</f>
        <v>15225</v>
      </c>
      <c r="V32" s="31">
        <f>40789632981</f>
        <v>40789632981</v>
      </c>
      <c r="W32" s="31">
        <f>1111447861</f>
        <v>1111447861</v>
      </c>
      <c r="X32" s="33">
        <f>19</f>
        <v>19</v>
      </c>
    </row>
    <row r="33" spans="1:24">
      <c r="A33" s="27" t="s">
        <v>42</v>
      </c>
      <c r="B33" s="27" t="s">
        <v>134</v>
      </c>
      <c r="C33" s="27" t="s">
        <v>135</v>
      </c>
      <c r="D33" s="27" t="s">
        <v>136</v>
      </c>
      <c r="E33" s="28" t="s">
        <v>46</v>
      </c>
      <c r="F33" s="29" t="s">
        <v>46</v>
      </c>
      <c r="G33" s="30" t="s">
        <v>46</v>
      </c>
      <c r="H33" s="25"/>
      <c r="I33" s="25" t="s">
        <v>47</v>
      </c>
      <c r="J33" s="31">
        <v>1</v>
      </c>
      <c r="K33" s="35">
        <f>142</f>
        <v>142</v>
      </c>
      <c r="L33" s="32" t="s">
        <v>48</v>
      </c>
      <c r="M33" s="35">
        <f>142</f>
        <v>142</v>
      </c>
      <c r="N33" s="32" t="s">
        <v>48</v>
      </c>
      <c r="O33" s="35">
        <f>124</f>
        <v>124</v>
      </c>
      <c r="P33" s="32" t="s">
        <v>74</v>
      </c>
      <c r="Q33" s="35">
        <f>129</f>
        <v>129</v>
      </c>
      <c r="R33" s="32" t="s">
        <v>50</v>
      </c>
      <c r="S33" s="34">
        <f>130.95</f>
        <v>130.94999999999999</v>
      </c>
      <c r="T33" s="31">
        <f>39564431</f>
        <v>39564431</v>
      </c>
      <c r="U33" s="31">
        <f>794487</f>
        <v>794487</v>
      </c>
      <c r="V33" s="31">
        <f>5190337105</f>
        <v>5190337105</v>
      </c>
      <c r="W33" s="31">
        <f>105280606</f>
        <v>105280606</v>
      </c>
      <c r="X33" s="33">
        <f>19</f>
        <v>19</v>
      </c>
    </row>
    <row r="34" spans="1:24">
      <c r="A34" s="27" t="s">
        <v>42</v>
      </c>
      <c r="B34" s="27" t="s">
        <v>137</v>
      </c>
      <c r="C34" s="27" t="s">
        <v>138</v>
      </c>
      <c r="D34" s="27" t="s">
        <v>139</v>
      </c>
      <c r="E34" s="28" t="s">
        <v>46</v>
      </c>
      <c r="F34" s="29" t="s">
        <v>46</v>
      </c>
      <c r="G34" s="30" t="s">
        <v>46</v>
      </c>
      <c r="H34" s="25"/>
      <c r="I34" s="25" t="s">
        <v>47</v>
      </c>
      <c r="J34" s="31">
        <v>1</v>
      </c>
      <c r="K34" s="35">
        <f>56990</f>
        <v>56990</v>
      </c>
      <c r="L34" s="32" t="s">
        <v>48</v>
      </c>
      <c r="M34" s="35">
        <f>63880</f>
        <v>63880</v>
      </c>
      <c r="N34" s="32" t="s">
        <v>49</v>
      </c>
      <c r="O34" s="35">
        <f>56600</f>
        <v>56600</v>
      </c>
      <c r="P34" s="32" t="s">
        <v>48</v>
      </c>
      <c r="Q34" s="35">
        <f>60250</f>
        <v>60250</v>
      </c>
      <c r="R34" s="32" t="s">
        <v>50</v>
      </c>
      <c r="S34" s="34">
        <f>60541.58</f>
        <v>60541.58</v>
      </c>
      <c r="T34" s="31">
        <f>229957</f>
        <v>229957</v>
      </c>
      <c r="U34" s="31">
        <f>9924</f>
        <v>9924</v>
      </c>
      <c r="V34" s="31">
        <f>13906419323</f>
        <v>13906419323</v>
      </c>
      <c r="W34" s="31">
        <f>601958793</f>
        <v>601958793</v>
      </c>
      <c r="X34" s="33">
        <f>19</f>
        <v>19</v>
      </c>
    </row>
    <row r="35" spans="1:24">
      <c r="A35" s="27" t="s">
        <v>42</v>
      </c>
      <c r="B35" s="27" t="s">
        <v>140</v>
      </c>
      <c r="C35" s="27" t="s">
        <v>141</v>
      </c>
      <c r="D35" s="27" t="s">
        <v>142</v>
      </c>
      <c r="E35" s="28" t="s">
        <v>46</v>
      </c>
      <c r="F35" s="29" t="s">
        <v>46</v>
      </c>
      <c r="G35" s="30" t="s">
        <v>46</v>
      </c>
      <c r="H35" s="25"/>
      <c r="I35" s="25" t="s">
        <v>47</v>
      </c>
      <c r="J35" s="31">
        <v>1</v>
      </c>
      <c r="K35" s="35">
        <f>244</f>
        <v>244</v>
      </c>
      <c r="L35" s="32" t="s">
        <v>48</v>
      </c>
      <c r="M35" s="35">
        <f>244</f>
        <v>244</v>
      </c>
      <c r="N35" s="32" t="s">
        <v>48</v>
      </c>
      <c r="O35" s="35">
        <f>212</f>
        <v>212</v>
      </c>
      <c r="P35" s="32" t="s">
        <v>49</v>
      </c>
      <c r="Q35" s="35">
        <f>225</f>
        <v>225</v>
      </c>
      <c r="R35" s="32" t="s">
        <v>50</v>
      </c>
      <c r="S35" s="34">
        <f>224.58</f>
        <v>224.58</v>
      </c>
      <c r="T35" s="31">
        <f>4579270</f>
        <v>4579270</v>
      </c>
      <c r="U35" s="31">
        <f>331331</f>
        <v>331331</v>
      </c>
      <c r="V35" s="31">
        <f>1039396302</f>
        <v>1039396302</v>
      </c>
      <c r="W35" s="31">
        <f>76039758</f>
        <v>76039758</v>
      </c>
      <c r="X35" s="33">
        <f>19</f>
        <v>19</v>
      </c>
    </row>
    <row r="36" spans="1:24">
      <c r="A36" s="27" t="s">
        <v>42</v>
      </c>
      <c r="B36" s="27" t="s">
        <v>143</v>
      </c>
      <c r="C36" s="27" t="s">
        <v>144</v>
      </c>
      <c r="D36" s="27" t="s">
        <v>145</v>
      </c>
      <c r="E36" s="28" t="s">
        <v>46</v>
      </c>
      <c r="F36" s="29" t="s">
        <v>46</v>
      </c>
      <c r="G36" s="30" t="s">
        <v>46</v>
      </c>
      <c r="H36" s="25"/>
      <c r="I36" s="25" t="s">
        <v>47</v>
      </c>
      <c r="J36" s="31">
        <v>1</v>
      </c>
      <c r="K36" s="35">
        <f>51750</f>
        <v>51750</v>
      </c>
      <c r="L36" s="32" t="s">
        <v>48</v>
      </c>
      <c r="M36" s="35">
        <f>54660</f>
        <v>54660</v>
      </c>
      <c r="N36" s="32" t="s">
        <v>74</v>
      </c>
      <c r="O36" s="35">
        <f>51240</f>
        <v>51240</v>
      </c>
      <c r="P36" s="32" t="s">
        <v>75</v>
      </c>
      <c r="Q36" s="35">
        <f>53420</f>
        <v>53420</v>
      </c>
      <c r="R36" s="32" t="s">
        <v>50</v>
      </c>
      <c r="S36" s="34">
        <f>53293.16</f>
        <v>53293.16</v>
      </c>
      <c r="T36" s="31">
        <f>348950</f>
        <v>348950</v>
      </c>
      <c r="U36" s="31">
        <f>195833</f>
        <v>195833</v>
      </c>
      <c r="V36" s="31">
        <f>18605245697</f>
        <v>18605245697</v>
      </c>
      <c r="W36" s="31">
        <f>10443910407</f>
        <v>10443910407</v>
      </c>
      <c r="X36" s="33">
        <f>19</f>
        <v>19</v>
      </c>
    </row>
    <row r="37" spans="1:24">
      <c r="A37" s="27" t="s">
        <v>42</v>
      </c>
      <c r="B37" s="27" t="s">
        <v>146</v>
      </c>
      <c r="C37" s="27" t="s">
        <v>147</v>
      </c>
      <c r="D37" s="27" t="s">
        <v>148</v>
      </c>
      <c r="E37" s="28" t="s">
        <v>46</v>
      </c>
      <c r="F37" s="29" t="s">
        <v>46</v>
      </c>
      <c r="G37" s="30" t="s">
        <v>46</v>
      </c>
      <c r="H37" s="25"/>
      <c r="I37" s="25" t="s">
        <v>47</v>
      </c>
      <c r="J37" s="31">
        <v>1</v>
      </c>
      <c r="K37" s="35">
        <f>51730</f>
        <v>51730</v>
      </c>
      <c r="L37" s="32" t="s">
        <v>48</v>
      </c>
      <c r="M37" s="35">
        <f>55060</f>
        <v>55060</v>
      </c>
      <c r="N37" s="32" t="s">
        <v>74</v>
      </c>
      <c r="O37" s="35">
        <f>51730</f>
        <v>51730</v>
      </c>
      <c r="P37" s="32" t="s">
        <v>48</v>
      </c>
      <c r="Q37" s="35">
        <f>53950</f>
        <v>53950</v>
      </c>
      <c r="R37" s="32" t="s">
        <v>50</v>
      </c>
      <c r="S37" s="34">
        <f>53663.68</f>
        <v>53663.68</v>
      </c>
      <c r="T37" s="31">
        <f>174451</f>
        <v>174451</v>
      </c>
      <c r="U37" s="31">
        <f>141578</f>
        <v>141578</v>
      </c>
      <c r="V37" s="31">
        <f>9480759913</f>
        <v>9480759913</v>
      </c>
      <c r="W37" s="31">
        <f>7706602303</f>
        <v>7706602303</v>
      </c>
      <c r="X37" s="33">
        <f>19</f>
        <v>19</v>
      </c>
    </row>
    <row r="38" spans="1:24">
      <c r="A38" s="27" t="s">
        <v>42</v>
      </c>
      <c r="B38" s="27" t="s">
        <v>149</v>
      </c>
      <c r="C38" s="27" t="s">
        <v>150</v>
      </c>
      <c r="D38" s="27" t="s">
        <v>151</v>
      </c>
      <c r="E38" s="28" t="s">
        <v>46</v>
      </c>
      <c r="F38" s="29" t="s">
        <v>46</v>
      </c>
      <c r="G38" s="30" t="s">
        <v>46</v>
      </c>
      <c r="H38" s="25"/>
      <c r="I38" s="25" t="s">
        <v>47</v>
      </c>
      <c r="J38" s="31">
        <v>10</v>
      </c>
      <c r="K38" s="35">
        <f>2087</f>
        <v>2087</v>
      </c>
      <c r="L38" s="32" t="s">
        <v>48</v>
      </c>
      <c r="M38" s="35">
        <f>2130</f>
        <v>2130</v>
      </c>
      <c r="N38" s="32" t="s">
        <v>103</v>
      </c>
      <c r="O38" s="35">
        <f>2017</f>
        <v>2017</v>
      </c>
      <c r="P38" s="32" t="s">
        <v>70</v>
      </c>
      <c r="Q38" s="35">
        <f>2040</f>
        <v>2040</v>
      </c>
      <c r="R38" s="32" t="s">
        <v>50</v>
      </c>
      <c r="S38" s="34">
        <f>2077.71</f>
        <v>2077.71</v>
      </c>
      <c r="T38" s="31">
        <f>31072170</f>
        <v>31072170</v>
      </c>
      <c r="U38" s="31">
        <f>3251980</f>
        <v>3251980</v>
      </c>
      <c r="V38" s="31">
        <f>64375510127</f>
        <v>64375510127</v>
      </c>
      <c r="W38" s="31">
        <f>6714363242</f>
        <v>6714363242</v>
      </c>
      <c r="X38" s="33">
        <f>19</f>
        <v>19</v>
      </c>
    </row>
    <row r="39" spans="1:24">
      <c r="A39" s="27" t="s">
        <v>42</v>
      </c>
      <c r="B39" s="27" t="s">
        <v>152</v>
      </c>
      <c r="C39" s="27" t="s">
        <v>153</v>
      </c>
      <c r="D39" s="27" t="s">
        <v>154</v>
      </c>
      <c r="E39" s="28" t="s">
        <v>46</v>
      </c>
      <c r="F39" s="29" t="s">
        <v>46</v>
      </c>
      <c r="G39" s="30" t="s">
        <v>46</v>
      </c>
      <c r="H39" s="25"/>
      <c r="I39" s="25" t="s">
        <v>47</v>
      </c>
      <c r="J39" s="31">
        <v>1</v>
      </c>
      <c r="K39" s="35">
        <f>2740</f>
        <v>2740</v>
      </c>
      <c r="L39" s="32" t="s">
        <v>48</v>
      </c>
      <c r="M39" s="35">
        <f>2902</f>
        <v>2902</v>
      </c>
      <c r="N39" s="32" t="s">
        <v>155</v>
      </c>
      <c r="O39" s="35">
        <f>2740</f>
        <v>2740</v>
      </c>
      <c r="P39" s="32" t="s">
        <v>48</v>
      </c>
      <c r="Q39" s="35">
        <f>2812</f>
        <v>2812</v>
      </c>
      <c r="R39" s="32" t="s">
        <v>50</v>
      </c>
      <c r="S39" s="34">
        <f>2814.68</f>
        <v>2814.68</v>
      </c>
      <c r="T39" s="31">
        <f>184943</f>
        <v>184943</v>
      </c>
      <c r="U39" s="31">
        <f>142158</f>
        <v>142158</v>
      </c>
      <c r="V39" s="31">
        <f>522991387</f>
        <v>522991387</v>
      </c>
      <c r="W39" s="31">
        <f>402874340</f>
        <v>402874340</v>
      </c>
      <c r="X39" s="33">
        <f>19</f>
        <v>19</v>
      </c>
    </row>
    <row r="40" spans="1:24">
      <c r="A40" s="27" t="s">
        <v>42</v>
      </c>
      <c r="B40" s="27" t="s">
        <v>156</v>
      </c>
      <c r="C40" s="27" t="s">
        <v>157</v>
      </c>
      <c r="D40" s="27" t="s">
        <v>158</v>
      </c>
      <c r="E40" s="28" t="s">
        <v>46</v>
      </c>
      <c r="F40" s="29" t="s">
        <v>46</v>
      </c>
      <c r="G40" s="30" t="s">
        <v>46</v>
      </c>
      <c r="H40" s="25"/>
      <c r="I40" s="25" t="s">
        <v>47</v>
      </c>
      <c r="J40" s="31">
        <v>1</v>
      </c>
      <c r="K40" s="35">
        <f>1908</f>
        <v>1908</v>
      </c>
      <c r="L40" s="32" t="s">
        <v>48</v>
      </c>
      <c r="M40" s="35">
        <f>1993</f>
        <v>1993</v>
      </c>
      <c r="N40" s="32" t="s">
        <v>65</v>
      </c>
      <c r="O40" s="35">
        <f>1908</f>
        <v>1908</v>
      </c>
      <c r="P40" s="32" t="s">
        <v>48</v>
      </c>
      <c r="Q40" s="35">
        <f>1966</f>
        <v>1966</v>
      </c>
      <c r="R40" s="32" t="s">
        <v>70</v>
      </c>
      <c r="S40" s="34">
        <f>1960.29</f>
        <v>1960.29</v>
      </c>
      <c r="T40" s="31">
        <f>572065</f>
        <v>572065</v>
      </c>
      <c r="U40" s="31" t="str">
        <f>"－"</f>
        <v>－</v>
      </c>
      <c r="V40" s="31">
        <f>1120624256</f>
        <v>1120624256</v>
      </c>
      <c r="W40" s="31" t="str">
        <f>"－"</f>
        <v>－</v>
      </c>
      <c r="X40" s="33">
        <f>17</f>
        <v>17</v>
      </c>
    </row>
    <row r="41" spans="1:24">
      <c r="A41" s="27" t="s">
        <v>42</v>
      </c>
      <c r="B41" s="27" t="s">
        <v>159</v>
      </c>
      <c r="C41" s="27" t="s">
        <v>160</v>
      </c>
      <c r="D41" s="27" t="s">
        <v>161</v>
      </c>
      <c r="E41" s="28" t="s">
        <v>46</v>
      </c>
      <c r="F41" s="29" t="s">
        <v>46</v>
      </c>
      <c r="G41" s="30" t="s">
        <v>46</v>
      </c>
      <c r="H41" s="25"/>
      <c r="I41" s="25" t="s">
        <v>47</v>
      </c>
      <c r="J41" s="31">
        <v>1</v>
      </c>
      <c r="K41" s="35">
        <f>1741</f>
        <v>1741</v>
      </c>
      <c r="L41" s="32" t="s">
        <v>48</v>
      </c>
      <c r="M41" s="35">
        <f>1745</f>
        <v>1745</v>
      </c>
      <c r="N41" s="32" t="s">
        <v>75</v>
      </c>
      <c r="O41" s="35">
        <f>1632</f>
        <v>1632</v>
      </c>
      <c r="P41" s="32" t="s">
        <v>74</v>
      </c>
      <c r="Q41" s="35">
        <f>1668</f>
        <v>1668</v>
      </c>
      <c r="R41" s="32" t="s">
        <v>50</v>
      </c>
      <c r="S41" s="34">
        <f>1677.68</f>
        <v>1677.68</v>
      </c>
      <c r="T41" s="31">
        <f>2589181</f>
        <v>2589181</v>
      </c>
      <c r="U41" s="31">
        <f>1510750</f>
        <v>1510750</v>
      </c>
      <c r="V41" s="31">
        <f>4379231544</f>
        <v>4379231544</v>
      </c>
      <c r="W41" s="31">
        <f>2559183700</f>
        <v>2559183700</v>
      </c>
      <c r="X41" s="33">
        <f>19</f>
        <v>19</v>
      </c>
    </row>
    <row r="42" spans="1:24">
      <c r="A42" s="27" t="s">
        <v>42</v>
      </c>
      <c r="B42" s="27" t="s">
        <v>162</v>
      </c>
      <c r="C42" s="27" t="s">
        <v>163</v>
      </c>
      <c r="D42" s="27" t="s">
        <v>164</v>
      </c>
      <c r="E42" s="28" t="s">
        <v>46</v>
      </c>
      <c r="F42" s="29" t="s">
        <v>46</v>
      </c>
      <c r="G42" s="30" t="s">
        <v>46</v>
      </c>
      <c r="H42" s="25"/>
      <c r="I42" s="25" t="s">
        <v>47</v>
      </c>
      <c r="J42" s="31">
        <v>1</v>
      </c>
      <c r="K42" s="35">
        <f>2181</f>
        <v>2181</v>
      </c>
      <c r="L42" s="32" t="s">
        <v>48</v>
      </c>
      <c r="M42" s="35">
        <f>2181</f>
        <v>2181</v>
      </c>
      <c r="N42" s="32" t="s">
        <v>48</v>
      </c>
      <c r="O42" s="35">
        <f>2042</f>
        <v>2042</v>
      </c>
      <c r="P42" s="32" t="s">
        <v>49</v>
      </c>
      <c r="Q42" s="35">
        <f>2101</f>
        <v>2101</v>
      </c>
      <c r="R42" s="32" t="s">
        <v>50</v>
      </c>
      <c r="S42" s="34">
        <f>2098.16</f>
        <v>2098.16</v>
      </c>
      <c r="T42" s="31">
        <f>465611</f>
        <v>465611</v>
      </c>
      <c r="U42" s="31">
        <f>332350</f>
        <v>332350</v>
      </c>
      <c r="V42" s="31">
        <f>976453367</f>
        <v>976453367</v>
      </c>
      <c r="W42" s="31">
        <f>696930180</f>
        <v>696930180</v>
      </c>
      <c r="X42" s="33">
        <f>19</f>
        <v>19</v>
      </c>
    </row>
    <row r="43" spans="1:24">
      <c r="A43" s="27" t="s">
        <v>42</v>
      </c>
      <c r="B43" s="27" t="s">
        <v>165</v>
      </c>
      <c r="C43" s="27" t="s">
        <v>166</v>
      </c>
      <c r="D43" s="27" t="s">
        <v>167</v>
      </c>
      <c r="E43" s="28" t="s">
        <v>46</v>
      </c>
      <c r="F43" s="29" t="s">
        <v>46</v>
      </c>
      <c r="G43" s="30" t="s">
        <v>46</v>
      </c>
      <c r="H43" s="25"/>
      <c r="I43" s="25" t="s">
        <v>47</v>
      </c>
      <c r="J43" s="31">
        <v>1</v>
      </c>
      <c r="K43" s="35">
        <f>53450</f>
        <v>53450</v>
      </c>
      <c r="L43" s="32" t="s">
        <v>48</v>
      </c>
      <c r="M43" s="35">
        <f>59750</f>
        <v>59750</v>
      </c>
      <c r="N43" s="32" t="s">
        <v>74</v>
      </c>
      <c r="O43" s="35">
        <f>52510</f>
        <v>52510</v>
      </c>
      <c r="P43" s="32" t="s">
        <v>75</v>
      </c>
      <c r="Q43" s="35">
        <f>57030</f>
        <v>57030</v>
      </c>
      <c r="R43" s="32" t="s">
        <v>50</v>
      </c>
      <c r="S43" s="34">
        <f>56678.95</f>
        <v>56678.95</v>
      </c>
      <c r="T43" s="31">
        <f>4186030</f>
        <v>4186030</v>
      </c>
      <c r="U43" s="31">
        <f>5843</f>
        <v>5843</v>
      </c>
      <c r="V43" s="31">
        <f>237016052876</f>
        <v>237016052876</v>
      </c>
      <c r="W43" s="31">
        <f>328285816</f>
        <v>328285816</v>
      </c>
      <c r="X43" s="33">
        <f>19</f>
        <v>19</v>
      </c>
    </row>
    <row r="44" spans="1:24">
      <c r="A44" s="27" t="s">
        <v>42</v>
      </c>
      <c r="B44" s="27" t="s">
        <v>168</v>
      </c>
      <c r="C44" s="27" t="s">
        <v>169</v>
      </c>
      <c r="D44" s="27" t="s">
        <v>170</v>
      </c>
      <c r="E44" s="28" t="s">
        <v>46</v>
      </c>
      <c r="F44" s="29" t="s">
        <v>46</v>
      </c>
      <c r="G44" s="30" t="s">
        <v>46</v>
      </c>
      <c r="H44" s="25"/>
      <c r="I44" s="25" t="s">
        <v>47</v>
      </c>
      <c r="J44" s="31">
        <v>1</v>
      </c>
      <c r="K44" s="35">
        <f>228</f>
        <v>228</v>
      </c>
      <c r="L44" s="32" t="s">
        <v>48</v>
      </c>
      <c r="M44" s="35">
        <f>229</f>
        <v>229</v>
      </c>
      <c r="N44" s="32" t="s">
        <v>75</v>
      </c>
      <c r="O44" s="35">
        <f>199</f>
        <v>199</v>
      </c>
      <c r="P44" s="32" t="s">
        <v>74</v>
      </c>
      <c r="Q44" s="35">
        <f>208</f>
        <v>208</v>
      </c>
      <c r="R44" s="32" t="s">
        <v>50</v>
      </c>
      <c r="S44" s="34">
        <f>210.32</f>
        <v>210.32</v>
      </c>
      <c r="T44" s="31">
        <f>174021866</f>
        <v>174021866</v>
      </c>
      <c r="U44" s="31">
        <f>2821404</f>
        <v>2821404</v>
      </c>
      <c r="V44" s="31">
        <f>36688462287</f>
        <v>36688462287</v>
      </c>
      <c r="W44" s="31">
        <f>599038124</f>
        <v>599038124</v>
      </c>
      <c r="X44" s="33">
        <f>19</f>
        <v>19</v>
      </c>
    </row>
    <row r="45" spans="1:24">
      <c r="A45" s="27" t="s">
        <v>42</v>
      </c>
      <c r="B45" s="27" t="s">
        <v>171</v>
      </c>
      <c r="C45" s="27" t="s">
        <v>172</v>
      </c>
      <c r="D45" s="27" t="s">
        <v>173</v>
      </c>
      <c r="E45" s="28" t="s">
        <v>46</v>
      </c>
      <c r="F45" s="29" t="s">
        <v>46</v>
      </c>
      <c r="G45" s="30" t="s">
        <v>46</v>
      </c>
      <c r="H45" s="25"/>
      <c r="I45" s="25" t="s">
        <v>47</v>
      </c>
      <c r="J45" s="31">
        <v>1</v>
      </c>
      <c r="K45" s="35">
        <f>319</f>
        <v>319</v>
      </c>
      <c r="L45" s="32" t="s">
        <v>48</v>
      </c>
      <c r="M45" s="35">
        <f>319</f>
        <v>319</v>
      </c>
      <c r="N45" s="32" t="s">
        <v>48</v>
      </c>
      <c r="O45" s="35">
        <f>275</f>
        <v>275</v>
      </c>
      <c r="P45" s="32" t="s">
        <v>49</v>
      </c>
      <c r="Q45" s="35">
        <f>292</f>
        <v>292</v>
      </c>
      <c r="R45" s="32" t="s">
        <v>50</v>
      </c>
      <c r="S45" s="34">
        <f>291.16</f>
        <v>291.16000000000003</v>
      </c>
      <c r="T45" s="31">
        <f>138330</f>
        <v>138330</v>
      </c>
      <c r="U45" s="31" t="str">
        <f>"－"</f>
        <v>－</v>
      </c>
      <c r="V45" s="31">
        <f>40475159</f>
        <v>40475159</v>
      </c>
      <c r="W45" s="31" t="str">
        <f>"－"</f>
        <v>－</v>
      </c>
      <c r="X45" s="33">
        <f>19</f>
        <v>19</v>
      </c>
    </row>
    <row r="46" spans="1:24">
      <c r="A46" s="27" t="s">
        <v>42</v>
      </c>
      <c r="B46" s="27" t="s">
        <v>174</v>
      </c>
      <c r="C46" s="27" t="s">
        <v>175</v>
      </c>
      <c r="D46" s="27" t="s">
        <v>176</v>
      </c>
      <c r="E46" s="28" t="s">
        <v>46</v>
      </c>
      <c r="F46" s="29" t="s">
        <v>46</v>
      </c>
      <c r="G46" s="30" t="s">
        <v>46</v>
      </c>
      <c r="H46" s="25"/>
      <c r="I46" s="25" t="s">
        <v>47</v>
      </c>
      <c r="J46" s="31">
        <v>10</v>
      </c>
      <c r="K46" s="35">
        <f>301.7</f>
        <v>301.7</v>
      </c>
      <c r="L46" s="32" t="s">
        <v>48</v>
      </c>
      <c r="M46" s="35">
        <f>301.7</f>
        <v>301.7</v>
      </c>
      <c r="N46" s="32" t="s">
        <v>48</v>
      </c>
      <c r="O46" s="35">
        <f>262.1</f>
        <v>262.10000000000002</v>
      </c>
      <c r="P46" s="32" t="s">
        <v>49</v>
      </c>
      <c r="Q46" s="35">
        <f>278.8</f>
        <v>278.8</v>
      </c>
      <c r="R46" s="32" t="s">
        <v>50</v>
      </c>
      <c r="S46" s="34">
        <f>277.53</f>
        <v>277.52999999999997</v>
      </c>
      <c r="T46" s="31">
        <f>522720</f>
        <v>522720</v>
      </c>
      <c r="U46" s="31">
        <f>9040</f>
        <v>9040</v>
      </c>
      <c r="V46" s="31">
        <f>143893095</f>
        <v>143893095</v>
      </c>
      <c r="W46" s="31">
        <f>2449553</f>
        <v>2449553</v>
      </c>
      <c r="X46" s="33">
        <f>19</f>
        <v>19</v>
      </c>
    </row>
    <row r="47" spans="1:24">
      <c r="A47" s="27" t="s">
        <v>42</v>
      </c>
      <c r="B47" s="27" t="s">
        <v>177</v>
      </c>
      <c r="C47" s="27" t="s">
        <v>178</v>
      </c>
      <c r="D47" s="27" t="s">
        <v>179</v>
      </c>
      <c r="E47" s="28" t="s">
        <v>46</v>
      </c>
      <c r="F47" s="29" t="s">
        <v>46</v>
      </c>
      <c r="G47" s="30" t="s">
        <v>46</v>
      </c>
      <c r="H47" s="25"/>
      <c r="I47" s="25" t="s">
        <v>47</v>
      </c>
      <c r="J47" s="31">
        <v>1</v>
      </c>
      <c r="K47" s="35">
        <f>123</f>
        <v>123</v>
      </c>
      <c r="L47" s="32" t="s">
        <v>48</v>
      </c>
      <c r="M47" s="35">
        <f>134</f>
        <v>134</v>
      </c>
      <c r="N47" s="32" t="s">
        <v>74</v>
      </c>
      <c r="O47" s="35">
        <f>108</f>
        <v>108</v>
      </c>
      <c r="P47" s="32" t="s">
        <v>49</v>
      </c>
      <c r="Q47" s="35">
        <f>115</f>
        <v>115</v>
      </c>
      <c r="R47" s="32" t="s">
        <v>50</v>
      </c>
      <c r="S47" s="34">
        <f>114.05</f>
        <v>114.05</v>
      </c>
      <c r="T47" s="31">
        <f>585358</f>
        <v>585358</v>
      </c>
      <c r="U47" s="31" t="str">
        <f>"－"</f>
        <v>－</v>
      </c>
      <c r="V47" s="31">
        <f>67732427</f>
        <v>67732427</v>
      </c>
      <c r="W47" s="31" t="str">
        <f>"－"</f>
        <v>－</v>
      </c>
      <c r="X47" s="33">
        <f>19</f>
        <v>19</v>
      </c>
    </row>
    <row r="48" spans="1:24">
      <c r="A48" s="27" t="s">
        <v>42</v>
      </c>
      <c r="B48" s="27" t="s">
        <v>180</v>
      </c>
      <c r="C48" s="27" t="s">
        <v>181</v>
      </c>
      <c r="D48" s="27" t="s">
        <v>182</v>
      </c>
      <c r="E48" s="28" t="s">
        <v>46</v>
      </c>
      <c r="F48" s="29" t="s">
        <v>46</v>
      </c>
      <c r="G48" s="30" t="s">
        <v>46</v>
      </c>
      <c r="H48" s="25"/>
      <c r="I48" s="25" t="s">
        <v>47</v>
      </c>
      <c r="J48" s="31">
        <v>10</v>
      </c>
      <c r="K48" s="35">
        <f>3544</f>
        <v>3544</v>
      </c>
      <c r="L48" s="32" t="s">
        <v>48</v>
      </c>
      <c r="M48" s="35">
        <f>3737</f>
        <v>3737</v>
      </c>
      <c r="N48" s="32" t="s">
        <v>49</v>
      </c>
      <c r="O48" s="35">
        <f>3544</f>
        <v>3544</v>
      </c>
      <c r="P48" s="32" t="s">
        <v>48</v>
      </c>
      <c r="Q48" s="35">
        <f>3635</f>
        <v>3635</v>
      </c>
      <c r="R48" s="32" t="s">
        <v>50</v>
      </c>
      <c r="S48" s="34">
        <f>3642.84</f>
        <v>3642.84</v>
      </c>
      <c r="T48" s="31">
        <f>1562890</f>
        <v>1562890</v>
      </c>
      <c r="U48" s="31">
        <f>1003900</f>
        <v>1003900</v>
      </c>
      <c r="V48" s="31">
        <f>5656894054</f>
        <v>5656894054</v>
      </c>
      <c r="W48" s="31">
        <f>3634668334</f>
        <v>3634668334</v>
      </c>
      <c r="X48" s="33">
        <f>19</f>
        <v>19</v>
      </c>
    </row>
    <row r="49" spans="1:24">
      <c r="A49" s="27" t="s">
        <v>42</v>
      </c>
      <c r="B49" s="27" t="s">
        <v>183</v>
      </c>
      <c r="C49" s="27" t="s">
        <v>184</v>
      </c>
      <c r="D49" s="27" t="s">
        <v>185</v>
      </c>
      <c r="E49" s="28" t="s">
        <v>46</v>
      </c>
      <c r="F49" s="29" t="s">
        <v>46</v>
      </c>
      <c r="G49" s="30" t="s">
        <v>46</v>
      </c>
      <c r="H49" s="25"/>
      <c r="I49" s="25" t="s">
        <v>47</v>
      </c>
      <c r="J49" s="31">
        <v>1</v>
      </c>
      <c r="K49" s="35">
        <f>31700</f>
        <v>31700</v>
      </c>
      <c r="L49" s="32" t="s">
        <v>48</v>
      </c>
      <c r="M49" s="35">
        <f>33400</f>
        <v>33400</v>
      </c>
      <c r="N49" s="32" t="s">
        <v>49</v>
      </c>
      <c r="O49" s="35">
        <f>31700</f>
        <v>31700</v>
      </c>
      <c r="P49" s="32" t="s">
        <v>48</v>
      </c>
      <c r="Q49" s="35">
        <f>32510</f>
        <v>32510</v>
      </c>
      <c r="R49" s="32" t="s">
        <v>50</v>
      </c>
      <c r="S49" s="34">
        <f>32613.68</f>
        <v>32613.68</v>
      </c>
      <c r="T49" s="31">
        <f>215241</f>
        <v>215241</v>
      </c>
      <c r="U49" s="31">
        <f>205583</f>
        <v>205583</v>
      </c>
      <c r="V49" s="31">
        <f>7040266269</f>
        <v>7040266269</v>
      </c>
      <c r="W49" s="31">
        <f>6725707789</f>
        <v>6725707789</v>
      </c>
      <c r="X49" s="33">
        <f>19</f>
        <v>19</v>
      </c>
    </row>
    <row r="50" spans="1:24">
      <c r="A50" s="27" t="s">
        <v>42</v>
      </c>
      <c r="B50" s="27" t="s">
        <v>186</v>
      </c>
      <c r="C50" s="27" t="s">
        <v>187</v>
      </c>
      <c r="D50" s="27" t="s">
        <v>188</v>
      </c>
      <c r="E50" s="28" t="s">
        <v>46</v>
      </c>
      <c r="F50" s="29" t="s">
        <v>46</v>
      </c>
      <c r="G50" s="30" t="s">
        <v>46</v>
      </c>
      <c r="H50" s="25"/>
      <c r="I50" s="25" t="s">
        <v>47</v>
      </c>
      <c r="J50" s="31">
        <v>10</v>
      </c>
      <c r="K50" s="35">
        <f>357.1</f>
        <v>357.1</v>
      </c>
      <c r="L50" s="32" t="s">
        <v>48</v>
      </c>
      <c r="M50" s="35">
        <f>380.1</f>
        <v>380.1</v>
      </c>
      <c r="N50" s="32" t="s">
        <v>49</v>
      </c>
      <c r="O50" s="35">
        <f>357.1</f>
        <v>357.1</v>
      </c>
      <c r="P50" s="32" t="s">
        <v>48</v>
      </c>
      <c r="Q50" s="35">
        <f>368.5</f>
        <v>368.5</v>
      </c>
      <c r="R50" s="32" t="s">
        <v>50</v>
      </c>
      <c r="S50" s="34">
        <f>369.93</f>
        <v>369.93</v>
      </c>
      <c r="T50" s="31">
        <f>215013300</f>
        <v>215013300</v>
      </c>
      <c r="U50" s="31">
        <f>122739070</f>
        <v>122739070</v>
      </c>
      <c r="V50" s="31">
        <f>78883104640</f>
        <v>78883104640</v>
      </c>
      <c r="W50" s="31">
        <f>44846793735</f>
        <v>44846793735</v>
      </c>
      <c r="X50" s="33">
        <f>19</f>
        <v>19</v>
      </c>
    </row>
    <row r="51" spans="1:24">
      <c r="A51" s="27" t="s">
        <v>42</v>
      </c>
      <c r="B51" s="27" t="s">
        <v>189</v>
      </c>
      <c r="C51" s="27" t="s">
        <v>190</v>
      </c>
      <c r="D51" s="27" t="s">
        <v>191</v>
      </c>
      <c r="E51" s="28" t="s">
        <v>46</v>
      </c>
      <c r="F51" s="29" t="s">
        <v>46</v>
      </c>
      <c r="G51" s="30" t="s">
        <v>46</v>
      </c>
      <c r="H51" s="25"/>
      <c r="I51" s="25" t="s">
        <v>47</v>
      </c>
      <c r="J51" s="31">
        <v>1</v>
      </c>
      <c r="K51" s="35">
        <f>2106</f>
        <v>2106</v>
      </c>
      <c r="L51" s="32" t="s">
        <v>48</v>
      </c>
      <c r="M51" s="35">
        <f>2157</f>
        <v>2157</v>
      </c>
      <c r="N51" s="32" t="s">
        <v>103</v>
      </c>
      <c r="O51" s="35">
        <f>2037</f>
        <v>2037</v>
      </c>
      <c r="P51" s="32" t="s">
        <v>70</v>
      </c>
      <c r="Q51" s="35">
        <f>2061</f>
        <v>2061</v>
      </c>
      <c r="R51" s="32" t="s">
        <v>50</v>
      </c>
      <c r="S51" s="34">
        <f>2098.32</f>
        <v>2098.3200000000002</v>
      </c>
      <c r="T51" s="31">
        <f>9372402</f>
        <v>9372402</v>
      </c>
      <c r="U51" s="31">
        <f>4778537</f>
        <v>4778537</v>
      </c>
      <c r="V51" s="31">
        <f>19571972489</f>
        <v>19571972489</v>
      </c>
      <c r="W51" s="31">
        <f>9962396196</f>
        <v>9962396196</v>
      </c>
      <c r="X51" s="33">
        <f>19</f>
        <v>19</v>
      </c>
    </row>
    <row r="52" spans="1:24">
      <c r="A52" s="27" t="s">
        <v>42</v>
      </c>
      <c r="B52" s="27" t="s">
        <v>192</v>
      </c>
      <c r="C52" s="27" t="s">
        <v>193</v>
      </c>
      <c r="D52" s="27" t="s">
        <v>194</v>
      </c>
      <c r="E52" s="28" t="s">
        <v>46</v>
      </c>
      <c r="F52" s="29" t="s">
        <v>46</v>
      </c>
      <c r="G52" s="30" t="s">
        <v>46</v>
      </c>
      <c r="H52" s="25"/>
      <c r="I52" s="25" t="s">
        <v>47</v>
      </c>
      <c r="J52" s="31">
        <v>1</v>
      </c>
      <c r="K52" s="35">
        <f>3040</f>
        <v>3040</v>
      </c>
      <c r="L52" s="32" t="s">
        <v>48</v>
      </c>
      <c r="M52" s="35">
        <f>3190</f>
        <v>3190</v>
      </c>
      <c r="N52" s="32" t="s">
        <v>155</v>
      </c>
      <c r="O52" s="35">
        <f>2936</f>
        <v>2936</v>
      </c>
      <c r="P52" s="32" t="s">
        <v>195</v>
      </c>
      <c r="Q52" s="35">
        <f>3090</f>
        <v>3090</v>
      </c>
      <c r="R52" s="32" t="s">
        <v>50</v>
      </c>
      <c r="S52" s="34">
        <f>3101.58</f>
        <v>3101.58</v>
      </c>
      <c r="T52" s="31">
        <f>1327736</f>
        <v>1327736</v>
      </c>
      <c r="U52" s="31">
        <f>1214572</f>
        <v>1214572</v>
      </c>
      <c r="V52" s="31">
        <f>4134681514</f>
        <v>4134681514</v>
      </c>
      <c r="W52" s="31">
        <f>3782612883</f>
        <v>3782612883</v>
      </c>
      <c r="X52" s="33">
        <f>19</f>
        <v>19</v>
      </c>
    </row>
    <row r="53" spans="1:24">
      <c r="A53" s="27" t="s">
        <v>42</v>
      </c>
      <c r="B53" s="27" t="s">
        <v>196</v>
      </c>
      <c r="C53" s="27" t="s">
        <v>197</v>
      </c>
      <c r="D53" s="27" t="s">
        <v>198</v>
      </c>
      <c r="E53" s="28" t="s">
        <v>46</v>
      </c>
      <c r="F53" s="29" t="s">
        <v>46</v>
      </c>
      <c r="G53" s="30" t="s">
        <v>46</v>
      </c>
      <c r="H53" s="25"/>
      <c r="I53" s="25" t="s">
        <v>47</v>
      </c>
      <c r="J53" s="31">
        <v>1</v>
      </c>
      <c r="K53" s="35">
        <f>4696</f>
        <v>4696</v>
      </c>
      <c r="L53" s="32" t="s">
        <v>48</v>
      </c>
      <c r="M53" s="35">
        <f>4957</f>
        <v>4957</v>
      </c>
      <c r="N53" s="32" t="s">
        <v>65</v>
      </c>
      <c r="O53" s="35">
        <f>4638</f>
        <v>4638</v>
      </c>
      <c r="P53" s="32" t="s">
        <v>70</v>
      </c>
      <c r="Q53" s="35">
        <f>4771</f>
        <v>4771</v>
      </c>
      <c r="R53" s="32" t="s">
        <v>50</v>
      </c>
      <c r="S53" s="34">
        <f>4807.47</f>
        <v>4807.47</v>
      </c>
      <c r="T53" s="31">
        <f>2924924</f>
        <v>2924924</v>
      </c>
      <c r="U53" s="31">
        <f>1784377</f>
        <v>1784377</v>
      </c>
      <c r="V53" s="31">
        <f>14099214711</f>
        <v>14099214711</v>
      </c>
      <c r="W53" s="31">
        <f>8633381741</f>
        <v>8633381741</v>
      </c>
      <c r="X53" s="33">
        <f>19</f>
        <v>19</v>
      </c>
    </row>
    <row r="54" spans="1:24">
      <c r="A54" s="27" t="s">
        <v>42</v>
      </c>
      <c r="B54" s="27" t="s">
        <v>199</v>
      </c>
      <c r="C54" s="27" t="s">
        <v>200</v>
      </c>
      <c r="D54" s="27" t="s">
        <v>201</v>
      </c>
      <c r="E54" s="28" t="s">
        <v>46</v>
      </c>
      <c r="F54" s="29" t="s">
        <v>46</v>
      </c>
      <c r="G54" s="30" t="s">
        <v>46</v>
      </c>
      <c r="H54" s="25"/>
      <c r="I54" s="25" t="s">
        <v>47</v>
      </c>
      <c r="J54" s="31">
        <v>1</v>
      </c>
      <c r="K54" s="35">
        <f>43540</f>
        <v>43540</v>
      </c>
      <c r="L54" s="32" t="s">
        <v>69</v>
      </c>
      <c r="M54" s="35">
        <f>47670</f>
        <v>47670</v>
      </c>
      <c r="N54" s="32" t="s">
        <v>202</v>
      </c>
      <c r="O54" s="35">
        <f>43160</f>
        <v>43160</v>
      </c>
      <c r="P54" s="32" t="s">
        <v>75</v>
      </c>
      <c r="Q54" s="35">
        <f>45960</f>
        <v>45960</v>
      </c>
      <c r="R54" s="32" t="s">
        <v>61</v>
      </c>
      <c r="S54" s="34">
        <f>45462.5</f>
        <v>45462.5</v>
      </c>
      <c r="T54" s="31">
        <f>35</f>
        <v>35</v>
      </c>
      <c r="U54" s="31" t="str">
        <f>"－"</f>
        <v>－</v>
      </c>
      <c r="V54" s="31">
        <f>1603000</f>
        <v>1603000</v>
      </c>
      <c r="W54" s="31" t="str">
        <f>"－"</f>
        <v>－</v>
      </c>
      <c r="X54" s="33">
        <f>8</f>
        <v>8</v>
      </c>
    </row>
    <row r="55" spans="1:24">
      <c r="A55" s="27" t="s">
        <v>42</v>
      </c>
      <c r="B55" s="27" t="s">
        <v>203</v>
      </c>
      <c r="C55" s="27" t="s">
        <v>204</v>
      </c>
      <c r="D55" s="27" t="s">
        <v>205</v>
      </c>
      <c r="E55" s="28" t="s">
        <v>46</v>
      </c>
      <c r="F55" s="29" t="s">
        <v>46</v>
      </c>
      <c r="G55" s="30" t="s">
        <v>46</v>
      </c>
      <c r="H55" s="25"/>
      <c r="I55" s="25" t="s">
        <v>47</v>
      </c>
      <c r="J55" s="31">
        <v>1</v>
      </c>
      <c r="K55" s="35">
        <f>33480</f>
        <v>33480</v>
      </c>
      <c r="L55" s="32" t="s">
        <v>48</v>
      </c>
      <c r="M55" s="35">
        <f>35520</f>
        <v>35520</v>
      </c>
      <c r="N55" s="32" t="s">
        <v>206</v>
      </c>
      <c r="O55" s="35">
        <f>33430</f>
        <v>33430</v>
      </c>
      <c r="P55" s="32" t="s">
        <v>195</v>
      </c>
      <c r="Q55" s="35">
        <f>34180</f>
        <v>34180</v>
      </c>
      <c r="R55" s="32" t="s">
        <v>50</v>
      </c>
      <c r="S55" s="34">
        <f>34412.5</f>
        <v>34412.5</v>
      </c>
      <c r="T55" s="31">
        <f>131</f>
        <v>131</v>
      </c>
      <c r="U55" s="31">
        <f>18</f>
        <v>18</v>
      </c>
      <c r="V55" s="31">
        <f>4500760</f>
        <v>4500760</v>
      </c>
      <c r="W55" s="31">
        <f>632190</f>
        <v>632190</v>
      </c>
      <c r="X55" s="33">
        <f>8</f>
        <v>8</v>
      </c>
    </row>
    <row r="56" spans="1:24">
      <c r="A56" s="27" t="s">
        <v>42</v>
      </c>
      <c r="B56" s="27" t="s">
        <v>207</v>
      </c>
      <c r="C56" s="27" t="s">
        <v>208</v>
      </c>
      <c r="D56" s="27" t="s">
        <v>209</v>
      </c>
      <c r="E56" s="28" t="s">
        <v>46</v>
      </c>
      <c r="F56" s="29" t="s">
        <v>46</v>
      </c>
      <c r="G56" s="30" t="s">
        <v>46</v>
      </c>
      <c r="H56" s="25"/>
      <c r="I56" s="25" t="s">
        <v>47</v>
      </c>
      <c r="J56" s="31">
        <v>1</v>
      </c>
      <c r="K56" s="35">
        <f>3367</f>
        <v>3367</v>
      </c>
      <c r="L56" s="32" t="s">
        <v>48</v>
      </c>
      <c r="M56" s="35">
        <f>3454</f>
        <v>3454</v>
      </c>
      <c r="N56" s="32" t="s">
        <v>49</v>
      </c>
      <c r="O56" s="35">
        <f>3275</f>
        <v>3275</v>
      </c>
      <c r="P56" s="32" t="s">
        <v>70</v>
      </c>
      <c r="Q56" s="35">
        <f>3306</f>
        <v>3306</v>
      </c>
      <c r="R56" s="32" t="s">
        <v>50</v>
      </c>
      <c r="S56" s="34">
        <f>3377.13</f>
        <v>3377.13</v>
      </c>
      <c r="T56" s="31">
        <f>2307</f>
        <v>2307</v>
      </c>
      <c r="U56" s="31" t="str">
        <f>"－"</f>
        <v>－</v>
      </c>
      <c r="V56" s="31">
        <f>7771050</f>
        <v>7771050</v>
      </c>
      <c r="W56" s="31" t="str">
        <f>"－"</f>
        <v>－</v>
      </c>
      <c r="X56" s="33">
        <f>15</f>
        <v>15</v>
      </c>
    </row>
    <row r="57" spans="1:24">
      <c r="A57" s="27" t="s">
        <v>42</v>
      </c>
      <c r="B57" s="27" t="s">
        <v>210</v>
      </c>
      <c r="C57" s="27" t="s">
        <v>211</v>
      </c>
      <c r="D57" s="27" t="s">
        <v>212</v>
      </c>
      <c r="E57" s="28" t="s">
        <v>46</v>
      </c>
      <c r="F57" s="29" t="s">
        <v>46</v>
      </c>
      <c r="G57" s="30" t="s">
        <v>46</v>
      </c>
      <c r="H57" s="25"/>
      <c r="I57" s="25" t="s">
        <v>47</v>
      </c>
      <c r="J57" s="31">
        <v>1</v>
      </c>
      <c r="K57" s="35">
        <f>1638</f>
        <v>1638</v>
      </c>
      <c r="L57" s="32" t="s">
        <v>48</v>
      </c>
      <c r="M57" s="35">
        <f>1640</f>
        <v>1640</v>
      </c>
      <c r="N57" s="32" t="s">
        <v>69</v>
      </c>
      <c r="O57" s="35">
        <f>1608</f>
        <v>1608</v>
      </c>
      <c r="P57" s="32" t="s">
        <v>213</v>
      </c>
      <c r="Q57" s="35">
        <f>1611</f>
        <v>1611</v>
      </c>
      <c r="R57" s="32" t="s">
        <v>50</v>
      </c>
      <c r="S57" s="34">
        <f>1619.63</f>
        <v>1619.63</v>
      </c>
      <c r="T57" s="31">
        <f>4079222</f>
        <v>4079222</v>
      </c>
      <c r="U57" s="31">
        <f>2344922</f>
        <v>2344922</v>
      </c>
      <c r="V57" s="31">
        <f>6610869226</f>
        <v>6610869226</v>
      </c>
      <c r="W57" s="31">
        <f>3792290907</f>
        <v>3792290907</v>
      </c>
      <c r="X57" s="33">
        <f>19</f>
        <v>19</v>
      </c>
    </row>
    <row r="58" spans="1:24">
      <c r="A58" s="27" t="s">
        <v>42</v>
      </c>
      <c r="B58" s="27" t="s">
        <v>214</v>
      </c>
      <c r="C58" s="27" t="s">
        <v>215</v>
      </c>
      <c r="D58" s="27" t="s">
        <v>216</v>
      </c>
      <c r="E58" s="28" t="s">
        <v>46</v>
      </c>
      <c r="F58" s="29" t="s">
        <v>46</v>
      </c>
      <c r="G58" s="30" t="s">
        <v>46</v>
      </c>
      <c r="H58" s="25"/>
      <c r="I58" s="25" t="s">
        <v>47</v>
      </c>
      <c r="J58" s="31">
        <v>1</v>
      </c>
      <c r="K58" s="35">
        <f>3330</f>
        <v>3330</v>
      </c>
      <c r="L58" s="32" t="s">
        <v>48</v>
      </c>
      <c r="M58" s="35">
        <f>3455</f>
        <v>3455</v>
      </c>
      <c r="N58" s="32" t="s">
        <v>49</v>
      </c>
      <c r="O58" s="35">
        <f>3309</f>
        <v>3309</v>
      </c>
      <c r="P58" s="32" t="s">
        <v>61</v>
      </c>
      <c r="Q58" s="35">
        <f>3320</f>
        <v>3320</v>
      </c>
      <c r="R58" s="32" t="s">
        <v>50</v>
      </c>
      <c r="S58" s="34">
        <f>3381.29</f>
        <v>3381.29</v>
      </c>
      <c r="T58" s="31">
        <f>773</f>
        <v>773</v>
      </c>
      <c r="U58" s="31" t="str">
        <f>"－"</f>
        <v>－</v>
      </c>
      <c r="V58" s="31">
        <f>2605392</f>
        <v>2605392</v>
      </c>
      <c r="W58" s="31" t="str">
        <f>"－"</f>
        <v>－</v>
      </c>
      <c r="X58" s="33">
        <f>14</f>
        <v>14</v>
      </c>
    </row>
    <row r="59" spans="1:24">
      <c r="A59" s="27" t="s">
        <v>42</v>
      </c>
      <c r="B59" s="27" t="s">
        <v>217</v>
      </c>
      <c r="C59" s="27" t="s">
        <v>218</v>
      </c>
      <c r="D59" s="27" t="s">
        <v>219</v>
      </c>
      <c r="E59" s="28" t="s">
        <v>46</v>
      </c>
      <c r="F59" s="29" t="s">
        <v>46</v>
      </c>
      <c r="G59" s="30" t="s">
        <v>46</v>
      </c>
      <c r="H59" s="25"/>
      <c r="I59" s="25" t="s">
        <v>47</v>
      </c>
      <c r="J59" s="31">
        <v>10</v>
      </c>
      <c r="K59" s="35">
        <f>3368</f>
        <v>3368</v>
      </c>
      <c r="L59" s="32" t="s">
        <v>48</v>
      </c>
      <c r="M59" s="35">
        <f>3434</f>
        <v>3434</v>
      </c>
      <c r="N59" s="32" t="s">
        <v>49</v>
      </c>
      <c r="O59" s="35">
        <f>3259</f>
        <v>3259</v>
      </c>
      <c r="P59" s="32" t="s">
        <v>70</v>
      </c>
      <c r="Q59" s="35">
        <f>3294</f>
        <v>3294</v>
      </c>
      <c r="R59" s="32" t="s">
        <v>50</v>
      </c>
      <c r="S59" s="34">
        <f>3351.84</f>
        <v>3351.84</v>
      </c>
      <c r="T59" s="31">
        <f>47690</f>
        <v>47690</v>
      </c>
      <c r="U59" s="31">
        <f>20000</f>
        <v>20000</v>
      </c>
      <c r="V59" s="31">
        <f>160387600</f>
        <v>160387600</v>
      </c>
      <c r="W59" s="31">
        <f>67317800</f>
        <v>67317800</v>
      </c>
      <c r="X59" s="33">
        <f>19</f>
        <v>19</v>
      </c>
    </row>
    <row r="60" spans="1:24">
      <c r="A60" s="27" t="s">
        <v>42</v>
      </c>
      <c r="B60" s="27" t="s">
        <v>220</v>
      </c>
      <c r="C60" s="27" t="s">
        <v>221</v>
      </c>
      <c r="D60" s="27" t="s">
        <v>222</v>
      </c>
      <c r="E60" s="28" t="s">
        <v>46</v>
      </c>
      <c r="F60" s="29" t="s">
        <v>46</v>
      </c>
      <c r="G60" s="30" t="s">
        <v>46</v>
      </c>
      <c r="H60" s="25"/>
      <c r="I60" s="25" t="s">
        <v>47</v>
      </c>
      <c r="J60" s="31">
        <v>1</v>
      </c>
      <c r="K60" s="35">
        <f>49540</f>
        <v>49540</v>
      </c>
      <c r="L60" s="32" t="s">
        <v>69</v>
      </c>
      <c r="M60" s="35">
        <f>56350</f>
        <v>56350</v>
      </c>
      <c r="N60" s="32" t="s">
        <v>74</v>
      </c>
      <c r="O60" s="35">
        <f>49180</f>
        <v>49180</v>
      </c>
      <c r="P60" s="32" t="s">
        <v>206</v>
      </c>
      <c r="Q60" s="35">
        <f>49750</f>
        <v>49750</v>
      </c>
      <c r="R60" s="32" t="s">
        <v>223</v>
      </c>
      <c r="S60" s="34">
        <f>50550</f>
        <v>50550</v>
      </c>
      <c r="T60" s="31">
        <f>337</f>
        <v>337</v>
      </c>
      <c r="U60" s="31" t="str">
        <f>"－"</f>
        <v>－</v>
      </c>
      <c r="V60" s="31">
        <f>16804990</f>
        <v>16804990</v>
      </c>
      <c r="W60" s="31" t="str">
        <f>"－"</f>
        <v>－</v>
      </c>
      <c r="X60" s="33">
        <f>8</f>
        <v>8</v>
      </c>
    </row>
    <row r="61" spans="1:24">
      <c r="A61" s="27" t="s">
        <v>42</v>
      </c>
      <c r="B61" s="27" t="s">
        <v>224</v>
      </c>
      <c r="C61" s="27" t="s">
        <v>225</v>
      </c>
      <c r="D61" s="27" t="s">
        <v>226</v>
      </c>
      <c r="E61" s="28" t="s">
        <v>46</v>
      </c>
      <c r="F61" s="29" t="s">
        <v>46</v>
      </c>
      <c r="G61" s="30" t="s">
        <v>46</v>
      </c>
      <c r="H61" s="25"/>
      <c r="I61" s="25" t="s">
        <v>47</v>
      </c>
      <c r="J61" s="31">
        <v>1</v>
      </c>
      <c r="K61" s="35">
        <f>24890</f>
        <v>24890</v>
      </c>
      <c r="L61" s="32" t="s">
        <v>48</v>
      </c>
      <c r="M61" s="35">
        <f>24940</f>
        <v>24940</v>
      </c>
      <c r="N61" s="32" t="s">
        <v>48</v>
      </c>
      <c r="O61" s="35">
        <f>23520</f>
        <v>23520</v>
      </c>
      <c r="P61" s="32" t="s">
        <v>61</v>
      </c>
      <c r="Q61" s="35">
        <f>23690</f>
        <v>23690</v>
      </c>
      <c r="R61" s="32" t="s">
        <v>50</v>
      </c>
      <c r="S61" s="34">
        <f>24327.11</f>
        <v>24327.11</v>
      </c>
      <c r="T61" s="31">
        <f>287428</f>
        <v>287428</v>
      </c>
      <c r="U61" s="31">
        <f>247091</f>
        <v>247091</v>
      </c>
      <c r="V61" s="31">
        <f>6940976571</f>
        <v>6940976571</v>
      </c>
      <c r="W61" s="31">
        <f>5969482586</f>
        <v>5969482586</v>
      </c>
      <c r="X61" s="33">
        <f>19</f>
        <v>19</v>
      </c>
    </row>
    <row r="62" spans="1:24">
      <c r="A62" s="27" t="s">
        <v>42</v>
      </c>
      <c r="B62" s="27" t="s">
        <v>227</v>
      </c>
      <c r="C62" s="27" t="s">
        <v>228</v>
      </c>
      <c r="D62" s="27" t="s">
        <v>229</v>
      </c>
      <c r="E62" s="28" t="s">
        <v>46</v>
      </c>
      <c r="F62" s="29" t="s">
        <v>46</v>
      </c>
      <c r="G62" s="30" t="s">
        <v>46</v>
      </c>
      <c r="H62" s="25"/>
      <c r="I62" s="25" t="s">
        <v>47</v>
      </c>
      <c r="J62" s="31">
        <v>1</v>
      </c>
      <c r="K62" s="35">
        <f>12700</f>
        <v>12700</v>
      </c>
      <c r="L62" s="32" t="s">
        <v>48</v>
      </c>
      <c r="M62" s="35">
        <f>12720</f>
        <v>12720</v>
      </c>
      <c r="N62" s="32" t="s">
        <v>69</v>
      </c>
      <c r="O62" s="35">
        <f>12315</f>
        <v>12315</v>
      </c>
      <c r="P62" s="32" t="s">
        <v>213</v>
      </c>
      <c r="Q62" s="35">
        <f>12335</f>
        <v>12335</v>
      </c>
      <c r="R62" s="32" t="s">
        <v>50</v>
      </c>
      <c r="S62" s="34">
        <f>12431.05</f>
        <v>12431.05</v>
      </c>
      <c r="T62" s="31">
        <f>203733</f>
        <v>203733</v>
      </c>
      <c r="U62" s="31">
        <f>77571</f>
        <v>77571</v>
      </c>
      <c r="V62" s="31">
        <f>2563920226</f>
        <v>2563920226</v>
      </c>
      <c r="W62" s="31">
        <f>966657771</f>
        <v>966657771</v>
      </c>
      <c r="X62" s="33">
        <f>19</f>
        <v>19</v>
      </c>
    </row>
    <row r="63" spans="1:24">
      <c r="A63" s="27" t="s">
        <v>42</v>
      </c>
      <c r="B63" s="27" t="s">
        <v>230</v>
      </c>
      <c r="C63" s="27" t="s">
        <v>231</v>
      </c>
      <c r="D63" s="27" t="s">
        <v>232</v>
      </c>
      <c r="E63" s="28" t="s">
        <v>46</v>
      </c>
      <c r="F63" s="29" t="s">
        <v>46</v>
      </c>
      <c r="G63" s="30" t="s">
        <v>46</v>
      </c>
      <c r="H63" s="25"/>
      <c r="I63" s="25" t="s">
        <v>47</v>
      </c>
      <c r="J63" s="31">
        <v>1</v>
      </c>
      <c r="K63" s="35">
        <f>2105</f>
        <v>2105</v>
      </c>
      <c r="L63" s="32" t="s">
        <v>48</v>
      </c>
      <c r="M63" s="35">
        <f>2156</f>
        <v>2156</v>
      </c>
      <c r="N63" s="32" t="s">
        <v>49</v>
      </c>
      <c r="O63" s="35">
        <f>2032</f>
        <v>2032</v>
      </c>
      <c r="P63" s="32" t="s">
        <v>70</v>
      </c>
      <c r="Q63" s="35">
        <f>2066</f>
        <v>2066</v>
      </c>
      <c r="R63" s="32" t="s">
        <v>50</v>
      </c>
      <c r="S63" s="34">
        <f>2094.47</f>
        <v>2094.4699999999998</v>
      </c>
      <c r="T63" s="31">
        <f>15660779</f>
        <v>15660779</v>
      </c>
      <c r="U63" s="31">
        <f>12052519</f>
        <v>12052519</v>
      </c>
      <c r="V63" s="31">
        <f>32609170481</f>
        <v>32609170481</v>
      </c>
      <c r="W63" s="31">
        <f>25074461095</f>
        <v>25074461095</v>
      </c>
      <c r="X63" s="33">
        <f>19</f>
        <v>19</v>
      </c>
    </row>
    <row r="64" spans="1:24">
      <c r="A64" s="27" t="s">
        <v>42</v>
      </c>
      <c r="B64" s="27" t="s">
        <v>233</v>
      </c>
      <c r="C64" s="27" t="s">
        <v>234</v>
      </c>
      <c r="D64" s="27" t="s">
        <v>235</v>
      </c>
      <c r="E64" s="28" t="s">
        <v>46</v>
      </c>
      <c r="F64" s="29" t="s">
        <v>46</v>
      </c>
      <c r="G64" s="30" t="s">
        <v>46</v>
      </c>
      <c r="H64" s="25"/>
      <c r="I64" s="25" t="s">
        <v>47</v>
      </c>
      <c r="J64" s="31">
        <v>1</v>
      </c>
      <c r="K64" s="35">
        <f>2878</f>
        <v>2878</v>
      </c>
      <c r="L64" s="32" t="s">
        <v>48</v>
      </c>
      <c r="M64" s="35">
        <f>3106</f>
        <v>3106</v>
      </c>
      <c r="N64" s="32" t="s">
        <v>49</v>
      </c>
      <c r="O64" s="35">
        <f>2877</f>
        <v>2877</v>
      </c>
      <c r="P64" s="32" t="s">
        <v>48</v>
      </c>
      <c r="Q64" s="35">
        <f>3021</f>
        <v>3021</v>
      </c>
      <c r="R64" s="32" t="s">
        <v>50</v>
      </c>
      <c r="S64" s="34">
        <f>3008.58</f>
        <v>3008.58</v>
      </c>
      <c r="T64" s="31">
        <f>23313907</f>
        <v>23313907</v>
      </c>
      <c r="U64" s="31">
        <f>8334977</f>
        <v>8334977</v>
      </c>
      <c r="V64" s="31">
        <f>69862597556</f>
        <v>69862597556</v>
      </c>
      <c r="W64" s="31">
        <f>24873339303</f>
        <v>24873339303</v>
      </c>
      <c r="X64" s="33">
        <f>19</f>
        <v>19</v>
      </c>
    </row>
    <row r="65" spans="1:24">
      <c r="A65" s="27" t="s">
        <v>42</v>
      </c>
      <c r="B65" s="27" t="s">
        <v>236</v>
      </c>
      <c r="C65" s="27" t="s">
        <v>237</v>
      </c>
      <c r="D65" s="27" t="s">
        <v>238</v>
      </c>
      <c r="E65" s="28" t="s">
        <v>46</v>
      </c>
      <c r="F65" s="29" t="s">
        <v>46</v>
      </c>
      <c r="G65" s="30" t="s">
        <v>46</v>
      </c>
      <c r="H65" s="25"/>
      <c r="I65" s="25" t="s">
        <v>47</v>
      </c>
      <c r="J65" s="31">
        <v>1</v>
      </c>
      <c r="K65" s="35">
        <f>7638</f>
        <v>7638</v>
      </c>
      <c r="L65" s="32" t="s">
        <v>75</v>
      </c>
      <c r="M65" s="35">
        <f>7734</f>
        <v>7734</v>
      </c>
      <c r="N65" s="32" t="s">
        <v>103</v>
      </c>
      <c r="O65" s="35">
        <f>7598</f>
        <v>7598</v>
      </c>
      <c r="P65" s="32" t="s">
        <v>49</v>
      </c>
      <c r="Q65" s="35">
        <f>7650</f>
        <v>7650</v>
      </c>
      <c r="R65" s="32" t="s">
        <v>50</v>
      </c>
      <c r="S65" s="34">
        <f>7664.14</f>
        <v>7664.14</v>
      </c>
      <c r="T65" s="31">
        <f>15269</f>
        <v>15269</v>
      </c>
      <c r="U65" s="31">
        <f>15004</f>
        <v>15004</v>
      </c>
      <c r="V65" s="31">
        <f>116579558</f>
        <v>116579558</v>
      </c>
      <c r="W65" s="31">
        <f>114555752</f>
        <v>114555752</v>
      </c>
      <c r="X65" s="33">
        <f>7</f>
        <v>7</v>
      </c>
    </row>
    <row r="66" spans="1:24">
      <c r="A66" s="27" t="s">
        <v>42</v>
      </c>
      <c r="B66" s="27" t="s">
        <v>239</v>
      </c>
      <c r="C66" s="27" t="s">
        <v>240</v>
      </c>
      <c r="D66" s="27" t="s">
        <v>241</v>
      </c>
      <c r="E66" s="28" t="s">
        <v>46</v>
      </c>
      <c r="F66" s="29" t="s">
        <v>46</v>
      </c>
      <c r="G66" s="30" t="s">
        <v>46</v>
      </c>
      <c r="H66" s="25"/>
      <c r="I66" s="25" t="s">
        <v>47</v>
      </c>
      <c r="J66" s="31">
        <v>1</v>
      </c>
      <c r="K66" s="35">
        <f>22910</f>
        <v>22910</v>
      </c>
      <c r="L66" s="32" t="s">
        <v>48</v>
      </c>
      <c r="M66" s="35">
        <f>23580</f>
        <v>23580</v>
      </c>
      <c r="N66" s="32" t="s">
        <v>155</v>
      </c>
      <c r="O66" s="35">
        <f>22270</f>
        <v>22270</v>
      </c>
      <c r="P66" s="32" t="s">
        <v>48</v>
      </c>
      <c r="Q66" s="35">
        <f>22885</f>
        <v>22885</v>
      </c>
      <c r="R66" s="32" t="s">
        <v>50</v>
      </c>
      <c r="S66" s="34">
        <f>22953.68</f>
        <v>22953.68</v>
      </c>
      <c r="T66" s="31">
        <f>6222</f>
        <v>6222</v>
      </c>
      <c r="U66" s="31">
        <f>2</f>
        <v>2</v>
      </c>
      <c r="V66" s="31">
        <f>142240637</f>
        <v>142240637</v>
      </c>
      <c r="W66" s="31">
        <f>46252</f>
        <v>46252</v>
      </c>
      <c r="X66" s="33">
        <f>19</f>
        <v>19</v>
      </c>
    </row>
    <row r="67" spans="1:24">
      <c r="A67" s="27" t="s">
        <v>42</v>
      </c>
      <c r="B67" s="27" t="s">
        <v>242</v>
      </c>
      <c r="C67" s="27" t="s">
        <v>243</v>
      </c>
      <c r="D67" s="27" t="s">
        <v>244</v>
      </c>
      <c r="E67" s="28" t="s">
        <v>46</v>
      </c>
      <c r="F67" s="29" t="s">
        <v>46</v>
      </c>
      <c r="G67" s="30" t="s">
        <v>46</v>
      </c>
      <c r="H67" s="25"/>
      <c r="I67" s="25" t="s">
        <v>47</v>
      </c>
      <c r="J67" s="31">
        <v>1</v>
      </c>
      <c r="K67" s="35">
        <f>39910</f>
        <v>39910</v>
      </c>
      <c r="L67" s="32" t="s">
        <v>48</v>
      </c>
      <c r="M67" s="35">
        <f>42100</f>
        <v>42100</v>
      </c>
      <c r="N67" s="32" t="s">
        <v>155</v>
      </c>
      <c r="O67" s="35">
        <f>39830</f>
        <v>39830</v>
      </c>
      <c r="P67" s="32" t="s">
        <v>48</v>
      </c>
      <c r="Q67" s="35">
        <f>41290</f>
        <v>41290</v>
      </c>
      <c r="R67" s="32" t="s">
        <v>50</v>
      </c>
      <c r="S67" s="34">
        <f>41284.21</f>
        <v>41284.21</v>
      </c>
      <c r="T67" s="31">
        <f>306932</f>
        <v>306932</v>
      </c>
      <c r="U67" s="31">
        <f>260600</f>
        <v>260600</v>
      </c>
      <c r="V67" s="31">
        <f>12628594485</f>
        <v>12628594485</v>
      </c>
      <c r="W67" s="31">
        <f>10721847055</f>
        <v>10721847055</v>
      </c>
      <c r="X67" s="33">
        <f>19</f>
        <v>19</v>
      </c>
    </row>
    <row r="68" spans="1:24">
      <c r="A68" s="27" t="s">
        <v>42</v>
      </c>
      <c r="B68" s="27" t="s">
        <v>245</v>
      </c>
      <c r="C68" s="27" t="s">
        <v>246</v>
      </c>
      <c r="D68" s="27" t="s">
        <v>247</v>
      </c>
      <c r="E68" s="28" t="s">
        <v>46</v>
      </c>
      <c r="F68" s="29" t="s">
        <v>46</v>
      </c>
      <c r="G68" s="30" t="s">
        <v>46</v>
      </c>
      <c r="H68" s="25"/>
      <c r="I68" s="25" t="s">
        <v>47</v>
      </c>
      <c r="J68" s="31">
        <v>1</v>
      </c>
      <c r="K68" s="35">
        <f>11700</f>
        <v>11700</v>
      </c>
      <c r="L68" s="32" t="s">
        <v>48</v>
      </c>
      <c r="M68" s="35">
        <f>12240</f>
        <v>12240</v>
      </c>
      <c r="N68" s="32" t="s">
        <v>65</v>
      </c>
      <c r="O68" s="35">
        <f>11615</f>
        <v>11615</v>
      </c>
      <c r="P68" s="32" t="s">
        <v>61</v>
      </c>
      <c r="Q68" s="35">
        <f>11680</f>
        <v>11680</v>
      </c>
      <c r="R68" s="32" t="s">
        <v>50</v>
      </c>
      <c r="S68" s="34">
        <f>11855.26</f>
        <v>11855.26</v>
      </c>
      <c r="T68" s="31">
        <f>7642</f>
        <v>7642</v>
      </c>
      <c r="U68" s="31">
        <f>19</f>
        <v>19</v>
      </c>
      <c r="V68" s="31">
        <f>90986964</f>
        <v>90986964</v>
      </c>
      <c r="W68" s="31">
        <f>222804</f>
        <v>222804</v>
      </c>
      <c r="X68" s="33">
        <f>19</f>
        <v>19</v>
      </c>
    </row>
    <row r="69" spans="1:24">
      <c r="A69" s="27" t="s">
        <v>42</v>
      </c>
      <c r="B69" s="27" t="s">
        <v>248</v>
      </c>
      <c r="C69" s="27" t="s">
        <v>249</v>
      </c>
      <c r="D69" s="27" t="s">
        <v>250</v>
      </c>
      <c r="E69" s="28" t="s">
        <v>46</v>
      </c>
      <c r="F69" s="29" t="s">
        <v>46</v>
      </c>
      <c r="G69" s="30" t="s">
        <v>46</v>
      </c>
      <c r="H69" s="25"/>
      <c r="I69" s="25" t="s">
        <v>47</v>
      </c>
      <c r="J69" s="31">
        <v>1</v>
      </c>
      <c r="K69" s="35">
        <f>1749</f>
        <v>1749</v>
      </c>
      <c r="L69" s="32" t="s">
        <v>48</v>
      </c>
      <c r="M69" s="35">
        <f>1749</f>
        <v>1749</v>
      </c>
      <c r="N69" s="32" t="s">
        <v>48</v>
      </c>
      <c r="O69" s="35">
        <f>1712</f>
        <v>1712</v>
      </c>
      <c r="P69" s="32" t="s">
        <v>213</v>
      </c>
      <c r="Q69" s="35">
        <f>1719</f>
        <v>1719</v>
      </c>
      <c r="R69" s="32" t="s">
        <v>50</v>
      </c>
      <c r="S69" s="34">
        <f>1728.53</f>
        <v>1728.53</v>
      </c>
      <c r="T69" s="31">
        <f>1737479</f>
        <v>1737479</v>
      </c>
      <c r="U69" s="31">
        <f>1172500</f>
        <v>1172500</v>
      </c>
      <c r="V69" s="31">
        <f>3005057824</f>
        <v>3005057824</v>
      </c>
      <c r="W69" s="31">
        <f>2027920100</f>
        <v>2027920100</v>
      </c>
      <c r="X69" s="33">
        <f>19</f>
        <v>19</v>
      </c>
    </row>
    <row r="70" spans="1:24">
      <c r="A70" s="27" t="s">
        <v>42</v>
      </c>
      <c r="B70" s="27" t="s">
        <v>251</v>
      </c>
      <c r="C70" s="27" t="s">
        <v>252</v>
      </c>
      <c r="D70" s="27" t="s">
        <v>253</v>
      </c>
      <c r="E70" s="28" t="s">
        <v>46</v>
      </c>
      <c r="F70" s="29" t="s">
        <v>46</v>
      </c>
      <c r="G70" s="30" t="s">
        <v>46</v>
      </c>
      <c r="H70" s="25"/>
      <c r="I70" s="25" t="s">
        <v>47</v>
      </c>
      <c r="J70" s="31">
        <v>1</v>
      </c>
      <c r="K70" s="35">
        <f>1814</f>
        <v>1814</v>
      </c>
      <c r="L70" s="32" t="s">
        <v>48</v>
      </c>
      <c r="M70" s="35">
        <f>1823</f>
        <v>1823</v>
      </c>
      <c r="N70" s="32" t="s">
        <v>195</v>
      </c>
      <c r="O70" s="35">
        <f>1786</f>
        <v>1786</v>
      </c>
      <c r="P70" s="32" t="s">
        <v>213</v>
      </c>
      <c r="Q70" s="35">
        <f>1789</f>
        <v>1789</v>
      </c>
      <c r="R70" s="32" t="s">
        <v>50</v>
      </c>
      <c r="S70" s="34">
        <f>1797.11</f>
        <v>1797.11</v>
      </c>
      <c r="T70" s="31">
        <f>695209</f>
        <v>695209</v>
      </c>
      <c r="U70" s="31">
        <f>11</f>
        <v>11</v>
      </c>
      <c r="V70" s="31">
        <f>1248027858</f>
        <v>1248027858</v>
      </c>
      <c r="W70" s="31">
        <f>18503</f>
        <v>18503</v>
      </c>
      <c r="X70" s="33">
        <f>19</f>
        <v>19</v>
      </c>
    </row>
    <row r="71" spans="1:24">
      <c r="A71" s="27" t="s">
        <v>42</v>
      </c>
      <c r="B71" s="27" t="s">
        <v>254</v>
      </c>
      <c r="C71" s="27" t="s">
        <v>255</v>
      </c>
      <c r="D71" s="27" t="s">
        <v>256</v>
      </c>
      <c r="E71" s="28" t="s">
        <v>46</v>
      </c>
      <c r="F71" s="29" t="s">
        <v>46</v>
      </c>
      <c r="G71" s="30" t="s">
        <v>46</v>
      </c>
      <c r="H71" s="25"/>
      <c r="I71" s="25" t="s">
        <v>47</v>
      </c>
      <c r="J71" s="31">
        <v>1</v>
      </c>
      <c r="K71" s="35">
        <f>28120</f>
        <v>28120</v>
      </c>
      <c r="L71" s="32" t="s">
        <v>48</v>
      </c>
      <c r="M71" s="35">
        <f>29790</f>
        <v>29790</v>
      </c>
      <c r="N71" s="32" t="s">
        <v>155</v>
      </c>
      <c r="O71" s="35">
        <f>28085</f>
        <v>28085</v>
      </c>
      <c r="P71" s="32" t="s">
        <v>257</v>
      </c>
      <c r="Q71" s="35">
        <f>28845</f>
        <v>28845</v>
      </c>
      <c r="R71" s="32" t="s">
        <v>50</v>
      </c>
      <c r="S71" s="34">
        <f>28938.16</f>
        <v>28938.16</v>
      </c>
      <c r="T71" s="31">
        <f>135454</f>
        <v>135454</v>
      </c>
      <c r="U71" s="31">
        <f>130807</f>
        <v>130807</v>
      </c>
      <c r="V71" s="31">
        <f>3969395503</f>
        <v>3969395503</v>
      </c>
      <c r="W71" s="31">
        <f>3835593033</f>
        <v>3835593033</v>
      </c>
      <c r="X71" s="33">
        <f>19</f>
        <v>19</v>
      </c>
    </row>
    <row r="72" spans="1:24">
      <c r="A72" s="27" t="s">
        <v>42</v>
      </c>
      <c r="B72" s="27" t="s">
        <v>258</v>
      </c>
      <c r="C72" s="27" t="s">
        <v>259</v>
      </c>
      <c r="D72" s="27" t="s">
        <v>260</v>
      </c>
      <c r="E72" s="28" t="s">
        <v>46</v>
      </c>
      <c r="F72" s="29" t="s">
        <v>46</v>
      </c>
      <c r="G72" s="30" t="s">
        <v>46</v>
      </c>
      <c r="H72" s="25"/>
      <c r="I72" s="25" t="s">
        <v>47</v>
      </c>
      <c r="J72" s="31">
        <v>1</v>
      </c>
      <c r="K72" s="35">
        <f>9076</f>
        <v>9076</v>
      </c>
      <c r="L72" s="32" t="s">
        <v>48</v>
      </c>
      <c r="M72" s="35">
        <f>9259</f>
        <v>9259</v>
      </c>
      <c r="N72" s="32" t="s">
        <v>49</v>
      </c>
      <c r="O72" s="35">
        <f>9032</f>
        <v>9032</v>
      </c>
      <c r="P72" s="32" t="s">
        <v>195</v>
      </c>
      <c r="Q72" s="35">
        <f>9095</f>
        <v>9095</v>
      </c>
      <c r="R72" s="32" t="s">
        <v>50</v>
      </c>
      <c r="S72" s="34">
        <f>9134.84</f>
        <v>9134.84</v>
      </c>
      <c r="T72" s="31">
        <f>3103</f>
        <v>3103</v>
      </c>
      <c r="U72" s="31">
        <f>8</f>
        <v>8</v>
      </c>
      <c r="V72" s="31">
        <f>28346939</f>
        <v>28346939</v>
      </c>
      <c r="W72" s="31">
        <f>73247</f>
        <v>73247</v>
      </c>
      <c r="X72" s="33">
        <f>19</f>
        <v>19</v>
      </c>
    </row>
    <row r="73" spans="1:24">
      <c r="A73" s="27" t="s">
        <v>42</v>
      </c>
      <c r="B73" s="27" t="s">
        <v>261</v>
      </c>
      <c r="C73" s="27" t="s">
        <v>262</v>
      </c>
      <c r="D73" s="27" t="s">
        <v>263</v>
      </c>
      <c r="E73" s="28" t="s">
        <v>46</v>
      </c>
      <c r="F73" s="29" t="s">
        <v>46</v>
      </c>
      <c r="G73" s="30" t="s">
        <v>46</v>
      </c>
      <c r="H73" s="25"/>
      <c r="I73" s="25" t="s">
        <v>47</v>
      </c>
      <c r="J73" s="31">
        <v>1</v>
      </c>
      <c r="K73" s="35">
        <f>21160</f>
        <v>21160</v>
      </c>
      <c r="L73" s="32" t="s">
        <v>48</v>
      </c>
      <c r="M73" s="35">
        <f>26585</f>
        <v>26585</v>
      </c>
      <c r="N73" s="32" t="s">
        <v>70</v>
      </c>
      <c r="O73" s="35">
        <f>21070</f>
        <v>21070</v>
      </c>
      <c r="P73" s="32" t="s">
        <v>48</v>
      </c>
      <c r="Q73" s="35">
        <f>24695</f>
        <v>24695</v>
      </c>
      <c r="R73" s="32" t="s">
        <v>50</v>
      </c>
      <c r="S73" s="34">
        <f>22980.53</f>
        <v>22980.53</v>
      </c>
      <c r="T73" s="31">
        <f>21498857</f>
        <v>21498857</v>
      </c>
      <c r="U73" s="31">
        <f>741550</f>
        <v>741550</v>
      </c>
      <c r="V73" s="31">
        <f>506222737902</f>
        <v>506222737902</v>
      </c>
      <c r="W73" s="31">
        <f>16472543652</f>
        <v>16472543652</v>
      </c>
      <c r="X73" s="33">
        <f>19</f>
        <v>19</v>
      </c>
    </row>
    <row r="74" spans="1:24">
      <c r="A74" s="27" t="s">
        <v>42</v>
      </c>
      <c r="B74" s="27" t="s">
        <v>264</v>
      </c>
      <c r="C74" s="27" t="s">
        <v>265</v>
      </c>
      <c r="D74" s="27" t="s">
        <v>266</v>
      </c>
      <c r="E74" s="28" t="s">
        <v>46</v>
      </c>
      <c r="F74" s="29" t="s">
        <v>46</v>
      </c>
      <c r="G74" s="30" t="s">
        <v>46</v>
      </c>
      <c r="H74" s="25"/>
      <c r="I74" s="25" t="s">
        <v>47</v>
      </c>
      <c r="J74" s="31">
        <v>1</v>
      </c>
      <c r="K74" s="35">
        <f>11420</f>
        <v>11420</v>
      </c>
      <c r="L74" s="32" t="s">
        <v>48</v>
      </c>
      <c r="M74" s="35">
        <f>15000</f>
        <v>15000</v>
      </c>
      <c r="N74" s="32" t="s">
        <v>70</v>
      </c>
      <c r="O74" s="35">
        <f>10465</f>
        <v>10465</v>
      </c>
      <c r="P74" s="32" t="s">
        <v>257</v>
      </c>
      <c r="Q74" s="35">
        <f>13500</f>
        <v>13500</v>
      </c>
      <c r="R74" s="32" t="s">
        <v>50</v>
      </c>
      <c r="S74" s="34">
        <f>12220.79</f>
        <v>12220.79</v>
      </c>
      <c r="T74" s="31">
        <f>7064216</f>
        <v>7064216</v>
      </c>
      <c r="U74" s="31">
        <f>16641</f>
        <v>16641</v>
      </c>
      <c r="V74" s="31">
        <f>90511841624</f>
        <v>90511841624</v>
      </c>
      <c r="W74" s="31">
        <f>203679634</f>
        <v>203679634</v>
      </c>
      <c r="X74" s="33">
        <f>19</f>
        <v>19</v>
      </c>
    </row>
    <row r="75" spans="1:24">
      <c r="A75" s="27" t="s">
        <v>42</v>
      </c>
      <c r="B75" s="27" t="s">
        <v>267</v>
      </c>
      <c r="C75" s="27" t="s">
        <v>268</v>
      </c>
      <c r="D75" s="27" t="s">
        <v>269</v>
      </c>
      <c r="E75" s="28" t="s">
        <v>46</v>
      </c>
      <c r="F75" s="29" t="s">
        <v>46</v>
      </c>
      <c r="G75" s="30" t="s">
        <v>46</v>
      </c>
      <c r="H75" s="25"/>
      <c r="I75" s="25" t="s">
        <v>47</v>
      </c>
      <c r="J75" s="31">
        <v>1</v>
      </c>
      <c r="K75" s="35">
        <f>35900</f>
        <v>35900</v>
      </c>
      <c r="L75" s="32" t="s">
        <v>48</v>
      </c>
      <c r="M75" s="35">
        <f>65000</f>
        <v>65000</v>
      </c>
      <c r="N75" s="32" t="s">
        <v>50</v>
      </c>
      <c r="O75" s="35">
        <f>34590</f>
        <v>34590</v>
      </c>
      <c r="P75" s="32" t="s">
        <v>75</v>
      </c>
      <c r="Q75" s="35">
        <f>56800</f>
        <v>56800</v>
      </c>
      <c r="R75" s="32" t="s">
        <v>50</v>
      </c>
      <c r="S75" s="34">
        <f>45921.58</f>
        <v>45921.58</v>
      </c>
      <c r="T75" s="31">
        <f>13747056</f>
        <v>13747056</v>
      </c>
      <c r="U75" s="31">
        <f>65402</f>
        <v>65402</v>
      </c>
      <c r="V75" s="31">
        <f>692361493415</f>
        <v>692361493415</v>
      </c>
      <c r="W75" s="31">
        <f>3157213895</f>
        <v>3157213895</v>
      </c>
      <c r="X75" s="33">
        <f>19</f>
        <v>19</v>
      </c>
    </row>
    <row r="76" spans="1:24">
      <c r="A76" s="27" t="s">
        <v>42</v>
      </c>
      <c r="B76" s="27" t="s">
        <v>270</v>
      </c>
      <c r="C76" s="27" t="s">
        <v>271</v>
      </c>
      <c r="D76" s="27" t="s">
        <v>272</v>
      </c>
      <c r="E76" s="28" t="s">
        <v>46</v>
      </c>
      <c r="F76" s="29" t="s">
        <v>46</v>
      </c>
      <c r="G76" s="30" t="s">
        <v>46</v>
      </c>
      <c r="H76" s="25"/>
      <c r="I76" s="25" t="s">
        <v>47</v>
      </c>
      <c r="J76" s="31">
        <v>1</v>
      </c>
      <c r="K76" s="35">
        <f>77930</f>
        <v>77930</v>
      </c>
      <c r="L76" s="32" t="s">
        <v>48</v>
      </c>
      <c r="M76" s="35">
        <f>94730</f>
        <v>94730</v>
      </c>
      <c r="N76" s="32" t="s">
        <v>273</v>
      </c>
      <c r="O76" s="35">
        <f>75880</f>
        <v>75880</v>
      </c>
      <c r="P76" s="32" t="s">
        <v>48</v>
      </c>
      <c r="Q76" s="35">
        <f>86230</f>
        <v>86230</v>
      </c>
      <c r="R76" s="32" t="s">
        <v>50</v>
      </c>
      <c r="S76" s="34">
        <f>84498.95</f>
        <v>84498.95</v>
      </c>
      <c r="T76" s="31">
        <f>127431</f>
        <v>127431</v>
      </c>
      <c r="U76" s="31">
        <f>2662</f>
        <v>2662</v>
      </c>
      <c r="V76" s="31">
        <f>10976260534</f>
        <v>10976260534</v>
      </c>
      <c r="W76" s="31">
        <f>227411284</f>
        <v>227411284</v>
      </c>
      <c r="X76" s="33">
        <f>19</f>
        <v>19</v>
      </c>
    </row>
    <row r="77" spans="1:24">
      <c r="A77" s="27" t="s">
        <v>42</v>
      </c>
      <c r="B77" s="27" t="s">
        <v>274</v>
      </c>
      <c r="C77" s="27" t="s">
        <v>275</v>
      </c>
      <c r="D77" s="27" t="s">
        <v>276</v>
      </c>
      <c r="E77" s="28" t="s">
        <v>46</v>
      </c>
      <c r="F77" s="29" t="s">
        <v>46</v>
      </c>
      <c r="G77" s="30" t="s">
        <v>46</v>
      </c>
      <c r="H77" s="25"/>
      <c r="I77" s="25" t="s">
        <v>47</v>
      </c>
      <c r="J77" s="31">
        <v>1</v>
      </c>
      <c r="K77" s="35">
        <f>40060</f>
        <v>40060</v>
      </c>
      <c r="L77" s="32" t="s">
        <v>48</v>
      </c>
      <c r="M77" s="35">
        <f>41470</f>
        <v>41470</v>
      </c>
      <c r="N77" s="32" t="s">
        <v>74</v>
      </c>
      <c r="O77" s="35">
        <f>39570</f>
        <v>39570</v>
      </c>
      <c r="P77" s="32" t="s">
        <v>273</v>
      </c>
      <c r="Q77" s="35">
        <f>39900</f>
        <v>39900</v>
      </c>
      <c r="R77" s="32" t="s">
        <v>50</v>
      </c>
      <c r="S77" s="34">
        <f>40465.79</f>
        <v>40465.79</v>
      </c>
      <c r="T77" s="31">
        <f>861068</f>
        <v>861068</v>
      </c>
      <c r="U77" s="31">
        <f>136421</f>
        <v>136421</v>
      </c>
      <c r="V77" s="31">
        <f>35003332133</f>
        <v>35003332133</v>
      </c>
      <c r="W77" s="31">
        <f>5614909763</f>
        <v>5614909763</v>
      </c>
      <c r="X77" s="33">
        <f>19</f>
        <v>19</v>
      </c>
    </row>
    <row r="78" spans="1:24">
      <c r="A78" s="27" t="s">
        <v>42</v>
      </c>
      <c r="B78" s="27" t="s">
        <v>277</v>
      </c>
      <c r="C78" s="27" t="s">
        <v>278</v>
      </c>
      <c r="D78" s="27" t="s">
        <v>279</v>
      </c>
      <c r="E78" s="28" t="s">
        <v>46</v>
      </c>
      <c r="F78" s="29" t="s">
        <v>46</v>
      </c>
      <c r="G78" s="30" t="s">
        <v>46</v>
      </c>
      <c r="H78" s="25"/>
      <c r="I78" s="25" t="s">
        <v>47</v>
      </c>
      <c r="J78" s="31">
        <v>1</v>
      </c>
      <c r="K78" s="35">
        <f>73960</f>
        <v>73960</v>
      </c>
      <c r="L78" s="32" t="s">
        <v>48</v>
      </c>
      <c r="M78" s="35">
        <f>76760</f>
        <v>76760</v>
      </c>
      <c r="N78" s="32" t="s">
        <v>60</v>
      </c>
      <c r="O78" s="35">
        <f>72770</f>
        <v>72770</v>
      </c>
      <c r="P78" s="32" t="s">
        <v>61</v>
      </c>
      <c r="Q78" s="35">
        <f>72970</f>
        <v>72970</v>
      </c>
      <c r="R78" s="32" t="s">
        <v>50</v>
      </c>
      <c r="S78" s="34">
        <f>74964.21</f>
        <v>74964.210000000006</v>
      </c>
      <c r="T78" s="31">
        <f>75219</f>
        <v>75219</v>
      </c>
      <c r="U78" s="31">
        <f>24824</f>
        <v>24824</v>
      </c>
      <c r="V78" s="31">
        <f>5647275950</f>
        <v>5647275950</v>
      </c>
      <c r="W78" s="31">
        <f>1875581220</f>
        <v>1875581220</v>
      </c>
      <c r="X78" s="33">
        <f>19</f>
        <v>19</v>
      </c>
    </row>
    <row r="79" spans="1:24">
      <c r="A79" s="27" t="s">
        <v>42</v>
      </c>
      <c r="B79" s="27" t="s">
        <v>280</v>
      </c>
      <c r="C79" s="27" t="s">
        <v>281</v>
      </c>
      <c r="D79" s="27" t="s">
        <v>282</v>
      </c>
      <c r="E79" s="28" t="s">
        <v>46</v>
      </c>
      <c r="F79" s="29" t="s">
        <v>46</v>
      </c>
      <c r="G79" s="30" t="s">
        <v>46</v>
      </c>
      <c r="H79" s="25"/>
      <c r="I79" s="25" t="s">
        <v>47</v>
      </c>
      <c r="J79" s="31">
        <v>1</v>
      </c>
      <c r="K79" s="35">
        <f>11775</f>
        <v>11775</v>
      </c>
      <c r="L79" s="32" t="s">
        <v>48</v>
      </c>
      <c r="M79" s="35">
        <f>12130</f>
        <v>12130</v>
      </c>
      <c r="N79" s="32" t="s">
        <v>74</v>
      </c>
      <c r="O79" s="35">
        <f>11480</f>
        <v>11480</v>
      </c>
      <c r="P79" s="32" t="s">
        <v>273</v>
      </c>
      <c r="Q79" s="35">
        <f>11515</f>
        <v>11515</v>
      </c>
      <c r="R79" s="32" t="s">
        <v>50</v>
      </c>
      <c r="S79" s="34">
        <f>11792.89</f>
        <v>11792.89</v>
      </c>
      <c r="T79" s="31">
        <f>767191</f>
        <v>767191</v>
      </c>
      <c r="U79" s="31">
        <f>81262</f>
        <v>81262</v>
      </c>
      <c r="V79" s="31">
        <f>9081863711</f>
        <v>9081863711</v>
      </c>
      <c r="W79" s="31">
        <f>963378151</f>
        <v>963378151</v>
      </c>
      <c r="X79" s="33">
        <f>19</f>
        <v>19</v>
      </c>
    </row>
    <row r="80" spans="1:24">
      <c r="A80" s="27" t="s">
        <v>42</v>
      </c>
      <c r="B80" s="27" t="s">
        <v>283</v>
      </c>
      <c r="C80" s="27" t="s">
        <v>284</v>
      </c>
      <c r="D80" s="27" t="s">
        <v>285</v>
      </c>
      <c r="E80" s="28" t="s">
        <v>46</v>
      </c>
      <c r="F80" s="29" t="s">
        <v>46</v>
      </c>
      <c r="G80" s="30" t="s">
        <v>46</v>
      </c>
      <c r="H80" s="25"/>
      <c r="I80" s="25" t="s">
        <v>47</v>
      </c>
      <c r="J80" s="31">
        <v>1</v>
      </c>
      <c r="K80" s="35">
        <f>7230</f>
        <v>7230</v>
      </c>
      <c r="L80" s="32" t="s">
        <v>48</v>
      </c>
      <c r="M80" s="35">
        <f>7457</f>
        <v>7457</v>
      </c>
      <c r="N80" s="32" t="s">
        <v>74</v>
      </c>
      <c r="O80" s="35">
        <f>7181</f>
        <v>7181</v>
      </c>
      <c r="P80" s="32" t="s">
        <v>273</v>
      </c>
      <c r="Q80" s="35">
        <f>7196</f>
        <v>7196</v>
      </c>
      <c r="R80" s="32" t="s">
        <v>50</v>
      </c>
      <c r="S80" s="34">
        <f>7312.37</f>
        <v>7312.37</v>
      </c>
      <c r="T80" s="31">
        <f>163807</f>
        <v>163807</v>
      </c>
      <c r="U80" s="31">
        <f>4946</f>
        <v>4946</v>
      </c>
      <c r="V80" s="31">
        <f>1196499943</f>
        <v>1196499943</v>
      </c>
      <c r="W80" s="31">
        <f>36160129</f>
        <v>36160129</v>
      </c>
      <c r="X80" s="33">
        <f>19</f>
        <v>19</v>
      </c>
    </row>
    <row r="81" spans="1:24">
      <c r="A81" s="27" t="s">
        <v>42</v>
      </c>
      <c r="B81" s="27" t="s">
        <v>286</v>
      </c>
      <c r="C81" s="27" t="s">
        <v>287</v>
      </c>
      <c r="D81" s="27" t="s">
        <v>288</v>
      </c>
      <c r="E81" s="28" t="s">
        <v>46</v>
      </c>
      <c r="F81" s="29" t="s">
        <v>46</v>
      </c>
      <c r="G81" s="30" t="s">
        <v>46</v>
      </c>
      <c r="H81" s="25"/>
      <c r="I81" s="25" t="s">
        <v>47</v>
      </c>
      <c r="J81" s="31">
        <v>10</v>
      </c>
      <c r="K81" s="35">
        <f>6150</f>
        <v>6150</v>
      </c>
      <c r="L81" s="32" t="s">
        <v>48</v>
      </c>
      <c r="M81" s="35">
        <f>6600</f>
        <v>6600</v>
      </c>
      <c r="N81" s="32" t="s">
        <v>155</v>
      </c>
      <c r="O81" s="35">
        <f>6052</f>
        <v>6052</v>
      </c>
      <c r="P81" s="32" t="s">
        <v>48</v>
      </c>
      <c r="Q81" s="35">
        <f>6235</f>
        <v>6235</v>
      </c>
      <c r="R81" s="32" t="s">
        <v>50</v>
      </c>
      <c r="S81" s="34">
        <f>6378.79</f>
        <v>6378.79</v>
      </c>
      <c r="T81" s="31">
        <f>3220</f>
        <v>3220</v>
      </c>
      <c r="U81" s="31">
        <f>10</f>
        <v>10</v>
      </c>
      <c r="V81" s="31">
        <f>20498920</f>
        <v>20498920</v>
      </c>
      <c r="W81" s="31">
        <f>64520</f>
        <v>64520</v>
      </c>
      <c r="X81" s="33">
        <f>19</f>
        <v>19</v>
      </c>
    </row>
    <row r="82" spans="1:24">
      <c r="A82" s="27" t="s">
        <v>42</v>
      </c>
      <c r="B82" s="27" t="s">
        <v>289</v>
      </c>
      <c r="C82" s="27" t="s">
        <v>290</v>
      </c>
      <c r="D82" s="27" t="s">
        <v>291</v>
      </c>
      <c r="E82" s="28" t="s">
        <v>46</v>
      </c>
      <c r="F82" s="29" t="s">
        <v>46</v>
      </c>
      <c r="G82" s="30" t="s">
        <v>46</v>
      </c>
      <c r="H82" s="25"/>
      <c r="I82" s="25" t="s">
        <v>47</v>
      </c>
      <c r="J82" s="31">
        <v>1</v>
      </c>
      <c r="K82" s="35">
        <f>6083</f>
        <v>6083</v>
      </c>
      <c r="L82" s="32" t="s">
        <v>48</v>
      </c>
      <c r="M82" s="35">
        <f>6282</f>
        <v>6282</v>
      </c>
      <c r="N82" s="32" t="s">
        <v>74</v>
      </c>
      <c r="O82" s="35">
        <f>5967</f>
        <v>5967</v>
      </c>
      <c r="P82" s="32" t="s">
        <v>273</v>
      </c>
      <c r="Q82" s="35">
        <f>6015</f>
        <v>6015</v>
      </c>
      <c r="R82" s="32" t="s">
        <v>50</v>
      </c>
      <c r="S82" s="34">
        <f>6121.68</f>
        <v>6121.68</v>
      </c>
      <c r="T82" s="31">
        <f>119356</f>
        <v>119356</v>
      </c>
      <c r="U82" s="31">
        <f>2619</f>
        <v>2619</v>
      </c>
      <c r="V82" s="31">
        <f>729110739</f>
        <v>729110739</v>
      </c>
      <c r="W82" s="31">
        <f>16084625</f>
        <v>16084625</v>
      </c>
      <c r="X82" s="33">
        <f>19</f>
        <v>19</v>
      </c>
    </row>
    <row r="83" spans="1:24">
      <c r="A83" s="27" t="s">
        <v>42</v>
      </c>
      <c r="B83" s="27" t="s">
        <v>292</v>
      </c>
      <c r="C83" s="27" t="s">
        <v>293</v>
      </c>
      <c r="D83" s="27" t="s">
        <v>294</v>
      </c>
      <c r="E83" s="28" t="s">
        <v>46</v>
      </c>
      <c r="F83" s="29" t="s">
        <v>46</v>
      </c>
      <c r="G83" s="30" t="s">
        <v>46</v>
      </c>
      <c r="H83" s="25"/>
      <c r="I83" s="25" t="s">
        <v>47</v>
      </c>
      <c r="J83" s="31">
        <v>1</v>
      </c>
      <c r="K83" s="35">
        <f>2518</f>
        <v>2518</v>
      </c>
      <c r="L83" s="32" t="s">
        <v>48</v>
      </c>
      <c r="M83" s="35">
        <f>2583</f>
        <v>2583</v>
      </c>
      <c r="N83" s="32" t="s">
        <v>155</v>
      </c>
      <c r="O83" s="35">
        <f>2495</f>
        <v>2495</v>
      </c>
      <c r="P83" s="32" t="s">
        <v>69</v>
      </c>
      <c r="Q83" s="35">
        <f>2529</f>
        <v>2529</v>
      </c>
      <c r="R83" s="32" t="s">
        <v>50</v>
      </c>
      <c r="S83" s="34">
        <f>2529.11</f>
        <v>2529.11</v>
      </c>
      <c r="T83" s="31">
        <f>86959</f>
        <v>86959</v>
      </c>
      <c r="U83" s="31">
        <f>460</f>
        <v>460</v>
      </c>
      <c r="V83" s="31">
        <f>220117358</f>
        <v>220117358</v>
      </c>
      <c r="W83" s="31">
        <f>1157276</f>
        <v>1157276</v>
      </c>
      <c r="X83" s="33">
        <f>19</f>
        <v>19</v>
      </c>
    </row>
    <row r="84" spans="1:24">
      <c r="A84" s="27" t="s">
        <v>42</v>
      </c>
      <c r="B84" s="27" t="s">
        <v>295</v>
      </c>
      <c r="C84" s="27" t="s">
        <v>296</v>
      </c>
      <c r="D84" s="27" t="s">
        <v>297</v>
      </c>
      <c r="E84" s="28" t="s">
        <v>46</v>
      </c>
      <c r="F84" s="29" t="s">
        <v>46</v>
      </c>
      <c r="G84" s="30" t="s">
        <v>46</v>
      </c>
      <c r="H84" s="25"/>
      <c r="I84" s="25" t="s">
        <v>47</v>
      </c>
      <c r="J84" s="31">
        <v>1</v>
      </c>
      <c r="K84" s="35">
        <f>107350</f>
        <v>107350</v>
      </c>
      <c r="L84" s="32" t="s">
        <v>48</v>
      </c>
      <c r="M84" s="35">
        <f>110600</f>
        <v>110600</v>
      </c>
      <c r="N84" s="32" t="s">
        <v>74</v>
      </c>
      <c r="O84" s="35">
        <f>105800</f>
        <v>105800</v>
      </c>
      <c r="P84" s="32" t="s">
        <v>273</v>
      </c>
      <c r="Q84" s="35">
        <f>106250</f>
        <v>106250</v>
      </c>
      <c r="R84" s="32" t="s">
        <v>50</v>
      </c>
      <c r="S84" s="34">
        <f>108231.58</f>
        <v>108231.58</v>
      </c>
      <c r="T84" s="31">
        <f>54599</f>
        <v>54599</v>
      </c>
      <c r="U84" s="31">
        <f>1500</f>
        <v>1500</v>
      </c>
      <c r="V84" s="31">
        <f>5893473765</f>
        <v>5893473765</v>
      </c>
      <c r="W84" s="31">
        <f>160402415</f>
        <v>160402415</v>
      </c>
      <c r="X84" s="33">
        <f>19</f>
        <v>19</v>
      </c>
    </row>
    <row r="85" spans="1:24">
      <c r="A85" s="27" t="s">
        <v>42</v>
      </c>
      <c r="B85" s="27" t="s">
        <v>298</v>
      </c>
      <c r="C85" s="27" t="s">
        <v>299</v>
      </c>
      <c r="D85" s="27" t="s">
        <v>300</v>
      </c>
      <c r="E85" s="28" t="s">
        <v>46</v>
      </c>
      <c r="F85" s="29" t="s">
        <v>46</v>
      </c>
      <c r="G85" s="30" t="s">
        <v>46</v>
      </c>
      <c r="H85" s="25"/>
      <c r="I85" s="25" t="s">
        <v>47</v>
      </c>
      <c r="J85" s="31">
        <v>1</v>
      </c>
      <c r="K85" s="35">
        <f>3859</f>
        <v>3859</v>
      </c>
      <c r="L85" s="32" t="s">
        <v>48</v>
      </c>
      <c r="M85" s="35">
        <f>4124</f>
        <v>4124</v>
      </c>
      <c r="N85" s="32" t="s">
        <v>206</v>
      </c>
      <c r="O85" s="35">
        <f>3825</f>
        <v>3825</v>
      </c>
      <c r="P85" s="32" t="s">
        <v>60</v>
      </c>
      <c r="Q85" s="35">
        <f>4002</f>
        <v>4002</v>
      </c>
      <c r="R85" s="32" t="s">
        <v>50</v>
      </c>
      <c r="S85" s="34">
        <f>3975.89</f>
        <v>3975.89</v>
      </c>
      <c r="T85" s="31">
        <f>19319</f>
        <v>19319</v>
      </c>
      <c r="U85" s="31">
        <f>2</f>
        <v>2</v>
      </c>
      <c r="V85" s="31">
        <f>77240253</f>
        <v>77240253</v>
      </c>
      <c r="W85" s="31">
        <f>7700</f>
        <v>7700</v>
      </c>
      <c r="X85" s="33">
        <f>19</f>
        <v>19</v>
      </c>
    </row>
    <row r="86" spans="1:24">
      <c r="A86" s="27" t="s">
        <v>42</v>
      </c>
      <c r="B86" s="27" t="s">
        <v>301</v>
      </c>
      <c r="C86" s="27" t="s">
        <v>302</v>
      </c>
      <c r="D86" s="27" t="s">
        <v>303</v>
      </c>
      <c r="E86" s="28" t="s">
        <v>46</v>
      </c>
      <c r="F86" s="29" t="s">
        <v>46</v>
      </c>
      <c r="G86" s="30" t="s">
        <v>46</v>
      </c>
      <c r="H86" s="25"/>
      <c r="I86" s="25" t="s">
        <v>47</v>
      </c>
      <c r="J86" s="31">
        <v>1</v>
      </c>
      <c r="K86" s="35">
        <f>6340</f>
        <v>6340</v>
      </c>
      <c r="L86" s="32" t="s">
        <v>48</v>
      </c>
      <c r="M86" s="35">
        <f>7200</f>
        <v>7200</v>
      </c>
      <c r="N86" s="32" t="s">
        <v>61</v>
      </c>
      <c r="O86" s="35">
        <f>6230</f>
        <v>6230</v>
      </c>
      <c r="P86" s="32" t="s">
        <v>48</v>
      </c>
      <c r="Q86" s="35">
        <f>6700</f>
        <v>6700</v>
      </c>
      <c r="R86" s="32" t="s">
        <v>50</v>
      </c>
      <c r="S86" s="34">
        <f>6524.68</f>
        <v>6524.68</v>
      </c>
      <c r="T86" s="31">
        <f>28697</f>
        <v>28697</v>
      </c>
      <c r="U86" s="31" t="str">
        <f>"－"</f>
        <v>－</v>
      </c>
      <c r="V86" s="31">
        <f>190582677</f>
        <v>190582677</v>
      </c>
      <c r="W86" s="31" t="str">
        <f>"－"</f>
        <v>－</v>
      </c>
      <c r="X86" s="33">
        <f>19</f>
        <v>19</v>
      </c>
    </row>
    <row r="87" spans="1:24">
      <c r="A87" s="27" t="s">
        <v>42</v>
      </c>
      <c r="B87" s="27" t="s">
        <v>304</v>
      </c>
      <c r="C87" s="27" t="s">
        <v>305</v>
      </c>
      <c r="D87" s="27" t="s">
        <v>306</v>
      </c>
      <c r="E87" s="28" t="s">
        <v>46</v>
      </c>
      <c r="F87" s="29" t="s">
        <v>46</v>
      </c>
      <c r="G87" s="30" t="s">
        <v>46</v>
      </c>
      <c r="H87" s="25"/>
      <c r="I87" s="25" t="s">
        <v>47</v>
      </c>
      <c r="J87" s="31">
        <v>1</v>
      </c>
      <c r="K87" s="35">
        <f>2137</f>
        <v>2137</v>
      </c>
      <c r="L87" s="32" t="s">
        <v>48</v>
      </c>
      <c r="M87" s="35">
        <f>2350</f>
        <v>2350</v>
      </c>
      <c r="N87" s="32" t="s">
        <v>202</v>
      </c>
      <c r="O87" s="35">
        <f>2101</f>
        <v>2101</v>
      </c>
      <c r="P87" s="32" t="s">
        <v>48</v>
      </c>
      <c r="Q87" s="35">
        <f>2209</f>
        <v>2209</v>
      </c>
      <c r="R87" s="32" t="s">
        <v>50</v>
      </c>
      <c r="S87" s="34">
        <f>2232.32</f>
        <v>2232.3200000000002</v>
      </c>
      <c r="T87" s="31">
        <f>575643</f>
        <v>575643</v>
      </c>
      <c r="U87" s="31">
        <f>1344</f>
        <v>1344</v>
      </c>
      <c r="V87" s="31">
        <f>1284864518</f>
        <v>1284864518</v>
      </c>
      <c r="W87" s="31">
        <f>3025371</f>
        <v>3025371</v>
      </c>
      <c r="X87" s="33">
        <f>19</f>
        <v>19</v>
      </c>
    </row>
    <row r="88" spans="1:24">
      <c r="A88" s="27" t="s">
        <v>42</v>
      </c>
      <c r="B88" s="27" t="s">
        <v>307</v>
      </c>
      <c r="C88" s="27" t="s">
        <v>308</v>
      </c>
      <c r="D88" s="27" t="s">
        <v>309</v>
      </c>
      <c r="E88" s="28" t="s">
        <v>46</v>
      </c>
      <c r="F88" s="29" t="s">
        <v>46</v>
      </c>
      <c r="G88" s="30" t="s">
        <v>46</v>
      </c>
      <c r="H88" s="25"/>
      <c r="I88" s="25" t="s">
        <v>47</v>
      </c>
      <c r="J88" s="31">
        <v>1</v>
      </c>
      <c r="K88" s="35">
        <f>54120</f>
        <v>54120</v>
      </c>
      <c r="L88" s="32" t="s">
        <v>48</v>
      </c>
      <c r="M88" s="35">
        <f>55000</f>
        <v>55000</v>
      </c>
      <c r="N88" s="32" t="s">
        <v>155</v>
      </c>
      <c r="O88" s="35">
        <f>53510</f>
        <v>53510</v>
      </c>
      <c r="P88" s="32" t="s">
        <v>223</v>
      </c>
      <c r="Q88" s="35">
        <f>53910</f>
        <v>53910</v>
      </c>
      <c r="R88" s="32" t="s">
        <v>50</v>
      </c>
      <c r="S88" s="34">
        <f>54526.32</f>
        <v>54526.32</v>
      </c>
      <c r="T88" s="31">
        <f>16557</f>
        <v>16557</v>
      </c>
      <c r="U88" s="31">
        <f>103</f>
        <v>103</v>
      </c>
      <c r="V88" s="31">
        <f>901492587</f>
        <v>901492587</v>
      </c>
      <c r="W88" s="31">
        <f>5392027</f>
        <v>5392027</v>
      </c>
      <c r="X88" s="33">
        <f>19</f>
        <v>19</v>
      </c>
    </row>
    <row r="89" spans="1:24">
      <c r="A89" s="27" t="s">
        <v>42</v>
      </c>
      <c r="B89" s="27" t="s">
        <v>310</v>
      </c>
      <c r="C89" s="27" t="s">
        <v>311</v>
      </c>
      <c r="D89" s="27" t="s">
        <v>312</v>
      </c>
      <c r="E89" s="28" t="s">
        <v>46</v>
      </c>
      <c r="F89" s="29" t="s">
        <v>46</v>
      </c>
      <c r="G89" s="30" t="s">
        <v>46</v>
      </c>
      <c r="H89" s="25"/>
      <c r="I89" s="25" t="s">
        <v>47</v>
      </c>
      <c r="J89" s="31">
        <v>10</v>
      </c>
      <c r="K89" s="35">
        <f>728.6</f>
        <v>728.6</v>
      </c>
      <c r="L89" s="32" t="s">
        <v>48</v>
      </c>
      <c r="M89" s="35">
        <f>828.6</f>
        <v>828.6</v>
      </c>
      <c r="N89" s="32" t="s">
        <v>49</v>
      </c>
      <c r="O89" s="35">
        <f>728.6</f>
        <v>728.6</v>
      </c>
      <c r="P89" s="32" t="s">
        <v>48</v>
      </c>
      <c r="Q89" s="35">
        <f>780.2</f>
        <v>780.2</v>
      </c>
      <c r="R89" s="32" t="s">
        <v>50</v>
      </c>
      <c r="S89" s="34">
        <f>785.04</f>
        <v>785.04</v>
      </c>
      <c r="T89" s="31">
        <f>91513180</f>
        <v>91513180</v>
      </c>
      <c r="U89" s="31">
        <f>193250</f>
        <v>193250</v>
      </c>
      <c r="V89" s="31">
        <f>71422088377</f>
        <v>71422088377</v>
      </c>
      <c r="W89" s="31">
        <f>154211734</f>
        <v>154211734</v>
      </c>
      <c r="X89" s="33">
        <f>19</f>
        <v>19</v>
      </c>
    </row>
    <row r="90" spans="1:24">
      <c r="A90" s="27" t="s">
        <v>42</v>
      </c>
      <c r="B90" s="27" t="s">
        <v>313</v>
      </c>
      <c r="C90" s="27" t="s">
        <v>314</v>
      </c>
      <c r="D90" s="27" t="s">
        <v>315</v>
      </c>
      <c r="E90" s="28" t="s">
        <v>46</v>
      </c>
      <c r="F90" s="29" t="s">
        <v>46</v>
      </c>
      <c r="G90" s="30" t="s">
        <v>46</v>
      </c>
      <c r="H90" s="25"/>
      <c r="I90" s="25" t="s">
        <v>47</v>
      </c>
      <c r="J90" s="31">
        <v>10</v>
      </c>
      <c r="K90" s="35">
        <f>911.2</f>
        <v>911.2</v>
      </c>
      <c r="L90" s="32" t="s">
        <v>48</v>
      </c>
      <c r="M90" s="35">
        <f>911.2</f>
        <v>911.2</v>
      </c>
      <c r="N90" s="32" t="s">
        <v>48</v>
      </c>
      <c r="O90" s="35">
        <f>855</f>
        <v>855</v>
      </c>
      <c r="P90" s="32" t="s">
        <v>49</v>
      </c>
      <c r="Q90" s="35">
        <f>879.2</f>
        <v>879.2</v>
      </c>
      <c r="R90" s="32" t="s">
        <v>50</v>
      </c>
      <c r="S90" s="34">
        <f>878.59</f>
        <v>878.59</v>
      </c>
      <c r="T90" s="31">
        <f>3705130</f>
        <v>3705130</v>
      </c>
      <c r="U90" s="31">
        <f>2396810</f>
        <v>2396810</v>
      </c>
      <c r="V90" s="31">
        <f>3202919232</f>
        <v>3202919232</v>
      </c>
      <c r="W90" s="31">
        <f>2054803217</f>
        <v>2054803217</v>
      </c>
      <c r="X90" s="33">
        <f>19</f>
        <v>19</v>
      </c>
    </row>
    <row r="91" spans="1:24">
      <c r="A91" s="27" t="s">
        <v>42</v>
      </c>
      <c r="B91" s="27" t="s">
        <v>316</v>
      </c>
      <c r="C91" s="27" t="s">
        <v>317</v>
      </c>
      <c r="D91" s="27" t="s">
        <v>318</v>
      </c>
      <c r="E91" s="28" t="s">
        <v>46</v>
      </c>
      <c r="F91" s="29" t="s">
        <v>46</v>
      </c>
      <c r="G91" s="30" t="s">
        <v>46</v>
      </c>
      <c r="H91" s="25"/>
      <c r="I91" s="25" t="s">
        <v>47</v>
      </c>
      <c r="J91" s="31">
        <v>1</v>
      </c>
      <c r="K91" s="35">
        <f>45000</f>
        <v>45000</v>
      </c>
      <c r="L91" s="32" t="s">
        <v>48</v>
      </c>
      <c r="M91" s="35">
        <f>50330</f>
        <v>50330</v>
      </c>
      <c r="N91" s="32" t="s">
        <v>74</v>
      </c>
      <c r="O91" s="35">
        <f>44240</f>
        <v>44240</v>
      </c>
      <c r="P91" s="32" t="s">
        <v>75</v>
      </c>
      <c r="Q91" s="35">
        <f>48070</f>
        <v>48070</v>
      </c>
      <c r="R91" s="32" t="s">
        <v>50</v>
      </c>
      <c r="S91" s="34">
        <f>47742.11</f>
        <v>47742.11</v>
      </c>
      <c r="T91" s="31">
        <f>64158700</f>
        <v>64158700</v>
      </c>
      <c r="U91" s="31">
        <f>689939</f>
        <v>689939</v>
      </c>
      <c r="V91" s="31">
        <f>3056951902559</f>
        <v>3056951902559</v>
      </c>
      <c r="W91" s="31">
        <f>32819944909</f>
        <v>32819944909</v>
      </c>
      <c r="X91" s="33">
        <f>19</f>
        <v>19</v>
      </c>
    </row>
    <row r="92" spans="1:24">
      <c r="A92" s="27" t="s">
        <v>42</v>
      </c>
      <c r="B92" s="27" t="s">
        <v>319</v>
      </c>
      <c r="C92" s="27" t="s">
        <v>320</v>
      </c>
      <c r="D92" s="27" t="s">
        <v>321</v>
      </c>
      <c r="E92" s="28" t="s">
        <v>46</v>
      </c>
      <c r="F92" s="29" t="s">
        <v>46</v>
      </c>
      <c r="G92" s="30" t="s">
        <v>46</v>
      </c>
      <c r="H92" s="25"/>
      <c r="I92" s="25" t="s">
        <v>47</v>
      </c>
      <c r="J92" s="31">
        <v>1</v>
      </c>
      <c r="K92" s="35">
        <f>410</f>
        <v>410</v>
      </c>
      <c r="L92" s="32" t="s">
        <v>48</v>
      </c>
      <c r="M92" s="35">
        <f>411</f>
        <v>411</v>
      </c>
      <c r="N92" s="32" t="s">
        <v>75</v>
      </c>
      <c r="O92" s="35">
        <f>383</f>
        <v>383</v>
      </c>
      <c r="P92" s="32" t="s">
        <v>74</v>
      </c>
      <c r="Q92" s="35">
        <f>391</f>
        <v>391</v>
      </c>
      <c r="R92" s="32" t="s">
        <v>50</v>
      </c>
      <c r="S92" s="34">
        <f>394.05</f>
        <v>394.05</v>
      </c>
      <c r="T92" s="31">
        <f>42696471</f>
        <v>42696471</v>
      </c>
      <c r="U92" s="31">
        <f>5686825</f>
        <v>5686825</v>
      </c>
      <c r="V92" s="31">
        <f>16866327211</f>
        <v>16866327211</v>
      </c>
      <c r="W92" s="31">
        <f>2279610706</f>
        <v>2279610706</v>
      </c>
      <c r="X92" s="33">
        <f>19</f>
        <v>19</v>
      </c>
    </row>
    <row r="93" spans="1:24">
      <c r="A93" s="27" t="s">
        <v>42</v>
      </c>
      <c r="B93" s="27" t="s">
        <v>322</v>
      </c>
      <c r="C93" s="27" t="s">
        <v>323</v>
      </c>
      <c r="D93" s="27" t="s">
        <v>324</v>
      </c>
      <c r="E93" s="28" t="s">
        <v>46</v>
      </c>
      <c r="F93" s="29" t="s">
        <v>46</v>
      </c>
      <c r="G93" s="30" t="s">
        <v>46</v>
      </c>
      <c r="H93" s="25"/>
      <c r="I93" s="25" t="s">
        <v>47</v>
      </c>
      <c r="J93" s="31">
        <v>10</v>
      </c>
      <c r="K93" s="35">
        <f>8408</f>
        <v>8408</v>
      </c>
      <c r="L93" s="32" t="s">
        <v>48</v>
      </c>
      <c r="M93" s="35">
        <f>8814</f>
        <v>8814</v>
      </c>
      <c r="N93" s="32" t="s">
        <v>74</v>
      </c>
      <c r="O93" s="35">
        <f>7961</f>
        <v>7961</v>
      </c>
      <c r="P93" s="32" t="s">
        <v>75</v>
      </c>
      <c r="Q93" s="35">
        <f>8386</f>
        <v>8386</v>
      </c>
      <c r="R93" s="32" t="s">
        <v>50</v>
      </c>
      <c r="S93" s="34">
        <f>8379.16</f>
        <v>8379.16</v>
      </c>
      <c r="T93" s="31">
        <f>119780</f>
        <v>119780</v>
      </c>
      <c r="U93" s="31" t="str">
        <f>"－"</f>
        <v>－</v>
      </c>
      <c r="V93" s="31">
        <f>1013075340</f>
        <v>1013075340</v>
      </c>
      <c r="W93" s="31" t="str">
        <f>"－"</f>
        <v>－</v>
      </c>
      <c r="X93" s="33">
        <f>19</f>
        <v>19</v>
      </c>
    </row>
    <row r="94" spans="1:24">
      <c r="A94" s="27" t="s">
        <v>42</v>
      </c>
      <c r="B94" s="27" t="s">
        <v>325</v>
      </c>
      <c r="C94" s="27" t="s">
        <v>326</v>
      </c>
      <c r="D94" s="27" t="s">
        <v>327</v>
      </c>
      <c r="E94" s="28" t="s">
        <v>46</v>
      </c>
      <c r="F94" s="29" t="s">
        <v>46</v>
      </c>
      <c r="G94" s="30" t="s">
        <v>46</v>
      </c>
      <c r="H94" s="25"/>
      <c r="I94" s="25" t="s">
        <v>47</v>
      </c>
      <c r="J94" s="31">
        <v>10</v>
      </c>
      <c r="K94" s="35">
        <f>7788</f>
        <v>7788</v>
      </c>
      <c r="L94" s="32" t="s">
        <v>48</v>
      </c>
      <c r="M94" s="35">
        <f>7953</f>
        <v>7953</v>
      </c>
      <c r="N94" s="32" t="s">
        <v>206</v>
      </c>
      <c r="O94" s="35">
        <f>6983</f>
        <v>6983</v>
      </c>
      <c r="P94" s="32" t="s">
        <v>61</v>
      </c>
      <c r="Q94" s="35">
        <f>7463</f>
        <v>7463</v>
      </c>
      <c r="R94" s="32" t="s">
        <v>50</v>
      </c>
      <c r="S94" s="34">
        <f>7718.58</f>
        <v>7718.58</v>
      </c>
      <c r="T94" s="31">
        <f>23610</f>
        <v>23610</v>
      </c>
      <c r="U94" s="31" t="str">
        <f>"－"</f>
        <v>－</v>
      </c>
      <c r="V94" s="31">
        <f>180802630</f>
        <v>180802630</v>
      </c>
      <c r="W94" s="31" t="str">
        <f>"－"</f>
        <v>－</v>
      </c>
      <c r="X94" s="33">
        <f>19</f>
        <v>19</v>
      </c>
    </row>
    <row r="95" spans="1:24">
      <c r="A95" s="27" t="s">
        <v>42</v>
      </c>
      <c r="B95" s="27" t="s">
        <v>328</v>
      </c>
      <c r="C95" s="27" t="s">
        <v>329</v>
      </c>
      <c r="D95" s="27" t="s">
        <v>330</v>
      </c>
      <c r="E95" s="28" t="s">
        <v>46</v>
      </c>
      <c r="F95" s="29" t="s">
        <v>46</v>
      </c>
      <c r="G95" s="30" t="s">
        <v>46</v>
      </c>
      <c r="H95" s="25"/>
      <c r="I95" s="25" t="s">
        <v>47</v>
      </c>
      <c r="J95" s="31">
        <v>1</v>
      </c>
      <c r="K95" s="35">
        <f>49520</f>
        <v>49520</v>
      </c>
      <c r="L95" s="32" t="s">
        <v>48</v>
      </c>
      <c r="M95" s="35">
        <f>52970</f>
        <v>52970</v>
      </c>
      <c r="N95" s="32" t="s">
        <v>49</v>
      </c>
      <c r="O95" s="35">
        <f>49520</f>
        <v>49520</v>
      </c>
      <c r="P95" s="32" t="s">
        <v>48</v>
      </c>
      <c r="Q95" s="35">
        <f>51620</f>
        <v>51620</v>
      </c>
      <c r="R95" s="32" t="s">
        <v>50</v>
      </c>
      <c r="S95" s="34">
        <f>51493.16</f>
        <v>51493.16</v>
      </c>
      <c r="T95" s="31">
        <f>270731</f>
        <v>270731</v>
      </c>
      <c r="U95" s="31">
        <f>168785</f>
        <v>168785</v>
      </c>
      <c r="V95" s="31">
        <f>13942873725</f>
        <v>13942873725</v>
      </c>
      <c r="W95" s="31">
        <f>8698471725</f>
        <v>8698471725</v>
      </c>
      <c r="X95" s="33">
        <f>19</f>
        <v>19</v>
      </c>
    </row>
    <row r="96" spans="1:24">
      <c r="A96" s="27" t="s">
        <v>42</v>
      </c>
      <c r="B96" s="27" t="s">
        <v>331</v>
      </c>
      <c r="C96" s="27" t="s">
        <v>332</v>
      </c>
      <c r="D96" s="27" t="s">
        <v>333</v>
      </c>
      <c r="E96" s="28" t="s">
        <v>46</v>
      </c>
      <c r="F96" s="29" t="s">
        <v>46</v>
      </c>
      <c r="G96" s="30" t="s">
        <v>46</v>
      </c>
      <c r="H96" s="25"/>
      <c r="I96" s="25" t="s">
        <v>47</v>
      </c>
      <c r="J96" s="31">
        <v>1</v>
      </c>
      <c r="K96" s="35">
        <f>4105</f>
        <v>4105</v>
      </c>
      <c r="L96" s="32" t="s">
        <v>48</v>
      </c>
      <c r="M96" s="35">
        <f>4345</f>
        <v>4345</v>
      </c>
      <c r="N96" s="32" t="s">
        <v>74</v>
      </c>
      <c r="O96" s="35">
        <f>4071</f>
        <v>4071</v>
      </c>
      <c r="P96" s="32" t="s">
        <v>75</v>
      </c>
      <c r="Q96" s="35">
        <f>4242</f>
        <v>4242</v>
      </c>
      <c r="R96" s="32" t="s">
        <v>50</v>
      </c>
      <c r="S96" s="34">
        <f>4237.26</f>
        <v>4237.26</v>
      </c>
      <c r="T96" s="31">
        <f>657228</f>
        <v>657228</v>
      </c>
      <c r="U96" s="31">
        <f>459137</f>
        <v>459137</v>
      </c>
      <c r="V96" s="31">
        <f>2809564515</f>
        <v>2809564515</v>
      </c>
      <c r="W96" s="31">
        <f>1972190110</f>
        <v>1972190110</v>
      </c>
      <c r="X96" s="33">
        <f>19</f>
        <v>19</v>
      </c>
    </row>
    <row r="97" spans="1:24">
      <c r="A97" s="27" t="s">
        <v>42</v>
      </c>
      <c r="B97" s="27" t="s">
        <v>334</v>
      </c>
      <c r="C97" s="27" t="s">
        <v>335</v>
      </c>
      <c r="D97" s="27" t="s">
        <v>336</v>
      </c>
      <c r="E97" s="28" t="s">
        <v>46</v>
      </c>
      <c r="F97" s="29" t="s">
        <v>46</v>
      </c>
      <c r="G97" s="30" t="s">
        <v>46</v>
      </c>
      <c r="H97" s="25"/>
      <c r="I97" s="25" t="s">
        <v>47</v>
      </c>
      <c r="J97" s="31">
        <v>10</v>
      </c>
      <c r="K97" s="35">
        <f>484.4</f>
        <v>484.4</v>
      </c>
      <c r="L97" s="32" t="s">
        <v>48</v>
      </c>
      <c r="M97" s="35">
        <f>541.8</f>
        <v>541.79999999999995</v>
      </c>
      <c r="N97" s="32" t="s">
        <v>74</v>
      </c>
      <c r="O97" s="35">
        <f>476</f>
        <v>476</v>
      </c>
      <c r="P97" s="32" t="s">
        <v>75</v>
      </c>
      <c r="Q97" s="35">
        <f>517.4</f>
        <v>517.4</v>
      </c>
      <c r="R97" s="32" t="s">
        <v>50</v>
      </c>
      <c r="S97" s="34">
        <f>513.67</f>
        <v>513.66999999999996</v>
      </c>
      <c r="T97" s="31">
        <f>375526950</f>
        <v>375526950</v>
      </c>
      <c r="U97" s="31">
        <f>8229290</f>
        <v>8229290</v>
      </c>
      <c r="V97" s="31">
        <f>192517387687</f>
        <v>192517387687</v>
      </c>
      <c r="W97" s="31">
        <f>4210613459</f>
        <v>4210613459</v>
      </c>
      <c r="X97" s="33">
        <f>19</f>
        <v>19</v>
      </c>
    </row>
    <row r="98" spans="1:24">
      <c r="A98" s="27" t="s">
        <v>42</v>
      </c>
      <c r="B98" s="27" t="s">
        <v>337</v>
      </c>
      <c r="C98" s="27" t="s">
        <v>338</v>
      </c>
      <c r="D98" s="27" t="s">
        <v>339</v>
      </c>
      <c r="E98" s="28" t="s">
        <v>46</v>
      </c>
      <c r="F98" s="29" t="s">
        <v>46</v>
      </c>
      <c r="G98" s="30" t="s">
        <v>46</v>
      </c>
      <c r="H98" s="25"/>
      <c r="I98" s="25" t="s">
        <v>47</v>
      </c>
      <c r="J98" s="31">
        <v>10</v>
      </c>
      <c r="K98" s="35">
        <f>1085.5</f>
        <v>1085.5</v>
      </c>
      <c r="L98" s="32" t="s">
        <v>48</v>
      </c>
      <c r="M98" s="35">
        <f>1088.5</f>
        <v>1088.5</v>
      </c>
      <c r="N98" s="32" t="s">
        <v>75</v>
      </c>
      <c r="O98" s="35">
        <f>1018.5</f>
        <v>1018.5</v>
      </c>
      <c r="P98" s="32" t="s">
        <v>74</v>
      </c>
      <c r="Q98" s="35">
        <f>1041</f>
        <v>1041</v>
      </c>
      <c r="R98" s="32" t="s">
        <v>50</v>
      </c>
      <c r="S98" s="34">
        <f>1046.32</f>
        <v>1046.32</v>
      </c>
      <c r="T98" s="31">
        <f>7960430</f>
        <v>7960430</v>
      </c>
      <c r="U98" s="31">
        <f>3497350</f>
        <v>3497350</v>
      </c>
      <c r="V98" s="31">
        <f>8291184545</f>
        <v>8291184545</v>
      </c>
      <c r="W98" s="31">
        <f>3616438480</f>
        <v>3616438480</v>
      </c>
      <c r="X98" s="33">
        <f>19</f>
        <v>19</v>
      </c>
    </row>
    <row r="99" spans="1:24">
      <c r="A99" s="27" t="s">
        <v>42</v>
      </c>
      <c r="B99" s="27" t="s">
        <v>340</v>
      </c>
      <c r="C99" s="27" t="s">
        <v>341</v>
      </c>
      <c r="D99" s="27" t="s">
        <v>342</v>
      </c>
      <c r="E99" s="28" t="s">
        <v>46</v>
      </c>
      <c r="F99" s="29" t="s">
        <v>46</v>
      </c>
      <c r="G99" s="30" t="s">
        <v>46</v>
      </c>
      <c r="H99" s="25"/>
      <c r="I99" s="25" t="s">
        <v>47</v>
      </c>
      <c r="J99" s="31">
        <v>10</v>
      </c>
      <c r="K99" s="35">
        <f>2287.5</f>
        <v>2287.5</v>
      </c>
      <c r="L99" s="32" t="s">
        <v>48</v>
      </c>
      <c r="M99" s="35">
        <f>2487.5</f>
        <v>2487.5</v>
      </c>
      <c r="N99" s="32" t="s">
        <v>60</v>
      </c>
      <c r="O99" s="35">
        <f>2287.5</f>
        <v>2287.5</v>
      </c>
      <c r="P99" s="32" t="s">
        <v>48</v>
      </c>
      <c r="Q99" s="35">
        <f>2395</f>
        <v>2395</v>
      </c>
      <c r="R99" s="32" t="s">
        <v>50</v>
      </c>
      <c r="S99" s="34">
        <f>2408.82</f>
        <v>2408.8200000000002</v>
      </c>
      <c r="T99" s="31">
        <f>108030</f>
        <v>108030</v>
      </c>
      <c r="U99" s="31">
        <f>84530</f>
        <v>84530</v>
      </c>
      <c r="V99" s="31">
        <f>258689009</f>
        <v>258689009</v>
      </c>
      <c r="W99" s="31">
        <f>202125659</f>
        <v>202125659</v>
      </c>
      <c r="X99" s="33">
        <f>17</f>
        <v>17</v>
      </c>
    </row>
    <row r="100" spans="1:24">
      <c r="A100" s="27" t="s">
        <v>42</v>
      </c>
      <c r="B100" s="27" t="s">
        <v>343</v>
      </c>
      <c r="C100" s="27" t="s">
        <v>344</v>
      </c>
      <c r="D100" s="27" t="s">
        <v>345</v>
      </c>
      <c r="E100" s="28" t="s">
        <v>46</v>
      </c>
      <c r="F100" s="29" t="s">
        <v>46</v>
      </c>
      <c r="G100" s="30" t="s">
        <v>46</v>
      </c>
      <c r="H100" s="25"/>
      <c r="I100" s="25" t="s">
        <v>47</v>
      </c>
      <c r="J100" s="31">
        <v>1</v>
      </c>
      <c r="K100" s="35">
        <f>2740</f>
        <v>2740</v>
      </c>
      <c r="L100" s="32" t="s">
        <v>48</v>
      </c>
      <c r="M100" s="35">
        <f>2857</f>
        <v>2857</v>
      </c>
      <c r="N100" s="32" t="s">
        <v>74</v>
      </c>
      <c r="O100" s="35">
        <f>2700</f>
        <v>2700</v>
      </c>
      <c r="P100" s="32" t="s">
        <v>75</v>
      </c>
      <c r="Q100" s="35">
        <f>2753</f>
        <v>2753</v>
      </c>
      <c r="R100" s="32" t="s">
        <v>50</v>
      </c>
      <c r="S100" s="34">
        <f>2770.37</f>
        <v>2770.37</v>
      </c>
      <c r="T100" s="31">
        <f>4813</f>
        <v>4813</v>
      </c>
      <c r="U100" s="31">
        <f>5</f>
        <v>5</v>
      </c>
      <c r="V100" s="31">
        <f>13321329</f>
        <v>13321329</v>
      </c>
      <c r="W100" s="31">
        <f>13643</f>
        <v>13643</v>
      </c>
      <c r="X100" s="33">
        <f>19</f>
        <v>19</v>
      </c>
    </row>
    <row r="101" spans="1:24">
      <c r="A101" s="27" t="s">
        <v>42</v>
      </c>
      <c r="B101" s="27" t="s">
        <v>346</v>
      </c>
      <c r="C101" s="27" t="s">
        <v>347</v>
      </c>
      <c r="D101" s="27" t="s">
        <v>348</v>
      </c>
      <c r="E101" s="28" t="s">
        <v>46</v>
      </c>
      <c r="F101" s="29" t="s">
        <v>46</v>
      </c>
      <c r="G101" s="30" t="s">
        <v>46</v>
      </c>
      <c r="H101" s="25"/>
      <c r="I101" s="25" t="s">
        <v>47</v>
      </c>
      <c r="J101" s="31">
        <v>1</v>
      </c>
      <c r="K101" s="35">
        <f>31240</f>
        <v>31240</v>
      </c>
      <c r="L101" s="32" t="s">
        <v>48</v>
      </c>
      <c r="M101" s="35">
        <f>33170</f>
        <v>33170</v>
      </c>
      <c r="N101" s="32" t="s">
        <v>49</v>
      </c>
      <c r="O101" s="35">
        <f>31240</f>
        <v>31240</v>
      </c>
      <c r="P101" s="32" t="s">
        <v>48</v>
      </c>
      <c r="Q101" s="35">
        <f>32300</f>
        <v>32300</v>
      </c>
      <c r="R101" s="32" t="s">
        <v>50</v>
      </c>
      <c r="S101" s="34">
        <f>32340.53</f>
        <v>32340.53</v>
      </c>
      <c r="T101" s="31">
        <f>223116</f>
        <v>223116</v>
      </c>
      <c r="U101" s="31">
        <f>171479</f>
        <v>171479</v>
      </c>
      <c r="V101" s="31">
        <f>7200873175</f>
        <v>7200873175</v>
      </c>
      <c r="W101" s="31">
        <f>5530183875</f>
        <v>5530183875</v>
      </c>
      <c r="X101" s="33">
        <f>19</f>
        <v>19</v>
      </c>
    </row>
    <row r="102" spans="1:24">
      <c r="A102" s="27" t="s">
        <v>42</v>
      </c>
      <c r="B102" s="27" t="s">
        <v>349</v>
      </c>
      <c r="C102" s="27" t="s">
        <v>350</v>
      </c>
      <c r="D102" s="27" t="s">
        <v>351</v>
      </c>
      <c r="E102" s="28" t="s">
        <v>46</v>
      </c>
      <c r="F102" s="29" t="s">
        <v>46</v>
      </c>
      <c r="G102" s="30" t="s">
        <v>46</v>
      </c>
      <c r="H102" s="25"/>
      <c r="I102" s="25" t="s">
        <v>47</v>
      </c>
      <c r="J102" s="31">
        <v>1</v>
      </c>
      <c r="K102" s="35">
        <f>2889</f>
        <v>2889</v>
      </c>
      <c r="L102" s="32" t="s">
        <v>48</v>
      </c>
      <c r="M102" s="35">
        <f>3045</f>
        <v>3045</v>
      </c>
      <c r="N102" s="32" t="s">
        <v>49</v>
      </c>
      <c r="O102" s="35">
        <f>2885</f>
        <v>2885</v>
      </c>
      <c r="P102" s="32" t="s">
        <v>75</v>
      </c>
      <c r="Q102" s="35">
        <f>2949</f>
        <v>2949</v>
      </c>
      <c r="R102" s="32" t="s">
        <v>50</v>
      </c>
      <c r="S102" s="34">
        <f>2965.11</f>
        <v>2965.11</v>
      </c>
      <c r="T102" s="31">
        <f>715543</f>
        <v>715543</v>
      </c>
      <c r="U102" s="31">
        <f>354916</f>
        <v>354916</v>
      </c>
      <c r="V102" s="31">
        <f>2128266158</f>
        <v>2128266158</v>
      </c>
      <c r="W102" s="31">
        <f>1057530599</f>
        <v>1057530599</v>
      </c>
      <c r="X102" s="33">
        <f>19</f>
        <v>19</v>
      </c>
    </row>
    <row r="103" spans="1:24">
      <c r="A103" s="27" t="s">
        <v>42</v>
      </c>
      <c r="B103" s="27" t="s">
        <v>352</v>
      </c>
      <c r="C103" s="27" t="s">
        <v>353</v>
      </c>
      <c r="D103" s="27" t="s">
        <v>354</v>
      </c>
      <c r="E103" s="28" t="s">
        <v>46</v>
      </c>
      <c r="F103" s="29" t="s">
        <v>46</v>
      </c>
      <c r="G103" s="30" t="s">
        <v>46</v>
      </c>
      <c r="H103" s="25"/>
      <c r="I103" s="25" t="s">
        <v>47</v>
      </c>
      <c r="J103" s="31">
        <v>1</v>
      </c>
      <c r="K103" s="35">
        <f>32280</f>
        <v>32280</v>
      </c>
      <c r="L103" s="32" t="s">
        <v>48</v>
      </c>
      <c r="M103" s="35">
        <f>34080</f>
        <v>34080</v>
      </c>
      <c r="N103" s="32" t="s">
        <v>74</v>
      </c>
      <c r="O103" s="35">
        <f>32280</f>
        <v>32280</v>
      </c>
      <c r="P103" s="32" t="s">
        <v>48</v>
      </c>
      <c r="Q103" s="35">
        <f>33020</f>
        <v>33020</v>
      </c>
      <c r="R103" s="32" t="s">
        <v>50</v>
      </c>
      <c r="S103" s="34">
        <f>33302.11</f>
        <v>33302.11</v>
      </c>
      <c r="T103" s="31">
        <f>196348</f>
        <v>196348</v>
      </c>
      <c r="U103" s="31">
        <f>153975</f>
        <v>153975</v>
      </c>
      <c r="V103" s="31">
        <f>6504331237</f>
        <v>6504331237</v>
      </c>
      <c r="W103" s="31">
        <f>5095356757</f>
        <v>5095356757</v>
      </c>
      <c r="X103" s="33">
        <f>19</f>
        <v>19</v>
      </c>
    </row>
    <row r="104" spans="1:24">
      <c r="A104" s="27" t="s">
        <v>42</v>
      </c>
      <c r="B104" s="27" t="s">
        <v>355</v>
      </c>
      <c r="C104" s="27" t="s">
        <v>356</v>
      </c>
      <c r="D104" s="27" t="s">
        <v>357</v>
      </c>
      <c r="E104" s="28" t="s">
        <v>46</v>
      </c>
      <c r="F104" s="29" t="s">
        <v>46</v>
      </c>
      <c r="G104" s="30" t="s">
        <v>46</v>
      </c>
      <c r="H104" s="25"/>
      <c r="I104" s="25" t="s">
        <v>47</v>
      </c>
      <c r="J104" s="31">
        <v>10</v>
      </c>
      <c r="K104" s="35">
        <f>2069.5</f>
        <v>2069.5</v>
      </c>
      <c r="L104" s="32" t="s">
        <v>48</v>
      </c>
      <c r="M104" s="35">
        <f>2115</f>
        <v>2115</v>
      </c>
      <c r="N104" s="32" t="s">
        <v>103</v>
      </c>
      <c r="O104" s="35">
        <f>1999</f>
        <v>1999</v>
      </c>
      <c r="P104" s="32" t="s">
        <v>70</v>
      </c>
      <c r="Q104" s="35">
        <f>2026.5</f>
        <v>2026.5</v>
      </c>
      <c r="R104" s="32" t="s">
        <v>50</v>
      </c>
      <c r="S104" s="34">
        <f>2063.68</f>
        <v>2063.6799999999998</v>
      </c>
      <c r="T104" s="31">
        <f>3367870</f>
        <v>3367870</v>
      </c>
      <c r="U104" s="31">
        <f>2666680</f>
        <v>2666680</v>
      </c>
      <c r="V104" s="31">
        <f>6907334936</f>
        <v>6907334936</v>
      </c>
      <c r="W104" s="31">
        <f>5463708706</f>
        <v>5463708706</v>
      </c>
      <c r="X104" s="33">
        <f>19</f>
        <v>19</v>
      </c>
    </row>
    <row r="105" spans="1:24">
      <c r="A105" s="27" t="s">
        <v>42</v>
      </c>
      <c r="B105" s="27" t="s">
        <v>358</v>
      </c>
      <c r="C105" s="27" t="s">
        <v>359</v>
      </c>
      <c r="D105" s="27" t="s">
        <v>360</v>
      </c>
      <c r="E105" s="28" t="s">
        <v>46</v>
      </c>
      <c r="F105" s="29" t="s">
        <v>46</v>
      </c>
      <c r="G105" s="30" t="s">
        <v>46</v>
      </c>
      <c r="H105" s="25"/>
      <c r="I105" s="25" t="s">
        <v>47</v>
      </c>
      <c r="J105" s="31">
        <v>10</v>
      </c>
      <c r="K105" s="35">
        <f>2745</f>
        <v>2745</v>
      </c>
      <c r="L105" s="32" t="s">
        <v>48</v>
      </c>
      <c r="M105" s="35">
        <f>2815.5</f>
        <v>2815.5</v>
      </c>
      <c r="N105" s="32" t="s">
        <v>60</v>
      </c>
      <c r="O105" s="35">
        <f>2635</f>
        <v>2635</v>
      </c>
      <c r="P105" s="32" t="s">
        <v>103</v>
      </c>
      <c r="Q105" s="35">
        <f>2699.5</f>
        <v>2699.5</v>
      </c>
      <c r="R105" s="32" t="s">
        <v>206</v>
      </c>
      <c r="S105" s="34">
        <f>2723.55</f>
        <v>2723.55</v>
      </c>
      <c r="T105" s="31">
        <f>2690</f>
        <v>2690</v>
      </c>
      <c r="U105" s="31" t="str">
        <f>"－"</f>
        <v>－</v>
      </c>
      <c r="V105" s="31">
        <f>7374415</f>
        <v>7374415</v>
      </c>
      <c r="W105" s="31" t="str">
        <f>"－"</f>
        <v>－</v>
      </c>
      <c r="X105" s="33">
        <f>10</f>
        <v>10</v>
      </c>
    </row>
    <row r="106" spans="1:24">
      <c r="A106" s="27" t="s">
        <v>42</v>
      </c>
      <c r="B106" s="27" t="s">
        <v>361</v>
      </c>
      <c r="C106" s="27" t="s">
        <v>362</v>
      </c>
      <c r="D106" s="27" t="s">
        <v>363</v>
      </c>
      <c r="E106" s="28" t="s">
        <v>46</v>
      </c>
      <c r="F106" s="29" t="s">
        <v>46</v>
      </c>
      <c r="G106" s="30" t="s">
        <v>46</v>
      </c>
      <c r="H106" s="25"/>
      <c r="I106" s="25" t="s">
        <v>47</v>
      </c>
      <c r="J106" s="31">
        <v>1</v>
      </c>
      <c r="K106" s="35">
        <f>2089</f>
        <v>2089</v>
      </c>
      <c r="L106" s="32" t="s">
        <v>48</v>
      </c>
      <c r="M106" s="35">
        <f>2140</f>
        <v>2140</v>
      </c>
      <c r="N106" s="32" t="s">
        <v>103</v>
      </c>
      <c r="O106" s="35">
        <f>2020</f>
        <v>2020</v>
      </c>
      <c r="P106" s="32" t="s">
        <v>70</v>
      </c>
      <c r="Q106" s="35">
        <f>2052</f>
        <v>2052</v>
      </c>
      <c r="R106" s="32" t="s">
        <v>50</v>
      </c>
      <c r="S106" s="34">
        <f>2082.58</f>
        <v>2082.58</v>
      </c>
      <c r="T106" s="31">
        <f>7253264</f>
        <v>7253264</v>
      </c>
      <c r="U106" s="31">
        <f>3842858</f>
        <v>3842858</v>
      </c>
      <c r="V106" s="31">
        <f>15046472291</f>
        <v>15046472291</v>
      </c>
      <c r="W106" s="31">
        <f>7964078078</f>
        <v>7964078078</v>
      </c>
      <c r="X106" s="33">
        <f>19</f>
        <v>19</v>
      </c>
    </row>
    <row r="107" spans="1:24">
      <c r="A107" s="27" t="s">
        <v>42</v>
      </c>
      <c r="B107" s="27" t="s">
        <v>364</v>
      </c>
      <c r="C107" s="27" t="s">
        <v>365</v>
      </c>
      <c r="D107" s="27" t="s">
        <v>366</v>
      </c>
      <c r="E107" s="28" t="s">
        <v>46</v>
      </c>
      <c r="F107" s="29" t="s">
        <v>46</v>
      </c>
      <c r="G107" s="30" t="s">
        <v>46</v>
      </c>
      <c r="H107" s="25"/>
      <c r="I107" s="25" t="s">
        <v>47</v>
      </c>
      <c r="J107" s="31">
        <v>1</v>
      </c>
      <c r="K107" s="35">
        <f>32010</f>
        <v>32010</v>
      </c>
      <c r="L107" s="32" t="s">
        <v>48</v>
      </c>
      <c r="M107" s="35">
        <f>33640</f>
        <v>33640</v>
      </c>
      <c r="N107" s="32" t="s">
        <v>65</v>
      </c>
      <c r="O107" s="35">
        <f>31840</f>
        <v>31840</v>
      </c>
      <c r="P107" s="32" t="s">
        <v>257</v>
      </c>
      <c r="Q107" s="35">
        <f>32470</f>
        <v>32470</v>
      </c>
      <c r="R107" s="32" t="s">
        <v>50</v>
      </c>
      <c r="S107" s="34">
        <f>32836.84</f>
        <v>32836.839999999997</v>
      </c>
      <c r="T107" s="31">
        <f>193698</f>
        <v>193698</v>
      </c>
      <c r="U107" s="31">
        <f>158939</f>
        <v>158939</v>
      </c>
      <c r="V107" s="31">
        <f>6321425091</f>
        <v>6321425091</v>
      </c>
      <c r="W107" s="31">
        <f>5187019521</f>
        <v>5187019521</v>
      </c>
      <c r="X107" s="33">
        <f>19</f>
        <v>19</v>
      </c>
    </row>
    <row r="108" spans="1:24">
      <c r="A108" s="27" t="s">
        <v>42</v>
      </c>
      <c r="B108" s="27" t="s">
        <v>367</v>
      </c>
      <c r="C108" s="27" t="s">
        <v>368</v>
      </c>
      <c r="D108" s="27" t="s">
        <v>369</v>
      </c>
      <c r="E108" s="28" t="s">
        <v>46</v>
      </c>
      <c r="F108" s="29" t="s">
        <v>46</v>
      </c>
      <c r="G108" s="30" t="s">
        <v>46</v>
      </c>
      <c r="H108" s="25"/>
      <c r="I108" s="25" t="s">
        <v>47</v>
      </c>
      <c r="J108" s="31">
        <v>10</v>
      </c>
      <c r="K108" s="35">
        <f>643.4</f>
        <v>643.4</v>
      </c>
      <c r="L108" s="32" t="s">
        <v>48</v>
      </c>
      <c r="M108" s="35">
        <f>675.9</f>
        <v>675.9</v>
      </c>
      <c r="N108" s="32" t="s">
        <v>202</v>
      </c>
      <c r="O108" s="35">
        <f>632.9</f>
        <v>632.9</v>
      </c>
      <c r="P108" s="32" t="s">
        <v>48</v>
      </c>
      <c r="Q108" s="35">
        <f>644.6</f>
        <v>644.6</v>
      </c>
      <c r="R108" s="32" t="s">
        <v>50</v>
      </c>
      <c r="S108" s="34">
        <f>651.25</f>
        <v>651.25</v>
      </c>
      <c r="T108" s="31">
        <f>197660</f>
        <v>197660</v>
      </c>
      <c r="U108" s="31">
        <f>20000</f>
        <v>20000</v>
      </c>
      <c r="V108" s="31">
        <f>128841902</f>
        <v>128841902</v>
      </c>
      <c r="W108" s="31">
        <f>12806000</f>
        <v>12806000</v>
      </c>
      <c r="X108" s="33">
        <f>19</f>
        <v>19</v>
      </c>
    </row>
    <row r="109" spans="1:24">
      <c r="A109" s="27" t="s">
        <v>42</v>
      </c>
      <c r="B109" s="27" t="s">
        <v>370</v>
      </c>
      <c r="C109" s="27" t="s">
        <v>371</v>
      </c>
      <c r="D109" s="27" t="s">
        <v>372</v>
      </c>
      <c r="E109" s="28" t="s">
        <v>46</v>
      </c>
      <c r="F109" s="29" t="s">
        <v>46</v>
      </c>
      <c r="G109" s="30" t="s">
        <v>46</v>
      </c>
      <c r="H109" s="25"/>
      <c r="I109" s="25" t="s">
        <v>47</v>
      </c>
      <c r="J109" s="31">
        <v>10</v>
      </c>
      <c r="K109" s="35">
        <f>534</f>
        <v>534</v>
      </c>
      <c r="L109" s="32" t="s">
        <v>48</v>
      </c>
      <c r="M109" s="35">
        <f>616.9</f>
        <v>616.9</v>
      </c>
      <c r="N109" s="32" t="s">
        <v>65</v>
      </c>
      <c r="O109" s="35">
        <f>534</f>
        <v>534</v>
      </c>
      <c r="P109" s="32" t="s">
        <v>48</v>
      </c>
      <c r="Q109" s="35">
        <f>598.3</f>
        <v>598.29999999999995</v>
      </c>
      <c r="R109" s="32" t="s">
        <v>50</v>
      </c>
      <c r="S109" s="34">
        <f>584.37</f>
        <v>584.37</v>
      </c>
      <c r="T109" s="31">
        <f>123367440</f>
        <v>123367440</v>
      </c>
      <c r="U109" s="31">
        <f>35085380</f>
        <v>35085380</v>
      </c>
      <c r="V109" s="31">
        <f>71615649975</f>
        <v>71615649975</v>
      </c>
      <c r="W109" s="31">
        <f>20497232062</f>
        <v>20497232062</v>
      </c>
      <c r="X109" s="33">
        <f>19</f>
        <v>19</v>
      </c>
    </row>
    <row r="110" spans="1:24">
      <c r="A110" s="27" t="s">
        <v>42</v>
      </c>
      <c r="B110" s="27" t="s">
        <v>373</v>
      </c>
      <c r="C110" s="27" t="s">
        <v>374</v>
      </c>
      <c r="D110" s="27" t="s">
        <v>375</v>
      </c>
      <c r="E110" s="28" t="s">
        <v>46</v>
      </c>
      <c r="F110" s="29" t="s">
        <v>46</v>
      </c>
      <c r="G110" s="30" t="s">
        <v>46</v>
      </c>
      <c r="H110" s="25"/>
      <c r="I110" s="25" t="s">
        <v>47</v>
      </c>
      <c r="J110" s="31">
        <v>1</v>
      </c>
      <c r="K110" s="35">
        <f>41360</f>
        <v>41360</v>
      </c>
      <c r="L110" s="32" t="s">
        <v>48</v>
      </c>
      <c r="M110" s="35">
        <f>43740</f>
        <v>43740</v>
      </c>
      <c r="N110" s="32" t="s">
        <v>202</v>
      </c>
      <c r="O110" s="35">
        <f>41060</f>
        <v>41060</v>
      </c>
      <c r="P110" s="32" t="s">
        <v>70</v>
      </c>
      <c r="Q110" s="35">
        <f>42090</f>
        <v>42090</v>
      </c>
      <c r="R110" s="32" t="s">
        <v>50</v>
      </c>
      <c r="S110" s="34">
        <f>42138.42</f>
        <v>42138.42</v>
      </c>
      <c r="T110" s="31">
        <f>42697</f>
        <v>42697</v>
      </c>
      <c r="U110" s="31">
        <f>32872</f>
        <v>32872</v>
      </c>
      <c r="V110" s="31">
        <f>1812805580</f>
        <v>1812805580</v>
      </c>
      <c r="W110" s="31">
        <f>1394851270</f>
        <v>1394851270</v>
      </c>
      <c r="X110" s="33">
        <f>19</f>
        <v>19</v>
      </c>
    </row>
    <row r="111" spans="1:24">
      <c r="A111" s="27" t="s">
        <v>42</v>
      </c>
      <c r="B111" s="27" t="s">
        <v>376</v>
      </c>
      <c r="C111" s="27" t="s">
        <v>377</v>
      </c>
      <c r="D111" s="27" t="s">
        <v>378</v>
      </c>
      <c r="E111" s="28" t="s">
        <v>46</v>
      </c>
      <c r="F111" s="29" t="s">
        <v>46</v>
      </c>
      <c r="G111" s="30" t="s">
        <v>46</v>
      </c>
      <c r="H111" s="25"/>
      <c r="I111" s="25" t="s">
        <v>47</v>
      </c>
      <c r="J111" s="31">
        <v>1</v>
      </c>
      <c r="K111" s="35">
        <f>30000</f>
        <v>30000</v>
      </c>
      <c r="L111" s="32" t="s">
        <v>48</v>
      </c>
      <c r="M111" s="35">
        <f>34260</f>
        <v>34260</v>
      </c>
      <c r="N111" s="32" t="s">
        <v>50</v>
      </c>
      <c r="O111" s="35">
        <f>29710</f>
        <v>29710</v>
      </c>
      <c r="P111" s="32" t="s">
        <v>48</v>
      </c>
      <c r="Q111" s="35">
        <f>33790</f>
        <v>33790</v>
      </c>
      <c r="R111" s="32" t="s">
        <v>50</v>
      </c>
      <c r="S111" s="34">
        <f>31830.53</f>
        <v>31830.53</v>
      </c>
      <c r="T111" s="31">
        <f>34966</f>
        <v>34966</v>
      </c>
      <c r="U111" s="31">
        <f>736</f>
        <v>736</v>
      </c>
      <c r="V111" s="31">
        <f>1120755363</f>
        <v>1120755363</v>
      </c>
      <c r="W111" s="31">
        <f>23089458</f>
        <v>23089458</v>
      </c>
      <c r="X111" s="33">
        <f>19</f>
        <v>19</v>
      </c>
    </row>
    <row r="112" spans="1:24">
      <c r="A112" s="27" t="s">
        <v>42</v>
      </c>
      <c r="B112" s="27" t="s">
        <v>379</v>
      </c>
      <c r="C112" s="27" t="s">
        <v>380</v>
      </c>
      <c r="D112" s="27" t="s">
        <v>381</v>
      </c>
      <c r="E112" s="28" t="s">
        <v>46</v>
      </c>
      <c r="F112" s="29" t="s">
        <v>46</v>
      </c>
      <c r="G112" s="30" t="s">
        <v>46</v>
      </c>
      <c r="H112" s="25"/>
      <c r="I112" s="25" t="s">
        <v>47</v>
      </c>
      <c r="J112" s="31">
        <v>1</v>
      </c>
      <c r="K112" s="35">
        <f>43970</f>
        <v>43970</v>
      </c>
      <c r="L112" s="32" t="s">
        <v>48</v>
      </c>
      <c r="M112" s="35">
        <f>47260</f>
        <v>47260</v>
      </c>
      <c r="N112" s="32" t="s">
        <v>65</v>
      </c>
      <c r="O112" s="35">
        <f>43730</f>
        <v>43730</v>
      </c>
      <c r="P112" s="32" t="s">
        <v>48</v>
      </c>
      <c r="Q112" s="35">
        <f>45440</f>
        <v>45440</v>
      </c>
      <c r="R112" s="32" t="s">
        <v>50</v>
      </c>
      <c r="S112" s="34">
        <f>45932.11</f>
        <v>45932.11</v>
      </c>
      <c r="T112" s="31">
        <f>32966</f>
        <v>32966</v>
      </c>
      <c r="U112" s="31">
        <f>11588</f>
        <v>11588</v>
      </c>
      <c r="V112" s="31">
        <f>1504851594</f>
        <v>1504851594</v>
      </c>
      <c r="W112" s="31">
        <f>528810334</f>
        <v>528810334</v>
      </c>
      <c r="X112" s="33">
        <f>19</f>
        <v>19</v>
      </c>
    </row>
    <row r="113" spans="1:24">
      <c r="A113" s="27" t="s">
        <v>42</v>
      </c>
      <c r="B113" s="27" t="s">
        <v>382</v>
      </c>
      <c r="C113" s="27" t="s">
        <v>383</v>
      </c>
      <c r="D113" s="27" t="s">
        <v>384</v>
      </c>
      <c r="E113" s="28" t="s">
        <v>46</v>
      </c>
      <c r="F113" s="29" t="s">
        <v>46</v>
      </c>
      <c r="G113" s="30" t="s">
        <v>46</v>
      </c>
      <c r="H113" s="25"/>
      <c r="I113" s="25" t="s">
        <v>47</v>
      </c>
      <c r="J113" s="31">
        <v>1</v>
      </c>
      <c r="K113" s="35">
        <f>31690</f>
        <v>31690</v>
      </c>
      <c r="L113" s="32" t="s">
        <v>48</v>
      </c>
      <c r="M113" s="35">
        <f>34360</f>
        <v>34360</v>
      </c>
      <c r="N113" s="32" t="s">
        <v>103</v>
      </c>
      <c r="O113" s="35">
        <f>31450</f>
        <v>31450</v>
      </c>
      <c r="P113" s="32" t="s">
        <v>48</v>
      </c>
      <c r="Q113" s="35">
        <f>32560</f>
        <v>32560</v>
      </c>
      <c r="R113" s="32" t="s">
        <v>50</v>
      </c>
      <c r="S113" s="34">
        <f>32746.84</f>
        <v>32746.84</v>
      </c>
      <c r="T113" s="31">
        <f>10373</f>
        <v>10373</v>
      </c>
      <c r="U113" s="31">
        <f>219</f>
        <v>219</v>
      </c>
      <c r="V113" s="31">
        <f>338453748</f>
        <v>338453748</v>
      </c>
      <c r="W113" s="31">
        <f>7247668</f>
        <v>7247668</v>
      </c>
      <c r="X113" s="33">
        <f>19</f>
        <v>19</v>
      </c>
    </row>
    <row r="114" spans="1:24">
      <c r="A114" s="27" t="s">
        <v>42</v>
      </c>
      <c r="B114" s="27" t="s">
        <v>385</v>
      </c>
      <c r="C114" s="27" t="s">
        <v>386</v>
      </c>
      <c r="D114" s="27" t="s">
        <v>387</v>
      </c>
      <c r="E114" s="28" t="s">
        <v>46</v>
      </c>
      <c r="F114" s="29" t="s">
        <v>46</v>
      </c>
      <c r="G114" s="30" t="s">
        <v>46</v>
      </c>
      <c r="H114" s="25"/>
      <c r="I114" s="25" t="s">
        <v>47</v>
      </c>
      <c r="J114" s="31">
        <v>1</v>
      </c>
      <c r="K114" s="35">
        <f>29660</f>
        <v>29660</v>
      </c>
      <c r="L114" s="32" t="s">
        <v>48</v>
      </c>
      <c r="M114" s="35">
        <f>31320</f>
        <v>31320</v>
      </c>
      <c r="N114" s="32" t="s">
        <v>60</v>
      </c>
      <c r="O114" s="35">
        <f>29235</f>
        <v>29235</v>
      </c>
      <c r="P114" s="32" t="s">
        <v>70</v>
      </c>
      <c r="Q114" s="35">
        <f>30160</f>
        <v>30160</v>
      </c>
      <c r="R114" s="32" t="s">
        <v>50</v>
      </c>
      <c r="S114" s="34">
        <f>30315.26</f>
        <v>30315.26</v>
      </c>
      <c r="T114" s="31">
        <f>9751</f>
        <v>9751</v>
      </c>
      <c r="U114" s="31">
        <f>508</f>
        <v>508</v>
      </c>
      <c r="V114" s="31">
        <f>294719106</f>
        <v>294719106</v>
      </c>
      <c r="W114" s="31">
        <f>15342886</f>
        <v>15342886</v>
      </c>
      <c r="X114" s="33">
        <f>19</f>
        <v>19</v>
      </c>
    </row>
    <row r="115" spans="1:24">
      <c r="A115" s="27" t="s">
        <v>42</v>
      </c>
      <c r="B115" s="27" t="s">
        <v>388</v>
      </c>
      <c r="C115" s="27" t="s">
        <v>389</v>
      </c>
      <c r="D115" s="27" t="s">
        <v>390</v>
      </c>
      <c r="E115" s="28" t="s">
        <v>46</v>
      </c>
      <c r="F115" s="29" t="s">
        <v>46</v>
      </c>
      <c r="G115" s="30" t="s">
        <v>46</v>
      </c>
      <c r="H115" s="25"/>
      <c r="I115" s="25" t="s">
        <v>47</v>
      </c>
      <c r="J115" s="31">
        <v>1</v>
      </c>
      <c r="K115" s="35">
        <f>36730</f>
        <v>36730</v>
      </c>
      <c r="L115" s="32" t="s">
        <v>48</v>
      </c>
      <c r="M115" s="35">
        <f>39440</f>
        <v>39440</v>
      </c>
      <c r="N115" s="32" t="s">
        <v>49</v>
      </c>
      <c r="O115" s="35">
        <f>35690</f>
        <v>35690</v>
      </c>
      <c r="P115" s="32" t="s">
        <v>70</v>
      </c>
      <c r="Q115" s="35">
        <f>37160</f>
        <v>37160</v>
      </c>
      <c r="R115" s="32" t="s">
        <v>50</v>
      </c>
      <c r="S115" s="34">
        <f>37455.26</f>
        <v>37455.26</v>
      </c>
      <c r="T115" s="31">
        <f>18255</f>
        <v>18255</v>
      </c>
      <c r="U115" s="31">
        <f>6712</f>
        <v>6712</v>
      </c>
      <c r="V115" s="31">
        <f>674317587</f>
        <v>674317587</v>
      </c>
      <c r="W115" s="31">
        <f>246557307</f>
        <v>246557307</v>
      </c>
      <c r="X115" s="33">
        <f>19</f>
        <v>19</v>
      </c>
    </row>
    <row r="116" spans="1:24">
      <c r="A116" s="27" t="s">
        <v>42</v>
      </c>
      <c r="B116" s="27" t="s">
        <v>391</v>
      </c>
      <c r="C116" s="27" t="s">
        <v>392</v>
      </c>
      <c r="D116" s="27" t="s">
        <v>393</v>
      </c>
      <c r="E116" s="28" t="s">
        <v>46</v>
      </c>
      <c r="F116" s="29" t="s">
        <v>46</v>
      </c>
      <c r="G116" s="30" t="s">
        <v>46</v>
      </c>
      <c r="H116" s="25"/>
      <c r="I116" s="25" t="s">
        <v>47</v>
      </c>
      <c r="J116" s="31">
        <v>1</v>
      </c>
      <c r="K116" s="35">
        <f>45500</f>
        <v>45500</v>
      </c>
      <c r="L116" s="32" t="s">
        <v>48</v>
      </c>
      <c r="M116" s="35">
        <f>52030</f>
        <v>52030</v>
      </c>
      <c r="N116" s="32" t="s">
        <v>70</v>
      </c>
      <c r="O116" s="35">
        <f>45000</f>
        <v>45000</v>
      </c>
      <c r="P116" s="32" t="s">
        <v>257</v>
      </c>
      <c r="Q116" s="35">
        <f>50570</f>
        <v>50570</v>
      </c>
      <c r="R116" s="32" t="s">
        <v>50</v>
      </c>
      <c r="S116" s="34">
        <f>48547.37</f>
        <v>48547.37</v>
      </c>
      <c r="T116" s="31">
        <f>82751</f>
        <v>82751</v>
      </c>
      <c r="U116" s="31">
        <f>45641</f>
        <v>45641</v>
      </c>
      <c r="V116" s="31">
        <f>4013025967</f>
        <v>4013025967</v>
      </c>
      <c r="W116" s="31">
        <f>2204104727</f>
        <v>2204104727</v>
      </c>
      <c r="X116" s="33">
        <f>19</f>
        <v>19</v>
      </c>
    </row>
    <row r="117" spans="1:24">
      <c r="A117" s="27" t="s">
        <v>42</v>
      </c>
      <c r="B117" s="27" t="s">
        <v>394</v>
      </c>
      <c r="C117" s="27" t="s">
        <v>395</v>
      </c>
      <c r="D117" s="27" t="s">
        <v>396</v>
      </c>
      <c r="E117" s="28" t="s">
        <v>46</v>
      </c>
      <c r="F117" s="29" t="s">
        <v>46</v>
      </c>
      <c r="G117" s="30" t="s">
        <v>46</v>
      </c>
      <c r="H117" s="25"/>
      <c r="I117" s="25" t="s">
        <v>47</v>
      </c>
      <c r="J117" s="31">
        <v>1</v>
      </c>
      <c r="K117" s="35">
        <f>74090</f>
        <v>74090</v>
      </c>
      <c r="L117" s="32" t="s">
        <v>48</v>
      </c>
      <c r="M117" s="35">
        <f>85990</f>
        <v>85990</v>
      </c>
      <c r="N117" s="32" t="s">
        <v>155</v>
      </c>
      <c r="O117" s="35">
        <f>73500</f>
        <v>73500</v>
      </c>
      <c r="P117" s="32" t="s">
        <v>48</v>
      </c>
      <c r="Q117" s="35">
        <f>83590</f>
        <v>83590</v>
      </c>
      <c r="R117" s="32" t="s">
        <v>50</v>
      </c>
      <c r="S117" s="34">
        <f>82238.42</f>
        <v>82238.42</v>
      </c>
      <c r="T117" s="31">
        <f>10566</f>
        <v>10566</v>
      </c>
      <c r="U117" s="31">
        <f>2150</f>
        <v>2150</v>
      </c>
      <c r="V117" s="31">
        <f>841592244</f>
        <v>841592244</v>
      </c>
      <c r="W117" s="31">
        <f>165649184</f>
        <v>165649184</v>
      </c>
      <c r="X117" s="33">
        <f>19</f>
        <v>19</v>
      </c>
    </row>
    <row r="118" spans="1:24">
      <c r="A118" s="27" t="s">
        <v>42</v>
      </c>
      <c r="B118" s="27" t="s">
        <v>397</v>
      </c>
      <c r="C118" s="27" t="s">
        <v>398</v>
      </c>
      <c r="D118" s="27" t="s">
        <v>399</v>
      </c>
      <c r="E118" s="28" t="s">
        <v>46</v>
      </c>
      <c r="F118" s="29" t="s">
        <v>46</v>
      </c>
      <c r="G118" s="30" t="s">
        <v>46</v>
      </c>
      <c r="H118" s="25"/>
      <c r="I118" s="25" t="s">
        <v>47</v>
      </c>
      <c r="J118" s="31">
        <v>1</v>
      </c>
      <c r="K118" s="35">
        <f>49750</f>
        <v>49750</v>
      </c>
      <c r="L118" s="32" t="s">
        <v>48</v>
      </c>
      <c r="M118" s="35">
        <f>52840</f>
        <v>52840</v>
      </c>
      <c r="N118" s="32" t="s">
        <v>74</v>
      </c>
      <c r="O118" s="35">
        <f>49470</f>
        <v>49470</v>
      </c>
      <c r="P118" s="32" t="s">
        <v>257</v>
      </c>
      <c r="Q118" s="35">
        <f>51430</f>
        <v>51430</v>
      </c>
      <c r="R118" s="32" t="s">
        <v>50</v>
      </c>
      <c r="S118" s="34">
        <f>51514.21</f>
        <v>51514.21</v>
      </c>
      <c r="T118" s="31">
        <f>17207</f>
        <v>17207</v>
      </c>
      <c r="U118" s="31">
        <f>3678</f>
        <v>3678</v>
      </c>
      <c r="V118" s="31">
        <f>882179827</f>
        <v>882179827</v>
      </c>
      <c r="W118" s="31">
        <f>188049787</f>
        <v>188049787</v>
      </c>
      <c r="X118" s="33">
        <f>19</f>
        <v>19</v>
      </c>
    </row>
    <row r="119" spans="1:24">
      <c r="A119" s="27" t="s">
        <v>42</v>
      </c>
      <c r="B119" s="27" t="s">
        <v>400</v>
      </c>
      <c r="C119" s="27" t="s">
        <v>401</v>
      </c>
      <c r="D119" s="27" t="s">
        <v>402</v>
      </c>
      <c r="E119" s="28" t="s">
        <v>46</v>
      </c>
      <c r="F119" s="29" t="s">
        <v>46</v>
      </c>
      <c r="G119" s="30" t="s">
        <v>46</v>
      </c>
      <c r="H119" s="25"/>
      <c r="I119" s="25" t="s">
        <v>47</v>
      </c>
      <c r="J119" s="31">
        <v>1</v>
      </c>
      <c r="K119" s="35">
        <f>42850</f>
        <v>42850</v>
      </c>
      <c r="L119" s="32" t="s">
        <v>48</v>
      </c>
      <c r="M119" s="35">
        <f>43320</f>
        <v>43320</v>
      </c>
      <c r="N119" s="32" t="s">
        <v>69</v>
      </c>
      <c r="O119" s="35">
        <f>40250</f>
        <v>40250</v>
      </c>
      <c r="P119" s="32" t="s">
        <v>70</v>
      </c>
      <c r="Q119" s="35">
        <f>40560</f>
        <v>40560</v>
      </c>
      <c r="R119" s="32" t="s">
        <v>50</v>
      </c>
      <c r="S119" s="34">
        <f>41984.74</f>
        <v>41984.74</v>
      </c>
      <c r="T119" s="31">
        <f>5213</f>
        <v>5213</v>
      </c>
      <c r="U119" s="31">
        <f>335</f>
        <v>335</v>
      </c>
      <c r="V119" s="31">
        <f>217899234</f>
        <v>217899234</v>
      </c>
      <c r="W119" s="31">
        <f>14116744</f>
        <v>14116744</v>
      </c>
      <c r="X119" s="33">
        <f>19</f>
        <v>19</v>
      </c>
    </row>
    <row r="120" spans="1:24">
      <c r="A120" s="27" t="s">
        <v>42</v>
      </c>
      <c r="B120" s="27" t="s">
        <v>403</v>
      </c>
      <c r="C120" s="27" t="s">
        <v>404</v>
      </c>
      <c r="D120" s="27" t="s">
        <v>405</v>
      </c>
      <c r="E120" s="28" t="s">
        <v>46</v>
      </c>
      <c r="F120" s="29" t="s">
        <v>46</v>
      </c>
      <c r="G120" s="30" t="s">
        <v>46</v>
      </c>
      <c r="H120" s="25"/>
      <c r="I120" s="25" t="s">
        <v>47</v>
      </c>
      <c r="J120" s="31">
        <v>1</v>
      </c>
      <c r="K120" s="35">
        <f>11510</f>
        <v>11510</v>
      </c>
      <c r="L120" s="32" t="s">
        <v>48</v>
      </c>
      <c r="M120" s="35">
        <f>11970</f>
        <v>11970</v>
      </c>
      <c r="N120" s="32" t="s">
        <v>155</v>
      </c>
      <c r="O120" s="35">
        <f>11160</f>
        <v>11160</v>
      </c>
      <c r="P120" s="32" t="s">
        <v>70</v>
      </c>
      <c r="Q120" s="35">
        <f>11600</f>
        <v>11600</v>
      </c>
      <c r="R120" s="32" t="s">
        <v>50</v>
      </c>
      <c r="S120" s="34">
        <f>11603.42</f>
        <v>11603.42</v>
      </c>
      <c r="T120" s="31">
        <f>126822</f>
        <v>126822</v>
      </c>
      <c r="U120" s="31">
        <f>49658</f>
        <v>49658</v>
      </c>
      <c r="V120" s="31">
        <f>1470977579</f>
        <v>1470977579</v>
      </c>
      <c r="W120" s="31">
        <f>577355109</f>
        <v>577355109</v>
      </c>
      <c r="X120" s="33">
        <f>19</f>
        <v>19</v>
      </c>
    </row>
    <row r="121" spans="1:24">
      <c r="A121" s="27" t="s">
        <v>42</v>
      </c>
      <c r="B121" s="27" t="s">
        <v>406</v>
      </c>
      <c r="C121" s="27" t="s">
        <v>407</v>
      </c>
      <c r="D121" s="27" t="s">
        <v>408</v>
      </c>
      <c r="E121" s="28" t="s">
        <v>46</v>
      </c>
      <c r="F121" s="29" t="s">
        <v>46</v>
      </c>
      <c r="G121" s="30" t="s">
        <v>46</v>
      </c>
      <c r="H121" s="25"/>
      <c r="I121" s="25" t="s">
        <v>47</v>
      </c>
      <c r="J121" s="31">
        <v>1</v>
      </c>
      <c r="K121" s="35">
        <f>21100</f>
        <v>21100</v>
      </c>
      <c r="L121" s="32" t="s">
        <v>48</v>
      </c>
      <c r="M121" s="35">
        <f>21515</f>
        <v>21515</v>
      </c>
      <c r="N121" s="32" t="s">
        <v>60</v>
      </c>
      <c r="O121" s="35">
        <f>20470</f>
        <v>20470</v>
      </c>
      <c r="P121" s="32" t="s">
        <v>70</v>
      </c>
      <c r="Q121" s="35">
        <f>20935</f>
        <v>20935</v>
      </c>
      <c r="R121" s="32" t="s">
        <v>50</v>
      </c>
      <c r="S121" s="34">
        <f>21133.95</f>
        <v>21133.95</v>
      </c>
      <c r="T121" s="31">
        <f>8305</f>
        <v>8305</v>
      </c>
      <c r="U121" s="31">
        <f>145</f>
        <v>145</v>
      </c>
      <c r="V121" s="31">
        <f>174400339</f>
        <v>174400339</v>
      </c>
      <c r="W121" s="31">
        <f>3045054</f>
        <v>3045054</v>
      </c>
      <c r="X121" s="33">
        <f>19</f>
        <v>19</v>
      </c>
    </row>
    <row r="122" spans="1:24">
      <c r="A122" s="27" t="s">
        <v>42</v>
      </c>
      <c r="B122" s="27" t="s">
        <v>409</v>
      </c>
      <c r="C122" s="27" t="s">
        <v>410</v>
      </c>
      <c r="D122" s="27" t="s">
        <v>411</v>
      </c>
      <c r="E122" s="28" t="s">
        <v>46</v>
      </c>
      <c r="F122" s="29" t="s">
        <v>46</v>
      </c>
      <c r="G122" s="30" t="s">
        <v>46</v>
      </c>
      <c r="H122" s="25"/>
      <c r="I122" s="25" t="s">
        <v>47</v>
      </c>
      <c r="J122" s="31">
        <v>1</v>
      </c>
      <c r="K122" s="35">
        <f>116250</f>
        <v>116250</v>
      </c>
      <c r="L122" s="32" t="s">
        <v>48</v>
      </c>
      <c r="M122" s="35">
        <f>127600</f>
        <v>127600</v>
      </c>
      <c r="N122" s="32" t="s">
        <v>49</v>
      </c>
      <c r="O122" s="35">
        <f>115250</f>
        <v>115250</v>
      </c>
      <c r="P122" s="32" t="s">
        <v>48</v>
      </c>
      <c r="Q122" s="35">
        <f>124250</f>
        <v>124250</v>
      </c>
      <c r="R122" s="32" t="s">
        <v>50</v>
      </c>
      <c r="S122" s="34">
        <f>122789.47</f>
        <v>122789.47</v>
      </c>
      <c r="T122" s="31">
        <f>53829</f>
        <v>53829</v>
      </c>
      <c r="U122" s="31">
        <f>19871</f>
        <v>19871</v>
      </c>
      <c r="V122" s="31">
        <f>6625144116</f>
        <v>6625144116</v>
      </c>
      <c r="W122" s="31">
        <f>2469073316</f>
        <v>2469073316</v>
      </c>
      <c r="X122" s="33">
        <f>19</f>
        <v>19</v>
      </c>
    </row>
    <row r="123" spans="1:24">
      <c r="A123" s="27" t="s">
        <v>42</v>
      </c>
      <c r="B123" s="27" t="s">
        <v>412</v>
      </c>
      <c r="C123" s="27" t="s">
        <v>413</v>
      </c>
      <c r="D123" s="27" t="s">
        <v>414</v>
      </c>
      <c r="E123" s="28" t="s">
        <v>46</v>
      </c>
      <c r="F123" s="29" t="s">
        <v>46</v>
      </c>
      <c r="G123" s="30" t="s">
        <v>46</v>
      </c>
      <c r="H123" s="25"/>
      <c r="I123" s="25" t="s">
        <v>415</v>
      </c>
      <c r="J123" s="31">
        <v>1</v>
      </c>
      <c r="K123" s="35">
        <f>13190</f>
        <v>13190</v>
      </c>
      <c r="L123" s="32" t="s">
        <v>48</v>
      </c>
      <c r="M123" s="35">
        <f>14250</f>
        <v>14250</v>
      </c>
      <c r="N123" s="32" t="s">
        <v>65</v>
      </c>
      <c r="O123" s="35">
        <f>13190</f>
        <v>13190</v>
      </c>
      <c r="P123" s="32" t="s">
        <v>48</v>
      </c>
      <c r="Q123" s="35">
        <f>13710</f>
        <v>13710</v>
      </c>
      <c r="R123" s="32" t="s">
        <v>50</v>
      </c>
      <c r="S123" s="34">
        <f>13803.68</f>
        <v>13803.68</v>
      </c>
      <c r="T123" s="31">
        <f>14717</f>
        <v>14717</v>
      </c>
      <c r="U123" s="31" t="str">
        <f>"－"</f>
        <v>－</v>
      </c>
      <c r="V123" s="31">
        <f>203966645</f>
        <v>203966645</v>
      </c>
      <c r="W123" s="31" t="str">
        <f>"－"</f>
        <v>－</v>
      </c>
      <c r="X123" s="33">
        <f>19</f>
        <v>19</v>
      </c>
    </row>
    <row r="124" spans="1:24">
      <c r="A124" s="27" t="s">
        <v>42</v>
      </c>
      <c r="B124" s="27" t="s">
        <v>416</v>
      </c>
      <c r="C124" s="27" t="s">
        <v>417</v>
      </c>
      <c r="D124" s="27" t="s">
        <v>418</v>
      </c>
      <c r="E124" s="28" t="s">
        <v>46</v>
      </c>
      <c r="F124" s="29" t="s">
        <v>46</v>
      </c>
      <c r="G124" s="30" t="s">
        <v>46</v>
      </c>
      <c r="H124" s="25"/>
      <c r="I124" s="25" t="s">
        <v>47</v>
      </c>
      <c r="J124" s="31">
        <v>1</v>
      </c>
      <c r="K124" s="35">
        <f>37300</f>
        <v>37300</v>
      </c>
      <c r="L124" s="32" t="s">
        <v>48</v>
      </c>
      <c r="M124" s="35">
        <f>38660</f>
        <v>38660</v>
      </c>
      <c r="N124" s="32" t="s">
        <v>202</v>
      </c>
      <c r="O124" s="35">
        <f>35550</f>
        <v>35550</v>
      </c>
      <c r="P124" s="32" t="s">
        <v>70</v>
      </c>
      <c r="Q124" s="35">
        <f>36170</f>
        <v>36170</v>
      </c>
      <c r="R124" s="32" t="s">
        <v>50</v>
      </c>
      <c r="S124" s="34">
        <f>37192.63</f>
        <v>37192.629999999997</v>
      </c>
      <c r="T124" s="31">
        <f>38153</f>
        <v>38153</v>
      </c>
      <c r="U124" s="31">
        <f>31237</f>
        <v>31237</v>
      </c>
      <c r="V124" s="31">
        <f>1415386888</f>
        <v>1415386888</v>
      </c>
      <c r="W124" s="31">
        <f>1157722928</f>
        <v>1157722928</v>
      </c>
      <c r="X124" s="33">
        <f>19</f>
        <v>19</v>
      </c>
    </row>
    <row r="125" spans="1:24">
      <c r="A125" s="27" t="s">
        <v>42</v>
      </c>
      <c r="B125" s="27" t="s">
        <v>419</v>
      </c>
      <c r="C125" s="27" t="s">
        <v>420</v>
      </c>
      <c r="D125" s="27" t="s">
        <v>421</v>
      </c>
      <c r="E125" s="28" t="s">
        <v>46</v>
      </c>
      <c r="F125" s="29" t="s">
        <v>46</v>
      </c>
      <c r="G125" s="30" t="s">
        <v>46</v>
      </c>
      <c r="H125" s="25"/>
      <c r="I125" s="25" t="s">
        <v>47</v>
      </c>
      <c r="J125" s="31">
        <v>1</v>
      </c>
      <c r="K125" s="35">
        <f>28515</f>
        <v>28515</v>
      </c>
      <c r="L125" s="32" t="s">
        <v>48</v>
      </c>
      <c r="M125" s="35">
        <f>34250</f>
        <v>34250</v>
      </c>
      <c r="N125" s="32" t="s">
        <v>65</v>
      </c>
      <c r="O125" s="35">
        <f>28515</f>
        <v>28515</v>
      </c>
      <c r="P125" s="32" t="s">
        <v>48</v>
      </c>
      <c r="Q125" s="35">
        <f>31960</f>
        <v>31960</v>
      </c>
      <c r="R125" s="32" t="s">
        <v>50</v>
      </c>
      <c r="S125" s="34">
        <f>31362.11</f>
        <v>31362.11</v>
      </c>
      <c r="T125" s="31">
        <f>110984</f>
        <v>110984</v>
      </c>
      <c r="U125" s="31">
        <f>35506</f>
        <v>35506</v>
      </c>
      <c r="V125" s="31">
        <f>3468378309</f>
        <v>3468378309</v>
      </c>
      <c r="W125" s="31">
        <f>1117213774</f>
        <v>1117213774</v>
      </c>
      <c r="X125" s="33">
        <f>19</f>
        <v>19</v>
      </c>
    </row>
    <row r="126" spans="1:24">
      <c r="A126" s="27" t="s">
        <v>42</v>
      </c>
      <c r="B126" s="27" t="s">
        <v>422</v>
      </c>
      <c r="C126" s="27" t="s">
        <v>423</v>
      </c>
      <c r="D126" s="27" t="s">
        <v>424</v>
      </c>
      <c r="E126" s="28" t="s">
        <v>46</v>
      </c>
      <c r="F126" s="29" t="s">
        <v>46</v>
      </c>
      <c r="G126" s="30" t="s">
        <v>46</v>
      </c>
      <c r="H126" s="25"/>
      <c r="I126" s="25" t="s">
        <v>47</v>
      </c>
      <c r="J126" s="31">
        <v>1</v>
      </c>
      <c r="K126" s="35">
        <f>34700</f>
        <v>34700</v>
      </c>
      <c r="L126" s="32" t="s">
        <v>48</v>
      </c>
      <c r="M126" s="35">
        <f>36680</f>
        <v>36680</v>
      </c>
      <c r="N126" s="32" t="s">
        <v>49</v>
      </c>
      <c r="O126" s="35">
        <f>33810</f>
        <v>33810</v>
      </c>
      <c r="P126" s="32" t="s">
        <v>70</v>
      </c>
      <c r="Q126" s="35">
        <f>34850</f>
        <v>34850</v>
      </c>
      <c r="R126" s="32" t="s">
        <v>50</v>
      </c>
      <c r="S126" s="34">
        <f>35367.89</f>
        <v>35367.89</v>
      </c>
      <c r="T126" s="31">
        <f>15443</f>
        <v>15443</v>
      </c>
      <c r="U126" s="31">
        <f>3233</f>
        <v>3233</v>
      </c>
      <c r="V126" s="31">
        <f>547420035</f>
        <v>547420035</v>
      </c>
      <c r="W126" s="31">
        <f>114534505</f>
        <v>114534505</v>
      </c>
      <c r="X126" s="33">
        <f>19</f>
        <v>19</v>
      </c>
    </row>
    <row r="127" spans="1:24">
      <c r="A127" s="27" t="s">
        <v>42</v>
      </c>
      <c r="B127" s="27" t="s">
        <v>425</v>
      </c>
      <c r="C127" s="27" t="s">
        <v>426</v>
      </c>
      <c r="D127" s="27" t="s">
        <v>427</v>
      </c>
      <c r="E127" s="28" t="s">
        <v>46</v>
      </c>
      <c r="F127" s="29" t="s">
        <v>46</v>
      </c>
      <c r="G127" s="30" t="s">
        <v>46</v>
      </c>
      <c r="H127" s="25"/>
      <c r="I127" s="25" t="s">
        <v>47</v>
      </c>
      <c r="J127" s="31">
        <v>1</v>
      </c>
      <c r="K127" s="35">
        <f>53080</f>
        <v>53080</v>
      </c>
      <c r="L127" s="32" t="s">
        <v>48</v>
      </c>
      <c r="M127" s="35">
        <f>56480</f>
        <v>56480</v>
      </c>
      <c r="N127" s="32" t="s">
        <v>74</v>
      </c>
      <c r="O127" s="35">
        <f>51800</f>
        <v>51800</v>
      </c>
      <c r="P127" s="32" t="s">
        <v>70</v>
      </c>
      <c r="Q127" s="35">
        <f>54360</f>
        <v>54360</v>
      </c>
      <c r="R127" s="32" t="s">
        <v>50</v>
      </c>
      <c r="S127" s="34">
        <f>54480</f>
        <v>54480</v>
      </c>
      <c r="T127" s="31">
        <f>6859</f>
        <v>6859</v>
      </c>
      <c r="U127" s="31">
        <f>85</f>
        <v>85</v>
      </c>
      <c r="V127" s="31">
        <f>370205137</f>
        <v>370205137</v>
      </c>
      <c r="W127" s="31">
        <f>4570447</f>
        <v>4570447</v>
      </c>
      <c r="X127" s="33">
        <f>19</f>
        <v>19</v>
      </c>
    </row>
    <row r="128" spans="1:24">
      <c r="A128" s="27" t="s">
        <v>42</v>
      </c>
      <c r="B128" s="27" t="s">
        <v>428</v>
      </c>
      <c r="C128" s="27" t="s">
        <v>429</v>
      </c>
      <c r="D128" s="27" t="s">
        <v>430</v>
      </c>
      <c r="E128" s="28" t="s">
        <v>46</v>
      </c>
      <c r="F128" s="29" t="s">
        <v>46</v>
      </c>
      <c r="G128" s="30" t="s">
        <v>46</v>
      </c>
      <c r="H128" s="25"/>
      <c r="I128" s="25" t="s">
        <v>415</v>
      </c>
      <c r="J128" s="31">
        <v>1</v>
      </c>
      <c r="K128" s="35">
        <f>12730</f>
        <v>12730</v>
      </c>
      <c r="L128" s="32" t="s">
        <v>48</v>
      </c>
      <c r="M128" s="35">
        <f>15280</f>
        <v>15280</v>
      </c>
      <c r="N128" s="32" t="s">
        <v>70</v>
      </c>
      <c r="O128" s="35">
        <f>12730</f>
        <v>12730</v>
      </c>
      <c r="P128" s="32" t="s">
        <v>48</v>
      </c>
      <c r="Q128" s="35">
        <f>14475</f>
        <v>14475</v>
      </c>
      <c r="R128" s="32" t="s">
        <v>50</v>
      </c>
      <c r="S128" s="34">
        <f>13975.26</f>
        <v>13975.26</v>
      </c>
      <c r="T128" s="31">
        <f>130337</f>
        <v>130337</v>
      </c>
      <c r="U128" s="31" t="str">
        <f>"－"</f>
        <v>－</v>
      </c>
      <c r="V128" s="31">
        <f>1822788760</f>
        <v>1822788760</v>
      </c>
      <c r="W128" s="31" t="str">
        <f>"－"</f>
        <v>－</v>
      </c>
      <c r="X128" s="33">
        <f>19</f>
        <v>19</v>
      </c>
    </row>
    <row r="129" spans="1:24">
      <c r="A129" s="27" t="s">
        <v>42</v>
      </c>
      <c r="B129" s="27" t="s">
        <v>431</v>
      </c>
      <c r="C129" s="27" t="s">
        <v>432</v>
      </c>
      <c r="D129" s="27" t="s">
        <v>433</v>
      </c>
      <c r="E129" s="28" t="s">
        <v>46</v>
      </c>
      <c r="F129" s="29" t="s">
        <v>46</v>
      </c>
      <c r="G129" s="30" t="s">
        <v>46</v>
      </c>
      <c r="H129" s="25"/>
      <c r="I129" s="25" t="s">
        <v>47</v>
      </c>
      <c r="J129" s="31">
        <v>1</v>
      </c>
      <c r="K129" s="35">
        <f>2679</f>
        <v>2679</v>
      </c>
      <c r="L129" s="32" t="s">
        <v>48</v>
      </c>
      <c r="M129" s="35">
        <f>2917</f>
        <v>2917</v>
      </c>
      <c r="N129" s="32" t="s">
        <v>49</v>
      </c>
      <c r="O129" s="35">
        <f>2661</f>
        <v>2661</v>
      </c>
      <c r="P129" s="32" t="s">
        <v>48</v>
      </c>
      <c r="Q129" s="35">
        <f>2822</f>
        <v>2822</v>
      </c>
      <c r="R129" s="32" t="s">
        <v>50</v>
      </c>
      <c r="S129" s="34">
        <f>2805.58</f>
        <v>2805.58</v>
      </c>
      <c r="T129" s="31">
        <f>3477574</f>
        <v>3477574</v>
      </c>
      <c r="U129" s="31">
        <f>2295887</f>
        <v>2295887</v>
      </c>
      <c r="V129" s="31">
        <f>9792922939</f>
        <v>9792922939</v>
      </c>
      <c r="W129" s="31">
        <f>6481732225</f>
        <v>6481732225</v>
      </c>
      <c r="X129" s="33">
        <f>19</f>
        <v>19</v>
      </c>
    </row>
    <row r="130" spans="1:24">
      <c r="A130" s="27" t="s">
        <v>42</v>
      </c>
      <c r="B130" s="27" t="s">
        <v>434</v>
      </c>
      <c r="C130" s="27" t="s">
        <v>435</v>
      </c>
      <c r="D130" s="27" t="s">
        <v>436</v>
      </c>
      <c r="E130" s="28" t="s">
        <v>46</v>
      </c>
      <c r="F130" s="29" t="s">
        <v>46</v>
      </c>
      <c r="G130" s="30" t="s">
        <v>46</v>
      </c>
      <c r="H130" s="25"/>
      <c r="I130" s="25" t="s">
        <v>47</v>
      </c>
      <c r="J130" s="31">
        <v>10</v>
      </c>
      <c r="K130" s="35">
        <f>4177</f>
        <v>4177</v>
      </c>
      <c r="L130" s="32" t="s">
        <v>69</v>
      </c>
      <c r="M130" s="35">
        <f>4727</f>
        <v>4727</v>
      </c>
      <c r="N130" s="32" t="s">
        <v>60</v>
      </c>
      <c r="O130" s="35">
        <f>4138</f>
        <v>4138</v>
      </c>
      <c r="P130" s="32" t="s">
        <v>75</v>
      </c>
      <c r="Q130" s="35">
        <f>4206</f>
        <v>4206</v>
      </c>
      <c r="R130" s="32" t="s">
        <v>70</v>
      </c>
      <c r="S130" s="34">
        <f>4239.8</f>
        <v>4239.8</v>
      </c>
      <c r="T130" s="31">
        <f>7120</f>
        <v>7120</v>
      </c>
      <c r="U130" s="31" t="str">
        <f>"－"</f>
        <v>－</v>
      </c>
      <c r="V130" s="31">
        <f>30066050</f>
        <v>30066050</v>
      </c>
      <c r="W130" s="31" t="str">
        <f>"－"</f>
        <v>－</v>
      </c>
      <c r="X130" s="33">
        <f>15</f>
        <v>15</v>
      </c>
    </row>
    <row r="131" spans="1:24">
      <c r="A131" s="27" t="s">
        <v>42</v>
      </c>
      <c r="B131" s="27" t="s">
        <v>437</v>
      </c>
      <c r="C131" s="27" t="s">
        <v>438</v>
      </c>
      <c r="D131" s="27" t="s">
        <v>439</v>
      </c>
      <c r="E131" s="28" t="s">
        <v>46</v>
      </c>
      <c r="F131" s="29" t="s">
        <v>46</v>
      </c>
      <c r="G131" s="30" t="s">
        <v>46</v>
      </c>
      <c r="H131" s="25"/>
      <c r="I131" s="25" t="s">
        <v>47</v>
      </c>
      <c r="J131" s="31">
        <v>10</v>
      </c>
      <c r="K131" s="35">
        <f>4553</f>
        <v>4553</v>
      </c>
      <c r="L131" s="32" t="s">
        <v>48</v>
      </c>
      <c r="M131" s="35">
        <f>4782</f>
        <v>4782</v>
      </c>
      <c r="N131" s="32" t="s">
        <v>155</v>
      </c>
      <c r="O131" s="35">
        <f>4530</f>
        <v>4530</v>
      </c>
      <c r="P131" s="32" t="s">
        <v>70</v>
      </c>
      <c r="Q131" s="35">
        <f>4610</f>
        <v>4610</v>
      </c>
      <c r="R131" s="32" t="s">
        <v>50</v>
      </c>
      <c r="S131" s="34">
        <f>4659.74</f>
        <v>4659.74</v>
      </c>
      <c r="T131" s="31">
        <f>357770</f>
        <v>357770</v>
      </c>
      <c r="U131" s="31">
        <f>229390</f>
        <v>229390</v>
      </c>
      <c r="V131" s="31">
        <f>1668409813</f>
        <v>1668409813</v>
      </c>
      <c r="W131" s="31">
        <f>1073240163</f>
        <v>1073240163</v>
      </c>
      <c r="X131" s="33">
        <f>19</f>
        <v>19</v>
      </c>
    </row>
    <row r="132" spans="1:24">
      <c r="A132" s="27" t="s">
        <v>42</v>
      </c>
      <c r="B132" s="27" t="s">
        <v>440</v>
      </c>
      <c r="C132" s="27" t="s">
        <v>441</v>
      </c>
      <c r="D132" s="27" t="s">
        <v>442</v>
      </c>
      <c r="E132" s="28" t="s">
        <v>46</v>
      </c>
      <c r="F132" s="29" t="s">
        <v>46</v>
      </c>
      <c r="G132" s="30" t="s">
        <v>46</v>
      </c>
      <c r="H132" s="25"/>
      <c r="I132" s="25" t="s">
        <v>47</v>
      </c>
      <c r="J132" s="31">
        <v>10</v>
      </c>
      <c r="K132" s="35">
        <f>2853</f>
        <v>2853</v>
      </c>
      <c r="L132" s="32" t="s">
        <v>48</v>
      </c>
      <c r="M132" s="35">
        <f>2987.5</f>
        <v>2987.5</v>
      </c>
      <c r="N132" s="32" t="s">
        <v>49</v>
      </c>
      <c r="O132" s="35">
        <f>2853</f>
        <v>2853</v>
      </c>
      <c r="P132" s="32" t="s">
        <v>48</v>
      </c>
      <c r="Q132" s="35">
        <f>2904.5</f>
        <v>2904.5</v>
      </c>
      <c r="R132" s="32" t="s">
        <v>50</v>
      </c>
      <c r="S132" s="34">
        <f>2937.75</f>
        <v>2937.75</v>
      </c>
      <c r="T132" s="31">
        <f>361670</f>
        <v>361670</v>
      </c>
      <c r="U132" s="31">
        <f>349000</f>
        <v>349000</v>
      </c>
      <c r="V132" s="31">
        <f>1058354345</f>
        <v>1058354345</v>
      </c>
      <c r="W132" s="31">
        <f>1021509350</f>
        <v>1021509350</v>
      </c>
      <c r="X132" s="33">
        <f>14</f>
        <v>14</v>
      </c>
    </row>
    <row r="133" spans="1:24">
      <c r="A133" s="27" t="s">
        <v>42</v>
      </c>
      <c r="B133" s="27" t="s">
        <v>443</v>
      </c>
      <c r="C133" s="27" t="s">
        <v>444</v>
      </c>
      <c r="D133" s="27" t="s">
        <v>445</v>
      </c>
      <c r="E133" s="28" t="s">
        <v>46</v>
      </c>
      <c r="F133" s="29" t="s">
        <v>46</v>
      </c>
      <c r="G133" s="30" t="s">
        <v>46</v>
      </c>
      <c r="H133" s="25"/>
      <c r="I133" s="25" t="s">
        <v>47</v>
      </c>
      <c r="J133" s="31">
        <v>10</v>
      </c>
      <c r="K133" s="35">
        <f>778.4</f>
        <v>778.4</v>
      </c>
      <c r="L133" s="32" t="s">
        <v>48</v>
      </c>
      <c r="M133" s="35">
        <f>801.7</f>
        <v>801.7</v>
      </c>
      <c r="N133" s="32" t="s">
        <v>74</v>
      </c>
      <c r="O133" s="35">
        <f>766.3</f>
        <v>766.3</v>
      </c>
      <c r="P133" s="32" t="s">
        <v>273</v>
      </c>
      <c r="Q133" s="35">
        <f>769.5</f>
        <v>769.5</v>
      </c>
      <c r="R133" s="32" t="s">
        <v>50</v>
      </c>
      <c r="S133" s="34">
        <f>784.35</f>
        <v>784.35</v>
      </c>
      <c r="T133" s="31">
        <f>44818600</f>
        <v>44818600</v>
      </c>
      <c r="U133" s="31">
        <f>5286920</f>
        <v>5286920</v>
      </c>
      <c r="V133" s="31">
        <f>35047243157</f>
        <v>35047243157</v>
      </c>
      <c r="W133" s="31">
        <f>4123983219</f>
        <v>4123983219</v>
      </c>
      <c r="X133" s="33">
        <f>19</f>
        <v>19</v>
      </c>
    </row>
    <row r="134" spans="1:24">
      <c r="A134" s="27" t="s">
        <v>42</v>
      </c>
      <c r="B134" s="27" t="s">
        <v>446</v>
      </c>
      <c r="C134" s="27" t="s">
        <v>447</v>
      </c>
      <c r="D134" s="27" t="s">
        <v>448</v>
      </c>
      <c r="E134" s="28" t="s">
        <v>46</v>
      </c>
      <c r="F134" s="29" t="s">
        <v>46</v>
      </c>
      <c r="G134" s="30" t="s">
        <v>46</v>
      </c>
      <c r="H134" s="25"/>
      <c r="I134" s="25" t="s">
        <v>47</v>
      </c>
      <c r="J134" s="31">
        <v>10</v>
      </c>
      <c r="K134" s="35">
        <f>318.2</f>
        <v>318.2</v>
      </c>
      <c r="L134" s="32" t="s">
        <v>48</v>
      </c>
      <c r="M134" s="35">
        <f>320.4</f>
        <v>320.39999999999998</v>
      </c>
      <c r="N134" s="32" t="s">
        <v>74</v>
      </c>
      <c r="O134" s="35">
        <f>305.5</f>
        <v>305.5</v>
      </c>
      <c r="P134" s="32" t="s">
        <v>61</v>
      </c>
      <c r="Q134" s="35">
        <f>307.8</f>
        <v>307.8</v>
      </c>
      <c r="R134" s="32" t="s">
        <v>50</v>
      </c>
      <c r="S134" s="34">
        <f>315.14</f>
        <v>315.14</v>
      </c>
      <c r="T134" s="31">
        <f>5665220</f>
        <v>5665220</v>
      </c>
      <c r="U134" s="31">
        <f>2885180</f>
        <v>2885180</v>
      </c>
      <c r="V134" s="31">
        <f>1780632912</f>
        <v>1780632912</v>
      </c>
      <c r="W134" s="31">
        <f>909618739</f>
        <v>909618739</v>
      </c>
      <c r="X134" s="33">
        <f>19</f>
        <v>19</v>
      </c>
    </row>
    <row r="135" spans="1:24">
      <c r="A135" s="27" t="s">
        <v>42</v>
      </c>
      <c r="B135" s="27" t="s">
        <v>449</v>
      </c>
      <c r="C135" s="27" t="s">
        <v>450</v>
      </c>
      <c r="D135" s="27" t="s">
        <v>451</v>
      </c>
      <c r="E135" s="28" t="s">
        <v>46</v>
      </c>
      <c r="F135" s="29" t="s">
        <v>46</v>
      </c>
      <c r="G135" s="30" t="s">
        <v>46</v>
      </c>
      <c r="H135" s="25"/>
      <c r="I135" s="25" t="s">
        <v>47</v>
      </c>
      <c r="J135" s="31">
        <v>1</v>
      </c>
      <c r="K135" s="35">
        <f>6526</f>
        <v>6526</v>
      </c>
      <c r="L135" s="32" t="s">
        <v>48</v>
      </c>
      <c r="M135" s="35">
        <f>6714</f>
        <v>6714</v>
      </c>
      <c r="N135" s="32" t="s">
        <v>74</v>
      </c>
      <c r="O135" s="35">
        <f>6467</f>
        <v>6467</v>
      </c>
      <c r="P135" s="32" t="s">
        <v>273</v>
      </c>
      <c r="Q135" s="35">
        <f>6491</f>
        <v>6491</v>
      </c>
      <c r="R135" s="32" t="s">
        <v>50</v>
      </c>
      <c r="S135" s="34">
        <f>6585.63</f>
        <v>6585.63</v>
      </c>
      <c r="T135" s="31">
        <f>88536</f>
        <v>88536</v>
      </c>
      <c r="U135" s="31">
        <f>3100</f>
        <v>3100</v>
      </c>
      <c r="V135" s="31">
        <f>584404191</f>
        <v>584404191</v>
      </c>
      <c r="W135" s="31">
        <f>20714510</f>
        <v>20714510</v>
      </c>
      <c r="X135" s="33">
        <f>19</f>
        <v>19</v>
      </c>
    </row>
    <row r="136" spans="1:24">
      <c r="A136" s="27" t="s">
        <v>42</v>
      </c>
      <c r="B136" s="27" t="s">
        <v>452</v>
      </c>
      <c r="C136" s="27" t="s">
        <v>453</v>
      </c>
      <c r="D136" s="27" t="s">
        <v>454</v>
      </c>
      <c r="E136" s="28" t="s">
        <v>46</v>
      </c>
      <c r="F136" s="29" t="s">
        <v>46</v>
      </c>
      <c r="G136" s="30" t="s">
        <v>46</v>
      </c>
      <c r="H136" s="25"/>
      <c r="I136" s="25" t="s">
        <v>47</v>
      </c>
      <c r="J136" s="31">
        <v>1</v>
      </c>
      <c r="K136" s="35">
        <f>3676</f>
        <v>3676</v>
      </c>
      <c r="L136" s="32" t="s">
        <v>48</v>
      </c>
      <c r="M136" s="35">
        <f>3949</f>
        <v>3949</v>
      </c>
      <c r="N136" s="32" t="s">
        <v>70</v>
      </c>
      <c r="O136" s="35">
        <f>3670</f>
        <v>3670</v>
      </c>
      <c r="P136" s="32" t="s">
        <v>48</v>
      </c>
      <c r="Q136" s="35">
        <f>3890</f>
        <v>3890</v>
      </c>
      <c r="R136" s="32" t="s">
        <v>50</v>
      </c>
      <c r="S136" s="34">
        <f>3832.79</f>
        <v>3832.79</v>
      </c>
      <c r="T136" s="31">
        <f>183303</f>
        <v>183303</v>
      </c>
      <c r="U136" s="31">
        <f>12337</f>
        <v>12337</v>
      </c>
      <c r="V136" s="31">
        <f>701229781</f>
        <v>701229781</v>
      </c>
      <c r="W136" s="31">
        <f>47231185</f>
        <v>47231185</v>
      </c>
      <c r="X136" s="33">
        <f>19</f>
        <v>19</v>
      </c>
    </row>
    <row r="137" spans="1:24">
      <c r="A137" s="27" t="s">
        <v>42</v>
      </c>
      <c r="B137" s="27" t="s">
        <v>455</v>
      </c>
      <c r="C137" s="27" t="s">
        <v>456</v>
      </c>
      <c r="D137" s="27" t="s">
        <v>457</v>
      </c>
      <c r="E137" s="28" t="s">
        <v>46</v>
      </c>
      <c r="F137" s="29" t="s">
        <v>46</v>
      </c>
      <c r="G137" s="30" t="s">
        <v>46</v>
      </c>
      <c r="H137" s="25"/>
      <c r="I137" s="25" t="s">
        <v>47</v>
      </c>
      <c r="J137" s="31">
        <v>1</v>
      </c>
      <c r="K137" s="35">
        <f>3350</f>
        <v>3350</v>
      </c>
      <c r="L137" s="32" t="s">
        <v>48</v>
      </c>
      <c r="M137" s="35">
        <f>3530</f>
        <v>3530</v>
      </c>
      <c r="N137" s="32" t="s">
        <v>202</v>
      </c>
      <c r="O137" s="35">
        <f>3280</f>
        <v>3280</v>
      </c>
      <c r="P137" s="32" t="s">
        <v>70</v>
      </c>
      <c r="Q137" s="35">
        <f>3351</f>
        <v>3351</v>
      </c>
      <c r="R137" s="32" t="s">
        <v>50</v>
      </c>
      <c r="S137" s="34">
        <f>3411.95</f>
        <v>3411.95</v>
      </c>
      <c r="T137" s="31">
        <f>179620</f>
        <v>179620</v>
      </c>
      <c r="U137" s="31" t="str">
        <f>"－"</f>
        <v>－</v>
      </c>
      <c r="V137" s="31">
        <f>608244170</f>
        <v>608244170</v>
      </c>
      <c r="W137" s="31" t="str">
        <f>"－"</f>
        <v>－</v>
      </c>
      <c r="X137" s="33">
        <f>19</f>
        <v>19</v>
      </c>
    </row>
    <row r="138" spans="1:24">
      <c r="A138" s="27" t="s">
        <v>42</v>
      </c>
      <c r="B138" s="27" t="s">
        <v>458</v>
      </c>
      <c r="C138" s="27" t="s">
        <v>459</v>
      </c>
      <c r="D138" s="27" t="s">
        <v>460</v>
      </c>
      <c r="E138" s="28" t="s">
        <v>46</v>
      </c>
      <c r="F138" s="29" t="s">
        <v>46</v>
      </c>
      <c r="G138" s="30" t="s">
        <v>46</v>
      </c>
      <c r="H138" s="25"/>
      <c r="I138" s="25" t="s">
        <v>47</v>
      </c>
      <c r="J138" s="31">
        <v>1</v>
      </c>
      <c r="K138" s="35">
        <f>11990</f>
        <v>11990</v>
      </c>
      <c r="L138" s="32" t="s">
        <v>48</v>
      </c>
      <c r="M138" s="35">
        <f>12100</f>
        <v>12100</v>
      </c>
      <c r="N138" s="32" t="s">
        <v>103</v>
      </c>
      <c r="O138" s="35">
        <f>11430</f>
        <v>11430</v>
      </c>
      <c r="P138" s="32" t="s">
        <v>70</v>
      </c>
      <c r="Q138" s="35">
        <f>11590</f>
        <v>11590</v>
      </c>
      <c r="R138" s="32" t="s">
        <v>50</v>
      </c>
      <c r="S138" s="34">
        <f>11831.58</f>
        <v>11831.58</v>
      </c>
      <c r="T138" s="31">
        <f>522403</f>
        <v>522403</v>
      </c>
      <c r="U138" s="31">
        <f>381372</f>
        <v>381372</v>
      </c>
      <c r="V138" s="31">
        <f>6184885066</f>
        <v>6184885066</v>
      </c>
      <c r="W138" s="31">
        <f>4520302401</f>
        <v>4520302401</v>
      </c>
      <c r="X138" s="33">
        <f>19</f>
        <v>19</v>
      </c>
    </row>
    <row r="139" spans="1:24">
      <c r="A139" s="27" t="s">
        <v>42</v>
      </c>
      <c r="B139" s="27" t="s">
        <v>461</v>
      </c>
      <c r="C139" s="27" t="s">
        <v>462</v>
      </c>
      <c r="D139" s="27" t="s">
        <v>463</v>
      </c>
      <c r="E139" s="28" t="s">
        <v>46</v>
      </c>
      <c r="F139" s="29" t="s">
        <v>46</v>
      </c>
      <c r="G139" s="30" t="s">
        <v>46</v>
      </c>
      <c r="H139" s="25"/>
      <c r="I139" s="25" t="s">
        <v>47</v>
      </c>
      <c r="J139" s="31">
        <v>1</v>
      </c>
      <c r="K139" s="35">
        <f>2967</f>
        <v>2967</v>
      </c>
      <c r="L139" s="32" t="s">
        <v>48</v>
      </c>
      <c r="M139" s="35">
        <f>3326</f>
        <v>3326</v>
      </c>
      <c r="N139" s="32" t="s">
        <v>50</v>
      </c>
      <c r="O139" s="35">
        <f>2886</f>
        <v>2886</v>
      </c>
      <c r="P139" s="32" t="s">
        <v>195</v>
      </c>
      <c r="Q139" s="35">
        <f>3271</f>
        <v>3271</v>
      </c>
      <c r="R139" s="32" t="s">
        <v>50</v>
      </c>
      <c r="S139" s="34">
        <f>3103.89</f>
        <v>3103.89</v>
      </c>
      <c r="T139" s="31">
        <f>5707197</f>
        <v>5707197</v>
      </c>
      <c r="U139" s="31">
        <f>41405</f>
        <v>41405</v>
      </c>
      <c r="V139" s="31">
        <f>17709128670</f>
        <v>17709128670</v>
      </c>
      <c r="W139" s="31">
        <f>127082932</f>
        <v>127082932</v>
      </c>
      <c r="X139" s="33">
        <f>19</f>
        <v>19</v>
      </c>
    </row>
    <row r="140" spans="1:24">
      <c r="A140" s="27" t="s">
        <v>42</v>
      </c>
      <c r="B140" s="27" t="s">
        <v>464</v>
      </c>
      <c r="C140" s="27" t="s">
        <v>465</v>
      </c>
      <c r="D140" s="27" t="s">
        <v>466</v>
      </c>
      <c r="E140" s="28" t="s">
        <v>46</v>
      </c>
      <c r="F140" s="29" t="s">
        <v>46</v>
      </c>
      <c r="G140" s="30" t="s">
        <v>46</v>
      </c>
      <c r="H140" s="25"/>
      <c r="I140" s="25" t="s">
        <v>47</v>
      </c>
      <c r="J140" s="31">
        <v>1</v>
      </c>
      <c r="K140" s="35">
        <f>64460</f>
        <v>64460</v>
      </c>
      <c r="L140" s="32" t="s">
        <v>48</v>
      </c>
      <c r="M140" s="35">
        <f>79860</f>
        <v>79860</v>
      </c>
      <c r="N140" s="32" t="s">
        <v>70</v>
      </c>
      <c r="O140" s="35">
        <f>64070</f>
        <v>64070</v>
      </c>
      <c r="P140" s="32" t="s">
        <v>48</v>
      </c>
      <c r="Q140" s="35">
        <f>74200</f>
        <v>74200</v>
      </c>
      <c r="R140" s="32" t="s">
        <v>50</v>
      </c>
      <c r="S140" s="34">
        <f>69708.42</f>
        <v>69708.42</v>
      </c>
      <c r="T140" s="31">
        <f>43943</f>
        <v>43943</v>
      </c>
      <c r="U140" s="31" t="str">
        <f>"－"</f>
        <v>－</v>
      </c>
      <c r="V140" s="31">
        <f>3165855530</f>
        <v>3165855530</v>
      </c>
      <c r="W140" s="31" t="str">
        <f>"－"</f>
        <v>－</v>
      </c>
      <c r="X140" s="33">
        <f>19</f>
        <v>19</v>
      </c>
    </row>
    <row r="141" spans="1:24">
      <c r="A141" s="27" t="s">
        <v>42</v>
      </c>
      <c r="B141" s="27" t="s">
        <v>467</v>
      </c>
      <c r="C141" s="27" t="s">
        <v>468</v>
      </c>
      <c r="D141" s="27" t="s">
        <v>469</v>
      </c>
      <c r="E141" s="28" t="s">
        <v>46</v>
      </c>
      <c r="F141" s="29" t="s">
        <v>46</v>
      </c>
      <c r="G141" s="30" t="s">
        <v>46</v>
      </c>
      <c r="H141" s="25"/>
      <c r="I141" s="25" t="s">
        <v>47</v>
      </c>
      <c r="J141" s="31">
        <v>10</v>
      </c>
      <c r="K141" s="35">
        <f>10565</f>
        <v>10565</v>
      </c>
      <c r="L141" s="32" t="s">
        <v>48</v>
      </c>
      <c r="M141" s="35">
        <f>17895</f>
        <v>17895</v>
      </c>
      <c r="N141" s="32" t="s">
        <v>223</v>
      </c>
      <c r="O141" s="35">
        <f>10565</f>
        <v>10565</v>
      </c>
      <c r="P141" s="32" t="s">
        <v>48</v>
      </c>
      <c r="Q141" s="35">
        <f>15375</f>
        <v>15375</v>
      </c>
      <c r="R141" s="32" t="s">
        <v>50</v>
      </c>
      <c r="S141" s="34">
        <f>13500.26</f>
        <v>13500.26</v>
      </c>
      <c r="T141" s="31">
        <f>1792240</f>
        <v>1792240</v>
      </c>
      <c r="U141" s="31" t="str">
        <f>"－"</f>
        <v>－</v>
      </c>
      <c r="V141" s="31">
        <f>25422542750</f>
        <v>25422542750</v>
      </c>
      <c r="W141" s="31" t="str">
        <f>"－"</f>
        <v>－</v>
      </c>
      <c r="X141" s="33">
        <f>19</f>
        <v>19</v>
      </c>
    </row>
    <row r="142" spans="1:24">
      <c r="A142" s="27" t="s">
        <v>42</v>
      </c>
      <c r="B142" s="27" t="s">
        <v>470</v>
      </c>
      <c r="C142" s="27" t="s">
        <v>471</v>
      </c>
      <c r="D142" s="27" t="s">
        <v>472</v>
      </c>
      <c r="E142" s="28" t="s">
        <v>46</v>
      </c>
      <c r="F142" s="29" t="s">
        <v>46</v>
      </c>
      <c r="G142" s="30" t="s">
        <v>46</v>
      </c>
      <c r="H142" s="25"/>
      <c r="I142" s="25" t="s">
        <v>47</v>
      </c>
      <c r="J142" s="31">
        <v>1</v>
      </c>
      <c r="K142" s="35">
        <f>32000</f>
        <v>32000</v>
      </c>
      <c r="L142" s="32" t="s">
        <v>48</v>
      </c>
      <c r="M142" s="35">
        <f>41210</f>
        <v>41210</v>
      </c>
      <c r="N142" s="32" t="s">
        <v>273</v>
      </c>
      <c r="O142" s="35">
        <f>30890</f>
        <v>30890</v>
      </c>
      <c r="P142" s="32" t="s">
        <v>48</v>
      </c>
      <c r="Q142" s="35">
        <f>35450</f>
        <v>35450</v>
      </c>
      <c r="R142" s="32" t="s">
        <v>50</v>
      </c>
      <c r="S142" s="34">
        <f>35059.47</f>
        <v>35059.47</v>
      </c>
      <c r="T142" s="31">
        <f>225426</f>
        <v>225426</v>
      </c>
      <c r="U142" s="31" t="str">
        <f>"－"</f>
        <v>－</v>
      </c>
      <c r="V142" s="31">
        <f>8072078170</f>
        <v>8072078170</v>
      </c>
      <c r="W142" s="31" t="str">
        <f>"－"</f>
        <v>－</v>
      </c>
      <c r="X142" s="33">
        <f>19</f>
        <v>19</v>
      </c>
    </row>
    <row r="143" spans="1:24">
      <c r="A143" s="27" t="s">
        <v>42</v>
      </c>
      <c r="B143" s="27" t="s">
        <v>473</v>
      </c>
      <c r="C143" s="27" t="s">
        <v>474</v>
      </c>
      <c r="D143" s="27" t="s">
        <v>475</v>
      </c>
      <c r="E143" s="28" t="s">
        <v>46</v>
      </c>
      <c r="F143" s="29" t="s">
        <v>46</v>
      </c>
      <c r="G143" s="30" t="s">
        <v>46</v>
      </c>
      <c r="H143" s="25"/>
      <c r="I143" s="25" t="s">
        <v>47</v>
      </c>
      <c r="J143" s="31">
        <v>1</v>
      </c>
      <c r="K143" s="35">
        <f>24315</f>
        <v>24315</v>
      </c>
      <c r="L143" s="32" t="s">
        <v>48</v>
      </c>
      <c r="M143" s="35">
        <f>29635</f>
        <v>29635</v>
      </c>
      <c r="N143" s="32" t="s">
        <v>70</v>
      </c>
      <c r="O143" s="35">
        <f>23405</f>
        <v>23405</v>
      </c>
      <c r="P143" s="32" t="s">
        <v>48</v>
      </c>
      <c r="Q143" s="35">
        <f>26835</f>
        <v>26835</v>
      </c>
      <c r="R143" s="32" t="s">
        <v>50</v>
      </c>
      <c r="S143" s="34">
        <f>26498.42</f>
        <v>26498.42</v>
      </c>
      <c r="T143" s="31">
        <f>49449</f>
        <v>49449</v>
      </c>
      <c r="U143" s="31" t="str">
        <f>"－"</f>
        <v>－</v>
      </c>
      <c r="V143" s="31">
        <f>1322111665</f>
        <v>1322111665</v>
      </c>
      <c r="W143" s="31" t="str">
        <f>"－"</f>
        <v>－</v>
      </c>
      <c r="X143" s="33">
        <f>19</f>
        <v>19</v>
      </c>
    </row>
    <row r="144" spans="1:24">
      <c r="A144" s="27" t="s">
        <v>42</v>
      </c>
      <c r="B144" s="27" t="s">
        <v>476</v>
      </c>
      <c r="C144" s="27" t="s">
        <v>477</v>
      </c>
      <c r="D144" s="27" t="s">
        <v>478</v>
      </c>
      <c r="E144" s="28" t="s">
        <v>46</v>
      </c>
      <c r="F144" s="29" t="s">
        <v>46</v>
      </c>
      <c r="G144" s="30" t="s">
        <v>46</v>
      </c>
      <c r="H144" s="25"/>
      <c r="I144" s="25" t="s">
        <v>47</v>
      </c>
      <c r="J144" s="31">
        <v>1</v>
      </c>
      <c r="K144" s="35">
        <f>46580</f>
        <v>46580</v>
      </c>
      <c r="L144" s="32" t="s">
        <v>48</v>
      </c>
      <c r="M144" s="35">
        <f>64500</f>
        <v>64500</v>
      </c>
      <c r="N144" s="32" t="s">
        <v>273</v>
      </c>
      <c r="O144" s="35">
        <f>46580</f>
        <v>46580</v>
      </c>
      <c r="P144" s="32" t="s">
        <v>48</v>
      </c>
      <c r="Q144" s="35">
        <f>57060</f>
        <v>57060</v>
      </c>
      <c r="R144" s="32" t="s">
        <v>50</v>
      </c>
      <c r="S144" s="34">
        <f>53507.89</f>
        <v>53507.89</v>
      </c>
      <c r="T144" s="31">
        <f>19570</f>
        <v>19570</v>
      </c>
      <c r="U144" s="31" t="str">
        <f>"－"</f>
        <v>－</v>
      </c>
      <c r="V144" s="31">
        <f>1084026820</f>
        <v>1084026820</v>
      </c>
      <c r="W144" s="31" t="str">
        <f>"－"</f>
        <v>－</v>
      </c>
      <c r="X144" s="33">
        <f>19</f>
        <v>19</v>
      </c>
    </row>
    <row r="145" spans="1:24">
      <c r="A145" s="27" t="s">
        <v>42</v>
      </c>
      <c r="B145" s="27" t="s">
        <v>479</v>
      </c>
      <c r="C145" s="27" t="s">
        <v>480</v>
      </c>
      <c r="D145" s="27" t="s">
        <v>481</v>
      </c>
      <c r="E145" s="28" t="s">
        <v>46</v>
      </c>
      <c r="F145" s="29" t="s">
        <v>46</v>
      </c>
      <c r="G145" s="30" t="s">
        <v>46</v>
      </c>
      <c r="H145" s="25"/>
      <c r="I145" s="25" t="s">
        <v>47</v>
      </c>
      <c r="J145" s="31">
        <v>10</v>
      </c>
      <c r="K145" s="35">
        <f>59970</f>
        <v>59970</v>
      </c>
      <c r="L145" s="32" t="s">
        <v>48</v>
      </c>
      <c r="M145" s="35">
        <f>60950</f>
        <v>60950</v>
      </c>
      <c r="N145" s="32" t="s">
        <v>155</v>
      </c>
      <c r="O145" s="35">
        <f>59090</f>
        <v>59090</v>
      </c>
      <c r="P145" s="32" t="s">
        <v>61</v>
      </c>
      <c r="Q145" s="35">
        <f>59510</f>
        <v>59510</v>
      </c>
      <c r="R145" s="32" t="s">
        <v>50</v>
      </c>
      <c r="S145" s="34">
        <f>60184.21</f>
        <v>60184.21</v>
      </c>
      <c r="T145" s="31">
        <f>7340</f>
        <v>7340</v>
      </c>
      <c r="U145" s="31">
        <f>4530</f>
        <v>4530</v>
      </c>
      <c r="V145" s="31">
        <f>443195552</f>
        <v>443195552</v>
      </c>
      <c r="W145" s="31">
        <f>274213252</f>
        <v>274213252</v>
      </c>
      <c r="X145" s="33">
        <f>19</f>
        <v>19</v>
      </c>
    </row>
    <row r="146" spans="1:24">
      <c r="A146" s="27" t="s">
        <v>42</v>
      </c>
      <c r="B146" s="27" t="s">
        <v>482</v>
      </c>
      <c r="C146" s="27" t="s">
        <v>483</v>
      </c>
      <c r="D146" s="27" t="s">
        <v>484</v>
      </c>
      <c r="E146" s="28" t="s">
        <v>46</v>
      </c>
      <c r="F146" s="29" t="s">
        <v>46</v>
      </c>
      <c r="G146" s="30" t="s">
        <v>46</v>
      </c>
      <c r="H146" s="25"/>
      <c r="I146" s="25" t="s">
        <v>47</v>
      </c>
      <c r="J146" s="31">
        <v>10</v>
      </c>
      <c r="K146" s="35">
        <f>357.5</f>
        <v>357.5</v>
      </c>
      <c r="L146" s="32" t="s">
        <v>48</v>
      </c>
      <c r="M146" s="35">
        <f>363.9</f>
        <v>363.9</v>
      </c>
      <c r="N146" s="32" t="s">
        <v>48</v>
      </c>
      <c r="O146" s="35">
        <f>331.8</f>
        <v>331.8</v>
      </c>
      <c r="P146" s="32" t="s">
        <v>70</v>
      </c>
      <c r="Q146" s="35">
        <f>334.6</f>
        <v>334.6</v>
      </c>
      <c r="R146" s="32" t="s">
        <v>50</v>
      </c>
      <c r="S146" s="34">
        <f>348.47</f>
        <v>348.47</v>
      </c>
      <c r="T146" s="31">
        <f>21774170</f>
        <v>21774170</v>
      </c>
      <c r="U146" s="31">
        <f>449680</f>
        <v>449680</v>
      </c>
      <c r="V146" s="31">
        <f>7578571264</f>
        <v>7578571264</v>
      </c>
      <c r="W146" s="31">
        <f>156009997</f>
        <v>156009997</v>
      </c>
      <c r="X146" s="33">
        <f>19</f>
        <v>19</v>
      </c>
    </row>
    <row r="147" spans="1:24">
      <c r="A147" s="27" t="s">
        <v>42</v>
      </c>
      <c r="B147" s="27" t="s">
        <v>485</v>
      </c>
      <c r="C147" s="27" t="s">
        <v>486</v>
      </c>
      <c r="D147" s="27" t="s">
        <v>487</v>
      </c>
      <c r="E147" s="28" t="s">
        <v>46</v>
      </c>
      <c r="F147" s="29" t="s">
        <v>46</v>
      </c>
      <c r="G147" s="30" t="s">
        <v>46</v>
      </c>
      <c r="H147" s="25"/>
      <c r="I147" s="25" t="s">
        <v>47</v>
      </c>
      <c r="J147" s="31">
        <v>10</v>
      </c>
      <c r="K147" s="35">
        <f>61700</f>
        <v>61700</v>
      </c>
      <c r="L147" s="32" t="s">
        <v>48</v>
      </c>
      <c r="M147" s="35">
        <f>63500</f>
        <v>63500</v>
      </c>
      <c r="N147" s="32" t="s">
        <v>75</v>
      </c>
      <c r="O147" s="35">
        <f>61520</f>
        <v>61520</v>
      </c>
      <c r="P147" s="32" t="s">
        <v>75</v>
      </c>
      <c r="Q147" s="35">
        <f>62300</f>
        <v>62300</v>
      </c>
      <c r="R147" s="32" t="s">
        <v>61</v>
      </c>
      <c r="S147" s="34">
        <f>62688</f>
        <v>62688</v>
      </c>
      <c r="T147" s="31">
        <f>1740</f>
        <v>1740</v>
      </c>
      <c r="U147" s="31" t="str">
        <f>"－"</f>
        <v>－</v>
      </c>
      <c r="V147" s="31">
        <f>107384600</f>
        <v>107384600</v>
      </c>
      <c r="W147" s="31" t="str">
        <f>"－"</f>
        <v>－</v>
      </c>
      <c r="X147" s="33">
        <f>10</f>
        <v>10</v>
      </c>
    </row>
    <row r="148" spans="1:24">
      <c r="A148" s="27" t="s">
        <v>42</v>
      </c>
      <c r="B148" s="27" t="s">
        <v>488</v>
      </c>
      <c r="C148" s="27" t="s">
        <v>489</v>
      </c>
      <c r="D148" s="27" t="s">
        <v>490</v>
      </c>
      <c r="E148" s="28" t="s">
        <v>46</v>
      </c>
      <c r="F148" s="29" t="s">
        <v>46</v>
      </c>
      <c r="G148" s="30" t="s">
        <v>46</v>
      </c>
      <c r="H148" s="25"/>
      <c r="I148" s="25" t="s">
        <v>47</v>
      </c>
      <c r="J148" s="31">
        <v>1</v>
      </c>
      <c r="K148" s="35">
        <f>7477</f>
        <v>7477</v>
      </c>
      <c r="L148" s="32" t="s">
        <v>48</v>
      </c>
      <c r="M148" s="35">
        <f>7715</f>
        <v>7715</v>
      </c>
      <c r="N148" s="32" t="s">
        <v>74</v>
      </c>
      <c r="O148" s="35">
        <f>7325</f>
        <v>7325</v>
      </c>
      <c r="P148" s="32" t="s">
        <v>273</v>
      </c>
      <c r="Q148" s="35">
        <f>7355</f>
        <v>7355</v>
      </c>
      <c r="R148" s="32" t="s">
        <v>50</v>
      </c>
      <c r="S148" s="34">
        <f>7514</f>
        <v>7514</v>
      </c>
      <c r="T148" s="31">
        <f>69325</f>
        <v>69325</v>
      </c>
      <c r="U148" s="31">
        <f>203</f>
        <v>203</v>
      </c>
      <c r="V148" s="31">
        <f>523952970</f>
        <v>523952970</v>
      </c>
      <c r="W148" s="31">
        <f>1518771</f>
        <v>1518771</v>
      </c>
      <c r="X148" s="33">
        <f>19</f>
        <v>19</v>
      </c>
    </row>
    <row r="149" spans="1:24">
      <c r="A149" s="27" t="s">
        <v>42</v>
      </c>
      <c r="B149" s="27" t="s">
        <v>491</v>
      </c>
      <c r="C149" s="27" t="s">
        <v>492</v>
      </c>
      <c r="D149" s="27" t="s">
        <v>493</v>
      </c>
      <c r="E149" s="28" t="s">
        <v>46</v>
      </c>
      <c r="F149" s="29" t="s">
        <v>46</v>
      </c>
      <c r="G149" s="30" t="s">
        <v>46</v>
      </c>
      <c r="H149" s="25"/>
      <c r="I149" s="25" t="s">
        <v>47</v>
      </c>
      <c r="J149" s="31">
        <v>1</v>
      </c>
      <c r="K149" s="35">
        <f>2791</f>
        <v>2791</v>
      </c>
      <c r="L149" s="32" t="s">
        <v>48</v>
      </c>
      <c r="M149" s="35">
        <f>2988</f>
        <v>2988</v>
      </c>
      <c r="N149" s="32" t="s">
        <v>74</v>
      </c>
      <c r="O149" s="35">
        <f>2791</f>
        <v>2791</v>
      </c>
      <c r="P149" s="32" t="s">
        <v>48</v>
      </c>
      <c r="Q149" s="35">
        <f>2931</f>
        <v>2931</v>
      </c>
      <c r="R149" s="32" t="s">
        <v>50</v>
      </c>
      <c r="S149" s="34">
        <f>2923.32</f>
        <v>2923.32</v>
      </c>
      <c r="T149" s="31">
        <f>146731</f>
        <v>146731</v>
      </c>
      <c r="U149" s="31">
        <f>3300</f>
        <v>3300</v>
      </c>
      <c r="V149" s="31">
        <f>428932343</f>
        <v>428932343</v>
      </c>
      <c r="W149" s="31">
        <f>9679326</f>
        <v>9679326</v>
      </c>
      <c r="X149" s="33">
        <f>19</f>
        <v>19</v>
      </c>
    </row>
    <row r="150" spans="1:24">
      <c r="A150" s="27" t="s">
        <v>42</v>
      </c>
      <c r="B150" s="27" t="s">
        <v>494</v>
      </c>
      <c r="C150" s="27" t="s">
        <v>495</v>
      </c>
      <c r="D150" s="27" t="s">
        <v>496</v>
      </c>
      <c r="E150" s="28" t="s">
        <v>46</v>
      </c>
      <c r="F150" s="29" t="s">
        <v>46</v>
      </c>
      <c r="G150" s="30" t="s">
        <v>46</v>
      </c>
      <c r="H150" s="25"/>
      <c r="I150" s="25" t="s">
        <v>47</v>
      </c>
      <c r="J150" s="31">
        <v>10</v>
      </c>
      <c r="K150" s="35">
        <f>2117</f>
        <v>2117</v>
      </c>
      <c r="L150" s="32" t="s">
        <v>48</v>
      </c>
      <c r="M150" s="35">
        <f>2370</f>
        <v>2370</v>
      </c>
      <c r="N150" s="32" t="s">
        <v>61</v>
      </c>
      <c r="O150" s="35">
        <f>1957.5</f>
        <v>1957.5</v>
      </c>
      <c r="P150" s="32" t="s">
        <v>48</v>
      </c>
      <c r="Q150" s="35">
        <f>2232.5</f>
        <v>2232.5</v>
      </c>
      <c r="R150" s="32" t="s">
        <v>50</v>
      </c>
      <c r="S150" s="34">
        <f>2128.92</f>
        <v>2128.92</v>
      </c>
      <c r="T150" s="31">
        <f>5010</f>
        <v>5010</v>
      </c>
      <c r="U150" s="31" t="str">
        <f t="shared" ref="U150:U163" si="0">"－"</f>
        <v>－</v>
      </c>
      <c r="V150" s="31">
        <f>10766270</f>
        <v>10766270</v>
      </c>
      <c r="W150" s="31" t="str">
        <f t="shared" ref="W150:W163" si="1">"－"</f>
        <v>－</v>
      </c>
      <c r="X150" s="33">
        <f>19</f>
        <v>19</v>
      </c>
    </row>
    <row r="151" spans="1:24">
      <c r="A151" s="27" t="s">
        <v>42</v>
      </c>
      <c r="B151" s="27" t="s">
        <v>497</v>
      </c>
      <c r="C151" s="27" t="s">
        <v>498</v>
      </c>
      <c r="D151" s="27" t="s">
        <v>499</v>
      </c>
      <c r="E151" s="28" t="s">
        <v>46</v>
      </c>
      <c r="F151" s="29" t="s">
        <v>46</v>
      </c>
      <c r="G151" s="30" t="s">
        <v>46</v>
      </c>
      <c r="H151" s="25"/>
      <c r="I151" s="25" t="s">
        <v>47</v>
      </c>
      <c r="J151" s="31">
        <v>10</v>
      </c>
      <c r="K151" s="35">
        <f>499.8</f>
        <v>499.8</v>
      </c>
      <c r="L151" s="32" t="s">
        <v>48</v>
      </c>
      <c r="M151" s="35">
        <f>575</f>
        <v>575</v>
      </c>
      <c r="N151" s="32" t="s">
        <v>50</v>
      </c>
      <c r="O151" s="35">
        <f>484</f>
        <v>484</v>
      </c>
      <c r="P151" s="32" t="s">
        <v>257</v>
      </c>
      <c r="Q151" s="35">
        <f>574.6</f>
        <v>574.6</v>
      </c>
      <c r="R151" s="32" t="s">
        <v>50</v>
      </c>
      <c r="S151" s="34">
        <f>523.91</f>
        <v>523.91</v>
      </c>
      <c r="T151" s="31">
        <f>106240</f>
        <v>106240</v>
      </c>
      <c r="U151" s="31" t="str">
        <f t="shared" si="0"/>
        <v>－</v>
      </c>
      <c r="V151" s="31">
        <f>56347197</f>
        <v>56347197</v>
      </c>
      <c r="W151" s="31" t="str">
        <f t="shared" si="1"/>
        <v>－</v>
      </c>
      <c r="X151" s="33">
        <f>19</f>
        <v>19</v>
      </c>
    </row>
    <row r="152" spans="1:24">
      <c r="A152" s="27" t="s">
        <v>42</v>
      </c>
      <c r="B152" s="27" t="s">
        <v>500</v>
      </c>
      <c r="C152" s="27" t="s">
        <v>501</v>
      </c>
      <c r="D152" s="27" t="s">
        <v>502</v>
      </c>
      <c r="E152" s="28" t="s">
        <v>46</v>
      </c>
      <c r="F152" s="29" t="s">
        <v>46</v>
      </c>
      <c r="G152" s="30" t="s">
        <v>46</v>
      </c>
      <c r="H152" s="25"/>
      <c r="I152" s="25" t="s">
        <v>47</v>
      </c>
      <c r="J152" s="31">
        <v>10</v>
      </c>
      <c r="K152" s="35">
        <f>2871</f>
        <v>2871</v>
      </c>
      <c r="L152" s="32" t="s">
        <v>48</v>
      </c>
      <c r="M152" s="35">
        <f>3430</f>
        <v>3430</v>
      </c>
      <c r="N152" s="32" t="s">
        <v>195</v>
      </c>
      <c r="O152" s="35">
        <f>2771.5</f>
        <v>2771.5</v>
      </c>
      <c r="P152" s="32" t="s">
        <v>48</v>
      </c>
      <c r="Q152" s="35">
        <f>2901</f>
        <v>2901</v>
      </c>
      <c r="R152" s="32" t="s">
        <v>50</v>
      </c>
      <c r="S152" s="34">
        <f>3027.74</f>
        <v>3027.74</v>
      </c>
      <c r="T152" s="31">
        <f>34570</f>
        <v>34570</v>
      </c>
      <c r="U152" s="31" t="str">
        <f t="shared" si="0"/>
        <v>－</v>
      </c>
      <c r="V152" s="31">
        <f>104415910</f>
        <v>104415910</v>
      </c>
      <c r="W152" s="31" t="str">
        <f t="shared" si="1"/>
        <v>－</v>
      </c>
      <c r="X152" s="33">
        <f>19</f>
        <v>19</v>
      </c>
    </row>
    <row r="153" spans="1:24">
      <c r="A153" s="27" t="s">
        <v>42</v>
      </c>
      <c r="B153" s="27" t="s">
        <v>503</v>
      </c>
      <c r="C153" s="27" t="s">
        <v>504</v>
      </c>
      <c r="D153" s="27" t="s">
        <v>505</v>
      </c>
      <c r="E153" s="28" t="s">
        <v>46</v>
      </c>
      <c r="F153" s="29" t="s">
        <v>46</v>
      </c>
      <c r="G153" s="30" t="s">
        <v>46</v>
      </c>
      <c r="H153" s="25"/>
      <c r="I153" s="25" t="s">
        <v>47</v>
      </c>
      <c r="J153" s="31">
        <v>10</v>
      </c>
      <c r="K153" s="35">
        <f>910.2</f>
        <v>910.2</v>
      </c>
      <c r="L153" s="32" t="s">
        <v>48</v>
      </c>
      <c r="M153" s="35">
        <f>970.9</f>
        <v>970.9</v>
      </c>
      <c r="N153" s="32" t="s">
        <v>49</v>
      </c>
      <c r="O153" s="35">
        <f>901.9</f>
        <v>901.9</v>
      </c>
      <c r="P153" s="32" t="s">
        <v>273</v>
      </c>
      <c r="Q153" s="35">
        <f>912</f>
        <v>912</v>
      </c>
      <c r="R153" s="32" t="s">
        <v>50</v>
      </c>
      <c r="S153" s="34">
        <f>926.87</f>
        <v>926.87</v>
      </c>
      <c r="T153" s="31">
        <f>49790</f>
        <v>49790</v>
      </c>
      <c r="U153" s="31" t="str">
        <f t="shared" si="0"/>
        <v>－</v>
      </c>
      <c r="V153" s="31">
        <f>45856275</f>
        <v>45856275</v>
      </c>
      <c r="W153" s="31" t="str">
        <f t="shared" si="1"/>
        <v>－</v>
      </c>
      <c r="X153" s="33">
        <f>19</f>
        <v>19</v>
      </c>
    </row>
    <row r="154" spans="1:24">
      <c r="A154" s="27" t="s">
        <v>42</v>
      </c>
      <c r="B154" s="27" t="s">
        <v>506</v>
      </c>
      <c r="C154" s="27" t="s">
        <v>507</v>
      </c>
      <c r="D154" s="27" t="s">
        <v>508</v>
      </c>
      <c r="E154" s="28" t="s">
        <v>46</v>
      </c>
      <c r="F154" s="29" t="s">
        <v>46</v>
      </c>
      <c r="G154" s="30" t="s">
        <v>46</v>
      </c>
      <c r="H154" s="25"/>
      <c r="I154" s="25" t="s">
        <v>47</v>
      </c>
      <c r="J154" s="31">
        <v>10</v>
      </c>
      <c r="K154" s="35">
        <f>520</f>
        <v>520</v>
      </c>
      <c r="L154" s="32" t="s">
        <v>48</v>
      </c>
      <c r="M154" s="35">
        <f>525.9</f>
        <v>525.9</v>
      </c>
      <c r="N154" s="32" t="s">
        <v>49</v>
      </c>
      <c r="O154" s="35">
        <f>498.1</f>
        <v>498.1</v>
      </c>
      <c r="P154" s="32" t="s">
        <v>70</v>
      </c>
      <c r="Q154" s="35">
        <f>512.7</f>
        <v>512.70000000000005</v>
      </c>
      <c r="R154" s="32" t="s">
        <v>50</v>
      </c>
      <c r="S154" s="34">
        <f>512.88</f>
        <v>512.88</v>
      </c>
      <c r="T154" s="31">
        <f>60180</f>
        <v>60180</v>
      </c>
      <c r="U154" s="31" t="str">
        <f t="shared" si="0"/>
        <v>－</v>
      </c>
      <c r="V154" s="31">
        <f>30832389</f>
        <v>30832389</v>
      </c>
      <c r="W154" s="31" t="str">
        <f t="shared" si="1"/>
        <v>－</v>
      </c>
      <c r="X154" s="33">
        <f>19</f>
        <v>19</v>
      </c>
    </row>
    <row r="155" spans="1:24">
      <c r="A155" s="27" t="s">
        <v>42</v>
      </c>
      <c r="B155" s="27" t="s">
        <v>509</v>
      </c>
      <c r="C155" s="27" t="s">
        <v>510</v>
      </c>
      <c r="D155" s="27" t="s">
        <v>511</v>
      </c>
      <c r="E155" s="28" t="s">
        <v>46</v>
      </c>
      <c r="F155" s="29" t="s">
        <v>46</v>
      </c>
      <c r="G155" s="30" t="s">
        <v>46</v>
      </c>
      <c r="H155" s="25"/>
      <c r="I155" s="25" t="s">
        <v>47</v>
      </c>
      <c r="J155" s="31">
        <v>1</v>
      </c>
      <c r="K155" s="35">
        <f>945</f>
        <v>945</v>
      </c>
      <c r="L155" s="32" t="s">
        <v>48</v>
      </c>
      <c r="M155" s="35">
        <f>1141</f>
        <v>1141</v>
      </c>
      <c r="N155" s="32" t="s">
        <v>273</v>
      </c>
      <c r="O155" s="35">
        <f>810</f>
        <v>810</v>
      </c>
      <c r="P155" s="32" t="s">
        <v>65</v>
      </c>
      <c r="Q155" s="35">
        <f>1126</f>
        <v>1126</v>
      </c>
      <c r="R155" s="32" t="s">
        <v>50</v>
      </c>
      <c r="S155" s="34">
        <f>952.05</f>
        <v>952.05</v>
      </c>
      <c r="T155" s="31">
        <f>4379161</f>
        <v>4379161</v>
      </c>
      <c r="U155" s="31" t="str">
        <f t="shared" si="0"/>
        <v>－</v>
      </c>
      <c r="V155" s="31">
        <f>4157122314</f>
        <v>4157122314</v>
      </c>
      <c r="W155" s="31" t="str">
        <f t="shared" si="1"/>
        <v>－</v>
      </c>
      <c r="X155" s="33">
        <f>19</f>
        <v>19</v>
      </c>
    </row>
    <row r="156" spans="1:24">
      <c r="A156" s="27" t="s">
        <v>42</v>
      </c>
      <c r="B156" s="27" t="s">
        <v>512</v>
      </c>
      <c r="C156" s="27" t="s">
        <v>513</v>
      </c>
      <c r="D156" s="27" t="s">
        <v>514</v>
      </c>
      <c r="E156" s="28" t="s">
        <v>46</v>
      </c>
      <c r="F156" s="29" t="s">
        <v>46</v>
      </c>
      <c r="G156" s="30" t="s">
        <v>46</v>
      </c>
      <c r="H156" s="25"/>
      <c r="I156" s="25" t="s">
        <v>47</v>
      </c>
      <c r="J156" s="31">
        <v>10</v>
      </c>
      <c r="K156" s="35">
        <f>1420</f>
        <v>1420</v>
      </c>
      <c r="L156" s="32" t="s">
        <v>48</v>
      </c>
      <c r="M156" s="35">
        <f>1548</f>
        <v>1548</v>
      </c>
      <c r="N156" s="32" t="s">
        <v>50</v>
      </c>
      <c r="O156" s="35">
        <f>1352.5</f>
        <v>1352.5</v>
      </c>
      <c r="P156" s="32" t="s">
        <v>195</v>
      </c>
      <c r="Q156" s="35">
        <f>1522</f>
        <v>1522</v>
      </c>
      <c r="R156" s="32" t="s">
        <v>50</v>
      </c>
      <c r="S156" s="34">
        <f>1449.82</f>
        <v>1449.82</v>
      </c>
      <c r="T156" s="31">
        <f>105680</f>
        <v>105680</v>
      </c>
      <c r="U156" s="31" t="str">
        <f t="shared" si="0"/>
        <v>－</v>
      </c>
      <c r="V156" s="31">
        <f>154467515</f>
        <v>154467515</v>
      </c>
      <c r="W156" s="31" t="str">
        <f t="shared" si="1"/>
        <v>－</v>
      </c>
      <c r="X156" s="33">
        <f>19</f>
        <v>19</v>
      </c>
    </row>
    <row r="157" spans="1:24">
      <c r="A157" s="27" t="s">
        <v>42</v>
      </c>
      <c r="B157" s="27" t="s">
        <v>515</v>
      </c>
      <c r="C157" s="27" t="s">
        <v>516</v>
      </c>
      <c r="D157" s="27" t="s">
        <v>517</v>
      </c>
      <c r="E157" s="28" t="s">
        <v>46</v>
      </c>
      <c r="F157" s="29" t="s">
        <v>46</v>
      </c>
      <c r="G157" s="30" t="s">
        <v>46</v>
      </c>
      <c r="H157" s="25"/>
      <c r="I157" s="25" t="s">
        <v>47</v>
      </c>
      <c r="J157" s="31">
        <v>1</v>
      </c>
      <c r="K157" s="35">
        <f>7877</f>
        <v>7877</v>
      </c>
      <c r="L157" s="32" t="s">
        <v>48</v>
      </c>
      <c r="M157" s="35">
        <f>8500</f>
        <v>8500</v>
      </c>
      <c r="N157" s="32" t="s">
        <v>155</v>
      </c>
      <c r="O157" s="35">
        <f>7680</f>
        <v>7680</v>
      </c>
      <c r="P157" s="32" t="s">
        <v>75</v>
      </c>
      <c r="Q157" s="35">
        <f>8356</f>
        <v>8356</v>
      </c>
      <c r="R157" s="32" t="s">
        <v>50</v>
      </c>
      <c r="S157" s="34">
        <f>8145.56</f>
        <v>8145.56</v>
      </c>
      <c r="T157" s="31">
        <f>2016</f>
        <v>2016</v>
      </c>
      <c r="U157" s="31" t="str">
        <f t="shared" si="0"/>
        <v>－</v>
      </c>
      <c r="V157" s="31">
        <f>16533649</f>
        <v>16533649</v>
      </c>
      <c r="W157" s="31" t="str">
        <f t="shared" si="1"/>
        <v>－</v>
      </c>
      <c r="X157" s="33">
        <f>16</f>
        <v>16</v>
      </c>
    </row>
    <row r="158" spans="1:24">
      <c r="A158" s="27" t="s">
        <v>42</v>
      </c>
      <c r="B158" s="27" t="s">
        <v>518</v>
      </c>
      <c r="C158" s="27" t="s">
        <v>519</v>
      </c>
      <c r="D158" s="27" t="s">
        <v>520</v>
      </c>
      <c r="E158" s="28" t="s">
        <v>46</v>
      </c>
      <c r="F158" s="29" t="s">
        <v>46</v>
      </c>
      <c r="G158" s="30" t="s">
        <v>46</v>
      </c>
      <c r="H158" s="25"/>
      <c r="I158" s="25" t="s">
        <v>47</v>
      </c>
      <c r="J158" s="31">
        <v>100</v>
      </c>
      <c r="K158" s="35">
        <f>627</f>
        <v>627</v>
      </c>
      <c r="L158" s="32" t="s">
        <v>48</v>
      </c>
      <c r="M158" s="35">
        <f>779</f>
        <v>779</v>
      </c>
      <c r="N158" s="32" t="s">
        <v>195</v>
      </c>
      <c r="O158" s="35">
        <f>615.1</f>
        <v>615.1</v>
      </c>
      <c r="P158" s="32" t="s">
        <v>48</v>
      </c>
      <c r="Q158" s="35">
        <f>642</f>
        <v>642</v>
      </c>
      <c r="R158" s="32" t="s">
        <v>50</v>
      </c>
      <c r="S158" s="34">
        <f>651.18</f>
        <v>651.17999999999995</v>
      </c>
      <c r="T158" s="31">
        <f>553300</f>
        <v>553300</v>
      </c>
      <c r="U158" s="31" t="str">
        <f t="shared" si="0"/>
        <v>－</v>
      </c>
      <c r="V158" s="31">
        <f>363759000</f>
        <v>363759000</v>
      </c>
      <c r="W158" s="31" t="str">
        <f t="shared" si="1"/>
        <v>－</v>
      </c>
      <c r="X158" s="33">
        <f>19</f>
        <v>19</v>
      </c>
    </row>
    <row r="159" spans="1:24">
      <c r="A159" s="27" t="s">
        <v>42</v>
      </c>
      <c r="B159" s="27" t="s">
        <v>521</v>
      </c>
      <c r="C159" s="27" t="s">
        <v>522</v>
      </c>
      <c r="D159" s="27" t="s">
        <v>523</v>
      </c>
      <c r="E159" s="28" t="s">
        <v>46</v>
      </c>
      <c r="F159" s="29" t="s">
        <v>46</v>
      </c>
      <c r="G159" s="30" t="s">
        <v>46</v>
      </c>
      <c r="H159" s="25"/>
      <c r="I159" s="25" t="s">
        <v>47</v>
      </c>
      <c r="J159" s="31">
        <v>10</v>
      </c>
      <c r="K159" s="35">
        <f>7999</f>
        <v>7999</v>
      </c>
      <c r="L159" s="32" t="s">
        <v>48</v>
      </c>
      <c r="M159" s="35">
        <f>8999</f>
        <v>8999</v>
      </c>
      <c r="N159" s="32" t="s">
        <v>195</v>
      </c>
      <c r="O159" s="35">
        <f>7822</f>
        <v>7822</v>
      </c>
      <c r="P159" s="32" t="s">
        <v>48</v>
      </c>
      <c r="Q159" s="35">
        <f>8178</f>
        <v>8178</v>
      </c>
      <c r="R159" s="32" t="s">
        <v>50</v>
      </c>
      <c r="S159" s="34">
        <f>8252</f>
        <v>8252</v>
      </c>
      <c r="T159" s="31">
        <f>2270280</f>
        <v>2270280</v>
      </c>
      <c r="U159" s="31" t="str">
        <f t="shared" si="0"/>
        <v>－</v>
      </c>
      <c r="V159" s="31">
        <f>18814262500</f>
        <v>18814262500</v>
      </c>
      <c r="W159" s="31" t="str">
        <f t="shared" si="1"/>
        <v>－</v>
      </c>
      <c r="X159" s="33">
        <f>19</f>
        <v>19</v>
      </c>
    </row>
    <row r="160" spans="1:24">
      <c r="A160" s="27" t="s">
        <v>42</v>
      </c>
      <c r="B160" s="27" t="s">
        <v>524</v>
      </c>
      <c r="C160" s="27" t="s">
        <v>525</v>
      </c>
      <c r="D160" s="27" t="s">
        <v>526</v>
      </c>
      <c r="E160" s="28" t="s">
        <v>46</v>
      </c>
      <c r="F160" s="29" t="s">
        <v>46</v>
      </c>
      <c r="G160" s="30" t="s">
        <v>46</v>
      </c>
      <c r="H160" s="25"/>
      <c r="I160" s="25" t="s">
        <v>47</v>
      </c>
      <c r="J160" s="31">
        <v>10</v>
      </c>
      <c r="K160" s="35">
        <f>2327.5</f>
        <v>2327.5</v>
      </c>
      <c r="L160" s="32" t="s">
        <v>48</v>
      </c>
      <c r="M160" s="35">
        <f>2715.5</f>
        <v>2715.5</v>
      </c>
      <c r="N160" s="32" t="s">
        <v>195</v>
      </c>
      <c r="O160" s="35">
        <f>2200.5</f>
        <v>2200.5</v>
      </c>
      <c r="P160" s="32" t="s">
        <v>48</v>
      </c>
      <c r="Q160" s="35">
        <f>2437.5</f>
        <v>2437.5</v>
      </c>
      <c r="R160" s="32" t="s">
        <v>50</v>
      </c>
      <c r="S160" s="34">
        <f>2486.55</f>
        <v>2486.5500000000002</v>
      </c>
      <c r="T160" s="31">
        <f>98980</f>
        <v>98980</v>
      </c>
      <c r="U160" s="31" t="str">
        <f t="shared" si="0"/>
        <v>－</v>
      </c>
      <c r="V160" s="31">
        <f>247397685</f>
        <v>247397685</v>
      </c>
      <c r="W160" s="31" t="str">
        <f t="shared" si="1"/>
        <v>－</v>
      </c>
      <c r="X160" s="33">
        <f>19</f>
        <v>19</v>
      </c>
    </row>
    <row r="161" spans="1:24">
      <c r="A161" s="27" t="s">
        <v>42</v>
      </c>
      <c r="B161" s="27" t="s">
        <v>527</v>
      </c>
      <c r="C161" s="27" t="s">
        <v>528</v>
      </c>
      <c r="D161" s="27" t="s">
        <v>529</v>
      </c>
      <c r="E161" s="28" t="s">
        <v>46</v>
      </c>
      <c r="F161" s="29" t="s">
        <v>46</v>
      </c>
      <c r="G161" s="30" t="s">
        <v>46</v>
      </c>
      <c r="H161" s="25"/>
      <c r="I161" s="25" t="s">
        <v>47</v>
      </c>
      <c r="J161" s="31">
        <v>1</v>
      </c>
      <c r="K161" s="35">
        <f>2690</f>
        <v>2690</v>
      </c>
      <c r="L161" s="32" t="s">
        <v>48</v>
      </c>
      <c r="M161" s="35">
        <f>2810</f>
        <v>2810</v>
      </c>
      <c r="N161" s="32" t="s">
        <v>50</v>
      </c>
      <c r="O161" s="35">
        <f>2675</f>
        <v>2675</v>
      </c>
      <c r="P161" s="32" t="s">
        <v>48</v>
      </c>
      <c r="Q161" s="35">
        <f>2804</f>
        <v>2804</v>
      </c>
      <c r="R161" s="32" t="s">
        <v>50</v>
      </c>
      <c r="S161" s="34">
        <f>2732.47</f>
        <v>2732.47</v>
      </c>
      <c r="T161" s="31">
        <f>133574</f>
        <v>133574</v>
      </c>
      <c r="U161" s="31" t="str">
        <f t="shared" si="0"/>
        <v>－</v>
      </c>
      <c r="V161" s="31">
        <f>365824791</f>
        <v>365824791</v>
      </c>
      <c r="W161" s="31" t="str">
        <f t="shared" si="1"/>
        <v>－</v>
      </c>
      <c r="X161" s="33">
        <f>19</f>
        <v>19</v>
      </c>
    </row>
    <row r="162" spans="1:24">
      <c r="A162" s="27" t="s">
        <v>42</v>
      </c>
      <c r="B162" s="27" t="s">
        <v>530</v>
      </c>
      <c r="C162" s="27" t="s">
        <v>531</v>
      </c>
      <c r="D162" s="27" t="s">
        <v>532</v>
      </c>
      <c r="E162" s="28" t="s">
        <v>46</v>
      </c>
      <c r="F162" s="29" t="s">
        <v>46</v>
      </c>
      <c r="G162" s="30" t="s">
        <v>46</v>
      </c>
      <c r="H162" s="25"/>
      <c r="I162" s="25" t="s">
        <v>47</v>
      </c>
      <c r="J162" s="31">
        <v>1</v>
      </c>
      <c r="K162" s="35">
        <f>2950</f>
        <v>2950</v>
      </c>
      <c r="L162" s="32" t="s">
        <v>48</v>
      </c>
      <c r="M162" s="35">
        <f>3004</f>
        <v>3004</v>
      </c>
      <c r="N162" s="32" t="s">
        <v>257</v>
      </c>
      <c r="O162" s="35">
        <f>2788</f>
        <v>2788</v>
      </c>
      <c r="P162" s="32" t="s">
        <v>61</v>
      </c>
      <c r="Q162" s="35">
        <f>2843</f>
        <v>2843</v>
      </c>
      <c r="R162" s="32" t="s">
        <v>50</v>
      </c>
      <c r="S162" s="34">
        <f>2889.26</f>
        <v>2889.26</v>
      </c>
      <c r="T162" s="31">
        <f>25416</f>
        <v>25416</v>
      </c>
      <c r="U162" s="31" t="str">
        <f t="shared" si="0"/>
        <v>－</v>
      </c>
      <c r="V162" s="31">
        <f>73084068</f>
        <v>73084068</v>
      </c>
      <c r="W162" s="31" t="str">
        <f t="shared" si="1"/>
        <v>－</v>
      </c>
      <c r="X162" s="33">
        <f>19</f>
        <v>19</v>
      </c>
    </row>
    <row r="163" spans="1:24">
      <c r="A163" s="27" t="s">
        <v>42</v>
      </c>
      <c r="B163" s="27" t="s">
        <v>533</v>
      </c>
      <c r="C163" s="27" t="s">
        <v>534</v>
      </c>
      <c r="D163" s="27" t="s">
        <v>535</v>
      </c>
      <c r="E163" s="28" t="s">
        <v>46</v>
      </c>
      <c r="F163" s="29" t="s">
        <v>46</v>
      </c>
      <c r="G163" s="30" t="s">
        <v>46</v>
      </c>
      <c r="H163" s="25"/>
      <c r="I163" s="25" t="s">
        <v>47</v>
      </c>
      <c r="J163" s="31">
        <v>10</v>
      </c>
      <c r="K163" s="35">
        <f>4062</f>
        <v>4062</v>
      </c>
      <c r="L163" s="32" t="s">
        <v>48</v>
      </c>
      <c r="M163" s="35">
        <f>4170</f>
        <v>4170</v>
      </c>
      <c r="N163" s="32" t="s">
        <v>206</v>
      </c>
      <c r="O163" s="35">
        <f>3995</f>
        <v>3995</v>
      </c>
      <c r="P163" s="32" t="s">
        <v>61</v>
      </c>
      <c r="Q163" s="35">
        <f>4009</f>
        <v>4009</v>
      </c>
      <c r="R163" s="32" t="s">
        <v>50</v>
      </c>
      <c r="S163" s="34">
        <f>4073.79</f>
        <v>4073.79</v>
      </c>
      <c r="T163" s="31">
        <f>7960</f>
        <v>7960</v>
      </c>
      <c r="U163" s="31" t="str">
        <f t="shared" si="0"/>
        <v>－</v>
      </c>
      <c r="V163" s="31">
        <f>32487490</f>
        <v>32487490</v>
      </c>
      <c r="W163" s="31" t="str">
        <f t="shared" si="1"/>
        <v>－</v>
      </c>
      <c r="X163" s="33">
        <f>19</f>
        <v>19</v>
      </c>
    </row>
    <row r="164" spans="1:24">
      <c r="A164" s="27" t="s">
        <v>42</v>
      </c>
      <c r="B164" s="27" t="s">
        <v>536</v>
      </c>
      <c r="C164" s="27" t="s">
        <v>537</v>
      </c>
      <c r="D164" s="27" t="s">
        <v>538</v>
      </c>
      <c r="E164" s="28" t="s">
        <v>46</v>
      </c>
      <c r="F164" s="29" t="s">
        <v>46</v>
      </c>
      <c r="G164" s="30" t="s">
        <v>46</v>
      </c>
      <c r="H164" s="25"/>
      <c r="I164" s="25" t="s">
        <v>47</v>
      </c>
      <c r="J164" s="31">
        <v>1</v>
      </c>
      <c r="K164" s="35">
        <f>3820</f>
        <v>3820</v>
      </c>
      <c r="L164" s="32" t="s">
        <v>48</v>
      </c>
      <c r="M164" s="35">
        <f>4042</f>
        <v>4042</v>
      </c>
      <c r="N164" s="32" t="s">
        <v>49</v>
      </c>
      <c r="O164" s="35">
        <f>3801</f>
        <v>3801</v>
      </c>
      <c r="P164" s="32" t="s">
        <v>75</v>
      </c>
      <c r="Q164" s="35">
        <f>3926</f>
        <v>3926</v>
      </c>
      <c r="R164" s="32" t="s">
        <v>50</v>
      </c>
      <c r="S164" s="34">
        <f>3915.79</f>
        <v>3915.79</v>
      </c>
      <c r="T164" s="31">
        <f>477975</f>
        <v>477975</v>
      </c>
      <c r="U164" s="31">
        <f>81680</f>
        <v>81680</v>
      </c>
      <c r="V164" s="31">
        <f>1852946737</f>
        <v>1852946737</v>
      </c>
      <c r="W164" s="31">
        <f>315141184</f>
        <v>315141184</v>
      </c>
      <c r="X164" s="33">
        <f>19</f>
        <v>19</v>
      </c>
    </row>
    <row r="165" spans="1:24">
      <c r="A165" s="27" t="s">
        <v>42</v>
      </c>
      <c r="B165" s="27" t="s">
        <v>539</v>
      </c>
      <c r="C165" s="27" t="s">
        <v>540</v>
      </c>
      <c r="D165" s="27" t="s">
        <v>541</v>
      </c>
      <c r="E165" s="28" t="s">
        <v>46</v>
      </c>
      <c r="F165" s="29" t="s">
        <v>46</v>
      </c>
      <c r="G165" s="30" t="s">
        <v>46</v>
      </c>
      <c r="H165" s="25"/>
      <c r="I165" s="25" t="s">
        <v>47</v>
      </c>
      <c r="J165" s="31">
        <v>10</v>
      </c>
      <c r="K165" s="35">
        <f>382.6</f>
        <v>382.6</v>
      </c>
      <c r="L165" s="32" t="s">
        <v>48</v>
      </c>
      <c r="M165" s="35">
        <f>423.7</f>
        <v>423.7</v>
      </c>
      <c r="N165" s="32" t="s">
        <v>50</v>
      </c>
      <c r="O165" s="35">
        <f>372.8</f>
        <v>372.8</v>
      </c>
      <c r="P165" s="32" t="s">
        <v>195</v>
      </c>
      <c r="Q165" s="35">
        <f>417.6</f>
        <v>417.6</v>
      </c>
      <c r="R165" s="32" t="s">
        <v>50</v>
      </c>
      <c r="S165" s="34">
        <f>399.18</f>
        <v>399.18</v>
      </c>
      <c r="T165" s="31">
        <f>9807660</f>
        <v>9807660</v>
      </c>
      <c r="U165" s="31">
        <f>239790</f>
        <v>239790</v>
      </c>
      <c r="V165" s="31">
        <f>3922580290</f>
        <v>3922580290</v>
      </c>
      <c r="W165" s="31">
        <f>96184631</f>
        <v>96184631</v>
      </c>
      <c r="X165" s="33">
        <f>19</f>
        <v>19</v>
      </c>
    </row>
    <row r="166" spans="1:24">
      <c r="A166" s="27" t="s">
        <v>42</v>
      </c>
      <c r="B166" s="27" t="s">
        <v>542</v>
      </c>
      <c r="C166" s="27" t="s">
        <v>543</v>
      </c>
      <c r="D166" s="27" t="s">
        <v>544</v>
      </c>
      <c r="E166" s="28" t="s">
        <v>46</v>
      </c>
      <c r="F166" s="29" t="s">
        <v>46</v>
      </c>
      <c r="G166" s="30" t="s">
        <v>46</v>
      </c>
      <c r="H166" s="25"/>
      <c r="I166" s="25" t="s">
        <v>47</v>
      </c>
      <c r="J166" s="31">
        <v>1</v>
      </c>
      <c r="K166" s="35">
        <f>2621</f>
        <v>2621</v>
      </c>
      <c r="L166" s="32" t="s">
        <v>48</v>
      </c>
      <c r="M166" s="35">
        <f>3117</f>
        <v>3117</v>
      </c>
      <c r="N166" s="32" t="s">
        <v>69</v>
      </c>
      <c r="O166" s="35">
        <f>2600</f>
        <v>2600</v>
      </c>
      <c r="P166" s="32" t="s">
        <v>48</v>
      </c>
      <c r="Q166" s="35">
        <f>2692</f>
        <v>2692</v>
      </c>
      <c r="R166" s="32" t="s">
        <v>50</v>
      </c>
      <c r="S166" s="34">
        <f>2702.63</f>
        <v>2702.63</v>
      </c>
      <c r="T166" s="31">
        <f>20476</f>
        <v>20476</v>
      </c>
      <c r="U166" s="31" t="str">
        <f>"－"</f>
        <v>－</v>
      </c>
      <c r="V166" s="31">
        <f>56250053</f>
        <v>56250053</v>
      </c>
      <c r="W166" s="31" t="str">
        <f>"－"</f>
        <v>－</v>
      </c>
      <c r="X166" s="33">
        <f>19</f>
        <v>19</v>
      </c>
    </row>
    <row r="167" spans="1:24">
      <c r="A167" s="27" t="s">
        <v>42</v>
      </c>
      <c r="B167" s="27" t="s">
        <v>545</v>
      </c>
      <c r="C167" s="27" t="s">
        <v>546</v>
      </c>
      <c r="D167" s="27" t="s">
        <v>547</v>
      </c>
      <c r="E167" s="28" t="s">
        <v>46</v>
      </c>
      <c r="F167" s="29" t="s">
        <v>46</v>
      </c>
      <c r="G167" s="30" t="s">
        <v>46</v>
      </c>
      <c r="H167" s="25"/>
      <c r="I167" s="25" t="s">
        <v>47</v>
      </c>
      <c r="J167" s="31">
        <v>1</v>
      </c>
      <c r="K167" s="35">
        <f>1516</f>
        <v>1516</v>
      </c>
      <c r="L167" s="32" t="s">
        <v>48</v>
      </c>
      <c r="M167" s="35">
        <f>1576</f>
        <v>1576</v>
      </c>
      <c r="N167" s="32" t="s">
        <v>74</v>
      </c>
      <c r="O167" s="35">
        <f>1486</f>
        <v>1486</v>
      </c>
      <c r="P167" s="32" t="s">
        <v>50</v>
      </c>
      <c r="Q167" s="35">
        <f>1488</f>
        <v>1488</v>
      </c>
      <c r="R167" s="32" t="s">
        <v>50</v>
      </c>
      <c r="S167" s="34">
        <f>1527.79</f>
        <v>1527.79</v>
      </c>
      <c r="T167" s="31">
        <f>742275</f>
        <v>742275</v>
      </c>
      <c r="U167" s="31" t="str">
        <f>"－"</f>
        <v>－</v>
      </c>
      <c r="V167" s="31">
        <f>1134852584</f>
        <v>1134852584</v>
      </c>
      <c r="W167" s="31" t="str">
        <f>"－"</f>
        <v>－</v>
      </c>
      <c r="X167" s="33">
        <f>19</f>
        <v>19</v>
      </c>
    </row>
    <row r="168" spans="1:24">
      <c r="A168" s="27" t="s">
        <v>42</v>
      </c>
      <c r="B168" s="27" t="s">
        <v>548</v>
      </c>
      <c r="C168" s="27" t="s">
        <v>549</v>
      </c>
      <c r="D168" s="27" t="s">
        <v>550</v>
      </c>
      <c r="E168" s="28" t="s">
        <v>46</v>
      </c>
      <c r="F168" s="29" t="s">
        <v>46</v>
      </c>
      <c r="G168" s="30" t="s">
        <v>46</v>
      </c>
      <c r="H168" s="25"/>
      <c r="I168" s="25" t="s">
        <v>47</v>
      </c>
      <c r="J168" s="31">
        <v>10</v>
      </c>
      <c r="K168" s="35">
        <f>266</f>
        <v>266</v>
      </c>
      <c r="L168" s="32" t="s">
        <v>48</v>
      </c>
      <c r="M168" s="35">
        <f>266</f>
        <v>266</v>
      </c>
      <c r="N168" s="32" t="s">
        <v>48</v>
      </c>
      <c r="O168" s="35">
        <f>258.8</f>
        <v>258.8</v>
      </c>
      <c r="P168" s="32" t="s">
        <v>213</v>
      </c>
      <c r="Q168" s="35">
        <f>260</f>
        <v>260</v>
      </c>
      <c r="R168" s="32" t="s">
        <v>50</v>
      </c>
      <c r="S168" s="34">
        <f>262.03</f>
        <v>262.02999999999997</v>
      </c>
      <c r="T168" s="31">
        <f>5184350</f>
        <v>5184350</v>
      </c>
      <c r="U168" s="31" t="str">
        <f>"－"</f>
        <v>－</v>
      </c>
      <c r="V168" s="31">
        <f>1357140182</f>
        <v>1357140182</v>
      </c>
      <c r="W168" s="31" t="str">
        <f>"－"</f>
        <v>－</v>
      </c>
      <c r="X168" s="33">
        <f>19</f>
        <v>19</v>
      </c>
    </row>
    <row r="169" spans="1:24">
      <c r="A169" s="27" t="s">
        <v>42</v>
      </c>
      <c r="B169" s="27" t="s">
        <v>551</v>
      </c>
      <c r="C169" s="27" t="s">
        <v>552</v>
      </c>
      <c r="D169" s="27" t="s">
        <v>553</v>
      </c>
      <c r="E169" s="28" t="s">
        <v>46</v>
      </c>
      <c r="F169" s="29" t="s">
        <v>46</v>
      </c>
      <c r="G169" s="30" t="s">
        <v>46</v>
      </c>
      <c r="H169" s="25"/>
      <c r="I169" s="25" t="s">
        <v>47</v>
      </c>
      <c r="J169" s="31">
        <v>10</v>
      </c>
      <c r="K169" s="35">
        <f>300</f>
        <v>300</v>
      </c>
      <c r="L169" s="32" t="s">
        <v>48</v>
      </c>
      <c r="M169" s="35">
        <f>303.1</f>
        <v>303.10000000000002</v>
      </c>
      <c r="N169" s="32" t="s">
        <v>49</v>
      </c>
      <c r="O169" s="35">
        <f>288</f>
        <v>288</v>
      </c>
      <c r="P169" s="32" t="s">
        <v>70</v>
      </c>
      <c r="Q169" s="35">
        <f>289.2</f>
        <v>289.2</v>
      </c>
      <c r="R169" s="32" t="s">
        <v>50</v>
      </c>
      <c r="S169" s="34">
        <f>296.8</f>
        <v>296.8</v>
      </c>
      <c r="T169" s="31">
        <f>3439680</f>
        <v>3439680</v>
      </c>
      <c r="U169" s="31" t="str">
        <f>"－"</f>
        <v>－</v>
      </c>
      <c r="V169" s="31">
        <f>1028522016</f>
        <v>1028522016</v>
      </c>
      <c r="W169" s="31" t="str">
        <f>"－"</f>
        <v>－</v>
      </c>
      <c r="X169" s="33">
        <f>19</f>
        <v>19</v>
      </c>
    </row>
    <row r="170" spans="1:24">
      <c r="A170" s="27" t="s">
        <v>42</v>
      </c>
      <c r="B170" s="27" t="s">
        <v>554</v>
      </c>
      <c r="C170" s="27" t="s">
        <v>555</v>
      </c>
      <c r="D170" s="27" t="s">
        <v>556</v>
      </c>
      <c r="E170" s="28" t="s">
        <v>46</v>
      </c>
      <c r="F170" s="29" t="s">
        <v>46</v>
      </c>
      <c r="G170" s="30" t="s">
        <v>46</v>
      </c>
      <c r="H170" s="25"/>
      <c r="I170" s="25" t="s">
        <v>47</v>
      </c>
      <c r="J170" s="31">
        <v>10</v>
      </c>
      <c r="K170" s="35">
        <f>616</f>
        <v>616</v>
      </c>
      <c r="L170" s="32" t="s">
        <v>48</v>
      </c>
      <c r="M170" s="35">
        <f>616</f>
        <v>616</v>
      </c>
      <c r="N170" s="32" t="s">
        <v>48</v>
      </c>
      <c r="O170" s="35">
        <f>517.1</f>
        <v>517.1</v>
      </c>
      <c r="P170" s="32" t="s">
        <v>50</v>
      </c>
      <c r="Q170" s="35">
        <f>519.9</f>
        <v>519.9</v>
      </c>
      <c r="R170" s="32" t="s">
        <v>50</v>
      </c>
      <c r="S170" s="34">
        <f>531.58</f>
        <v>531.58000000000004</v>
      </c>
      <c r="T170" s="31">
        <f>1322160</f>
        <v>1322160</v>
      </c>
      <c r="U170" s="31">
        <f>1316100</f>
        <v>1316100</v>
      </c>
      <c r="V170" s="31">
        <f>703360884</f>
        <v>703360884</v>
      </c>
      <c r="W170" s="31">
        <f>700149546</f>
        <v>700149546</v>
      </c>
      <c r="X170" s="33">
        <f>14</f>
        <v>14</v>
      </c>
    </row>
    <row r="171" spans="1:24">
      <c r="A171" s="27" t="s">
        <v>42</v>
      </c>
      <c r="B171" s="27" t="s">
        <v>557</v>
      </c>
      <c r="C171" s="27" t="s">
        <v>558</v>
      </c>
      <c r="D171" s="27" t="s">
        <v>559</v>
      </c>
      <c r="E171" s="28" t="s">
        <v>46</v>
      </c>
      <c r="F171" s="29" t="s">
        <v>46</v>
      </c>
      <c r="G171" s="30" t="s">
        <v>46</v>
      </c>
      <c r="H171" s="25"/>
      <c r="I171" s="25" t="s">
        <v>47</v>
      </c>
      <c r="J171" s="31">
        <v>10</v>
      </c>
      <c r="K171" s="35">
        <f>513</f>
        <v>513</v>
      </c>
      <c r="L171" s="32" t="s">
        <v>48</v>
      </c>
      <c r="M171" s="35">
        <f>527.3</f>
        <v>527.29999999999995</v>
      </c>
      <c r="N171" s="32" t="s">
        <v>65</v>
      </c>
      <c r="O171" s="35">
        <f>498</f>
        <v>498</v>
      </c>
      <c r="P171" s="32" t="s">
        <v>70</v>
      </c>
      <c r="Q171" s="35">
        <f>500.1</f>
        <v>500.1</v>
      </c>
      <c r="R171" s="32" t="s">
        <v>50</v>
      </c>
      <c r="S171" s="34">
        <f>512.8</f>
        <v>512.79999999999995</v>
      </c>
      <c r="T171" s="31">
        <f>17560</f>
        <v>17560</v>
      </c>
      <c r="U171" s="31" t="str">
        <f>"－"</f>
        <v>－</v>
      </c>
      <c r="V171" s="31">
        <f>9019813</f>
        <v>9019813</v>
      </c>
      <c r="W171" s="31" t="str">
        <f>"－"</f>
        <v>－</v>
      </c>
      <c r="X171" s="33">
        <f>19</f>
        <v>19</v>
      </c>
    </row>
    <row r="172" spans="1:24">
      <c r="A172" s="27" t="s">
        <v>42</v>
      </c>
      <c r="B172" s="27" t="s">
        <v>560</v>
      </c>
      <c r="C172" s="27" t="s">
        <v>561</v>
      </c>
      <c r="D172" s="27" t="s">
        <v>562</v>
      </c>
      <c r="E172" s="28" t="s">
        <v>46</v>
      </c>
      <c r="F172" s="29" t="s">
        <v>46</v>
      </c>
      <c r="G172" s="30" t="s">
        <v>46</v>
      </c>
      <c r="H172" s="25"/>
      <c r="I172" s="25" t="s">
        <v>47</v>
      </c>
      <c r="J172" s="31">
        <v>10</v>
      </c>
      <c r="K172" s="35">
        <f>470</f>
        <v>470</v>
      </c>
      <c r="L172" s="32" t="s">
        <v>48</v>
      </c>
      <c r="M172" s="35">
        <f>470.6</f>
        <v>470.6</v>
      </c>
      <c r="N172" s="32" t="s">
        <v>49</v>
      </c>
      <c r="O172" s="35">
        <f>460.9</f>
        <v>460.9</v>
      </c>
      <c r="P172" s="32" t="s">
        <v>213</v>
      </c>
      <c r="Q172" s="35">
        <f>462.6</f>
        <v>462.6</v>
      </c>
      <c r="R172" s="32" t="s">
        <v>50</v>
      </c>
      <c r="S172" s="34">
        <f>465.81</f>
        <v>465.81</v>
      </c>
      <c r="T172" s="31">
        <f>2240400</f>
        <v>2240400</v>
      </c>
      <c r="U172" s="31">
        <f>2200400</f>
        <v>2200400</v>
      </c>
      <c r="V172" s="31">
        <f>1038864808</f>
        <v>1038864808</v>
      </c>
      <c r="W172" s="31">
        <f>1020206701</f>
        <v>1020206701</v>
      </c>
      <c r="X172" s="33">
        <f>19</f>
        <v>19</v>
      </c>
    </row>
    <row r="173" spans="1:24">
      <c r="A173" s="27" t="s">
        <v>42</v>
      </c>
      <c r="B173" s="27" t="s">
        <v>563</v>
      </c>
      <c r="C173" s="27" t="s">
        <v>564</v>
      </c>
      <c r="D173" s="27" t="s">
        <v>565</v>
      </c>
      <c r="E173" s="28" t="s">
        <v>46</v>
      </c>
      <c r="F173" s="29" t="s">
        <v>46</v>
      </c>
      <c r="G173" s="30" t="s">
        <v>46</v>
      </c>
      <c r="H173" s="25"/>
      <c r="I173" s="25" t="s">
        <v>47</v>
      </c>
      <c r="J173" s="31">
        <v>1</v>
      </c>
      <c r="K173" s="35">
        <f>1024</f>
        <v>1024</v>
      </c>
      <c r="L173" s="32" t="s">
        <v>48</v>
      </c>
      <c r="M173" s="35">
        <f>1030</f>
        <v>1030</v>
      </c>
      <c r="N173" s="32" t="s">
        <v>48</v>
      </c>
      <c r="O173" s="35">
        <f>941</f>
        <v>941</v>
      </c>
      <c r="P173" s="32" t="s">
        <v>50</v>
      </c>
      <c r="Q173" s="35">
        <f>947</f>
        <v>947</v>
      </c>
      <c r="R173" s="32" t="s">
        <v>50</v>
      </c>
      <c r="S173" s="34">
        <f>989.74</f>
        <v>989.74</v>
      </c>
      <c r="T173" s="31">
        <f>500851</f>
        <v>500851</v>
      </c>
      <c r="U173" s="31">
        <f>139</f>
        <v>139</v>
      </c>
      <c r="V173" s="31">
        <f>497820672</f>
        <v>497820672</v>
      </c>
      <c r="W173" s="31">
        <f>139551</f>
        <v>139551</v>
      </c>
      <c r="X173" s="33">
        <f>19</f>
        <v>19</v>
      </c>
    </row>
    <row r="174" spans="1:24">
      <c r="A174" s="27" t="s">
        <v>42</v>
      </c>
      <c r="B174" s="27" t="s">
        <v>566</v>
      </c>
      <c r="C174" s="27" t="s">
        <v>567</v>
      </c>
      <c r="D174" s="27" t="s">
        <v>568</v>
      </c>
      <c r="E174" s="28" t="s">
        <v>46</v>
      </c>
      <c r="F174" s="29" t="s">
        <v>46</v>
      </c>
      <c r="G174" s="30" t="s">
        <v>46</v>
      </c>
      <c r="H174" s="25"/>
      <c r="I174" s="25" t="s">
        <v>47</v>
      </c>
      <c r="J174" s="31">
        <v>1</v>
      </c>
      <c r="K174" s="35">
        <f>2431</f>
        <v>2431</v>
      </c>
      <c r="L174" s="32" t="s">
        <v>48</v>
      </c>
      <c r="M174" s="35">
        <f>3170</f>
        <v>3170</v>
      </c>
      <c r="N174" s="32" t="s">
        <v>70</v>
      </c>
      <c r="O174" s="35">
        <f>2431</f>
        <v>2431</v>
      </c>
      <c r="P174" s="32" t="s">
        <v>48</v>
      </c>
      <c r="Q174" s="35">
        <f>3045</f>
        <v>3045</v>
      </c>
      <c r="R174" s="32" t="s">
        <v>50</v>
      </c>
      <c r="S174" s="34">
        <f>2815.21</f>
        <v>2815.21</v>
      </c>
      <c r="T174" s="31">
        <f>10370431</f>
        <v>10370431</v>
      </c>
      <c r="U174" s="31">
        <f>494221</f>
        <v>494221</v>
      </c>
      <c r="V174" s="31">
        <f>29417178999</f>
        <v>29417178999</v>
      </c>
      <c r="W174" s="31">
        <f>1354732660</f>
        <v>1354732660</v>
      </c>
      <c r="X174" s="33">
        <f>19</f>
        <v>19</v>
      </c>
    </row>
    <row r="175" spans="1:24">
      <c r="A175" s="27" t="s">
        <v>42</v>
      </c>
      <c r="B175" s="27" t="s">
        <v>569</v>
      </c>
      <c r="C175" s="27" t="s">
        <v>570</v>
      </c>
      <c r="D175" s="27" t="s">
        <v>571</v>
      </c>
      <c r="E175" s="28" t="s">
        <v>46</v>
      </c>
      <c r="F175" s="29" t="s">
        <v>46</v>
      </c>
      <c r="G175" s="30" t="s">
        <v>46</v>
      </c>
      <c r="H175" s="25"/>
      <c r="I175" s="25" t="s">
        <v>47</v>
      </c>
      <c r="J175" s="31">
        <v>10</v>
      </c>
      <c r="K175" s="35">
        <f>786</f>
        <v>786</v>
      </c>
      <c r="L175" s="32" t="s">
        <v>48</v>
      </c>
      <c r="M175" s="35">
        <f>806.6</f>
        <v>806.6</v>
      </c>
      <c r="N175" s="32" t="s">
        <v>60</v>
      </c>
      <c r="O175" s="35">
        <f>744</f>
        <v>744</v>
      </c>
      <c r="P175" s="32" t="s">
        <v>48</v>
      </c>
      <c r="Q175" s="35">
        <f>769</f>
        <v>769</v>
      </c>
      <c r="R175" s="32" t="s">
        <v>50</v>
      </c>
      <c r="S175" s="34">
        <f>770.15</f>
        <v>770.15</v>
      </c>
      <c r="T175" s="31">
        <f>606060</f>
        <v>606060</v>
      </c>
      <c r="U175" s="31">
        <f>114270</f>
        <v>114270</v>
      </c>
      <c r="V175" s="31">
        <f>464807235</f>
        <v>464807235</v>
      </c>
      <c r="W175" s="31">
        <f>86948940</f>
        <v>86948940</v>
      </c>
      <c r="X175" s="33">
        <f>19</f>
        <v>19</v>
      </c>
    </row>
    <row r="176" spans="1:24">
      <c r="A176" s="27" t="s">
        <v>42</v>
      </c>
      <c r="B176" s="27" t="s">
        <v>572</v>
      </c>
      <c r="C176" s="27" t="s">
        <v>573</v>
      </c>
      <c r="D176" s="27" t="s">
        <v>574</v>
      </c>
      <c r="E176" s="28" t="s">
        <v>46</v>
      </c>
      <c r="F176" s="29" t="s">
        <v>46</v>
      </c>
      <c r="G176" s="30" t="s">
        <v>46</v>
      </c>
      <c r="H176" s="25"/>
      <c r="I176" s="25" t="s">
        <v>47</v>
      </c>
      <c r="J176" s="31">
        <v>10</v>
      </c>
      <c r="K176" s="35">
        <f>232.5</f>
        <v>232.5</v>
      </c>
      <c r="L176" s="32" t="s">
        <v>48</v>
      </c>
      <c r="M176" s="35">
        <f>247</f>
        <v>247</v>
      </c>
      <c r="N176" s="32" t="s">
        <v>48</v>
      </c>
      <c r="O176" s="35">
        <f>219</f>
        <v>219</v>
      </c>
      <c r="P176" s="32" t="s">
        <v>48</v>
      </c>
      <c r="Q176" s="35">
        <f>229.3</f>
        <v>229.3</v>
      </c>
      <c r="R176" s="32" t="s">
        <v>50</v>
      </c>
      <c r="S176" s="34">
        <f>233.55</f>
        <v>233.55</v>
      </c>
      <c r="T176" s="31">
        <f>16734330</f>
        <v>16734330</v>
      </c>
      <c r="U176" s="31">
        <f>12697100</f>
        <v>12697100</v>
      </c>
      <c r="V176" s="31">
        <f>3881053156</f>
        <v>3881053156</v>
      </c>
      <c r="W176" s="31">
        <f>2942261718</f>
        <v>2942261718</v>
      </c>
      <c r="X176" s="33">
        <f>19</f>
        <v>19</v>
      </c>
    </row>
    <row r="177" spans="1:24">
      <c r="A177" s="27" t="s">
        <v>42</v>
      </c>
      <c r="B177" s="27" t="s">
        <v>575</v>
      </c>
      <c r="C177" s="27" t="s">
        <v>576</v>
      </c>
      <c r="D177" s="27" t="s">
        <v>577</v>
      </c>
      <c r="E177" s="28" t="s">
        <v>46</v>
      </c>
      <c r="F177" s="29" t="s">
        <v>46</v>
      </c>
      <c r="G177" s="30" t="s">
        <v>46</v>
      </c>
      <c r="H177" s="25"/>
      <c r="I177" s="25" t="s">
        <v>47</v>
      </c>
      <c r="J177" s="31">
        <v>10</v>
      </c>
      <c r="K177" s="35">
        <f>259.1</f>
        <v>259.10000000000002</v>
      </c>
      <c r="L177" s="32" t="s">
        <v>48</v>
      </c>
      <c r="M177" s="35">
        <f>275</f>
        <v>275</v>
      </c>
      <c r="N177" s="32" t="s">
        <v>155</v>
      </c>
      <c r="O177" s="35">
        <f>256.3</f>
        <v>256.3</v>
      </c>
      <c r="P177" s="32" t="s">
        <v>75</v>
      </c>
      <c r="Q177" s="35">
        <f>270.8</f>
        <v>270.8</v>
      </c>
      <c r="R177" s="32" t="s">
        <v>50</v>
      </c>
      <c r="S177" s="34">
        <f>267.87</f>
        <v>267.87</v>
      </c>
      <c r="T177" s="31">
        <f>10289150</f>
        <v>10289150</v>
      </c>
      <c r="U177" s="31">
        <f>20</f>
        <v>20</v>
      </c>
      <c r="V177" s="31">
        <f>2722138160</f>
        <v>2722138160</v>
      </c>
      <c r="W177" s="31">
        <f>5036</f>
        <v>5036</v>
      </c>
      <c r="X177" s="33">
        <f>19</f>
        <v>19</v>
      </c>
    </row>
    <row r="178" spans="1:24">
      <c r="A178" s="27" t="s">
        <v>42</v>
      </c>
      <c r="B178" s="27" t="s">
        <v>578</v>
      </c>
      <c r="C178" s="27" t="s">
        <v>579</v>
      </c>
      <c r="D178" s="27" t="s">
        <v>580</v>
      </c>
      <c r="E178" s="28" t="s">
        <v>46</v>
      </c>
      <c r="F178" s="29" t="s">
        <v>46</v>
      </c>
      <c r="G178" s="30" t="s">
        <v>46</v>
      </c>
      <c r="H178" s="25"/>
      <c r="I178" s="25" t="s">
        <v>47</v>
      </c>
      <c r="J178" s="31">
        <v>10</v>
      </c>
      <c r="K178" s="35">
        <f>281.1</f>
        <v>281.10000000000002</v>
      </c>
      <c r="L178" s="32" t="s">
        <v>48</v>
      </c>
      <c r="M178" s="35">
        <f>291.3</f>
        <v>291.3</v>
      </c>
      <c r="N178" s="32" t="s">
        <v>65</v>
      </c>
      <c r="O178" s="35">
        <f>279.3</f>
        <v>279.3</v>
      </c>
      <c r="P178" s="32" t="s">
        <v>70</v>
      </c>
      <c r="Q178" s="35">
        <f>281.5</f>
        <v>281.5</v>
      </c>
      <c r="R178" s="32" t="s">
        <v>50</v>
      </c>
      <c r="S178" s="34">
        <f>285.45</f>
        <v>285.45</v>
      </c>
      <c r="T178" s="31">
        <f>2572800</f>
        <v>2572800</v>
      </c>
      <c r="U178" s="31">
        <f>360630</f>
        <v>360630</v>
      </c>
      <c r="V178" s="31">
        <f>730335771</f>
        <v>730335771</v>
      </c>
      <c r="W178" s="31">
        <f>101517099</f>
        <v>101517099</v>
      </c>
      <c r="X178" s="33">
        <f>19</f>
        <v>19</v>
      </c>
    </row>
    <row r="179" spans="1:24">
      <c r="A179" s="27" t="s">
        <v>42</v>
      </c>
      <c r="B179" s="27" t="s">
        <v>581</v>
      </c>
      <c r="C179" s="27" t="s">
        <v>582</v>
      </c>
      <c r="D179" s="27" t="s">
        <v>583</v>
      </c>
      <c r="E179" s="28" t="s">
        <v>46</v>
      </c>
      <c r="F179" s="29" t="s">
        <v>46</v>
      </c>
      <c r="G179" s="30" t="s">
        <v>46</v>
      </c>
      <c r="H179" s="25"/>
      <c r="I179" s="25" t="s">
        <v>47</v>
      </c>
      <c r="J179" s="31">
        <v>1</v>
      </c>
      <c r="K179" s="35">
        <f>2153</f>
        <v>2153</v>
      </c>
      <c r="L179" s="32" t="s">
        <v>48</v>
      </c>
      <c r="M179" s="35">
        <f>2239</f>
        <v>2239</v>
      </c>
      <c r="N179" s="32" t="s">
        <v>65</v>
      </c>
      <c r="O179" s="35">
        <f>2107</f>
        <v>2107</v>
      </c>
      <c r="P179" s="32" t="s">
        <v>61</v>
      </c>
      <c r="Q179" s="35">
        <f>2126</f>
        <v>2126</v>
      </c>
      <c r="R179" s="32" t="s">
        <v>50</v>
      </c>
      <c r="S179" s="34">
        <f>2174.42</f>
        <v>2174.42</v>
      </c>
      <c r="T179" s="31">
        <f>419694</f>
        <v>419694</v>
      </c>
      <c r="U179" s="31">
        <f>190002</f>
        <v>190002</v>
      </c>
      <c r="V179" s="31">
        <f>900286387</f>
        <v>900286387</v>
      </c>
      <c r="W179" s="31">
        <f>404100888</f>
        <v>404100888</v>
      </c>
      <c r="X179" s="33">
        <f>19</f>
        <v>19</v>
      </c>
    </row>
    <row r="180" spans="1:24">
      <c r="A180" s="27" t="s">
        <v>42</v>
      </c>
      <c r="B180" s="27" t="s">
        <v>584</v>
      </c>
      <c r="C180" s="27" t="s">
        <v>585</v>
      </c>
      <c r="D180" s="27" t="s">
        <v>586</v>
      </c>
      <c r="E180" s="28" t="s">
        <v>46</v>
      </c>
      <c r="F180" s="29" t="s">
        <v>46</v>
      </c>
      <c r="G180" s="30" t="s">
        <v>46</v>
      </c>
      <c r="H180" s="25"/>
      <c r="I180" s="25" t="s">
        <v>47</v>
      </c>
      <c r="J180" s="31">
        <v>1</v>
      </c>
      <c r="K180" s="35">
        <f>1904</f>
        <v>1904</v>
      </c>
      <c r="L180" s="32" t="s">
        <v>48</v>
      </c>
      <c r="M180" s="35">
        <f>1907</f>
        <v>1907</v>
      </c>
      <c r="N180" s="32" t="s">
        <v>48</v>
      </c>
      <c r="O180" s="35">
        <f>1840</f>
        <v>1840</v>
      </c>
      <c r="P180" s="32" t="s">
        <v>213</v>
      </c>
      <c r="Q180" s="35">
        <f>1845</f>
        <v>1845</v>
      </c>
      <c r="R180" s="32" t="s">
        <v>50</v>
      </c>
      <c r="S180" s="34">
        <f>1852.89</f>
        <v>1852.89</v>
      </c>
      <c r="T180" s="31">
        <f>1677635</f>
        <v>1677635</v>
      </c>
      <c r="U180" s="31">
        <f>3</f>
        <v>3</v>
      </c>
      <c r="V180" s="31">
        <f>3104422285</f>
        <v>3104422285</v>
      </c>
      <c r="W180" s="31">
        <f>5547</f>
        <v>5547</v>
      </c>
      <c r="X180" s="33">
        <f>19</f>
        <v>19</v>
      </c>
    </row>
    <row r="181" spans="1:24">
      <c r="A181" s="27" t="s">
        <v>42</v>
      </c>
      <c r="B181" s="27" t="s">
        <v>587</v>
      </c>
      <c r="C181" s="27" t="s">
        <v>588</v>
      </c>
      <c r="D181" s="27" t="s">
        <v>589</v>
      </c>
      <c r="E181" s="28" t="s">
        <v>46</v>
      </c>
      <c r="F181" s="29" t="s">
        <v>46</v>
      </c>
      <c r="G181" s="30" t="s">
        <v>46</v>
      </c>
      <c r="H181" s="25"/>
      <c r="I181" s="25" t="s">
        <v>47</v>
      </c>
      <c r="J181" s="31">
        <v>1</v>
      </c>
      <c r="K181" s="35">
        <f>1304</f>
        <v>1304</v>
      </c>
      <c r="L181" s="32" t="s">
        <v>48</v>
      </c>
      <c r="M181" s="35">
        <f>1389</f>
        <v>1389</v>
      </c>
      <c r="N181" s="32" t="s">
        <v>49</v>
      </c>
      <c r="O181" s="35">
        <f>1304</f>
        <v>1304</v>
      </c>
      <c r="P181" s="32" t="s">
        <v>48</v>
      </c>
      <c r="Q181" s="35">
        <f>1336</f>
        <v>1336</v>
      </c>
      <c r="R181" s="32" t="s">
        <v>50</v>
      </c>
      <c r="S181" s="34">
        <f>1345.74</f>
        <v>1345.74</v>
      </c>
      <c r="T181" s="31">
        <f>2294193</f>
        <v>2294193</v>
      </c>
      <c r="U181" s="31">
        <f>575504</f>
        <v>575504</v>
      </c>
      <c r="V181" s="31">
        <f>3076645529</f>
        <v>3076645529</v>
      </c>
      <c r="W181" s="31">
        <f>772231793</f>
        <v>772231793</v>
      </c>
      <c r="X181" s="33">
        <f>19</f>
        <v>19</v>
      </c>
    </row>
    <row r="182" spans="1:24">
      <c r="A182" s="27" t="s">
        <v>42</v>
      </c>
      <c r="B182" s="27" t="s">
        <v>590</v>
      </c>
      <c r="C182" s="27" t="s">
        <v>591</v>
      </c>
      <c r="D182" s="27" t="s">
        <v>592</v>
      </c>
      <c r="E182" s="28" t="s">
        <v>46</v>
      </c>
      <c r="F182" s="29" t="s">
        <v>46</v>
      </c>
      <c r="G182" s="30" t="s">
        <v>46</v>
      </c>
      <c r="H182" s="25"/>
      <c r="I182" s="25" t="s">
        <v>47</v>
      </c>
      <c r="J182" s="31">
        <v>1</v>
      </c>
      <c r="K182" s="35">
        <f>1138</f>
        <v>1138</v>
      </c>
      <c r="L182" s="32" t="s">
        <v>48</v>
      </c>
      <c r="M182" s="35">
        <f>1200</f>
        <v>1200</v>
      </c>
      <c r="N182" s="32" t="s">
        <v>202</v>
      </c>
      <c r="O182" s="35">
        <f>1112</f>
        <v>1112</v>
      </c>
      <c r="P182" s="32" t="s">
        <v>70</v>
      </c>
      <c r="Q182" s="35">
        <f>1137</f>
        <v>1137</v>
      </c>
      <c r="R182" s="32" t="s">
        <v>50</v>
      </c>
      <c r="S182" s="34">
        <f>1152</f>
        <v>1152</v>
      </c>
      <c r="T182" s="31">
        <f>148883</f>
        <v>148883</v>
      </c>
      <c r="U182" s="31" t="str">
        <f>"－"</f>
        <v>－</v>
      </c>
      <c r="V182" s="31">
        <f>170530489</f>
        <v>170530489</v>
      </c>
      <c r="W182" s="31" t="str">
        <f>"－"</f>
        <v>－</v>
      </c>
      <c r="X182" s="33">
        <f>19</f>
        <v>19</v>
      </c>
    </row>
    <row r="183" spans="1:24">
      <c r="A183" s="27" t="s">
        <v>42</v>
      </c>
      <c r="B183" s="27" t="s">
        <v>593</v>
      </c>
      <c r="C183" s="27" t="s">
        <v>594</v>
      </c>
      <c r="D183" s="27" t="s">
        <v>595</v>
      </c>
      <c r="E183" s="28" t="s">
        <v>46</v>
      </c>
      <c r="F183" s="29" t="s">
        <v>46</v>
      </c>
      <c r="G183" s="30" t="s">
        <v>46</v>
      </c>
      <c r="H183" s="25"/>
      <c r="I183" s="25" t="s">
        <v>47</v>
      </c>
      <c r="J183" s="31">
        <v>1</v>
      </c>
      <c r="K183" s="35">
        <f>1047</f>
        <v>1047</v>
      </c>
      <c r="L183" s="32" t="s">
        <v>48</v>
      </c>
      <c r="M183" s="35">
        <f>1079</f>
        <v>1079</v>
      </c>
      <c r="N183" s="32" t="s">
        <v>49</v>
      </c>
      <c r="O183" s="35">
        <f>1025</f>
        <v>1025</v>
      </c>
      <c r="P183" s="32" t="s">
        <v>70</v>
      </c>
      <c r="Q183" s="35">
        <f>1026</f>
        <v>1026</v>
      </c>
      <c r="R183" s="32" t="s">
        <v>50</v>
      </c>
      <c r="S183" s="34">
        <f>1056.53</f>
        <v>1056.53</v>
      </c>
      <c r="T183" s="31">
        <f>194332</f>
        <v>194332</v>
      </c>
      <c r="U183" s="31" t="str">
        <f>"－"</f>
        <v>－</v>
      </c>
      <c r="V183" s="31">
        <f>204662689</f>
        <v>204662689</v>
      </c>
      <c r="W183" s="31" t="str">
        <f>"－"</f>
        <v>－</v>
      </c>
      <c r="X183" s="33">
        <f>19</f>
        <v>19</v>
      </c>
    </row>
    <row r="184" spans="1:24">
      <c r="A184" s="27" t="s">
        <v>42</v>
      </c>
      <c r="B184" s="27" t="s">
        <v>596</v>
      </c>
      <c r="C184" s="27" t="s">
        <v>597</v>
      </c>
      <c r="D184" s="27" t="s">
        <v>598</v>
      </c>
      <c r="E184" s="28" t="s">
        <v>46</v>
      </c>
      <c r="F184" s="29" t="s">
        <v>46</v>
      </c>
      <c r="G184" s="30" t="s">
        <v>46</v>
      </c>
      <c r="H184" s="25"/>
      <c r="I184" s="25" t="s">
        <v>47</v>
      </c>
      <c r="J184" s="31">
        <v>10</v>
      </c>
      <c r="K184" s="35">
        <f>207.5</f>
        <v>207.5</v>
      </c>
      <c r="L184" s="32" t="s">
        <v>48</v>
      </c>
      <c r="M184" s="35">
        <f>207.5</f>
        <v>207.5</v>
      </c>
      <c r="N184" s="32" t="s">
        <v>48</v>
      </c>
      <c r="O184" s="35">
        <f>188.9</f>
        <v>188.9</v>
      </c>
      <c r="P184" s="32" t="s">
        <v>70</v>
      </c>
      <c r="Q184" s="35">
        <f>189.6</f>
        <v>189.6</v>
      </c>
      <c r="R184" s="32" t="s">
        <v>50</v>
      </c>
      <c r="S184" s="34">
        <f>198.95</f>
        <v>198.95</v>
      </c>
      <c r="T184" s="31">
        <f>6506870</f>
        <v>6506870</v>
      </c>
      <c r="U184" s="31">
        <f>52180</f>
        <v>52180</v>
      </c>
      <c r="V184" s="31">
        <f>1293932725</f>
        <v>1293932725</v>
      </c>
      <c r="W184" s="31">
        <f>10304547</f>
        <v>10304547</v>
      </c>
      <c r="X184" s="33">
        <f>19</f>
        <v>19</v>
      </c>
    </row>
    <row r="185" spans="1:24">
      <c r="A185" s="27" t="s">
        <v>42</v>
      </c>
      <c r="B185" s="27" t="s">
        <v>599</v>
      </c>
      <c r="C185" s="27" t="s">
        <v>600</v>
      </c>
      <c r="D185" s="27" t="s">
        <v>601</v>
      </c>
      <c r="E185" s="28" t="s">
        <v>46</v>
      </c>
      <c r="F185" s="29" t="s">
        <v>46</v>
      </c>
      <c r="G185" s="30" t="s">
        <v>46</v>
      </c>
      <c r="H185" s="25"/>
      <c r="I185" s="25" t="s">
        <v>415</v>
      </c>
      <c r="J185" s="31">
        <v>1</v>
      </c>
      <c r="K185" s="35">
        <f>8780</f>
        <v>8780</v>
      </c>
      <c r="L185" s="32" t="s">
        <v>48</v>
      </c>
      <c r="M185" s="35">
        <f>9666</f>
        <v>9666</v>
      </c>
      <c r="N185" s="32" t="s">
        <v>70</v>
      </c>
      <c r="O185" s="35">
        <f>8533</f>
        <v>8533</v>
      </c>
      <c r="P185" s="32" t="s">
        <v>75</v>
      </c>
      <c r="Q185" s="35">
        <f>9300</f>
        <v>9300</v>
      </c>
      <c r="R185" s="32" t="s">
        <v>50</v>
      </c>
      <c r="S185" s="34">
        <f>9060.47</f>
        <v>9060.4699999999993</v>
      </c>
      <c r="T185" s="31">
        <f>18777</f>
        <v>18777</v>
      </c>
      <c r="U185" s="31" t="str">
        <f>"－"</f>
        <v>－</v>
      </c>
      <c r="V185" s="31">
        <f>170542626</f>
        <v>170542626</v>
      </c>
      <c r="W185" s="31" t="str">
        <f>"－"</f>
        <v>－</v>
      </c>
      <c r="X185" s="33">
        <f>19</f>
        <v>19</v>
      </c>
    </row>
    <row r="186" spans="1:24">
      <c r="A186" s="27" t="s">
        <v>42</v>
      </c>
      <c r="B186" s="27" t="s">
        <v>602</v>
      </c>
      <c r="C186" s="27" t="s">
        <v>603</v>
      </c>
      <c r="D186" s="27" t="s">
        <v>604</v>
      </c>
      <c r="E186" s="28" t="s">
        <v>46</v>
      </c>
      <c r="F186" s="29" t="s">
        <v>46</v>
      </c>
      <c r="G186" s="30" t="s">
        <v>46</v>
      </c>
      <c r="H186" s="25"/>
      <c r="I186" s="25" t="s">
        <v>415</v>
      </c>
      <c r="J186" s="31">
        <v>1</v>
      </c>
      <c r="K186" s="35">
        <f>5874</f>
        <v>5874</v>
      </c>
      <c r="L186" s="32" t="s">
        <v>48</v>
      </c>
      <c r="M186" s="35">
        <f>5990</f>
        <v>5990</v>
      </c>
      <c r="N186" s="32" t="s">
        <v>75</v>
      </c>
      <c r="O186" s="35">
        <f>5414</f>
        <v>5414</v>
      </c>
      <c r="P186" s="32" t="s">
        <v>61</v>
      </c>
      <c r="Q186" s="35">
        <f>5554</f>
        <v>5554</v>
      </c>
      <c r="R186" s="32" t="s">
        <v>50</v>
      </c>
      <c r="S186" s="34">
        <f>5806.22</f>
        <v>5806.22</v>
      </c>
      <c r="T186" s="31">
        <f>2408</f>
        <v>2408</v>
      </c>
      <c r="U186" s="31" t="str">
        <f>"－"</f>
        <v>－</v>
      </c>
      <c r="V186" s="31">
        <f>13920865</f>
        <v>13920865</v>
      </c>
      <c r="W186" s="31" t="str">
        <f>"－"</f>
        <v>－</v>
      </c>
      <c r="X186" s="33">
        <f>18</f>
        <v>18</v>
      </c>
    </row>
    <row r="187" spans="1:24">
      <c r="A187" s="27" t="s">
        <v>42</v>
      </c>
      <c r="B187" s="27" t="s">
        <v>605</v>
      </c>
      <c r="C187" s="27" t="s">
        <v>606</v>
      </c>
      <c r="D187" s="27" t="s">
        <v>607</v>
      </c>
      <c r="E187" s="28" t="s">
        <v>46</v>
      </c>
      <c r="F187" s="29" t="s">
        <v>46</v>
      </c>
      <c r="G187" s="30" t="s">
        <v>46</v>
      </c>
      <c r="H187" s="25"/>
      <c r="I187" s="25" t="s">
        <v>415</v>
      </c>
      <c r="J187" s="31">
        <v>1</v>
      </c>
      <c r="K187" s="35">
        <f>35560</f>
        <v>35560</v>
      </c>
      <c r="L187" s="32" t="s">
        <v>48</v>
      </c>
      <c r="M187" s="35">
        <f>51660</f>
        <v>51660</v>
      </c>
      <c r="N187" s="32" t="s">
        <v>50</v>
      </c>
      <c r="O187" s="35">
        <f>34780</f>
        <v>34780</v>
      </c>
      <c r="P187" s="32" t="s">
        <v>69</v>
      </c>
      <c r="Q187" s="35">
        <f>51660</f>
        <v>51660</v>
      </c>
      <c r="R187" s="32" t="s">
        <v>50</v>
      </c>
      <c r="S187" s="34">
        <f>42847.89</f>
        <v>42847.89</v>
      </c>
      <c r="T187" s="31">
        <f>19769</f>
        <v>19769</v>
      </c>
      <c r="U187" s="31" t="str">
        <f>"－"</f>
        <v>－</v>
      </c>
      <c r="V187" s="31">
        <f>854628690</f>
        <v>854628690</v>
      </c>
      <c r="W187" s="31" t="str">
        <f>"－"</f>
        <v>－</v>
      </c>
      <c r="X187" s="33">
        <f>19</f>
        <v>19</v>
      </c>
    </row>
    <row r="188" spans="1:24">
      <c r="A188" s="27" t="s">
        <v>42</v>
      </c>
      <c r="B188" s="27" t="s">
        <v>608</v>
      </c>
      <c r="C188" s="27" t="s">
        <v>609</v>
      </c>
      <c r="D188" s="27" t="s">
        <v>610</v>
      </c>
      <c r="E188" s="28" t="s">
        <v>46</v>
      </c>
      <c r="F188" s="29" t="s">
        <v>46</v>
      </c>
      <c r="G188" s="30" t="s">
        <v>46</v>
      </c>
      <c r="H188" s="25"/>
      <c r="I188" s="25" t="s">
        <v>415</v>
      </c>
      <c r="J188" s="31">
        <v>1</v>
      </c>
      <c r="K188" s="35">
        <f>4185</f>
        <v>4185</v>
      </c>
      <c r="L188" s="32" t="s">
        <v>48</v>
      </c>
      <c r="M188" s="35">
        <f>4185</f>
        <v>4185</v>
      </c>
      <c r="N188" s="32" t="s">
        <v>48</v>
      </c>
      <c r="O188" s="35">
        <f>3218</f>
        <v>3218</v>
      </c>
      <c r="P188" s="32" t="s">
        <v>50</v>
      </c>
      <c r="Q188" s="35">
        <f>3333</f>
        <v>3333</v>
      </c>
      <c r="R188" s="32" t="s">
        <v>50</v>
      </c>
      <c r="S188" s="34">
        <f>3643</f>
        <v>3643</v>
      </c>
      <c r="T188" s="31">
        <f>17120</f>
        <v>17120</v>
      </c>
      <c r="U188" s="31" t="str">
        <f>"－"</f>
        <v>－</v>
      </c>
      <c r="V188" s="31">
        <f>62185627</f>
        <v>62185627</v>
      </c>
      <c r="W188" s="31" t="str">
        <f>"－"</f>
        <v>－</v>
      </c>
      <c r="X188" s="33">
        <f>19</f>
        <v>19</v>
      </c>
    </row>
    <row r="189" spans="1:24">
      <c r="A189" s="27" t="s">
        <v>42</v>
      </c>
      <c r="B189" s="27" t="s">
        <v>611</v>
      </c>
      <c r="C189" s="27" t="s">
        <v>612</v>
      </c>
      <c r="D189" s="27" t="s">
        <v>613</v>
      </c>
      <c r="E189" s="28" t="s">
        <v>46</v>
      </c>
      <c r="F189" s="29" t="s">
        <v>46</v>
      </c>
      <c r="G189" s="30" t="s">
        <v>46</v>
      </c>
      <c r="H189" s="25"/>
      <c r="I189" s="25" t="s">
        <v>415</v>
      </c>
      <c r="J189" s="31">
        <v>1</v>
      </c>
      <c r="K189" s="35">
        <f>188100</f>
        <v>188100</v>
      </c>
      <c r="L189" s="32" t="s">
        <v>48</v>
      </c>
      <c r="M189" s="35">
        <f>291800</f>
        <v>291800</v>
      </c>
      <c r="N189" s="32" t="s">
        <v>70</v>
      </c>
      <c r="O189" s="35">
        <f>187250</f>
        <v>187250</v>
      </c>
      <c r="P189" s="32" t="s">
        <v>75</v>
      </c>
      <c r="Q189" s="35">
        <f>255900</f>
        <v>255900</v>
      </c>
      <c r="R189" s="32" t="s">
        <v>50</v>
      </c>
      <c r="S189" s="34">
        <f>225931.58</f>
        <v>225931.58</v>
      </c>
      <c r="T189" s="31">
        <f>457301</f>
        <v>457301</v>
      </c>
      <c r="U189" s="31">
        <f>15</f>
        <v>15</v>
      </c>
      <c r="V189" s="31">
        <f>108096833600</f>
        <v>108096833600</v>
      </c>
      <c r="W189" s="31">
        <f>3789250</f>
        <v>3789250</v>
      </c>
      <c r="X189" s="33">
        <f>19</f>
        <v>19</v>
      </c>
    </row>
    <row r="190" spans="1:24">
      <c r="A190" s="27" t="s">
        <v>42</v>
      </c>
      <c r="B190" s="27" t="s">
        <v>614</v>
      </c>
      <c r="C190" s="27" t="s">
        <v>615</v>
      </c>
      <c r="D190" s="27" t="s">
        <v>616</v>
      </c>
      <c r="E190" s="28" t="s">
        <v>46</v>
      </c>
      <c r="F190" s="29" t="s">
        <v>46</v>
      </c>
      <c r="G190" s="30" t="s">
        <v>46</v>
      </c>
      <c r="H190" s="25"/>
      <c r="I190" s="25" t="s">
        <v>415</v>
      </c>
      <c r="J190" s="31">
        <v>1</v>
      </c>
      <c r="K190" s="35">
        <f>1385</f>
        <v>1385</v>
      </c>
      <c r="L190" s="32" t="s">
        <v>48</v>
      </c>
      <c r="M190" s="35">
        <f>1397</f>
        <v>1397</v>
      </c>
      <c r="N190" s="32" t="s">
        <v>75</v>
      </c>
      <c r="O190" s="35">
        <f>1111</f>
        <v>1111</v>
      </c>
      <c r="P190" s="32" t="s">
        <v>70</v>
      </c>
      <c r="Q190" s="35">
        <f>1167</f>
        <v>1167</v>
      </c>
      <c r="R190" s="32" t="s">
        <v>50</v>
      </c>
      <c r="S190" s="34">
        <f>1267.89</f>
        <v>1267.8900000000001</v>
      </c>
      <c r="T190" s="31">
        <f>224331</f>
        <v>224331</v>
      </c>
      <c r="U190" s="31" t="str">
        <f>"－"</f>
        <v>－</v>
      </c>
      <c r="V190" s="31">
        <f>276849043</f>
        <v>276849043</v>
      </c>
      <c r="W190" s="31" t="str">
        <f>"－"</f>
        <v>－</v>
      </c>
      <c r="X190" s="33">
        <f>19</f>
        <v>19</v>
      </c>
    </row>
    <row r="191" spans="1:24">
      <c r="A191" s="27" t="s">
        <v>42</v>
      </c>
      <c r="B191" s="27" t="s">
        <v>617</v>
      </c>
      <c r="C191" s="27" t="s">
        <v>618</v>
      </c>
      <c r="D191" s="27" t="s">
        <v>619</v>
      </c>
      <c r="E191" s="28" t="s">
        <v>46</v>
      </c>
      <c r="F191" s="29" t="s">
        <v>46</v>
      </c>
      <c r="G191" s="30" t="s">
        <v>46</v>
      </c>
      <c r="H191" s="25"/>
      <c r="I191" s="25" t="s">
        <v>415</v>
      </c>
      <c r="J191" s="31">
        <v>1</v>
      </c>
      <c r="K191" s="35">
        <f>1398</f>
        <v>1398</v>
      </c>
      <c r="L191" s="32" t="s">
        <v>48</v>
      </c>
      <c r="M191" s="35">
        <f>1625</f>
        <v>1625</v>
      </c>
      <c r="N191" s="32" t="s">
        <v>50</v>
      </c>
      <c r="O191" s="35">
        <f>1325</f>
        <v>1325</v>
      </c>
      <c r="P191" s="32" t="s">
        <v>195</v>
      </c>
      <c r="Q191" s="35">
        <f>1577</f>
        <v>1577</v>
      </c>
      <c r="R191" s="32" t="s">
        <v>50</v>
      </c>
      <c r="S191" s="34">
        <f>1472.53</f>
        <v>1472.53</v>
      </c>
      <c r="T191" s="31">
        <f>5710977</f>
        <v>5710977</v>
      </c>
      <c r="U191" s="31">
        <f>112</f>
        <v>112</v>
      </c>
      <c r="V191" s="31">
        <f>8398679880</f>
        <v>8398679880</v>
      </c>
      <c r="W191" s="31">
        <f>164842</f>
        <v>164842</v>
      </c>
      <c r="X191" s="33">
        <f>19</f>
        <v>19</v>
      </c>
    </row>
    <row r="192" spans="1:24">
      <c r="A192" s="27" t="s">
        <v>42</v>
      </c>
      <c r="B192" s="27" t="s">
        <v>620</v>
      </c>
      <c r="C192" s="27" t="s">
        <v>621</v>
      </c>
      <c r="D192" s="27" t="s">
        <v>622</v>
      </c>
      <c r="E192" s="28" t="s">
        <v>46</v>
      </c>
      <c r="F192" s="29" t="s">
        <v>46</v>
      </c>
      <c r="G192" s="30" t="s">
        <v>46</v>
      </c>
      <c r="H192" s="25"/>
      <c r="I192" s="25" t="s">
        <v>415</v>
      </c>
      <c r="J192" s="31">
        <v>1</v>
      </c>
      <c r="K192" s="35">
        <f>911</f>
        <v>911</v>
      </c>
      <c r="L192" s="32" t="s">
        <v>48</v>
      </c>
      <c r="M192" s="35">
        <f>935</f>
        <v>935</v>
      </c>
      <c r="N192" s="32" t="s">
        <v>195</v>
      </c>
      <c r="O192" s="35">
        <f>847</f>
        <v>847</v>
      </c>
      <c r="P192" s="32" t="s">
        <v>50</v>
      </c>
      <c r="Q192" s="35">
        <f>858</f>
        <v>858</v>
      </c>
      <c r="R192" s="32" t="s">
        <v>50</v>
      </c>
      <c r="S192" s="34">
        <f>885.74</f>
        <v>885.74</v>
      </c>
      <c r="T192" s="31">
        <f>954548</f>
        <v>954548</v>
      </c>
      <c r="U192" s="31" t="str">
        <f>"－"</f>
        <v>－</v>
      </c>
      <c r="V192" s="31">
        <f>841027896</f>
        <v>841027896</v>
      </c>
      <c r="W192" s="31" t="str">
        <f>"－"</f>
        <v>－</v>
      </c>
      <c r="X192" s="33">
        <f>19</f>
        <v>19</v>
      </c>
    </row>
    <row r="193" spans="1:24">
      <c r="A193" s="27" t="s">
        <v>42</v>
      </c>
      <c r="B193" s="27" t="s">
        <v>623</v>
      </c>
      <c r="C193" s="27" t="s">
        <v>624</v>
      </c>
      <c r="D193" s="27" t="s">
        <v>625</v>
      </c>
      <c r="E193" s="28" t="s">
        <v>46</v>
      </c>
      <c r="F193" s="29" t="s">
        <v>46</v>
      </c>
      <c r="G193" s="30" t="s">
        <v>46</v>
      </c>
      <c r="H193" s="25"/>
      <c r="I193" s="25" t="s">
        <v>415</v>
      </c>
      <c r="J193" s="31">
        <v>1</v>
      </c>
      <c r="K193" s="35">
        <f>34720</f>
        <v>34720</v>
      </c>
      <c r="L193" s="32" t="s">
        <v>48</v>
      </c>
      <c r="M193" s="35">
        <f>36420</f>
        <v>36420</v>
      </c>
      <c r="N193" s="32" t="s">
        <v>60</v>
      </c>
      <c r="O193" s="35">
        <f>34720</f>
        <v>34720</v>
      </c>
      <c r="P193" s="32" t="s">
        <v>48</v>
      </c>
      <c r="Q193" s="35">
        <f>35240</f>
        <v>35240</v>
      </c>
      <c r="R193" s="32" t="s">
        <v>50</v>
      </c>
      <c r="S193" s="34">
        <f>35741.58</f>
        <v>35741.58</v>
      </c>
      <c r="T193" s="31">
        <f>13774</f>
        <v>13774</v>
      </c>
      <c r="U193" s="31" t="str">
        <f>"－"</f>
        <v>－</v>
      </c>
      <c r="V193" s="31">
        <f>492685890</f>
        <v>492685890</v>
      </c>
      <c r="W193" s="31" t="str">
        <f>"－"</f>
        <v>－</v>
      </c>
      <c r="X193" s="33">
        <f>19</f>
        <v>19</v>
      </c>
    </row>
    <row r="194" spans="1:24">
      <c r="A194" s="27" t="s">
        <v>42</v>
      </c>
      <c r="B194" s="27" t="s">
        <v>626</v>
      </c>
      <c r="C194" s="27" t="s">
        <v>627</v>
      </c>
      <c r="D194" s="27" t="s">
        <v>628</v>
      </c>
      <c r="E194" s="28" t="s">
        <v>46</v>
      </c>
      <c r="F194" s="29" t="s">
        <v>46</v>
      </c>
      <c r="G194" s="30" t="s">
        <v>46</v>
      </c>
      <c r="H194" s="25"/>
      <c r="I194" s="25" t="s">
        <v>415</v>
      </c>
      <c r="J194" s="31">
        <v>1</v>
      </c>
      <c r="K194" s="35">
        <f>2107</f>
        <v>2107</v>
      </c>
      <c r="L194" s="32" t="s">
        <v>48</v>
      </c>
      <c r="M194" s="35">
        <f>2115</f>
        <v>2115</v>
      </c>
      <c r="N194" s="32" t="s">
        <v>213</v>
      </c>
      <c r="O194" s="35">
        <f>2060</f>
        <v>2060</v>
      </c>
      <c r="P194" s="32" t="s">
        <v>60</v>
      </c>
      <c r="Q194" s="35">
        <f>2098</f>
        <v>2098</v>
      </c>
      <c r="R194" s="32" t="s">
        <v>50</v>
      </c>
      <c r="S194" s="34">
        <f>2084.32</f>
        <v>2084.3200000000002</v>
      </c>
      <c r="T194" s="31">
        <f>72703</f>
        <v>72703</v>
      </c>
      <c r="U194" s="31" t="str">
        <f>"－"</f>
        <v>－</v>
      </c>
      <c r="V194" s="31">
        <f>151638393</f>
        <v>151638393</v>
      </c>
      <c r="W194" s="31" t="str">
        <f>"－"</f>
        <v>－</v>
      </c>
      <c r="X194" s="33">
        <f>19</f>
        <v>19</v>
      </c>
    </row>
    <row r="195" spans="1:24">
      <c r="A195" s="27" t="s">
        <v>42</v>
      </c>
      <c r="B195" s="27" t="s">
        <v>629</v>
      </c>
      <c r="C195" s="27" t="s">
        <v>630</v>
      </c>
      <c r="D195" s="27" t="s">
        <v>631</v>
      </c>
      <c r="E195" s="28" t="s">
        <v>46</v>
      </c>
      <c r="F195" s="29" t="s">
        <v>46</v>
      </c>
      <c r="G195" s="30" t="s">
        <v>46</v>
      </c>
      <c r="H195" s="25"/>
      <c r="I195" s="25" t="s">
        <v>415</v>
      </c>
      <c r="J195" s="31">
        <v>1</v>
      </c>
      <c r="K195" s="35">
        <f>7133</f>
        <v>7133</v>
      </c>
      <c r="L195" s="32" t="s">
        <v>48</v>
      </c>
      <c r="M195" s="35">
        <f>7889</f>
        <v>7889</v>
      </c>
      <c r="N195" s="32" t="s">
        <v>202</v>
      </c>
      <c r="O195" s="35">
        <f>7069</f>
        <v>7069</v>
      </c>
      <c r="P195" s="32" t="s">
        <v>48</v>
      </c>
      <c r="Q195" s="35">
        <f>7452</f>
        <v>7452</v>
      </c>
      <c r="R195" s="32" t="s">
        <v>50</v>
      </c>
      <c r="S195" s="34">
        <f>7513.37</f>
        <v>7513.37</v>
      </c>
      <c r="T195" s="31">
        <f>29786</f>
        <v>29786</v>
      </c>
      <c r="U195" s="31">
        <f>25</f>
        <v>25</v>
      </c>
      <c r="V195" s="31">
        <f>224459941</f>
        <v>224459941</v>
      </c>
      <c r="W195" s="31">
        <f>180940</f>
        <v>180940</v>
      </c>
      <c r="X195" s="33">
        <f>19</f>
        <v>19</v>
      </c>
    </row>
    <row r="196" spans="1:24">
      <c r="A196" s="27" t="s">
        <v>42</v>
      </c>
      <c r="B196" s="27" t="s">
        <v>632</v>
      </c>
      <c r="C196" s="27" t="s">
        <v>633</v>
      </c>
      <c r="D196" s="27" t="s">
        <v>634</v>
      </c>
      <c r="E196" s="28" t="s">
        <v>46</v>
      </c>
      <c r="F196" s="29" t="s">
        <v>46</v>
      </c>
      <c r="G196" s="30" t="s">
        <v>46</v>
      </c>
      <c r="H196" s="25"/>
      <c r="I196" s="25" t="s">
        <v>415</v>
      </c>
      <c r="J196" s="31">
        <v>1</v>
      </c>
      <c r="K196" s="35">
        <f>25800</f>
        <v>25800</v>
      </c>
      <c r="L196" s="32" t="s">
        <v>48</v>
      </c>
      <c r="M196" s="35">
        <f>27500</f>
        <v>27500</v>
      </c>
      <c r="N196" s="32" t="s">
        <v>273</v>
      </c>
      <c r="O196" s="35">
        <f>25545</f>
        <v>25545</v>
      </c>
      <c r="P196" s="32" t="s">
        <v>48</v>
      </c>
      <c r="Q196" s="35">
        <f>27010</f>
        <v>27010</v>
      </c>
      <c r="R196" s="32" t="s">
        <v>50</v>
      </c>
      <c r="S196" s="34">
        <f>26668.95</f>
        <v>26668.95</v>
      </c>
      <c r="T196" s="31">
        <f>1030</f>
        <v>1030</v>
      </c>
      <c r="U196" s="31" t="str">
        <f t="shared" ref="U196:U202" si="2">"－"</f>
        <v>－</v>
      </c>
      <c r="V196" s="31">
        <f>27443310</f>
        <v>27443310</v>
      </c>
      <c r="W196" s="31" t="str">
        <f t="shared" ref="W196:W202" si="3">"－"</f>
        <v>－</v>
      </c>
      <c r="X196" s="33">
        <f>19</f>
        <v>19</v>
      </c>
    </row>
    <row r="197" spans="1:24">
      <c r="A197" s="27" t="s">
        <v>42</v>
      </c>
      <c r="B197" s="27" t="s">
        <v>635</v>
      </c>
      <c r="C197" s="27" t="s">
        <v>636</v>
      </c>
      <c r="D197" s="27" t="s">
        <v>637</v>
      </c>
      <c r="E197" s="28" t="s">
        <v>46</v>
      </c>
      <c r="F197" s="29" t="s">
        <v>46</v>
      </c>
      <c r="G197" s="30" t="s">
        <v>46</v>
      </c>
      <c r="H197" s="25"/>
      <c r="I197" s="25" t="s">
        <v>415</v>
      </c>
      <c r="J197" s="31">
        <v>1</v>
      </c>
      <c r="K197" s="35">
        <f>31710</f>
        <v>31710</v>
      </c>
      <c r="L197" s="32" t="s">
        <v>48</v>
      </c>
      <c r="M197" s="35">
        <f>34000</f>
        <v>34000</v>
      </c>
      <c r="N197" s="32" t="s">
        <v>65</v>
      </c>
      <c r="O197" s="35">
        <f>31530</f>
        <v>31530</v>
      </c>
      <c r="P197" s="32" t="s">
        <v>48</v>
      </c>
      <c r="Q197" s="35">
        <f>32110</f>
        <v>32110</v>
      </c>
      <c r="R197" s="32" t="s">
        <v>50</v>
      </c>
      <c r="S197" s="34">
        <f>32597.37</f>
        <v>32597.37</v>
      </c>
      <c r="T197" s="31">
        <f>9694</f>
        <v>9694</v>
      </c>
      <c r="U197" s="31" t="str">
        <f t="shared" si="2"/>
        <v>－</v>
      </c>
      <c r="V197" s="31">
        <f>318626540</f>
        <v>318626540</v>
      </c>
      <c r="W197" s="31" t="str">
        <f t="shared" si="3"/>
        <v>－</v>
      </c>
      <c r="X197" s="33">
        <f>19</f>
        <v>19</v>
      </c>
    </row>
    <row r="198" spans="1:24">
      <c r="A198" s="27" t="s">
        <v>42</v>
      </c>
      <c r="B198" s="27" t="s">
        <v>638</v>
      </c>
      <c r="C198" s="27" t="s">
        <v>639</v>
      </c>
      <c r="D198" s="27" t="s">
        <v>640</v>
      </c>
      <c r="E198" s="28" t="s">
        <v>46</v>
      </c>
      <c r="F198" s="29" t="s">
        <v>46</v>
      </c>
      <c r="G198" s="30" t="s">
        <v>46</v>
      </c>
      <c r="H198" s="25"/>
      <c r="I198" s="25" t="s">
        <v>415</v>
      </c>
      <c r="J198" s="31">
        <v>1</v>
      </c>
      <c r="K198" s="35">
        <f>20455</f>
        <v>20455</v>
      </c>
      <c r="L198" s="32" t="s">
        <v>48</v>
      </c>
      <c r="M198" s="35">
        <f>21150</f>
        <v>21150</v>
      </c>
      <c r="N198" s="32" t="s">
        <v>60</v>
      </c>
      <c r="O198" s="35">
        <f>20125</f>
        <v>20125</v>
      </c>
      <c r="P198" s="32" t="s">
        <v>69</v>
      </c>
      <c r="Q198" s="35">
        <f>20630</f>
        <v>20630</v>
      </c>
      <c r="R198" s="32" t="s">
        <v>50</v>
      </c>
      <c r="S198" s="34">
        <f>20648.95</f>
        <v>20648.95</v>
      </c>
      <c r="T198" s="31">
        <f>783</f>
        <v>783</v>
      </c>
      <c r="U198" s="31" t="str">
        <f t="shared" si="2"/>
        <v>－</v>
      </c>
      <c r="V198" s="31">
        <f>16362050</f>
        <v>16362050</v>
      </c>
      <c r="W198" s="31" t="str">
        <f t="shared" si="3"/>
        <v>－</v>
      </c>
      <c r="X198" s="33">
        <f>19</f>
        <v>19</v>
      </c>
    </row>
    <row r="199" spans="1:24">
      <c r="A199" s="27" t="s">
        <v>42</v>
      </c>
      <c r="B199" s="27" t="s">
        <v>641</v>
      </c>
      <c r="C199" s="27" t="s">
        <v>642</v>
      </c>
      <c r="D199" s="27" t="s">
        <v>643</v>
      </c>
      <c r="E199" s="28" t="s">
        <v>46</v>
      </c>
      <c r="F199" s="29" t="s">
        <v>46</v>
      </c>
      <c r="G199" s="30" t="s">
        <v>46</v>
      </c>
      <c r="H199" s="25"/>
      <c r="I199" s="25" t="s">
        <v>415</v>
      </c>
      <c r="J199" s="31">
        <v>1</v>
      </c>
      <c r="K199" s="35">
        <f>32500</f>
        <v>32500</v>
      </c>
      <c r="L199" s="32" t="s">
        <v>48</v>
      </c>
      <c r="M199" s="35">
        <f>33170</f>
        <v>33170</v>
      </c>
      <c r="N199" s="32" t="s">
        <v>48</v>
      </c>
      <c r="O199" s="35">
        <f>28715</f>
        <v>28715</v>
      </c>
      <c r="P199" s="32" t="s">
        <v>223</v>
      </c>
      <c r="Q199" s="35">
        <f>29195</f>
        <v>29195</v>
      </c>
      <c r="R199" s="32" t="s">
        <v>50</v>
      </c>
      <c r="S199" s="34">
        <f>30946.58</f>
        <v>30946.58</v>
      </c>
      <c r="T199" s="31">
        <f>38652</f>
        <v>38652</v>
      </c>
      <c r="U199" s="31" t="str">
        <f t="shared" si="2"/>
        <v>－</v>
      </c>
      <c r="V199" s="31">
        <f>1189102180</f>
        <v>1189102180</v>
      </c>
      <c r="W199" s="31" t="str">
        <f t="shared" si="3"/>
        <v>－</v>
      </c>
      <c r="X199" s="33">
        <f>19</f>
        <v>19</v>
      </c>
    </row>
    <row r="200" spans="1:24">
      <c r="A200" s="27" t="s">
        <v>42</v>
      </c>
      <c r="B200" s="27" t="s">
        <v>644</v>
      </c>
      <c r="C200" s="27" t="s">
        <v>645</v>
      </c>
      <c r="D200" s="27" t="s">
        <v>646</v>
      </c>
      <c r="E200" s="28" t="s">
        <v>46</v>
      </c>
      <c r="F200" s="29" t="s">
        <v>46</v>
      </c>
      <c r="G200" s="30" t="s">
        <v>46</v>
      </c>
      <c r="H200" s="25"/>
      <c r="I200" s="25" t="s">
        <v>415</v>
      </c>
      <c r="J200" s="31">
        <v>1</v>
      </c>
      <c r="K200" s="35">
        <f>3273</f>
        <v>3273</v>
      </c>
      <c r="L200" s="32" t="s">
        <v>48</v>
      </c>
      <c r="M200" s="35">
        <f>3425</f>
        <v>3425</v>
      </c>
      <c r="N200" s="32" t="s">
        <v>65</v>
      </c>
      <c r="O200" s="35">
        <f>3240</f>
        <v>3240</v>
      </c>
      <c r="P200" s="32" t="s">
        <v>50</v>
      </c>
      <c r="Q200" s="35">
        <f>3325</f>
        <v>3325</v>
      </c>
      <c r="R200" s="32" t="s">
        <v>50</v>
      </c>
      <c r="S200" s="34">
        <f>3346.94</f>
        <v>3346.94</v>
      </c>
      <c r="T200" s="31">
        <f>1742</f>
        <v>1742</v>
      </c>
      <c r="U200" s="31" t="str">
        <f t="shared" si="2"/>
        <v>－</v>
      </c>
      <c r="V200" s="31">
        <f>5795494</f>
        <v>5795494</v>
      </c>
      <c r="W200" s="31" t="str">
        <f t="shared" si="3"/>
        <v>－</v>
      </c>
      <c r="X200" s="33">
        <f>17</f>
        <v>17</v>
      </c>
    </row>
    <row r="201" spans="1:24">
      <c r="A201" s="27" t="s">
        <v>42</v>
      </c>
      <c r="B201" s="27" t="s">
        <v>647</v>
      </c>
      <c r="C201" s="27" t="s">
        <v>648</v>
      </c>
      <c r="D201" s="27" t="s">
        <v>649</v>
      </c>
      <c r="E201" s="28" t="s">
        <v>46</v>
      </c>
      <c r="F201" s="29" t="s">
        <v>46</v>
      </c>
      <c r="G201" s="30" t="s">
        <v>46</v>
      </c>
      <c r="H201" s="25"/>
      <c r="I201" s="25" t="s">
        <v>415</v>
      </c>
      <c r="J201" s="31">
        <v>1</v>
      </c>
      <c r="K201" s="35">
        <f>45730</f>
        <v>45730</v>
      </c>
      <c r="L201" s="32" t="s">
        <v>48</v>
      </c>
      <c r="M201" s="35">
        <f>49150</f>
        <v>49150</v>
      </c>
      <c r="N201" s="32" t="s">
        <v>65</v>
      </c>
      <c r="O201" s="35">
        <f>44120</f>
        <v>44120</v>
      </c>
      <c r="P201" s="32" t="s">
        <v>70</v>
      </c>
      <c r="Q201" s="35">
        <f>44900</f>
        <v>44900</v>
      </c>
      <c r="R201" s="32" t="s">
        <v>70</v>
      </c>
      <c r="S201" s="34">
        <f>46925.88</f>
        <v>46925.88</v>
      </c>
      <c r="T201" s="31">
        <f>2694</f>
        <v>2694</v>
      </c>
      <c r="U201" s="31" t="str">
        <f t="shared" si="2"/>
        <v>－</v>
      </c>
      <c r="V201" s="31">
        <f>129787020</f>
        <v>129787020</v>
      </c>
      <c r="W201" s="31" t="str">
        <f t="shared" si="3"/>
        <v>－</v>
      </c>
      <c r="X201" s="33">
        <f>17</f>
        <v>17</v>
      </c>
    </row>
    <row r="202" spans="1:24">
      <c r="A202" s="27" t="s">
        <v>42</v>
      </c>
      <c r="B202" s="27" t="s">
        <v>650</v>
      </c>
      <c r="C202" s="27" t="s">
        <v>651</v>
      </c>
      <c r="D202" s="27" t="s">
        <v>652</v>
      </c>
      <c r="E202" s="28" t="s">
        <v>46</v>
      </c>
      <c r="F202" s="29" t="s">
        <v>46</v>
      </c>
      <c r="G202" s="30" t="s">
        <v>46</v>
      </c>
      <c r="H202" s="25"/>
      <c r="I202" s="25" t="s">
        <v>415</v>
      </c>
      <c r="J202" s="31">
        <v>1</v>
      </c>
      <c r="K202" s="35">
        <f>27580</f>
        <v>27580</v>
      </c>
      <c r="L202" s="32" t="s">
        <v>48</v>
      </c>
      <c r="M202" s="35">
        <f>29350</f>
        <v>29350</v>
      </c>
      <c r="N202" s="32" t="s">
        <v>273</v>
      </c>
      <c r="O202" s="35">
        <f>27580</f>
        <v>27580</v>
      </c>
      <c r="P202" s="32" t="s">
        <v>48</v>
      </c>
      <c r="Q202" s="35">
        <f>28690</f>
        <v>28690</v>
      </c>
      <c r="R202" s="32" t="s">
        <v>50</v>
      </c>
      <c r="S202" s="34">
        <f>28690.31</f>
        <v>28690.31</v>
      </c>
      <c r="T202" s="31">
        <f>193</f>
        <v>193</v>
      </c>
      <c r="U202" s="31" t="str">
        <f t="shared" si="2"/>
        <v>－</v>
      </c>
      <c r="V202" s="31">
        <f>5595875</f>
        <v>5595875</v>
      </c>
      <c r="W202" s="31" t="str">
        <f t="shared" si="3"/>
        <v>－</v>
      </c>
      <c r="X202" s="33">
        <f>16</f>
        <v>16</v>
      </c>
    </row>
    <row r="203" spans="1:24">
      <c r="A203" s="27" t="s">
        <v>42</v>
      </c>
      <c r="B203" s="27" t="s">
        <v>653</v>
      </c>
      <c r="C203" s="27" t="s">
        <v>654</v>
      </c>
      <c r="D203" s="27" t="s">
        <v>655</v>
      </c>
      <c r="E203" s="28" t="s">
        <v>46</v>
      </c>
      <c r="F203" s="29" t="s">
        <v>46</v>
      </c>
      <c r="G203" s="30" t="s">
        <v>46</v>
      </c>
      <c r="H203" s="25"/>
      <c r="I203" s="25" t="s">
        <v>415</v>
      </c>
      <c r="J203" s="31">
        <v>1</v>
      </c>
      <c r="K203" s="35">
        <f>51330</f>
        <v>51330</v>
      </c>
      <c r="L203" s="32" t="s">
        <v>48</v>
      </c>
      <c r="M203" s="35">
        <f>54590</f>
        <v>54590</v>
      </c>
      <c r="N203" s="32" t="s">
        <v>155</v>
      </c>
      <c r="O203" s="35">
        <f>50450</f>
        <v>50450</v>
      </c>
      <c r="P203" s="32" t="s">
        <v>48</v>
      </c>
      <c r="Q203" s="35">
        <f>51540</f>
        <v>51540</v>
      </c>
      <c r="R203" s="32" t="s">
        <v>70</v>
      </c>
      <c r="S203" s="34">
        <f>52423.53</f>
        <v>52423.53</v>
      </c>
      <c r="T203" s="31">
        <f>4060</f>
        <v>4060</v>
      </c>
      <c r="U203" s="31">
        <f>3780</f>
        <v>3780</v>
      </c>
      <c r="V203" s="31">
        <f>213710320</f>
        <v>213710320</v>
      </c>
      <c r="W203" s="31">
        <f>199092600</f>
        <v>199092600</v>
      </c>
      <c r="X203" s="33">
        <f>17</f>
        <v>17</v>
      </c>
    </row>
    <row r="204" spans="1:24">
      <c r="A204" s="27" t="s">
        <v>42</v>
      </c>
      <c r="B204" s="27" t="s">
        <v>656</v>
      </c>
      <c r="C204" s="27" t="s">
        <v>657</v>
      </c>
      <c r="D204" s="27" t="s">
        <v>658</v>
      </c>
      <c r="E204" s="28" t="s">
        <v>46</v>
      </c>
      <c r="F204" s="29" t="s">
        <v>46</v>
      </c>
      <c r="G204" s="30" t="s">
        <v>46</v>
      </c>
      <c r="H204" s="25"/>
      <c r="I204" s="25" t="s">
        <v>415</v>
      </c>
      <c r="J204" s="31">
        <v>1</v>
      </c>
      <c r="K204" s="35">
        <f>26235</f>
        <v>26235</v>
      </c>
      <c r="L204" s="32" t="s">
        <v>48</v>
      </c>
      <c r="M204" s="35">
        <f>26980</f>
        <v>26980</v>
      </c>
      <c r="N204" s="32" t="s">
        <v>103</v>
      </c>
      <c r="O204" s="35">
        <f>25200</f>
        <v>25200</v>
      </c>
      <c r="P204" s="32" t="s">
        <v>50</v>
      </c>
      <c r="Q204" s="35">
        <f>25200</f>
        <v>25200</v>
      </c>
      <c r="R204" s="32" t="s">
        <v>50</v>
      </c>
      <c r="S204" s="34">
        <f>26010.71</f>
        <v>26010.71</v>
      </c>
      <c r="T204" s="31">
        <f>2029</f>
        <v>2029</v>
      </c>
      <c r="U204" s="31" t="str">
        <f>"－"</f>
        <v>－</v>
      </c>
      <c r="V204" s="31">
        <f>51164935</f>
        <v>51164935</v>
      </c>
      <c r="W204" s="31" t="str">
        <f>"－"</f>
        <v>－</v>
      </c>
      <c r="X204" s="33">
        <f>7</f>
        <v>7</v>
      </c>
    </row>
    <row r="205" spans="1:24">
      <c r="A205" s="27" t="s">
        <v>42</v>
      </c>
      <c r="B205" s="27" t="s">
        <v>659</v>
      </c>
      <c r="C205" s="27" t="s">
        <v>660</v>
      </c>
      <c r="D205" s="27" t="s">
        <v>661</v>
      </c>
      <c r="E205" s="28" t="s">
        <v>46</v>
      </c>
      <c r="F205" s="29" t="s">
        <v>46</v>
      </c>
      <c r="G205" s="30" t="s">
        <v>46</v>
      </c>
      <c r="H205" s="25"/>
      <c r="I205" s="25" t="s">
        <v>415</v>
      </c>
      <c r="J205" s="31">
        <v>1</v>
      </c>
      <c r="K205" s="35">
        <f>26250</f>
        <v>26250</v>
      </c>
      <c r="L205" s="32" t="s">
        <v>48</v>
      </c>
      <c r="M205" s="35">
        <f>27140</f>
        <v>27140</v>
      </c>
      <c r="N205" s="32" t="s">
        <v>206</v>
      </c>
      <c r="O205" s="35">
        <f>25350</f>
        <v>25350</v>
      </c>
      <c r="P205" s="32" t="s">
        <v>70</v>
      </c>
      <c r="Q205" s="35">
        <f>25350</f>
        <v>25350</v>
      </c>
      <c r="R205" s="32" t="s">
        <v>70</v>
      </c>
      <c r="S205" s="34">
        <f>26461.56</f>
        <v>26461.56</v>
      </c>
      <c r="T205" s="31">
        <f>1469</f>
        <v>1469</v>
      </c>
      <c r="U205" s="31" t="str">
        <f>"－"</f>
        <v>－</v>
      </c>
      <c r="V205" s="31">
        <f>38435705</f>
        <v>38435705</v>
      </c>
      <c r="W205" s="31" t="str">
        <f>"－"</f>
        <v>－</v>
      </c>
      <c r="X205" s="33">
        <f>16</f>
        <v>16</v>
      </c>
    </row>
    <row r="206" spans="1:24">
      <c r="A206" s="27" t="s">
        <v>42</v>
      </c>
      <c r="B206" s="27" t="s">
        <v>662</v>
      </c>
      <c r="C206" s="27" t="s">
        <v>663</v>
      </c>
      <c r="D206" s="27" t="s">
        <v>664</v>
      </c>
      <c r="E206" s="28" t="s">
        <v>46</v>
      </c>
      <c r="F206" s="29" t="s">
        <v>46</v>
      </c>
      <c r="G206" s="30" t="s">
        <v>46</v>
      </c>
      <c r="H206" s="25"/>
      <c r="I206" s="25" t="s">
        <v>415</v>
      </c>
      <c r="J206" s="31">
        <v>1</v>
      </c>
      <c r="K206" s="35">
        <f>36720</f>
        <v>36720</v>
      </c>
      <c r="L206" s="32" t="s">
        <v>202</v>
      </c>
      <c r="M206" s="35">
        <f>37040</f>
        <v>37040</v>
      </c>
      <c r="N206" s="32" t="s">
        <v>50</v>
      </c>
      <c r="O206" s="35">
        <f>36690</f>
        <v>36690</v>
      </c>
      <c r="P206" s="32" t="s">
        <v>202</v>
      </c>
      <c r="Q206" s="35">
        <f>37040</f>
        <v>37040</v>
      </c>
      <c r="R206" s="32" t="s">
        <v>50</v>
      </c>
      <c r="S206" s="34">
        <f>36870</f>
        <v>36870</v>
      </c>
      <c r="T206" s="31">
        <f>3003</f>
        <v>3003</v>
      </c>
      <c r="U206" s="31">
        <f>1000</f>
        <v>1000</v>
      </c>
      <c r="V206" s="31">
        <f>107962010</f>
        <v>107962010</v>
      </c>
      <c r="W206" s="31">
        <f>34440000</f>
        <v>34440000</v>
      </c>
      <c r="X206" s="33">
        <f>2</f>
        <v>2</v>
      </c>
    </row>
    <row r="207" spans="1:24">
      <c r="A207" s="27" t="s">
        <v>42</v>
      </c>
      <c r="B207" s="27" t="s">
        <v>665</v>
      </c>
      <c r="C207" s="27" t="s">
        <v>666</v>
      </c>
      <c r="D207" s="27" t="s">
        <v>667</v>
      </c>
      <c r="E207" s="28" t="s">
        <v>46</v>
      </c>
      <c r="F207" s="29" t="s">
        <v>46</v>
      </c>
      <c r="G207" s="30" t="s">
        <v>46</v>
      </c>
      <c r="H207" s="25"/>
      <c r="I207" s="25" t="s">
        <v>415</v>
      </c>
      <c r="J207" s="31">
        <v>1</v>
      </c>
      <c r="K207" s="35">
        <f>20845</f>
        <v>20845</v>
      </c>
      <c r="L207" s="32" t="s">
        <v>206</v>
      </c>
      <c r="M207" s="35">
        <f>20845</f>
        <v>20845</v>
      </c>
      <c r="N207" s="32" t="s">
        <v>206</v>
      </c>
      <c r="O207" s="35">
        <f>20845</f>
        <v>20845</v>
      </c>
      <c r="P207" s="32" t="s">
        <v>206</v>
      </c>
      <c r="Q207" s="35">
        <f>20845</f>
        <v>20845</v>
      </c>
      <c r="R207" s="32" t="s">
        <v>206</v>
      </c>
      <c r="S207" s="34">
        <f>20845</f>
        <v>20845</v>
      </c>
      <c r="T207" s="31">
        <f>42</f>
        <v>42</v>
      </c>
      <c r="U207" s="31" t="str">
        <f t="shared" ref="U207:U214" si="4">"－"</f>
        <v>－</v>
      </c>
      <c r="V207" s="31">
        <f>875490</f>
        <v>875490</v>
      </c>
      <c r="W207" s="31" t="str">
        <f t="shared" ref="W207:W214" si="5">"－"</f>
        <v>－</v>
      </c>
      <c r="X207" s="33">
        <f>1</f>
        <v>1</v>
      </c>
    </row>
    <row r="208" spans="1:24">
      <c r="A208" s="27" t="s">
        <v>42</v>
      </c>
      <c r="B208" s="27" t="s">
        <v>668</v>
      </c>
      <c r="C208" s="27" t="s">
        <v>669</v>
      </c>
      <c r="D208" s="27" t="s">
        <v>670</v>
      </c>
      <c r="E208" s="28" t="s">
        <v>46</v>
      </c>
      <c r="F208" s="29" t="s">
        <v>46</v>
      </c>
      <c r="G208" s="30" t="s">
        <v>46</v>
      </c>
      <c r="H208" s="25"/>
      <c r="I208" s="25" t="s">
        <v>415</v>
      </c>
      <c r="J208" s="31">
        <v>1</v>
      </c>
      <c r="K208" s="35">
        <f>14490</f>
        <v>14490</v>
      </c>
      <c r="L208" s="32" t="s">
        <v>48</v>
      </c>
      <c r="M208" s="35">
        <f>14950</f>
        <v>14950</v>
      </c>
      <c r="N208" s="32" t="s">
        <v>49</v>
      </c>
      <c r="O208" s="35">
        <f>13995</f>
        <v>13995</v>
      </c>
      <c r="P208" s="32" t="s">
        <v>70</v>
      </c>
      <c r="Q208" s="35">
        <f>13995</f>
        <v>13995</v>
      </c>
      <c r="R208" s="32" t="s">
        <v>70</v>
      </c>
      <c r="S208" s="34">
        <f>14515</f>
        <v>14515</v>
      </c>
      <c r="T208" s="31">
        <f>532</f>
        <v>532</v>
      </c>
      <c r="U208" s="31" t="str">
        <f t="shared" si="4"/>
        <v>－</v>
      </c>
      <c r="V208" s="31">
        <f>7602060</f>
        <v>7602060</v>
      </c>
      <c r="W208" s="31" t="str">
        <f t="shared" si="5"/>
        <v>－</v>
      </c>
      <c r="X208" s="33">
        <f>11</f>
        <v>11</v>
      </c>
    </row>
    <row r="209" spans="1:24">
      <c r="A209" s="27" t="s">
        <v>42</v>
      </c>
      <c r="B209" s="27" t="s">
        <v>671</v>
      </c>
      <c r="C209" s="27" t="s">
        <v>672</v>
      </c>
      <c r="D209" s="27" t="s">
        <v>673</v>
      </c>
      <c r="E209" s="28" t="s">
        <v>46</v>
      </c>
      <c r="F209" s="29" t="s">
        <v>46</v>
      </c>
      <c r="G209" s="30" t="s">
        <v>46</v>
      </c>
      <c r="H209" s="25"/>
      <c r="I209" s="25" t="s">
        <v>415</v>
      </c>
      <c r="J209" s="31">
        <v>1</v>
      </c>
      <c r="K209" s="35">
        <f>18175</f>
        <v>18175</v>
      </c>
      <c r="L209" s="32" t="s">
        <v>48</v>
      </c>
      <c r="M209" s="35">
        <f>18835</f>
        <v>18835</v>
      </c>
      <c r="N209" s="32" t="s">
        <v>49</v>
      </c>
      <c r="O209" s="35">
        <f>17825</f>
        <v>17825</v>
      </c>
      <c r="P209" s="32" t="s">
        <v>50</v>
      </c>
      <c r="Q209" s="35">
        <f>17825</f>
        <v>17825</v>
      </c>
      <c r="R209" s="32" t="s">
        <v>50</v>
      </c>
      <c r="S209" s="34">
        <f>18354.17</f>
        <v>18354.169999999998</v>
      </c>
      <c r="T209" s="31">
        <f>3770</f>
        <v>3770</v>
      </c>
      <c r="U209" s="31" t="str">
        <f t="shared" si="4"/>
        <v>－</v>
      </c>
      <c r="V209" s="31">
        <f>69405245</f>
        <v>69405245</v>
      </c>
      <c r="W209" s="31" t="str">
        <f t="shared" si="5"/>
        <v>－</v>
      </c>
      <c r="X209" s="33">
        <f>12</f>
        <v>12</v>
      </c>
    </row>
    <row r="210" spans="1:24">
      <c r="A210" s="27" t="s">
        <v>42</v>
      </c>
      <c r="B210" s="27" t="s">
        <v>674</v>
      </c>
      <c r="C210" s="27" t="s">
        <v>675</v>
      </c>
      <c r="D210" s="27" t="s">
        <v>676</v>
      </c>
      <c r="E210" s="28" t="s">
        <v>46</v>
      </c>
      <c r="F210" s="29" t="s">
        <v>46</v>
      </c>
      <c r="G210" s="30" t="s">
        <v>46</v>
      </c>
      <c r="H210" s="25"/>
      <c r="I210" s="25" t="s">
        <v>415</v>
      </c>
      <c r="J210" s="31">
        <v>1</v>
      </c>
      <c r="K210" s="35">
        <f>16705</f>
        <v>16705</v>
      </c>
      <c r="L210" s="32" t="s">
        <v>48</v>
      </c>
      <c r="M210" s="35">
        <f>18020</f>
        <v>18020</v>
      </c>
      <c r="N210" s="32" t="s">
        <v>60</v>
      </c>
      <c r="O210" s="35">
        <f>16705</f>
        <v>16705</v>
      </c>
      <c r="P210" s="32" t="s">
        <v>48</v>
      </c>
      <c r="Q210" s="35">
        <f>17990</f>
        <v>17990</v>
      </c>
      <c r="R210" s="32" t="s">
        <v>50</v>
      </c>
      <c r="S210" s="34">
        <f>17472.5</f>
        <v>17472.5</v>
      </c>
      <c r="T210" s="31">
        <f>1183</f>
        <v>1183</v>
      </c>
      <c r="U210" s="31" t="str">
        <f t="shared" si="4"/>
        <v>－</v>
      </c>
      <c r="V210" s="31">
        <f>20507035</f>
        <v>20507035</v>
      </c>
      <c r="W210" s="31" t="str">
        <f t="shared" si="5"/>
        <v>－</v>
      </c>
      <c r="X210" s="33">
        <f>10</f>
        <v>10</v>
      </c>
    </row>
    <row r="211" spans="1:24">
      <c r="A211" s="27" t="s">
        <v>42</v>
      </c>
      <c r="B211" s="27" t="s">
        <v>677</v>
      </c>
      <c r="C211" s="27" t="s">
        <v>678</v>
      </c>
      <c r="D211" s="27" t="s">
        <v>679</v>
      </c>
      <c r="E211" s="28" t="s">
        <v>46</v>
      </c>
      <c r="F211" s="29" t="s">
        <v>46</v>
      </c>
      <c r="G211" s="30" t="s">
        <v>46</v>
      </c>
      <c r="H211" s="25"/>
      <c r="I211" s="25" t="s">
        <v>415</v>
      </c>
      <c r="J211" s="31">
        <v>1</v>
      </c>
      <c r="K211" s="35">
        <f>15275</f>
        <v>15275</v>
      </c>
      <c r="L211" s="32" t="s">
        <v>48</v>
      </c>
      <c r="M211" s="35">
        <f>15435</f>
        <v>15435</v>
      </c>
      <c r="N211" s="32" t="s">
        <v>75</v>
      </c>
      <c r="O211" s="35">
        <f>15275</f>
        <v>15275</v>
      </c>
      <c r="P211" s="32" t="s">
        <v>48</v>
      </c>
      <c r="Q211" s="35">
        <f>15435</f>
        <v>15435</v>
      </c>
      <c r="R211" s="32" t="s">
        <v>75</v>
      </c>
      <c r="S211" s="34">
        <f>15355</f>
        <v>15355</v>
      </c>
      <c r="T211" s="31">
        <f>101</f>
        <v>101</v>
      </c>
      <c r="U211" s="31" t="str">
        <f t="shared" si="4"/>
        <v>－</v>
      </c>
      <c r="V211" s="31">
        <f>1558775</f>
        <v>1558775</v>
      </c>
      <c r="W211" s="31" t="str">
        <f t="shared" si="5"/>
        <v>－</v>
      </c>
      <c r="X211" s="33">
        <f>2</f>
        <v>2</v>
      </c>
    </row>
    <row r="212" spans="1:24">
      <c r="A212" s="27" t="s">
        <v>42</v>
      </c>
      <c r="B212" s="27" t="s">
        <v>680</v>
      </c>
      <c r="C212" s="27" t="s">
        <v>681</v>
      </c>
      <c r="D212" s="27" t="s">
        <v>682</v>
      </c>
      <c r="E212" s="28" t="s">
        <v>46</v>
      </c>
      <c r="F212" s="29" t="s">
        <v>46</v>
      </c>
      <c r="G212" s="30" t="s">
        <v>46</v>
      </c>
      <c r="H212" s="25"/>
      <c r="I212" s="25" t="s">
        <v>47</v>
      </c>
      <c r="J212" s="31">
        <v>1</v>
      </c>
      <c r="K212" s="35">
        <f>1610</f>
        <v>1610</v>
      </c>
      <c r="L212" s="32" t="s">
        <v>48</v>
      </c>
      <c r="M212" s="35">
        <f>1760</f>
        <v>1760</v>
      </c>
      <c r="N212" s="32" t="s">
        <v>65</v>
      </c>
      <c r="O212" s="35">
        <f>1608</f>
        <v>1608</v>
      </c>
      <c r="P212" s="32" t="s">
        <v>48</v>
      </c>
      <c r="Q212" s="35">
        <f>1728</f>
        <v>1728</v>
      </c>
      <c r="R212" s="32" t="s">
        <v>50</v>
      </c>
      <c r="S212" s="34">
        <f>1701.84</f>
        <v>1701.84</v>
      </c>
      <c r="T212" s="31">
        <f>1133018</f>
        <v>1133018</v>
      </c>
      <c r="U212" s="31" t="str">
        <f t="shared" si="4"/>
        <v>－</v>
      </c>
      <c r="V212" s="31">
        <f>1935327300</f>
        <v>1935327300</v>
      </c>
      <c r="W212" s="31" t="str">
        <f t="shared" si="5"/>
        <v>－</v>
      </c>
      <c r="X212" s="33">
        <f>19</f>
        <v>19</v>
      </c>
    </row>
    <row r="213" spans="1:24">
      <c r="A213" s="27" t="s">
        <v>42</v>
      </c>
      <c r="B213" s="27" t="s">
        <v>683</v>
      </c>
      <c r="C213" s="27" t="s">
        <v>684</v>
      </c>
      <c r="D213" s="27" t="s">
        <v>685</v>
      </c>
      <c r="E213" s="28" t="s">
        <v>46</v>
      </c>
      <c r="F213" s="29" t="s">
        <v>46</v>
      </c>
      <c r="G213" s="30" t="s">
        <v>46</v>
      </c>
      <c r="H213" s="25"/>
      <c r="I213" s="25" t="s">
        <v>47</v>
      </c>
      <c r="J213" s="31">
        <v>1</v>
      </c>
      <c r="K213" s="35">
        <f>1738</f>
        <v>1738</v>
      </c>
      <c r="L213" s="32" t="s">
        <v>48</v>
      </c>
      <c r="M213" s="35">
        <f>1892</f>
        <v>1892</v>
      </c>
      <c r="N213" s="32" t="s">
        <v>65</v>
      </c>
      <c r="O213" s="35">
        <f>1659</f>
        <v>1659</v>
      </c>
      <c r="P213" s="32" t="s">
        <v>48</v>
      </c>
      <c r="Q213" s="35">
        <f>1826</f>
        <v>1826</v>
      </c>
      <c r="R213" s="32" t="s">
        <v>50</v>
      </c>
      <c r="S213" s="34">
        <f>1820.32</f>
        <v>1820.32</v>
      </c>
      <c r="T213" s="31">
        <f>37689</f>
        <v>37689</v>
      </c>
      <c r="U213" s="31" t="str">
        <f t="shared" si="4"/>
        <v>－</v>
      </c>
      <c r="V213" s="31">
        <f>67517905</f>
        <v>67517905</v>
      </c>
      <c r="W213" s="31" t="str">
        <f t="shared" si="5"/>
        <v>－</v>
      </c>
      <c r="X213" s="33">
        <f>19</f>
        <v>19</v>
      </c>
    </row>
    <row r="214" spans="1:24">
      <c r="A214" s="27" t="s">
        <v>42</v>
      </c>
      <c r="B214" s="27" t="s">
        <v>686</v>
      </c>
      <c r="C214" s="27" t="s">
        <v>687</v>
      </c>
      <c r="D214" s="27" t="s">
        <v>688</v>
      </c>
      <c r="E214" s="28" t="s">
        <v>46</v>
      </c>
      <c r="F214" s="29" t="s">
        <v>46</v>
      </c>
      <c r="G214" s="30" t="s">
        <v>46</v>
      </c>
      <c r="H214" s="25"/>
      <c r="I214" s="25" t="s">
        <v>47</v>
      </c>
      <c r="J214" s="31">
        <v>1</v>
      </c>
      <c r="K214" s="35">
        <f>1180</f>
        <v>1180</v>
      </c>
      <c r="L214" s="32" t="s">
        <v>48</v>
      </c>
      <c r="M214" s="35">
        <f>1237</f>
        <v>1237</v>
      </c>
      <c r="N214" s="32" t="s">
        <v>155</v>
      </c>
      <c r="O214" s="35">
        <f>1146</f>
        <v>1146</v>
      </c>
      <c r="P214" s="32" t="s">
        <v>155</v>
      </c>
      <c r="Q214" s="35">
        <f>1178</f>
        <v>1178</v>
      </c>
      <c r="R214" s="32" t="s">
        <v>50</v>
      </c>
      <c r="S214" s="34">
        <f>1191.95</f>
        <v>1191.95</v>
      </c>
      <c r="T214" s="31">
        <f>5317</f>
        <v>5317</v>
      </c>
      <c r="U214" s="31" t="str">
        <f t="shared" si="4"/>
        <v>－</v>
      </c>
      <c r="V214" s="31">
        <f>6343394</f>
        <v>6343394</v>
      </c>
      <c r="W214" s="31" t="str">
        <f t="shared" si="5"/>
        <v>－</v>
      </c>
      <c r="X214" s="33">
        <f>19</f>
        <v>19</v>
      </c>
    </row>
    <row r="215" spans="1:24">
      <c r="A215" s="27" t="s">
        <v>42</v>
      </c>
      <c r="B215" s="27" t="s">
        <v>689</v>
      </c>
      <c r="C215" s="27" t="s">
        <v>690</v>
      </c>
      <c r="D215" s="27" t="s">
        <v>691</v>
      </c>
      <c r="E215" s="28" t="s">
        <v>46</v>
      </c>
      <c r="F215" s="29" t="s">
        <v>46</v>
      </c>
      <c r="G215" s="30" t="s">
        <v>46</v>
      </c>
      <c r="H215" s="25"/>
      <c r="I215" s="25" t="s">
        <v>47</v>
      </c>
      <c r="J215" s="31">
        <v>1</v>
      </c>
      <c r="K215" s="35">
        <f>2900</f>
        <v>2900</v>
      </c>
      <c r="L215" s="32" t="s">
        <v>48</v>
      </c>
      <c r="M215" s="35">
        <f>3142</f>
        <v>3142</v>
      </c>
      <c r="N215" s="32" t="s">
        <v>155</v>
      </c>
      <c r="O215" s="35">
        <f>2876</f>
        <v>2876</v>
      </c>
      <c r="P215" s="32" t="s">
        <v>257</v>
      </c>
      <c r="Q215" s="35">
        <f>2975</f>
        <v>2975</v>
      </c>
      <c r="R215" s="32" t="s">
        <v>50</v>
      </c>
      <c r="S215" s="34">
        <f>2978.11</f>
        <v>2978.11</v>
      </c>
      <c r="T215" s="31">
        <f>96197</f>
        <v>96197</v>
      </c>
      <c r="U215" s="31">
        <f>22</f>
        <v>22</v>
      </c>
      <c r="V215" s="31">
        <f>284970722</f>
        <v>284970722</v>
      </c>
      <c r="W215" s="31">
        <f>64262</f>
        <v>64262</v>
      </c>
      <c r="X215" s="33">
        <f>19</f>
        <v>19</v>
      </c>
    </row>
    <row r="216" spans="1:24">
      <c r="A216" s="27" t="s">
        <v>42</v>
      </c>
      <c r="B216" s="27" t="s">
        <v>692</v>
      </c>
      <c r="C216" s="27" t="s">
        <v>693</v>
      </c>
      <c r="D216" s="27" t="s">
        <v>694</v>
      </c>
      <c r="E216" s="28" t="s">
        <v>46</v>
      </c>
      <c r="F216" s="29" t="s">
        <v>46</v>
      </c>
      <c r="G216" s="30" t="s">
        <v>46</v>
      </c>
      <c r="H216" s="25"/>
      <c r="I216" s="25" t="s">
        <v>47</v>
      </c>
      <c r="J216" s="31">
        <v>1</v>
      </c>
      <c r="K216" s="35">
        <f>3071</f>
        <v>3071</v>
      </c>
      <c r="L216" s="32" t="s">
        <v>48</v>
      </c>
      <c r="M216" s="35">
        <f>3300</f>
        <v>3300</v>
      </c>
      <c r="N216" s="32" t="s">
        <v>65</v>
      </c>
      <c r="O216" s="35">
        <f>3057</f>
        <v>3057</v>
      </c>
      <c r="P216" s="32" t="s">
        <v>48</v>
      </c>
      <c r="Q216" s="35">
        <f>3244</f>
        <v>3244</v>
      </c>
      <c r="R216" s="32" t="s">
        <v>50</v>
      </c>
      <c r="S216" s="34">
        <f>3204.95</f>
        <v>3204.95</v>
      </c>
      <c r="T216" s="31">
        <f>241978</f>
        <v>241978</v>
      </c>
      <c r="U216" s="31">
        <f>1</f>
        <v>1</v>
      </c>
      <c r="V216" s="31">
        <f>767680862</f>
        <v>767680862</v>
      </c>
      <c r="W216" s="31">
        <f>3045</f>
        <v>3045</v>
      </c>
      <c r="X216" s="33">
        <f>19</f>
        <v>19</v>
      </c>
    </row>
    <row r="217" spans="1:24">
      <c r="A217" s="27" t="s">
        <v>42</v>
      </c>
      <c r="B217" s="27" t="s">
        <v>695</v>
      </c>
      <c r="C217" s="27" t="s">
        <v>696</v>
      </c>
      <c r="D217" s="27" t="s">
        <v>697</v>
      </c>
      <c r="E217" s="28" t="s">
        <v>46</v>
      </c>
      <c r="F217" s="29" t="s">
        <v>46</v>
      </c>
      <c r="G217" s="30" t="s">
        <v>46</v>
      </c>
      <c r="H217" s="25"/>
      <c r="I217" s="25" t="s">
        <v>47</v>
      </c>
      <c r="J217" s="31">
        <v>10</v>
      </c>
      <c r="K217" s="35">
        <f>700</f>
        <v>700</v>
      </c>
      <c r="L217" s="32" t="s">
        <v>48</v>
      </c>
      <c r="M217" s="35">
        <f>750</f>
        <v>750</v>
      </c>
      <c r="N217" s="32" t="s">
        <v>49</v>
      </c>
      <c r="O217" s="35">
        <f>696.4</f>
        <v>696.4</v>
      </c>
      <c r="P217" s="32" t="s">
        <v>48</v>
      </c>
      <c r="Q217" s="35">
        <f>718.9</f>
        <v>718.9</v>
      </c>
      <c r="R217" s="32" t="s">
        <v>50</v>
      </c>
      <c r="S217" s="34">
        <f>721.33</f>
        <v>721.33</v>
      </c>
      <c r="T217" s="31">
        <f>1515590</f>
        <v>1515590</v>
      </c>
      <c r="U217" s="31">
        <f>457000</f>
        <v>457000</v>
      </c>
      <c r="V217" s="31">
        <f>1087068803</f>
        <v>1087068803</v>
      </c>
      <c r="W217" s="31">
        <f>327420486</f>
        <v>327420486</v>
      </c>
      <c r="X217" s="33">
        <f>19</f>
        <v>19</v>
      </c>
    </row>
    <row r="218" spans="1:24">
      <c r="A218" s="27" t="s">
        <v>42</v>
      </c>
      <c r="B218" s="27" t="s">
        <v>698</v>
      </c>
      <c r="C218" s="27" t="s">
        <v>699</v>
      </c>
      <c r="D218" s="27" t="s">
        <v>700</v>
      </c>
      <c r="E218" s="28" t="s">
        <v>46</v>
      </c>
      <c r="F218" s="29" t="s">
        <v>46</v>
      </c>
      <c r="G218" s="30" t="s">
        <v>46</v>
      </c>
      <c r="H218" s="25"/>
      <c r="I218" s="25" t="s">
        <v>47</v>
      </c>
      <c r="J218" s="31">
        <v>1</v>
      </c>
      <c r="K218" s="35">
        <f>2819.5</f>
        <v>2819.5</v>
      </c>
      <c r="L218" s="32" t="s">
        <v>48</v>
      </c>
      <c r="M218" s="35">
        <f>2894</f>
        <v>2894</v>
      </c>
      <c r="N218" s="32" t="s">
        <v>70</v>
      </c>
      <c r="O218" s="35">
        <f>2769</f>
        <v>2769</v>
      </c>
      <c r="P218" s="32" t="s">
        <v>65</v>
      </c>
      <c r="Q218" s="35">
        <f>2821</f>
        <v>2821</v>
      </c>
      <c r="R218" s="32" t="s">
        <v>50</v>
      </c>
      <c r="S218" s="34">
        <f>2821.53</f>
        <v>2821.53</v>
      </c>
      <c r="T218" s="31">
        <f>19961</f>
        <v>19961</v>
      </c>
      <c r="U218" s="31" t="str">
        <f>"－"</f>
        <v>－</v>
      </c>
      <c r="V218" s="31">
        <f>56224376</f>
        <v>56224376</v>
      </c>
      <c r="W218" s="31" t="str">
        <f>"－"</f>
        <v>－</v>
      </c>
      <c r="X218" s="33">
        <f>19</f>
        <v>19</v>
      </c>
    </row>
    <row r="219" spans="1:24">
      <c r="A219" s="27" t="s">
        <v>42</v>
      </c>
      <c r="B219" s="27" t="s">
        <v>701</v>
      </c>
      <c r="C219" s="27" t="s">
        <v>702</v>
      </c>
      <c r="D219" s="27" t="s">
        <v>703</v>
      </c>
      <c r="E219" s="28" t="s">
        <v>46</v>
      </c>
      <c r="F219" s="29" t="s">
        <v>46</v>
      </c>
      <c r="G219" s="30" t="s">
        <v>46</v>
      </c>
      <c r="H219" s="25"/>
      <c r="I219" s="25" t="s">
        <v>47</v>
      </c>
      <c r="J219" s="31">
        <v>1</v>
      </c>
      <c r="K219" s="35">
        <f>3028</f>
        <v>3028</v>
      </c>
      <c r="L219" s="32" t="s">
        <v>48</v>
      </c>
      <c r="M219" s="35">
        <f>3117</f>
        <v>3117</v>
      </c>
      <c r="N219" s="32" t="s">
        <v>70</v>
      </c>
      <c r="O219" s="35">
        <f>2981</f>
        <v>2981</v>
      </c>
      <c r="P219" s="32" t="s">
        <v>65</v>
      </c>
      <c r="Q219" s="35">
        <f>3073</f>
        <v>3073</v>
      </c>
      <c r="R219" s="32" t="s">
        <v>50</v>
      </c>
      <c r="S219" s="34">
        <f>3059.83</f>
        <v>3059.83</v>
      </c>
      <c r="T219" s="31">
        <f>206948</f>
        <v>206948</v>
      </c>
      <c r="U219" s="31">
        <f>205800</f>
        <v>205800</v>
      </c>
      <c r="V219" s="31">
        <f>636592318</f>
        <v>636592318</v>
      </c>
      <c r="W219" s="31">
        <f>633081960</f>
        <v>633081960</v>
      </c>
      <c r="X219" s="33">
        <f>12</f>
        <v>12</v>
      </c>
    </row>
    <row r="220" spans="1:24">
      <c r="A220" s="27" t="s">
        <v>42</v>
      </c>
      <c r="B220" s="27" t="s">
        <v>704</v>
      </c>
      <c r="C220" s="27" t="s">
        <v>705</v>
      </c>
      <c r="D220" s="27" t="s">
        <v>706</v>
      </c>
      <c r="E220" s="28" t="s">
        <v>46</v>
      </c>
      <c r="F220" s="29" t="s">
        <v>46</v>
      </c>
      <c r="G220" s="30" t="s">
        <v>46</v>
      </c>
      <c r="H220" s="25"/>
      <c r="I220" s="25" t="s">
        <v>47</v>
      </c>
      <c r="J220" s="31">
        <v>1</v>
      </c>
      <c r="K220" s="35">
        <f>2475</f>
        <v>2475</v>
      </c>
      <c r="L220" s="32" t="s">
        <v>48</v>
      </c>
      <c r="M220" s="35">
        <f>2545</f>
        <v>2545</v>
      </c>
      <c r="N220" s="32" t="s">
        <v>155</v>
      </c>
      <c r="O220" s="35">
        <f>2463</f>
        <v>2463</v>
      </c>
      <c r="P220" s="32" t="s">
        <v>65</v>
      </c>
      <c r="Q220" s="35">
        <f>2494</f>
        <v>2494</v>
      </c>
      <c r="R220" s="32" t="s">
        <v>50</v>
      </c>
      <c r="S220" s="34">
        <f>2510.35</f>
        <v>2510.35</v>
      </c>
      <c r="T220" s="31">
        <f>1336404</f>
        <v>1336404</v>
      </c>
      <c r="U220" s="31">
        <f>931000</f>
        <v>931000</v>
      </c>
      <c r="V220" s="31">
        <f>3336505842</f>
        <v>3336505842</v>
      </c>
      <c r="W220" s="31">
        <f>2317715190</f>
        <v>2317715190</v>
      </c>
      <c r="X220" s="33">
        <f>17</f>
        <v>17</v>
      </c>
    </row>
    <row r="221" spans="1:24">
      <c r="A221" s="27" t="s">
        <v>42</v>
      </c>
      <c r="B221" s="27" t="s">
        <v>707</v>
      </c>
      <c r="C221" s="27" t="s">
        <v>708</v>
      </c>
      <c r="D221" s="27" t="s">
        <v>709</v>
      </c>
      <c r="E221" s="28" t="s">
        <v>46</v>
      </c>
      <c r="F221" s="29" t="s">
        <v>46</v>
      </c>
      <c r="G221" s="30" t="s">
        <v>46</v>
      </c>
      <c r="H221" s="25"/>
      <c r="I221" s="25" t="s">
        <v>47</v>
      </c>
      <c r="J221" s="31">
        <v>10</v>
      </c>
      <c r="K221" s="35">
        <f>2787</f>
        <v>2787</v>
      </c>
      <c r="L221" s="32" t="s">
        <v>48</v>
      </c>
      <c r="M221" s="35">
        <f>2844</f>
        <v>2844</v>
      </c>
      <c r="N221" s="32" t="s">
        <v>49</v>
      </c>
      <c r="O221" s="35">
        <f>2738.5</f>
        <v>2738.5</v>
      </c>
      <c r="P221" s="32" t="s">
        <v>50</v>
      </c>
      <c r="Q221" s="35">
        <f>2738.5</f>
        <v>2738.5</v>
      </c>
      <c r="R221" s="32" t="s">
        <v>50</v>
      </c>
      <c r="S221" s="34">
        <f>2791.5</f>
        <v>2791.5</v>
      </c>
      <c r="T221" s="31">
        <f>205120</f>
        <v>205120</v>
      </c>
      <c r="U221" s="31" t="str">
        <f>"－"</f>
        <v>－</v>
      </c>
      <c r="V221" s="31">
        <f>577519415</f>
        <v>577519415</v>
      </c>
      <c r="W221" s="31" t="str">
        <f>"－"</f>
        <v>－</v>
      </c>
      <c r="X221" s="33">
        <f>8</f>
        <v>8</v>
      </c>
    </row>
    <row r="222" spans="1:24">
      <c r="A222" s="27" t="s">
        <v>42</v>
      </c>
      <c r="B222" s="27" t="s">
        <v>710</v>
      </c>
      <c r="C222" s="27" t="s">
        <v>711</v>
      </c>
      <c r="D222" s="27" t="s">
        <v>712</v>
      </c>
      <c r="E222" s="28" t="s">
        <v>46</v>
      </c>
      <c r="F222" s="29" t="s">
        <v>46</v>
      </c>
      <c r="G222" s="30" t="s">
        <v>46</v>
      </c>
      <c r="H222" s="25"/>
      <c r="I222" s="25" t="s">
        <v>47</v>
      </c>
      <c r="J222" s="31">
        <v>10</v>
      </c>
      <c r="K222" s="35">
        <f>4609</f>
        <v>4609</v>
      </c>
      <c r="L222" s="32" t="s">
        <v>48</v>
      </c>
      <c r="M222" s="35">
        <f>4609</f>
        <v>4609</v>
      </c>
      <c r="N222" s="32" t="s">
        <v>48</v>
      </c>
      <c r="O222" s="35">
        <f>4488</f>
        <v>4488</v>
      </c>
      <c r="P222" s="32" t="s">
        <v>213</v>
      </c>
      <c r="Q222" s="35">
        <f>4499</f>
        <v>4499</v>
      </c>
      <c r="R222" s="32" t="s">
        <v>50</v>
      </c>
      <c r="S222" s="34">
        <f>4514.5</f>
        <v>4514.5</v>
      </c>
      <c r="T222" s="31">
        <f>588810</f>
        <v>588810</v>
      </c>
      <c r="U222" s="31">
        <f>440000</f>
        <v>440000</v>
      </c>
      <c r="V222" s="31">
        <f>2667844420</f>
        <v>2667844420</v>
      </c>
      <c r="W222" s="31">
        <f>1996302000</f>
        <v>1996302000</v>
      </c>
      <c r="X222" s="33">
        <f>18</f>
        <v>18</v>
      </c>
    </row>
    <row r="223" spans="1:24">
      <c r="A223" s="27" t="s">
        <v>42</v>
      </c>
      <c r="B223" s="27" t="s">
        <v>713</v>
      </c>
      <c r="C223" s="27" t="s">
        <v>714</v>
      </c>
      <c r="D223" s="27" t="s">
        <v>715</v>
      </c>
      <c r="E223" s="28" t="s">
        <v>46</v>
      </c>
      <c r="F223" s="29" t="s">
        <v>46</v>
      </c>
      <c r="G223" s="30" t="s">
        <v>46</v>
      </c>
      <c r="H223" s="25"/>
      <c r="I223" s="25" t="s">
        <v>47</v>
      </c>
      <c r="J223" s="31">
        <v>10</v>
      </c>
      <c r="K223" s="35">
        <f>4666</f>
        <v>4666</v>
      </c>
      <c r="L223" s="32" t="s">
        <v>65</v>
      </c>
      <c r="M223" s="35">
        <f>4666</f>
        <v>4666</v>
      </c>
      <c r="N223" s="32" t="s">
        <v>65</v>
      </c>
      <c r="O223" s="35">
        <f>4649</f>
        <v>4649</v>
      </c>
      <c r="P223" s="32" t="s">
        <v>213</v>
      </c>
      <c r="Q223" s="35">
        <f>4663</f>
        <v>4663</v>
      </c>
      <c r="R223" s="32" t="s">
        <v>50</v>
      </c>
      <c r="S223" s="34">
        <f>4656</f>
        <v>4656</v>
      </c>
      <c r="T223" s="31">
        <f>240</f>
        <v>240</v>
      </c>
      <c r="U223" s="31" t="str">
        <f>"－"</f>
        <v>－</v>
      </c>
      <c r="V223" s="31">
        <f>1118620</f>
        <v>1118620</v>
      </c>
      <c r="W223" s="31" t="str">
        <f>"－"</f>
        <v>－</v>
      </c>
      <c r="X223" s="33">
        <f>5</f>
        <v>5</v>
      </c>
    </row>
    <row r="224" spans="1:24">
      <c r="A224" s="27" t="s">
        <v>42</v>
      </c>
      <c r="B224" s="27" t="s">
        <v>716</v>
      </c>
      <c r="C224" s="27" t="s">
        <v>717</v>
      </c>
      <c r="D224" s="27" t="s">
        <v>718</v>
      </c>
      <c r="E224" s="28" t="s">
        <v>46</v>
      </c>
      <c r="F224" s="29" t="s">
        <v>46</v>
      </c>
      <c r="G224" s="30" t="s">
        <v>46</v>
      </c>
      <c r="H224" s="25"/>
      <c r="I224" s="25" t="s">
        <v>47</v>
      </c>
      <c r="J224" s="31">
        <v>10</v>
      </c>
      <c r="K224" s="35">
        <f>4691</f>
        <v>4691</v>
      </c>
      <c r="L224" s="32" t="s">
        <v>48</v>
      </c>
      <c r="M224" s="35">
        <f>4758</f>
        <v>4758</v>
      </c>
      <c r="N224" s="32" t="s">
        <v>50</v>
      </c>
      <c r="O224" s="35">
        <f>4691</f>
        <v>4691</v>
      </c>
      <c r="P224" s="32" t="s">
        <v>48</v>
      </c>
      <c r="Q224" s="35">
        <f>4758</f>
        <v>4758</v>
      </c>
      <c r="R224" s="32" t="s">
        <v>50</v>
      </c>
      <c r="S224" s="34">
        <f>4726.14</f>
        <v>4726.1400000000003</v>
      </c>
      <c r="T224" s="31">
        <f>106070</f>
        <v>106070</v>
      </c>
      <c r="U224" s="31">
        <f>106000</f>
        <v>106000</v>
      </c>
      <c r="V224" s="31">
        <f>501117230</f>
        <v>501117230</v>
      </c>
      <c r="W224" s="31">
        <f>500786400</f>
        <v>500786400</v>
      </c>
      <c r="X224" s="33">
        <f>7</f>
        <v>7</v>
      </c>
    </row>
    <row r="225" spans="1:24">
      <c r="A225" s="27" t="s">
        <v>42</v>
      </c>
      <c r="B225" s="27" t="s">
        <v>719</v>
      </c>
      <c r="C225" s="27" t="s">
        <v>720</v>
      </c>
      <c r="D225" s="27" t="s">
        <v>721</v>
      </c>
      <c r="E225" s="28" t="s">
        <v>46</v>
      </c>
      <c r="F225" s="29" t="s">
        <v>46</v>
      </c>
      <c r="G225" s="30" t="s">
        <v>46</v>
      </c>
      <c r="H225" s="25"/>
      <c r="I225" s="25" t="s">
        <v>47</v>
      </c>
      <c r="J225" s="31">
        <v>1</v>
      </c>
      <c r="K225" s="35">
        <f>5224</f>
        <v>5224</v>
      </c>
      <c r="L225" s="32" t="s">
        <v>48</v>
      </c>
      <c r="M225" s="35">
        <f>5350</f>
        <v>5350</v>
      </c>
      <c r="N225" s="32" t="s">
        <v>49</v>
      </c>
      <c r="O225" s="35">
        <f>5082</f>
        <v>5082</v>
      </c>
      <c r="P225" s="32" t="s">
        <v>61</v>
      </c>
      <c r="Q225" s="35">
        <f>5131</f>
        <v>5131</v>
      </c>
      <c r="R225" s="32" t="s">
        <v>50</v>
      </c>
      <c r="S225" s="34">
        <f>5222.79</f>
        <v>5222.79</v>
      </c>
      <c r="T225" s="31">
        <f>210894</f>
        <v>210894</v>
      </c>
      <c r="U225" s="31">
        <f>189010</f>
        <v>189010</v>
      </c>
      <c r="V225" s="31">
        <f>1094443070</f>
        <v>1094443070</v>
      </c>
      <c r="W225" s="31">
        <f>980777889</f>
        <v>980777889</v>
      </c>
      <c r="X225" s="33">
        <f>19</f>
        <v>19</v>
      </c>
    </row>
    <row r="226" spans="1:24">
      <c r="A226" s="27" t="s">
        <v>42</v>
      </c>
      <c r="B226" s="27" t="s">
        <v>722</v>
      </c>
      <c r="C226" s="27" t="s">
        <v>723</v>
      </c>
      <c r="D226" s="27" t="s">
        <v>724</v>
      </c>
      <c r="E226" s="28" t="s">
        <v>46</v>
      </c>
      <c r="F226" s="29" t="s">
        <v>46</v>
      </c>
      <c r="G226" s="30" t="s">
        <v>46</v>
      </c>
      <c r="H226" s="25"/>
      <c r="I226" s="25" t="s">
        <v>47</v>
      </c>
      <c r="J226" s="31">
        <v>1</v>
      </c>
      <c r="K226" s="35">
        <f>734</f>
        <v>734</v>
      </c>
      <c r="L226" s="32" t="s">
        <v>48</v>
      </c>
      <c r="M226" s="35">
        <f>752</f>
        <v>752</v>
      </c>
      <c r="N226" s="32" t="s">
        <v>70</v>
      </c>
      <c r="O226" s="35">
        <f>712</f>
        <v>712</v>
      </c>
      <c r="P226" s="32" t="s">
        <v>103</v>
      </c>
      <c r="Q226" s="35">
        <f>735</f>
        <v>735</v>
      </c>
      <c r="R226" s="32" t="s">
        <v>50</v>
      </c>
      <c r="S226" s="34">
        <f>733.42</f>
        <v>733.42</v>
      </c>
      <c r="T226" s="31">
        <f>737109</f>
        <v>737109</v>
      </c>
      <c r="U226" s="31" t="str">
        <f>"－"</f>
        <v>－</v>
      </c>
      <c r="V226" s="31">
        <f>538479054</f>
        <v>538479054</v>
      </c>
      <c r="W226" s="31" t="str">
        <f>"－"</f>
        <v>－</v>
      </c>
      <c r="X226" s="33">
        <f>19</f>
        <v>19</v>
      </c>
    </row>
    <row r="227" spans="1:24">
      <c r="A227" s="27" t="s">
        <v>42</v>
      </c>
      <c r="B227" s="27" t="s">
        <v>725</v>
      </c>
      <c r="C227" s="27" t="s">
        <v>726</v>
      </c>
      <c r="D227" s="27" t="s">
        <v>727</v>
      </c>
      <c r="E227" s="28" t="s">
        <v>46</v>
      </c>
      <c r="F227" s="29" t="s">
        <v>46</v>
      </c>
      <c r="G227" s="30" t="s">
        <v>46</v>
      </c>
      <c r="H227" s="25"/>
      <c r="I227" s="25" t="s">
        <v>47</v>
      </c>
      <c r="J227" s="31">
        <v>1</v>
      </c>
      <c r="K227" s="35">
        <f>1095</f>
        <v>1095</v>
      </c>
      <c r="L227" s="32" t="s">
        <v>48</v>
      </c>
      <c r="M227" s="35">
        <f>1152</f>
        <v>1152</v>
      </c>
      <c r="N227" s="32" t="s">
        <v>65</v>
      </c>
      <c r="O227" s="35">
        <f>1093</f>
        <v>1093</v>
      </c>
      <c r="P227" s="32" t="s">
        <v>48</v>
      </c>
      <c r="Q227" s="35">
        <f>1135</f>
        <v>1135</v>
      </c>
      <c r="R227" s="32" t="s">
        <v>50</v>
      </c>
      <c r="S227" s="34">
        <f>1129.89</f>
        <v>1129.8900000000001</v>
      </c>
      <c r="T227" s="31">
        <f>178223</f>
        <v>178223</v>
      </c>
      <c r="U227" s="31" t="str">
        <f>"－"</f>
        <v>－</v>
      </c>
      <c r="V227" s="31">
        <f>200518200</f>
        <v>200518200</v>
      </c>
      <c r="W227" s="31" t="str">
        <f>"－"</f>
        <v>－</v>
      </c>
      <c r="X227" s="33">
        <f>19</f>
        <v>19</v>
      </c>
    </row>
    <row r="228" spans="1:24">
      <c r="A228" s="27" t="s">
        <v>42</v>
      </c>
      <c r="B228" s="27" t="s">
        <v>728</v>
      </c>
      <c r="C228" s="27" t="s">
        <v>729</v>
      </c>
      <c r="D228" s="27" t="s">
        <v>730</v>
      </c>
      <c r="E228" s="28" t="s">
        <v>46</v>
      </c>
      <c r="F228" s="29" t="s">
        <v>46</v>
      </c>
      <c r="G228" s="30" t="s">
        <v>46</v>
      </c>
      <c r="H228" s="25"/>
      <c r="I228" s="25" t="s">
        <v>47</v>
      </c>
      <c r="J228" s="31">
        <v>1</v>
      </c>
      <c r="K228" s="35">
        <f>1188</f>
        <v>1188</v>
      </c>
      <c r="L228" s="32" t="s">
        <v>48</v>
      </c>
      <c r="M228" s="35">
        <f>1206</f>
        <v>1206</v>
      </c>
      <c r="N228" s="32" t="s">
        <v>213</v>
      </c>
      <c r="O228" s="35">
        <f>1134</f>
        <v>1134</v>
      </c>
      <c r="P228" s="32" t="s">
        <v>70</v>
      </c>
      <c r="Q228" s="35">
        <f>1150</f>
        <v>1150</v>
      </c>
      <c r="R228" s="32" t="s">
        <v>50</v>
      </c>
      <c r="S228" s="34">
        <f>1168</f>
        <v>1168</v>
      </c>
      <c r="T228" s="31">
        <f>680611</f>
        <v>680611</v>
      </c>
      <c r="U228" s="31">
        <f>306641</f>
        <v>306641</v>
      </c>
      <c r="V228" s="31">
        <f>790427694</f>
        <v>790427694</v>
      </c>
      <c r="W228" s="31">
        <f>355962300</f>
        <v>355962300</v>
      </c>
      <c r="X228" s="33">
        <f>19</f>
        <v>19</v>
      </c>
    </row>
    <row r="229" spans="1:24">
      <c r="A229" s="27" t="s">
        <v>42</v>
      </c>
      <c r="B229" s="27" t="s">
        <v>731</v>
      </c>
      <c r="C229" s="27" t="s">
        <v>732</v>
      </c>
      <c r="D229" s="27" t="s">
        <v>733</v>
      </c>
      <c r="E229" s="28" t="s">
        <v>46</v>
      </c>
      <c r="F229" s="29" t="s">
        <v>46</v>
      </c>
      <c r="G229" s="30" t="s">
        <v>46</v>
      </c>
      <c r="H229" s="25"/>
      <c r="I229" s="25" t="s">
        <v>47</v>
      </c>
      <c r="J229" s="31">
        <v>1</v>
      </c>
      <c r="K229" s="35">
        <f>1094</f>
        <v>1094</v>
      </c>
      <c r="L229" s="32" t="s">
        <v>48</v>
      </c>
      <c r="M229" s="35">
        <f>1166</f>
        <v>1166</v>
      </c>
      <c r="N229" s="32" t="s">
        <v>195</v>
      </c>
      <c r="O229" s="35">
        <f>1084</f>
        <v>1084</v>
      </c>
      <c r="P229" s="32" t="s">
        <v>223</v>
      </c>
      <c r="Q229" s="35">
        <f>1100</f>
        <v>1100</v>
      </c>
      <c r="R229" s="32" t="s">
        <v>50</v>
      </c>
      <c r="S229" s="34">
        <f>1112.32</f>
        <v>1112.32</v>
      </c>
      <c r="T229" s="31">
        <f>425249</f>
        <v>425249</v>
      </c>
      <c r="U229" s="31" t="str">
        <f>"－"</f>
        <v>－</v>
      </c>
      <c r="V229" s="31">
        <f>470378774</f>
        <v>470378774</v>
      </c>
      <c r="W229" s="31" t="str">
        <f>"－"</f>
        <v>－</v>
      </c>
      <c r="X229" s="33">
        <f>19</f>
        <v>19</v>
      </c>
    </row>
    <row r="230" spans="1:24">
      <c r="A230" s="27" t="s">
        <v>42</v>
      </c>
      <c r="B230" s="27" t="s">
        <v>734</v>
      </c>
      <c r="C230" s="27" t="s">
        <v>735</v>
      </c>
      <c r="D230" s="27" t="s">
        <v>736</v>
      </c>
      <c r="E230" s="28" t="s">
        <v>46</v>
      </c>
      <c r="F230" s="29" t="s">
        <v>46</v>
      </c>
      <c r="G230" s="30" t="s">
        <v>46</v>
      </c>
      <c r="H230" s="25"/>
      <c r="I230" s="25" t="s">
        <v>47</v>
      </c>
      <c r="J230" s="31">
        <v>1</v>
      </c>
      <c r="K230" s="35">
        <f>1140</f>
        <v>1140</v>
      </c>
      <c r="L230" s="32" t="s">
        <v>48</v>
      </c>
      <c r="M230" s="35">
        <f>1180</f>
        <v>1180</v>
      </c>
      <c r="N230" s="32" t="s">
        <v>213</v>
      </c>
      <c r="O230" s="35">
        <f>1112</f>
        <v>1112</v>
      </c>
      <c r="P230" s="32" t="s">
        <v>70</v>
      </c>
      <c r="Q230" s="35">
        <f>1131</f>
        <v>1131</v>
      </c>
      <c r="R230" s="32" t="s">
        <v>50</v>
      </c>
      <c r="S230" s="34">
        <f>1144.68</f>
        <v>1144.68</v>
      </c>
      <c r="T230" s="31">
        <f>523839</f>
        <v>523839</v>
      </c>
      <c r="U230" s="31">
        <f>300000</f>
        <v>300000</v>
      </c>
      <c r="V230" s="31">
        <f>599373843</f>
        <v>599373843</v>
      </c>
      <c r="W230" s="31">
        <f>345269940</f>
        <v>345269940</v>
      </c>
      <c r="X230" s="33">
        <f>19</f>
        <v>19</v>
      </c>
    </row>
    <row r="231" spans="1:24">
      <c r="A231" s="27" t="s">
        <v>42</v>
      </c>
      <c r="B231" s="27" t="s">
        <v>737</v>
      </c>
      <c r="C231" s="27" t="s">
        <v>738</v>
      </c>
      <c r="D231" s="27" t="s">
        <v>739</v>
      </c>
      <c r="E231" s="28" t="s">
        <v>46</v>
      </c>
      <c r="F231" s="29" t="s">
        <v>46</v>
      </c>
      <c r="G231" s="30" t="s">
        <v>46</v>
      </c>
      <c r="H231" s="25"/>
      <c r="I231" s="25" t="s">
        <v>47</v>
      </c>
      <c r="J231" s="31">
        <v>1</v>
      </c>
      <c r="K231" s="35">
        <f>1800</f>
        <v>1800</v>
      </c>
      <c r="L231" s="32" t="s">
        <v>48</v>
      </c>
      <c r="M231" s="35">
        <f>1871</f>
        <v>1871</v>
      </c>
      <c r="N231" s="32" t="s">
        <v>103</v>
      </c>
      <c r="O231" s="35">
        <f>1745</f>
        <v>1745</v>
      </c>
      <c r="P231" s="32" t="s">
        <v>70</v>
      </c>
      <c r="Q231" s="35">
        <f>1765</f>
        <v>1765</v>
      </c>
      <c r="R231" s="32" t="s">
        <v>50</v>
      </c>
      <c r="S231" s="34">
        <f>1794</f>
        <v>1794</v>
      </c>
      <c r="T231" s="31">
        <f>619088</f>
        <v>619088</v>
      </c>
      <c r="U231" s="31">
        <f>283927</f>
        <v>283927</v>
      </c>
      <c r="V231" s="31">
        <f>1105398349</f>
        <v>1105398349</v>
      </c>
      <c r="W231" s="31">
        <f>506888082</f>
        <v>506888082</v>
      </c>
      <c r="X231" s="33">
        <f>19</f>
        <v>19</v>
      </c>
    </row>
    <row r="232" spans="1:24">
      <c r="A232" s="27" t="s">
        <v>42</v>
      </c>
      <c r="B232" s="27" t="s">
        <v>740</v>
      </c>
      <c r="C232" s="27" t="s">
        <v>741</v>
      </c>
      <c r="D232" s="27" t="s">
        <v>742</v>
      </c>
      <c r="E232" s="28" t="s">
        <v>46</v>
      </c>
      <c r="F232" s="29" t="s">
        <v>46</v>
      </c>
      <c r="G232" s="30" t="s">
        <v>46</v>
      </c>
      <c r="H232" s="25"/>
      <c r="I232" s="25" t="s">
        <v>47</v>
      </c>
      <c r="J232" s="31">
        <v>10</v>
      </c>
      <c r="K232" s="35">
        <f>227.7</f>
        <v>227.7</v>
      </c>
      <c r="L232" s="32" t="s">
        <v>48</v>
      </c>
      <c r="M232" s="35">
        <f>292.2</f>
        <v>292.2</v>
      </c>
      <c r="N232" s="32" t="s">
        <v>70</v>
      </c>
      <c r="O232" s="35">
        <f>226.7</f>
        <v>226.7</v>
      </c>
      <c r="P232" s="32" t="s">
        <v>48</v>
      </c>
      <c r="Q232" s="35">
        <f>281</f>
        <v>281</v>
      </c>
      <c r="R232" s="32" t="s">
        <v>50</v>
      </c>
      <c r="S232" s="34">
        <f>259.56</f>
        <v>259.56</v>
      </c>
      <c r="T232" s="31">
        <f>11681690</f>
        <v>11681690</v>
      </c>
      <c r="U232" s="31">
        <f>2647550</f>
        <v>2647550</v>
      </c>
      <c r="V232" s="31">
        <f>3132598709</f>
        <v>3132598709</v>
      </c>
      <c r="W232" s="31">
        <f>732392024</f>
        <v>732392024</v>
      </c>
      <c r="X232" s="33">
        <f>19</f>
        <v>19</v>
      </c>
    </row>
    <row r="233" spans="1:24">
      <c r="A233" s="27" t="s">
        <v>42</v>
      </c>
      <c r="B233" s="27" t="s">
        <v>743</v>
      </c>
      <c r="C233" s="27" t="s">
        <v>744</v>
      </c>
      <c r="D233" s="27" t="s">
        <v>745</v>
      </c>
      <c r="E233" s="28" t="s">
        <v>46</v>
      </c>
      <c r="F233" s="29" t="s">
        <v>46</v>
      </c>
      <c r="G233" s="30" t="s">
        <v>46</v>
      </c>
      <c r="H233" s="25"/>
      <c r="I233" s="25" t="s">
        <v>47</v>
      </c>
      <c r="J233" s="31">
        <v>10</v>
      </c>
      <c r="K233" s="35">
        <f>646.5</f>
        <v>646.5</v>
      </c>
      <c r="L233" s="32" t="s">
        <v>48</v>
      </c>
      <c r="M233" s="35">
        <f>850</f>
        <v>850</v>
      </c>
      <c r="N233" s="32" t="s">
        <v>70</v>
      </c>
      <c r="O233" s="35">
        <f>640.5</f>
        <v>640.5</v>
      </c>
      <c r="P233" s="32" t="s">
        <v>48</v>
      </c>
      <c r="Q233" s="35">
        <f>785</f>
        <v>785</v>
      </c>
      <c r="R233" s="32" t="s">
        <v>50</v>
      </c>
      <c r="S233" s="34">
        <f>740.99</f>
        <v>740.99</v>
      </c>
      <c r="T233" s="31">
        <f>751810</f>
        <v>751810</v>
      </c>
      <c r="U233" s="31">
        <f>150</f>
        <v>150</v>
      </c>
      <c r="V233" s="31">
        <f>560441560</f>
        <v>560441560</v>
      </c>
      <c r="W233" s="31">
        <f>112600</f>
        <v>112600</v>
      </c>
      <c r="X233" s="33">
        <f>19</f>
        <v>19</v>
      </c>
    </row>
    <row r="234" spans="1:24">
      <c r="A234" s="27" t="s">
        <v>42</v>
      </c>
      <c r="B234" s="27" t="s">
        <v>746</v>
      </c>
      <c r="C234" s="27" t="s">
        <v>747</v>
      </c>
      <c r="D234" s="27" t="s">
        <v>748</v>
      </c>
      <c r="E234" s="28" t="s">
        <v>46</v>
      </c>
      <c r="F234" s="29" t="s">
        <v>46</v>
      </c>
      <c r="G234" s="30" t="s">
        <v>46</v>
      </c>
      <c r="H234" s="25"/>
      <c r="I234" s="25" t="s">
        <v>47</v>
      </c>
      <c r="J234" s="31">
        <v>1</v>
      </c>
      <c r="K234" s="35">
        <f>3330</f>
        <v>3330</v>
      </c>
      <c r="L234" s="32" t="s">
        <v>48</v>
      </c>
      <c r="M234" s="35">
        <f>3435</f>
        <v>3435</v>
      </c>
      <c r="N234" s="32" t="s">
        <v>60</v>
      </c>
      <c r="O234" s="35">
        <f>3245</f>
        <v>3245</v>
      </c>
      <c r="P234" s="32" t="s">
        <v>70</v>
      </c>
      <c r="Q234" s="35">
        <f>3256</f>
        <v>3256</v>
      </c>
      <c r="R234" s="32" t="s">
        <v>50</v>
      </c>
      <c r="S234" s="34">
        <f>3348.32</f>
        <v>3348.32</v>
      </c>
      <c r="T234" s="31">
        <f>498883</f>
        <v>498883</v>
      </c>
      <c r="U234" s="31">
        <f>451098</f>
        <v>451098</v>
      </c>
      <c r="V234" s="31">
        <f>1676433236</f>
        <v>1676433236</v>
      </c>
      <c r="W234" s="31">
        <f>1516437957</f>
        <v>1516437957</v>
      </c>
      <c r="X234" s="33">
        <f>19</f>
        <v>19</v>
      </c>
    </row>
    <row r="235" spans="1:24">
      <c r="A235" s="27" t="s">
        <v>42</v>
      </c>
      <c r="B235" s="27" t="s">
        <v>749</v>
      </c>
      <c r="C235" s="27" t="s">
        <v>750</v>
      </c>
      <c r="D235" s="27" t="s">
        <v>751</v>
      </c>
      <c r="E235" s="28" t="s">
        <v>46</v>
      </c>
      <c r="F235" s="29" t="s">
        <v>46</v>
      </c>
      <c r="G235" s="30" t="s">
        <v>46</v>
      </c>
      <c r="H235" s="25"/>
      <c r="I235" s="25" t="s">
        <v>47</v>
      </c>
      <c r="J235" s="31">
        <v>1</v>
      </c>
      <c r="K235" s="35">
        <f>1344</f>
        <v>1344</v>
      </c>
      <c r="L235" s="32" t="s">
        <v>48</v>
      </c>
      <c r="M235" s="35">
        <f>1428</f>
        <v>1428</v>
      </c>
      <c r="N235" s="32" t="s">
        <v>65</v>
      </c>
      <c r="O235" s="35">
        <f>1340</f>
        <v>1340</v>
      </c>
      <c r="P235" s="32" t="s">
        <v>48</v>
      </c>
      <c r="Q235" s="35">
        <f>1363</f>
        <v>1363</v>
      </c>
      <c r="R235" s="32" t="s">
        <v>50</v>
      </c>
      <c r="S235" s="34">
        <f>1384.26</f>
        <v>1384.26</v>
      </c>
      <c r="T235" s="31">
        <f>435801</f>
        <v>435801</v>
      </c>
      <c r="U235" s="31" t="str">
        <f>"－"</f>
        <v>－</v>
      </c>
      <c r="V235" s="31">
        <f>600179179</f>
        <v>600179179</v>
      </c>
      <c r="W235" s="31" t="str">
        <f>"－"</f>
        <v>－</v>
      </c>
      <c r="X235" s="33">
        <f>19</f>
        <v>19</v>
      </c>
    </row>
    <row r="236" spans="1:24">
      <c r="A236" s="27" t="s">
        <v>42</v>
      </c>
      <c r="B236" s="27" t="s">
        <v>752</v>
      </c>
      <c r="C236" s="27" t="s">
        <v>753</v>
      </c>
      <c r="D236" s="27" t="s">
        <v>754</v>
      </c>
      <c r="E236" s="28" t="s">
        <v>46</v>
      </c>
      <c r="F236" s="29" t="s">
        <v>46</v>
      </c>
      <c r="G236" s="30" t="s">
        <v>46</v>
      </c>
      <c r="H236" s="25"/>
      <c r="I236" s="25" t="s">
        <v>47</v>
      </c>
      <c r="J236" s="31">
        <v>1</v>
      </c>
      <c r="K236" s="35">
        <f>104150</f>
        <v>104150</v>
      </c>
      <c r="L236" s="32" t="s">
        <v>48</v>
      </c>
      <c r="M236" s="35">
        <f>108050</f>
        <v>108050</v>
      </c>
      <c r="N236" s="32" t="s">
        <v>61</v>
      </c>
      <c r="O236" s="35">
        <f>101800</f>
        <v>101800</v>
      </c>
      <c r="P236" s="32" t="s">
        <v>213</v>
      </c>
      <c r="Q236" s="35">
        <f>105800</f>
        <v>105800</v>
      </c>
      <c r="R236" s="32" t="s">
        <v>50</v>
      </c>
      <c r="S236" s="34">
        <f>105721.05</f>
        <v>105721.05</v>
      </c>
      <c r="T236" s="31">
        <f>18650</f>
        <v>18650</v>
      </c>
      <c r="U236" s="31">
        <f>45</f>
        <v>45</v>
      </c>
      <c r="V236" s="31">
        <f>1972276843</f>
        <v>1972276843</v>
      </c>
      <c r="W236" s="31">
        <f>4755943</f>
        <v>4755943</v>
      </c>
      <c r="X236" s="33">
        <f>19</f>
        <v>19</v>
      </c>
    </row>
    <row r="237" spans="1:24">
      <c r="A237" s="27" t="s">
        <v>42</v>
      </c>
      <c r="B237" s="27" t="s">
        <v>755</v>
      </c>
      <c r="C237" s="27" t="s">
        <v>756</v>
      </c>
      <c r="D237" s="27" t="s">
        <v>757</v>
      </c>
      <c r="E237" s="28" t="s">
        <v>46</v>
      </c>
      <c r="F237" s="29" t="s">
        <v>46</v>
      </c>
      <c r="G237" s="30" t="s">
        <v>46</v>
      </c>
      <c r="H237" s="25"/>
      <c r="I237" s="25" t="s">
        <v>47</v>
      </c>
      <c r="J237" s="31">
        <v>1</v>
      </c>
      <c r="K237" s="35">
        <f>5795</f>
        <v>5795</v>
      </c>
      <c r="L237" s="32" t="s">
        <v>48</v>
      </c>
      <c r="M237" s="35">
        <f>5859</f>
        <v>5859</v>
      </c>
      <c r="N237" s="32" t="s">
        <v>213</v>
      </c>
      <c r="O237" s="35">
        <f>5685</f>
        <v>5685</v>
      </c>
      <c r="P237" s="32" t="s">
        <v>61</v>
      </c>
      <c r="Q237" s="35">
        <f>5754</f>
        <v>5754</v>
      </c>
      <c r="R237" s="32" t="s">
        <v>50</v>
      </c>
      <c r="S237" s="34">
        <f>5754.47</f>
        <v>5754.47</v>
      </c>
      <c r="T237" s="31">
        <f>562506</f>
        <v>562506</v>
      </c>
      <c r="U237" s="31">
        <f>498773</f>
        <v>498773</v>
      </c>
      <c r="V237" s="31">
        <f>3219294700</f>
        <v>3219294700</v>
      </c>
      <c r="W237" s="31">
        <f>2852575352</f>
        <v>2852575352</v>
      </c>
      <c r="X237" s="33">
        <f>19</f>
        <v>19</v>
      </c>
    </row>
    <row r="238" spans="1:24">
      <c r="A238" s="27" t="s">
        <v>42</v>
      </c>
      <c r="B238" s="27" t="s">
        <v>758</v>
      </c>
      <c r="C238" s="27" t="s">
        <v>759</v>
      </c>
      <c r="D238" s="27" t="s">
        <v>760</v>
      </c>
      <c r="E238" s="28" t="s">
        <v>46</v>
      </c>
      <c r="F238" s="29" t="s">
        <v>46</v>
      </c>
      <c r="G238" s="30" t="s">
        <v>46</v>
      </c>
      <c r="H238" s="25"/>
      <c r="I238" s="25" t="s">
        <v>47</v>
      </c>
      <c r="J238" s="31">
        <v>1</v>
      </c>
      <c r="K238" s="35">
        <f>22820</f>
        <v>22820</v>
      </c>
      <c r="L238" s="32" t="s">
        <v>48</v>
      </c>
      <c r="M238" s="35">
        <f>23500</f>
        <v>23500</v>
      </c>
      <c r="N238" s="32" t="s">
        <v>202</v>
      </c>
      <c r="O238" s="35">
        <f>22140</f>
        <v>22140</v>
      </c>
      <c r="P238" s="32" t="s">
        <v>213</v>
      </c>
      <c r="Q238" s="35">
        <f>22870</f>
        <v>22870</v>
      </c>
      <c r="R238" s="32" t="s">
        <v>50</v>
      </c>
      <c r="S238" s="34">
        <f>23011.32</f>
        <v>23011.32</v>
      </c>
      <c r="T238" s="31">
        <f>50001</f>
        <v>50001</v>
      </c>
      <c r="U238" s="31">
        <f>767</f>
        <v>767</v>
      </c>
      <c r="V238" s="31">
        <f>1144657349</f>
        <v>1144657349</v>
      </c>
      <c r="W238" s="31">
        <f>17655034</f>
        <v>17655034</v>
      </c>
      <c r="X238" s="33">
        <f>19</f>
        <v>19</v>
      </c>
    </row>
    <row r="239" spans="1:24">
      <c r="A239" s="27" t="s">
        <v>42</v>
      </c>
      <c r="B239" s="27" t="s">
        <v>761</v>
      </c>
      <c r="C239" s="27" t="s">
        <v>762</v>
      </c>
      <c r="D239" s="27" t="s">
        <v>763</v>
      </c>
      <c r="E239" s="28" t="s">
        <v>46</v>
      </c>
      <c r="F239" s="29" t="s">
        <v>46</v>
      </c>
      <c r="G239" s="30" t="s">
        <v>46</v>
      </c>
      <c r="H239" s="25"/>
      <c r="I239" s="25" t="s">
        <v>47</v>
      </c>
      <c r="J239" s="31">
        <v>1</v>
      </c>
      <c r="K239" s="35">
        <f>1450</f>
        <v>1450</v>
      </c>
      <c r="L239" s="32" t="s">
        <v>48</v>
      </c>
      <c r="M239" s="35">
        <f>1510</f>
        <v>1510</v>
      </c>
      <c r="N239" s="32" t="s">
        <v>74</v>
      </c>
      <c r="O239" s="35">
        <f>1438</f>
        <v>1438</v>
      </c>
      <c r="P239" s="32" t="s">
        <v>273</v>
      </c>
      <c r="Q239" s="35">
        <f>1456</f>
        <v>1456</v>
      </c>
      <c r="R239" s="32" t="s">
        <v>50</v>
      </c>
      <c r="S239" s="34">
        <f>1472.89</f>
        <v>1472.89</v>
      </c>
      <c r="T239" s="31">
        <f>529258</f>
        <v>529258</v>
      </c>
      <c r="U239" s="31" t="str">
        <f>"－"</f>
        <v>－</v>
      </c>
      <c r="V239" s="31">
        <f>778138797</f>
        <v>778138797</v>
      </c>
      <c r="W239" s="31" t="str">
        <f>"－"</f>
        <v>－</v>
      </c>
      <c r="X239" s="33">
        <f>19</f>
        <v>19</v>
      </c>
    </row>
    <row r="240" spans="1:24">
      <c r="A240" s="27" t="s">
        <v>42</v>
      </c>
      <c r="B240" s="27" t="s">
        <v>764</v>
      </c>
      <c r="C240" s="27" t="s">
        <v>765</v>
      </c>
      <c r="D240" s="27" t="s">
        <v>766</v>
      </c>
      <c r="E240" s="28" t="s">
        <v>46</v>
      </c>
      <c r="F240" s="29" t="s">
        <v>46</v>
      </c>
      <c r="G240" s="30" t="s">
        <v>46</v>
      </c>
      <c r="H240" s="25"/>
      <c r="I240" s="25" t="s">
        <v>47</v>
      </c>
      <c r="J240" s="31">
        <v>1</v>
      </c>
      <c r="K240" s="35">
        <f>5900</f>
        <v>5900</v>
      </c>
      <c r="L240" s="32" t="s">
        <v>48</v>
      </c>
      <c r="M240" s="35">
        <f>5939</f>
        <v>5939</v>
      </c>
      <c r="N240" s="32" t="s">
        <v>213</v>
      </c>
      <c r="O240" s="35">
        <f>5765</f>
        <v>5765</v>
      </c>
      <c r="P240" s="32" t="s">
        <v>61</v>
      </c>
      <c r="Q240" s="35">
        <f>5825</f>
        <v>5825</v>
      </c>
      <c r="R240" s="32" t="s">
        <v>50</v>
      </c>
      <c r="S240" s="34">
        <f>5830.22</f>
        <v>5830.22</v>
      </c>
      <c r="T240" s="31">
        <f>5547</f>
        <v>5547</v>
      </c>
      <c r="U240" s="31">
        <f>60</f>
        <v>60</v>
      </c>
      <c r="V240" s="31">
        <f>32442557</f>
        <v>32442557</v>
      </c>
      <c r="W240" s="31">
        <f>347706</f>
        <v>347706</v>
      </c>
      <c r="X240" s="33">
        <f>18</f>
        <v>18</v>
      </c>
    </row>
    <row r="241" spans="1:24">
      <c r="A241" s="27" t="s">
        <v>42</v>
      </c>
      <c r="B241" s="27" t="s">
        <v>767</v>
      </c>
      <c r="C241" s="27" t="s">
        <v>768</v>
      </c>
      <c r="D241" s="27" t="s">
        <v>769</v>
      </c>
      <c r="E241" s="28" t="s">
        <v>46</v>
      </c>
      <c r="F241" s="29" t="s">
        <v>46</v>
      </c>
      <c r="G241" s="30" t="s">
        <v>46</v>
      </c>
      <c r="H241" s="25"/>
      <c r="I241" s="25" t="s">
        <v>47</v>
      </c>
      <c r="J241" s="31">
        <v>10</v>
      </c>
      <c r="K241" s="35">
        <f>848</f>
        <v>848</v>
      </c>
      <c r="L241" s="32" t="s">
        <v>48</v>
      </c>
      <c r="M241" s="35">
        <f>875.3</f>
        <v>875.3</v>
      </c>
      <c r="N241" s="32" t="s">
        <v>60</v>
      </c>
      <c r="O241" s="35">
        <f>827.5</f>
        <v>827.5</v>
      </c>
      <c r="P241" s="32" t="s">
        <v>61</v>
      </c>
      <c r="Q241" s="35">
        <f>832</f>
        <v>832</v>
      </c>
      <c r="R241" s="32" t="s">
        <v>50</v>
      </c>
      <c r="S241" s="34">
        <f>855.46</f>
        <v>855.46</v>
      </c>
      <c r="T241" s="31">
        <f>4156290</f>
        <v>4156290</v>
      </c>
      <c r="U241" s="31">
        <f>3602960</f>
        <v>3602960</v>
      </c>
      <c r="V241" s="31">
        <f>3539183315</f>
        <v>3539183315</v>
      </c>
      <c r="W241" s="31">
        <f>3070564403</f>
        <v>3070564403</v>
      </c>
      <c r="X241" s="33">
        <f>19</f>
        <v>19</v>
      </c>
    </row>
    <row r="242" spans="1:24">
      <c r="A242" s="27" t="s">
        <v>42</v>
      </c>
      <c r="B242" s="27" t="s">
        <v>770</v>
      </c>
      <c r="C242" s="27" t="s">
        <v>771</v>
      </c>
      <c r="D242" s="27" t="s">
        <v>772</v>
      </c>
      <c r="E242" s="28" t="s">
        <v>46</v>
      </c>
      <c r="F242" s="29" t="s">
        <v>46</v>
      </c>
      <c r="G242" s="30" t="s">
        <v>46</v>
      </c>
      <c r="H242" s="25"/>
      <c r="I242" s="25" t="s">
        <v>47</v>
      </c>
      <c r="J242" s="31">
        <v>10</v>
      </c>
      <c r="K242" s="35">
        <f>637.6</f>
        <v>637.6</v>
      </c>
      <c r="L242" s="32" t="s">
        <v>48</v>
      </c>
      <c r="M242" s="35">
        <f>651.1</f>
        <v>651.1</v>
      </c>
      <c r="N242" s="32" t="s">
        <v>65</v>
      </c>
      <c r="O242" s="35">
        <f>628.4</f>
        <v>628.4</v>
      </c>
      <c r="P242" s="32" t="s">
        <v>213</v>
      </c>
      <c r="Q242" s="35">
        <f>634.9</f>
        <v>634.9</v>
      </c>
      <c r="R242" s="32" t="s">
        <v>50</v>
      </c>
      <c r="S242" s="34">
        <f>640.79</f>
        <v>640.79</v>
      </c>
      <c r="T242" s="31">
        <f>8131150</f>
        <v>8131150</v>
      </c>
      <c r="U242" s="31">
        <f>7950170</f>
        <v>7950170</v>
      </c>
      <c r="V242" s="31">
        <f>5230976734</f>
        <v>5230976734</v>
      </c>
      <c r="W242" s="31">
        <f>5115139031</f>
        <v>5115139031</v>
      </c>
      <c r="X242" s="33">
        <f>19</f>
        <v>19</v>
      </c>
    </row>
    <row r="243" spans="1:24">
      <c r="A243" s="27" t="s">
        <v>42</v>
      </c>
      <c r="B243" s="27" t="s">
        <v>773</v>
      </c>
      <c r="C243" s="27" t="s">
        <v>774</v>
      </c>
      <c r="D243" s="27" t="s">
        <v>775</v>
      </c>
      <c r="E243" s="28" t="s">
        <v>46</v>
      </c>
      <c r="F243" s="29" t="s">
        <v>46</v>
      </c>
      <c r="G243" s="30" t="s">
        <v>46</v>
      </c>
      <c r="H243" s="25"/>
      <c r="I243" s="25" t="s">
        <v>47</v>
      </c>
      <c r="J243" s="31">
        <v>1</v>
      </c>
      <c r="K243" s="35">
        <f>2760</f>
        <v>2760</v>
      </c>
      <c r="L243" s="32" t="s">
        <v>48</v>
      </c>
      <c r="M243" s="35">
        <f>3060</f>
        <v>3060</v>
      </c>
      <c r="N243" s="32" t="s">
        <v>206</v>
      </c>
      <c r="O243" s="35">
        <f>2744</f>
        <v>2744</v>
      </c>
      <c r="P243" s="32" t="s">
        <v>69</v>
      </c>
      <c r="Q243" s="35">
        <f>2992</f>
        <v>2992</v>
      </c>
      <c r="R243" s="32" t="s">
        <v>50</v>
      </c>
      <c r="S243" s="34">
        <f>2920.68</f>
        <v>2920.68</v>
      </c>
      <c r="T243" s="31">
        <f>3228911</f>
        <v>3228911</v>
      </c>
      <c r="U243" s="31">
        <f>215803</f>
        <v>215803</v>
      </c>
      <c r="V243" s="31">
        <f>9466780982</f>
        <v>9466780982</v>
      </c>
      <c r="W243" s="31">
        <f>637169494</f>
        <v>637169494</v>
      </c>
      <c r="X243" s="33">
        <f>19</f>
        <v>19</v>
      </c>
    </row>
    <row r="244" spans="1:24">
      <c r="A244" s="27" t="s">
        <v>42</v>
      </c>
      <c r="B244" s="27" t="s">
        <v>776</v>
      </c>
      <c r="C244" s="27" t="s">
        <v>777</v>
      </c>
      <c r="D244" s="27" t="s">
        <v>778</v>
      </c>
      <c r="E244" s="28" t="s">
        <v>46</v>
      </c>
      <c r="F244" s="29" t="s">
        <v>46</v>
      </c>
      <c r="G244" s="30" t="s">
        <v>46</v>
      </c>
      <c r="H244" s="25"/>
      <c r="I244" s="25" t="s">
        <v>47</v>
      </c>
      <c r="J244" s="31">
        <v>1</v>
      </c>
      <c r="K244" s="35">
        <f>3135</f>
        <v>3135</v>
      </c>
      <c r="L244" s="32" t="s">
        <v>48</v>
      </c>
      <c r="M244" s="35">
        <f>3240</f>
        <v>3240</v>
      </c>
      <c r="N244" s="32" t="s">
        <v>60</v>
      </c>
      <c r="O244" s="35">
        <f>3062</f>
        <v>3062</v>
      </c>
      <c r="P244" s="32" t="s">
        <v>50</v>
      </c>
      <c r="Q244" s="35">
        <f>3067</f>
        <v>3067</v>
      </c>
      <c r="R244" s="32" t="s">
        <v>50</v>
      </c>
      <c r="S244" s="34">
        <f>3151.21</f>
        <v>3151.21</v>
      </c>
      <c r="T244" s="31">
        <f>8618199</f>
        <v>8618199</v>
      </c>
      <c r="U244" s="31">
        <f>159249</f>
        <v>159249</v>
      </c>
      <c r="V244" s="31">
        <f>27157776078</f>
        <v>27157776078</v>
      </c>
      <c r="W244" s="31">
        <f>492791083</f>
        <v>492791083</v>
      </c>
      <c r="X244" s="33">
        <f>19</f>
        <v>19</v>
      </c>
    </row>
    <row r="245" spans="1:24">
      <c r="A245" s="27" t="s">
        <v>42</v>
      </c>
      <c r="B245" s="27" t="s">
        <v>779</v>
      </c>
      <c r="C245" s="27" t="s">
        <v>780</v>
      </c>
      <c r="D245" s="27" t="s">
        <v>781</v>
      </c>
      <c r="E245" s="28" t="s">
        <v>46</v>
      </c>
      <c r="F245" s="29" t="s">
        <v>46</v>
      </c>
      <c r="G245" s="30" t="s">
        <v>46</v>
      </c>
      <c r="H245" s="25"/>
      <c r="I245" s="25" t="s">
        <v>47</v>
      </c>
      <c r="J245" s="31">
        <v>10</v>
      </c>
      <c r="K245" s="35">
        <f>720.9</f>
        <v>720.9</v>
      </c>
      <c r="L245" s="32" t="s">
        <v>48</v>
      </c>
      <c r="M245" s="35">
        <f>730</f>
        <v>730</v>
      </c>
      <c r="N245" s="32" t="s">
        <v>65</v>
      </c>
      <c r="O245" s="35">
        <f>719.1</f>
        <v>719.1</v>
      </c>
      <c r="P245" s="32" t="s">
        <v>103</v>
      </c>
      <c r="Q245" s="35">
        <f>726.6</f>
        <v>726.6</v>
      </c>
      <c r="R245" s="32" t="s">
        <v>50</v>
      </c>
      <c r="S245" s="34">
        <f>724.91</f>
        <v>724.91</v>
      </c>
      <c r="T245" s="31">
        <f>882350</f>
        <v>882350</v>
      </c>
      <c r="U245" s="31">
        <f>828540</f>
        <v>828540</v>
      </c>
      <c r="V245" s="31">
        <f>638823208</f>
        <v>638823208</v>
      </c>
      <c r="W245" s="31">
        <f>599764572</f>
        <v>599764572</v>
      </c>
      <c r="X245" s="33">
        <f>17</f>
        <v>17</v>
      </c>
    </row>
    <row r="246" spans="1:24">
      <c r="A246" s="27" t="s">
        <v>42</v>
      </c>
      <c r="B246" s="27" t="s">
        <v>782</v>
      </c>
      <c r="C246" s="27" t="s">
        <v>783</v>
      </c>
      <c r="D246" s="27" t="s">
        <v>784</v>
      </c>
      <c r="E246" s="28" t="s">
        <v>46</v>
      </c>
      <c r="F246" s="29" t="s">
        <v>46</v>
      </c>
      <c r="G246" s="30" t="s">
        <v>46</v>
      </c>
      <c r="H246" s="25"/>
      <c r="I246" s="25" t="s">
        <v>47</v>
      </c>
      <c r="J246" s="31">
        <v>10</v>
      </c>
      <c r="K246" s="35">
        <f>723.6</f>
        <v>723.6</v>
      </c>
      <c r="L246" s="32" t="s">
        <v>48</v>
      </c>
      <c r="M246" s="35">
        <f>733</f>
        <v>733</v>
      </c>
      <c r="N246" s="32" t="s">
        <v>50</v>
      </c>
      <c r="O246" s="35">
        <f>722.8</f>
        <v>722.8</v>
      </c>
      <c r="P246" s="32" t="s">
        <v>48</v>
      </c>
      <c r="Q246" s="35">
        <f>733</f>
        <v>733</v>
      </c>
      <c r="R246" s="32" t="s">
        <v>50</v>
      </c>
      <c r="S246" s="34">
        <f>728</f>
        <v>728</v>
      </c>
      <c r="T246" s="31">
        <f>50830</f>
        <v>50830</v>
      </c>
      <c r="U246" s="31" t="str">
        <f>"－"</f>
        <v>－</v>
      </c>
      <c r="V246" s="31">
        <f>36901221</f>
        <v>36901221</v>
      </c>
      <c r="W246" s="31" t="str">
        <f>"－"</f>
        <v>－</v>
      </c>
      <c r="X246" s="33">
        <f>10</f>
        <v>10</v>
      </c>
    </row>
    <row r="247" spans="1:24">
      <c r="A247" s="27" t="s">
        <v>42</v>
      </c>
      <c r="B247" s="27" t="s">
        <v>785</v>
      </c>
      <c r="C247" s="27" t="s">
        <v>786</v>
      </c>
      <c r="D247" s="27" t="s">
        <v>787</v>
      </c>
      <c r="E247" s="28" t="s">
        <v>46</v>
      </c>
      <c r="F247" s="29" t="s">
        <v>46</v>
      </c>
      <c r="G247" s="30" t="s">
        <v>46</v>
      </c>
      <c r="H247" s="25"/>
      <c r="I247" s="25" t="s">
        <v>47</v>
      </c>
      <c r="J247" s="31">
        <v>1</v>
      </c>
      <c r="K247" s="35">
        <f>2028</f>
        <v>2028</v>
      </c>
      <c r="L247" s="32" t="s">
        <v>48</v>
      </c>
      <c r="M247" s="35">
        <f>2169</f>
        <v>2169</v>
      </c>
      <c r="N247" s="32" t="s">
        <v>155</v>
      </c>
      <c r="O247" s="35">
        <f>1995</f>
        <v>1995</v>
      </c>
      <c r="P247" s="32" t="s">
        <v>273</v>
      </c>
      <c r="Q247" s="35">
        <f>2004</f>
        <v>2004</v>
      </c>
      <c r="R247" s="32" t="s">
        <v>50</v>
      </c>
      <c r="S247" s="34">
        <f>2048.11</f>
        <v>2048.11</v>
      </c>
      <c r="T247" s="31">
        <f>1640136</f>
        <v>1640136</v>
      </c>
      <c r="U247" s="31">
        <f>919990</f>
        <v>919990</v>
      </c>
      <c r="V247" s="31">
        <f>3321431515</f>
        <v>3321431515</v>
      </c>
      <c r="W247" s="31">
        <f>1857221859</f>
        <v>1857221859</v>
      </c>
      <c r="X247" s="33">
        <f>19</f>
        <v>19</v>
      </c>
    </row>
    <row r="248" spans="1:24">
      <c r="A248" s="27" t="s">
        <v>42</v>
      </c>
      <c r="B248" s="27" t="s">
        <v>788</v>
      </c>
      <c r="C248" s="27" t="s">
        <v>789</v>
      </c>
      <c r="D248" s="27" t="s">
        <v>790</v>
      </c>
      <c r="E248" s="28" t="s">
        <v>46</v>
      </c>
      <c r="F248" s="29" t="s">
        <v>46</v>
      </c>
      <c r="G248" s="30" t="s">
        <v>46</v>
      </c>
      <c r="H248" s="25"/>
      <c r="I248" s="25" t="s">
        <v>47</v>
      </c>
      <c r="J248" s="31">
        <v>1</v>
      </c>
      <c r="K248" s="35">
        <f>2527</f>
        <v>2527</v>
      </c>
      <c r="L248" s="32" t="s">
        <v>48</v>
      </c>
      <c r="M248" s="35">
        <f>2574</f>
        <v>2574</v>
      </c>
      <c r="N248" s="32" t="s">
        <v>61</v>
      </c>
      <c r="O248" s="35">
        <f>2502</f>
        <v>2502</v>
      </c>
      <c r="P248" s="32" t="s">
        <v>213</v>
      </c>
      <c r="Q248" s="35">
        <f>2543</f>
        <v>2543</v>
      </c>
      <c r="R248" s="32" t="s">
        <v>50</v>
      </c>
      <c r="S248" s="34">
        <f>2545.37</f>
        <v>2545.37</v>
      </c>
      <c r="T248" s="31">
        <f>4930028</f>
        <v>4930028</v>
      </c>
      <c r="U248" s="31">
        <f>4602620</f>
        <v>4602620</v>
      </c>
      <c r="V248" s="31">
        <f>12547861572</f>
        <v>12547861572</v>
      </c>
      <c r="W248" s="31">
        <f>11713489923</f>
        <v>11713489923</v>
      </c>
      <c r="X248" s="33">
        <f>19</f>
        <v>19</v>
      </c>
    </row>
    <row r="249" spans="1:24">
      <c r="A249" s="27" t="s">
        <v>42</v>
      </c>
      <c r="B249" s="27" t="s">
        <v>791</v>
      </c>
      <c r="C249" s="27" t="s">
        <v>792</v>
      </c>
      <c r="D249" s="27" t="s">
        <v>793</v>
      </c>
      <c r="E249" s="28" t="s">
        <v>46</v>
      </c>
      <c r="F249" s="29" t="s">
        <v>46</v>
      </c>
      <c r="G249" s="30" t="s">
        <v>46</v>
      </c>
      <c r="H249" s="25"/>
      <c r="I249" s="25" t="s">
        <v>47</v>
      </c>
      <c r="J249" s="31">
        <v>1</v>
      </c>
      <c r="K249" s="35">
        <f>11735</f>
        <v>11735</v>
      </c>
      <c r="L249" s="32" t="s">
        <v>48</v>
      </c>
      <c r="M249" s="35">
        <f>11990</f>
        <v>11990</v>
      </c>
      <c r="N249" s="32" t="s">
        <v>213</v>
      </c>
      <c r="O249" s="35">
        <f>11260</f>
        <v>11260</v>
      </c>
      <c r="P249" s="32" t="s">
        <v>61</v>
      </c>
      <c r="Q249" s="35">
        <f>11570</f>
        <v>11570</v>
      </c>
      <c r="R249" s="32" t="s">
        <v>50</v>
      </c>
      <c r="S249" s="34">
        <f>11551.05</f>
        <v>11551.05</v>
      </c>
      <c r="T249" s="31">
        <f>92516</f>
        <v>92516</v>
      </c>
      <c r="U249" s="31">
        <f>230</f>
        <v>230</v>
      </c>
      <c r="V249" s="31">
        <f>1072551178</f>
        <v>1072551178</v>
      </c>
      <c r="W249" s="31">
        <f>2668758</f>
        <v>2668758</v>
      </c>
      <c r="X249" s="33">
        <f>19</f>
        <v>19</v>
      </c>
    </row>
    <row r="250" spans="1:24">
      <c r="A250" s="27" t="s">
        <v>42</v>
      </c>
      <c r="B250" s="27" t="s">
        <v>794</v>
      </c>
      <c r="C250" s="27" t="s">
        <v>795</v>
      </c>
      <c r="D250" s="27" t="s">
        <v>796</v>
      </c>
      <c r="E250" s="28" t="s">
        <v>46</v>
      </c>
      <c r="F250" s="29" t="s">
        <v>46</v>
      </c>
      <c r="G250" s="30" t="s">
        <v>46</v>
      </c>
      <c r="H250" s="25"/>
      <c r="I250" s="25" t="s">
        <v>47</v>
      </c>
      <c r="J250" s="31">
        <v>1</v>
      </c>
      <c r="K250" s="35">
        <f>1688</f>
        <v>1688</v>
      </c>
      <c r="L250" s="32" t="s">
        <v>48</v>
      </c>
      <c r="M250" s="35">
        <f>2385</f>
        <v>2385</v>
      </c>
      <c r="N250" s="32" t="s">
        <v>103</v>
      </c>
      <c r="O250" s="35">
        <f>1672</f>
        <v>1672</v>
      </c>
      <c r="P250" s="32" t="s">
        <v>48</v>
      </c>
      <c r="Q250" s="35">
        <f>2053</f>
        <v>2053</v>
      </c>
      <c r="R250" s="32" t="s">
        <v>50</v>
      </c>
      <c r="S250" s="34">
        <f>1968.74</f>
        <v>1968.74</v>
      </c>
      <c r="T250" s="31">
        <f>1880647</f>
        <v>1880647</v>
      </c>
      <c r="U250" s="31">
        <f>899</f>
        <v>899</v>
      </c>
      <c r="V250" s="31">
        <f>3760524853</f>
        <v>3760524853</v>
      </c>
      <c r="W250" s="31">
        <f>1777765</f>
        <v>1777765</v>
      </c>
      <c r="X250" s="33">
        <f>19</f>
        <v>19</v>
      </c>
    </row>
    <row r="251" spans="1:24">
      <c r="A251" s="27" t="s">
        <v>42</v>
      </c>
      <c r="B251" s="27" t="s">
        <v>797</v>
      </c>
      <c r="C251" s="27" t="s">
        <v>798</v>
      </c>
      <c r="D251" s="27" t="s">
        <v>799</v>
      </c>
      <c r="E251" s="28" t="s">
        <v>46</v>
      </c>
      <c r="F251" s="29" t="s">
        <v>46</v>
      </c>
      <c r="G251" s="30" t="s">
        <v>46</v>
      </c>
      <c r="H251" s="25"/>
      <c r="I251" s="25" t="s">
        <v>47</v>
      </c>
      <c r="J251" s="31">
        <v>10</v>
      </c>
      <c r="K251" s="35">
        <f>320.6</f>
        <v>320.60000000000002</v>
      </c>
      <c r="L251" s="32" t="s">
        <v>48</v>
      </c>
      <c r="M251" s="35">
        <f>345</f>
        <v>345</v>
      </c>
      <c r="N251" s="32" t="s">
        <v>206</v>
      </c>
      <c r="O251" s="35">
        <f>315</f>
        <v>315</v>
      </c>
      <c r="P251" s="32" t="s">
        <v>48</v>
      </c>
      <c r="Q251" s="35">
        <f>321</f>
        <v>321</v>
      </c>
      <c r="R251" s="32" t="s">
        <v>50</v>
      </c>
      <c r="S251" s="34">
        <f>325.16</f>
        <v>325.16000000000003</v>
      </c>
      <c r="T251" s="31">
        <f>29390</f>
        <v>29390</v>
      </c>
      <c r="U251" s="31">
        <f>20</f>
        <v>20</v>
      </c>
      <c r="V251" s="31">
        <f>9488446</f>
        <v>9488446</v>
      </c>
      <c r="W251" s="31">
        <f>6468</f>
        <v>6468</v>
      </c>
      <c r="X251" s="33">
        <f>19</f>
        <v>19</v>
      </c>
    </row>
    <row r="252" spans="1:24">
      <c r="A252" s="27" t="s">
        <v>42</v>
      </c>
      <c r="B252" s="27" t="s">
        <v>800</v>
      </c>
      <c r="C252" s="27" t="s">
        <v>801</v>
      </c>
      <c r="D252" s="27" t="s">
        <v>802</v>
      </c>
      <c r="E252" s="28" t="s">
        <v>46</v>
      </c>
      <c r="F252" s="29" t="s">
        <v>46</v>
      </c>
      <c r="G252" s="30" t="s">
        <v>46</v>
      </c>
      <c r="H252" s="25"/>
      <c r="I252" s="25" t="s">
        <v>47</v>
      </c>
      <c r="J252" s="31">
        <v>10</v>
      </c>
      <c r="K252" s="35">
        <f>848.5</f>
        <v>848.5</v>
      </c>
      <c r="L252" s="32" t="s">
        <v>48</v>
      </c>
      <c r="M252" s="35">
        <f>865.4</f>
        <v>865.4</v>
      </c>
      <c r="N252" s="32" t="s">
        <v>202</v>
      </c>
      <c r="O252" s="35">
        <f>842.2</f>
        <v>842.2</v>
      </c>
      <c r="P252" s="32" t="s">
        <v>75</v>
      </c>
      <c r="Q252" s="35">
        <f>854.2</f>
        <v>854.2</v>
      </c>
      <c r="R252" s="32" t="s">
        <v>50</v>
      </c>
      <c r="S252" s="34">
        <f>854.88</f>
        <v>854.88</v>
      </c>
      <c r="T252" s="31">
        <f>4394560</f>
        <v>4394560</v>
      </c>
      <c r="U252" s="31">
        <f>2168610</f>
        <v>2168610</v>
      </c>
      <c r="V252" s="31">
        <f>3759516516</f>
        <v>3759516516</v>
      </c>
      <c r="W252" s="31">
        <f>1856094782</f>
        <v>1856094782</v>
      </c>
      <c r="X252" s="33">
        <f>19</f>
        <v>19</v>
      </c>
    </row>
    <row r="253" spans="1:24">
      <c r="A253" s="27" t="s">
        <v>42</v>
      </c>
      <c r="B253" s="27" t="s">
        <v>803</v>
      </c>
      <c r="C253" s="27" t="s">
        <v>804</v>
      </c>
      <c r="D253" s="27" t="s">
        <v>805</v>
      </c>
      <c r="E253" s="28" t="s">
        <v>46</v>
      </c>
      <c r="F253" s="29" t="s">
        <v>46</v>
      </c>
      <c r="G253" s="30" t="s">
        <v>46</v>
      </c>
      <c r="H253" s="25"/>
      <c r="I253" s="25" t="s">
        <v>47</v>
      </c>
      <c r="J253" s="31">
        <v>1</v>
      </c>
      <c r="K253" s="35">
        <f>1327</f>
        <v>1327</v>
      </c>
      <c r="L253" s="32" t="s">
        <v>48</v>
      </c>
      <c r="M253" s="35">
        <f>1400</f>
        <v>1400</v>
      </c>
      <c r="N253" s="32" t="s">
        <v>65</v>
      </c>
      <c r="O253" s="35">
        <f>1290</f>
        <v>1290</v>
      </c>
      <c r="P253" s="32" t="s">
        <v>70</v>
      </c>
      <c r="Q253" s="35">
        <f>1307</f>
        <v>1307</v>
      </c>
      <c r="R253" s="32" t="s">
        <v>50</v>
      </c>
      <c r="S253" s="34">
        <f>1348.47</f>
        <v>1348.47</v>
      </c>
      <c r="T253" s="31">
        <f>226466</f>
        <v>226466</v>
      </c>
      <c r="U253" s="31" t="str">
        <f>"－"</f>
        <v>－</v>
      </c>
      <c r="V253" s="31">
        <f>303215671</f>
        <v>303215671</v>
      </c>
      <c r="W253" s="31" t="str">
        <f>"－"</f>
        <v>－</v>
      </c>
      <c r="X253" s="33">
        <f>19</f>
        <v>19</v>
      </c>
    </row>
    <row r="254" spans="1:24">
      <c r="A254" s="27" t="s">
        <v>42</v>
      </c>
      <c r="B254" s="27" t="s">
        <v>806</v>
      </c>
      <c r="C254" s="27" t="s">
        <v>807</v>
      </c>
      <c r="D254" s="27" t="s">
        <v>808</v>
      </c>
      <c r="E254" s="28" t="s">
        <v>46</v>
      </c>
      <c r="F254" s="29" t="s">
        <v>46</v>
      </c>
      <c r="G254" s="30" t="s">
        <v>46</v>
      </c>
      <c r="H254" s="25"/>
      <c r="I254" s="25" t="s">
        <v>47</v>
      </c>
      <c r="J254" s="31">
        <v>1</v>
      </c>
      <c r="K254" s="35">
        <f>1171</f>
        <v>1171</v>
      </c>
      <c r="L254" s="32" t="s">
        <v>48</v>
      </c>
      <c r="M254" s="35">
        <f>1246</f>
        <v>1246</v>
      </c>
      <c r="N254" s="32" t="s">
        <v>65</v>
      </c>
      <c r="O254" s="35">
        <f>1169</f>
        <v>1169</v>
      </c>
      <c r="P254" s="32" t="s">
        <v>48</v>
      </c>
      <c r="Q254" s="35">
        <f>1207</f>
        <v>1207</v>
      </c>
      <c r="R254" s="32" t="s">
        <v>50</v>
      </c>
      <c r="S254" s="34">
        <f>1210.47</f>
        <v>1210.47</v>
      </c>
      <c r="T254" s="31">
        <f>565318</f>
        <v>565318</v>
      </c>
      <c r="U254" s="31">
        <f>1</f>
        <v>1</v>
      </c>
      <c r="V254" s="31">
        <f>677282226</f>
        <v>677282226</v>
      </c>
      <c r="W254" s="31">
        <f>1208</f>
        <v>1208</v>
      </c>
      <c r="X254" s="33">
        <f>19</f>
        <v>19</v>
      </c>
    </row>
    <row r="255" spans="1:24">
      <c r="A255" s="27" t="s">
        <v>42</v>
      </c>
      <c r="B255" s="27" t="s">
        <v>809</v>
      </c>
      <c r="C255" s="27" t="s">
        <v>810</v>
      </c>
      <c r="D255" s="27" t="s">
        <v>811</v>
      </c>
      <c r="E255" s="28" t="s">
        <v>46</v>
      </c>
      <c r="F255" s="29" t="s">
        <v>46</v>
      </c>
      <c r="G255" s="30" t="s">
        <v>46</v>
      </c>
      <c r="H255" s="25"/>
      <c r="I255" s="25" t="s">
        <v>47</v>
      </c>
      <c r="J255" s="31">
        <v>1</v>
      </c>
      <c r="K255" s="35">
        <f>1250</f>
        <v>1250</v>
      </c>
      <c r="L255" s="32" t="s">
        <v>48</v>
      </c>
      <c r="M255" s="35">
        <f>1279</f>
        <v>1279</v>
      </c>
      <c r="N255" s="32" t="s">
        <v>103</v>
      </c>
      <c r="O255" s="35">
        <f>1144</f>
        <v>1144</v>
      </c>
      <c r="P255" s="32" t="s">
        <v>50</v>
      </c>
      <c r="Q255" s="35">
        <f>1151</f>
        <v>1151</v>
      </c>
      <c r="R255" s="32" t="s">
        <v>50</v>
      </c>
      <c r="S255" s="34">
        <f>1229.32</f>
        <v>1229.32</v>
      </c>
      <c r="T255" s="31">
        <f>510111</f>
        <v>510111</v>
      </c>
      <c r="U255" s="31" t="str">
        <f>"－"</f>
        <v>－</v>
      </c>
      <c r="V255" s="31">
        <f>619068895</f>
        <v>619068895</v>
      </c>
      <c r="W255" s="31" t="str">
        <f>"－"</f>
        <v>－</v>
      </c>
      <c r="X255" s="33">
        <f>19</f>
        <v>19</v>
      </c>
    </row>
    <row r="256" spans="1:24">
      <c r="A256" s="27" t="s">
        <v>42</v>
      </c>
      <c r="B256" s="27" t="s">
        <v>812</v>
      </c>
      <c r="C256" s="27" t="s">
        <v>813</v>
      </c>
      <c r="D256" s="27" t="s">
        <v>814</v>
      </c>
      <c r="E256" s="28" t="s">
        <v>46</v>
      </c>
      <c r="F256" s="29" t="s">
        <v>46</v>
      </c>
      <c r="G256" s="30" t="s">
        <v>46</v>
      </c>
      <c r="H256" s="25"/>
      <c r="I256" s="25" t="s">
        <v>47</v>
      </c>
      <c r="J256" s="31">
        <v>10</v>
      </c>
      <c r="K256" s="35">
        <f>211.5</f>
        <v>211.5</v>
      </c>
      <c r="L256" s="32" t="s">
        <v>48</v>
      </c>
      <c r="M256" s="35">
        <f>213.5</f>
        <v>213.5</v>
      </c>
      <c r="N256" s="32" t="s">
        <v>49</v>
      </c>
      <c r="O256" s="35">
        <f>202.9</f>
        <v>202.9</v>
      </c>
      <c r="P256" s="32" t="s">
        <v>70</v>
      </c>
      <c r="Q256" s="35">
        <f>203.9</f>
        <v>203.9</v>
      </c>
      <c r="R256" s="32" t="s">
        <v>50</v>
      </c>
      <c r="S256" s="34">
        <f>209.28</f>
        <v>209.28</v>
      </c>
      <c r="T256" s="31">
        <f>6747780</f>
        <v>6747780</v>
      </c>
      <c r="U256" s="31">
        <f>2090400</f>
        <v>2090400</v>
      </c>
      <c r="V256" s="31">
        <f>1419307710</f>
        <v>1419307710</v>
      </c>
      <c r="W256" s="31">
        <f>442640196</f>
        <v>442640196</v>
      </c>
      <c r="X256" s="33">
        <f>19</f>
        <v>19</v>
      </c>
    </row>
    <row r="257" spans="1:24">
      <c r="A257" s="27" t="s">
        <v>42</v>
      </c>
      <c r="B257" s="27" t="s">
        <v>815</v>
      </c>
      <c r="C257" s="27" t="s">
        <v>816</v>
      </c>
      <c r="D257" s="27" t="s">
        <v>817</v>
      </c>
      <c r="E257" s="28" t="s">
        <v>46</v>
      </c>
      <c r="F257" s="29" t="s">
        <v>46</v>
      </c>
      <c r="G257" s="30" t="s">
        <v>46</v>
      </c>
      <c r="H257" s="25"/>
      <c r="I257" s="25" t="s">
        <v>47</v>
      </c>
      <c r="J257" s="31">
        <v>10</v>
      </c>
      <c r="K257" s="35">
        <f>231.5</f>
        <v>231.5</v>
      </c>
      <c r="L257" s="32" t="s">
        <v>48</v>
      </c>
      <c r="M257" s="35">
        <f>239.9</f>
        <v>239.9</v>
      </c>
      <c r="N257" s="32" t="s">
        <v>48</v>
      </c>
      <c r="O257" s="35">
        <f>216.3</f>
        <v>216.3</v>
      </c>
      <c r="P257" s="32" t="s">
        <v>61</v>
      </c>
      <c r="Q257" s="35">
        <f>218.1</f>
        <v>218.1</v>
      </c>
      <c r="R257" s="32" t="s">
        <v>50</v>
      </c>
      <c r="S257" s="34">
        <f>222.96</f>
        <v>222.96</v>
      </c>
      <c r="T257" s="31">
        <f>2214550</f>
        <v>2214550</v>
      </c>
      <c r="U257" s="31">
        <f>3520</f>
        <v>3520</v>
      </c>
      <c r="V257" s="31">
        <f>492515107</f>
        <v>492515107</v>
      </c>
      <c r="W257" s="31">
        <f>779436</f>
        <v>779436</v>
      </c>
      <c r="X257" s="33">
        <f>19</f>
        <v>19</v>
      </c>
    </row>
    <row r="258" spans="1:24">
      <c r="A258" s="27" t="s">
        <v>42</v>
      </c>
      <c r="B258" s="27" t="s">
        <v>818</v>
      </c>
      <c r="C258" s="27" t="s">
        <v>819</v>
      </c>
      <c r="D258" s="27" t="s">
        <v>820</v>
      </c>
      <c r="E258" s="28" t="s">
        <v>46</v>
      </c>
      <c r="F258" s="29" t="s">
        <v>46</v>
      </c>
      <c r="G258" s="30" t="s">
        <v>46</v>
      </c>
      <c r="H258" s="25"/>
      <c r="I258" s="25" t="s">
        <v>47</v>
      </c>
      <c r="J258" s="31">
        <v>10</v>
      </c>
      <c r="K258" s="35">
        <f>233.8</f>
        <v>233.8</v>
      </c>
      <c r="L258" s="32" t="s">
        <v>48</v>
      </c>
      <c r="M258" s="35">
        <f>233.8</f>
        <v>233.8</v>
      </c>
      <c r="N258" s="32" t="s">
        <v>48</v>
      </c>
      <c r="O258" s="35">
        <f>218.8</f>
        <v>218.8</v>
      </c>
      <c r="P258" s="32" t="s">
        <v>61</v>
      </c>
      <c r="Q258" s="35">
        <f>220</f>
        <v>220</v>
      </c>
      <c r="R258" s="32" t="s">
        <v>50</v>
      </c>
      <c r="S258" s="34">
        <f>225.06</f>
        <v>225.06</v>
      </c>
      <c r="T258" s="31">
        <f>851750</f>
        <v>851750</v>
      </c>
      <c r="U258" s="31">
        <f>9000</f>
        <v>9000</v>
      </c>
      <c r="V258" s="31">
        <f>191329136</f>
        <v>191329136</v>
      </c>
      <c r="W258" s="31">
        <f>2005760</f>
        <v>2005760</v>
      </c>
      <c r="X258" s="33">
        <f>19</f>
        <v>19</v>
      </c>
    </row>
    <row r="259" spans="1:24">
      <c r="A259" s="27" t="s">
        <v>42</v>
      </c>
      <c r="B259" s="27" t="s">
        <v>821</v>
      </c>
      <c r="C259" s="27" t="s">
        <v>822</v>
      </c>
      <c r="D259" s="27" t="s">
        <v>823</v>
      </c>
      <c r="E259" s="28" t="s">
        <v>46</v>
      </c>
      <c r="F259" s="29" t="s">
        <v>46</v>
      </c>
      <c r="G259" s="30" t="s">
        <v>46</v>
      </c>
      <c r="H259" s="25"/>
      <c r="I259" s="25" t="s">
        <v>47</v>
      </c>
      <c r="J259" s="31">
        <v>10</v>
      </c>
      <c r="K259" s="35">
        <f>229.6</f>
        <v>229.6</v>
      </c>
      <c r="L259" s="32" t="s">
        <v>48</v>
      </c>
      <c r="M259" s="35">
        <f>230</f>
        <v>230</v>
      </c>
      <c r="N259" s="32" t="s">
        <v>74</v>
      </c>
      <c r="O259" s="35">
        <f>220.5</f>
        <v>220.5</v>
      </c>
      <c r="P259" s="32" t="s">
        <v>61</v>
      </c>
      <c r="Q259" s="35">
        <f>222.5</f>
        <v>222.5</v>
      </c>
      <c r="R259" s="32" t="s">
        <v>50</v>
      </c>
      <c r="S259" s="34">
        <f>226.89</f>
        <v>226.89</v>
      </c>
      <c r="T259" s="31">
        <f>1757630</f>
        <v>1757630</v>
      </c>
      <c r="U259" s="31">
        <f>20810</f>
        <v>20810</v>
      </c>
      <c r="V259" s="31">
        <f>398707374</f>
        <v>398707374</v>
      </c>
      <c r="W259" s="31">
        <f>4737384</f>
        <v>4737384</v>
      </c>
      <c r="X259" s="33">
        <f>19</f>
        <v>19</v>
      </c>
    </row>
    <row r="260" spans="1:24">
      <c r="A260" s="27" t="s">
        <v>42</v>
      </c>
      <c r="B260" s="27" t="s">
        <v>824</v>
      </c>
      <c r="C260" s="27" t="s">
        <v>825</v>
      </c>
      <c r="D260" s="27" t="s">
        <v>826</v>
      </c>
      <c r="E260" s="28" t="s">
        <v>46</v>
      </c>
      <c r="F260" s="29" t="s">
        <v>46</v>
      </c>
      <c r="G260" s="30" t="s">
        <v>46</v>
      </c>
      <c r="H260" s="25"/>
      <c r="I260" s="25" t="s">
        <v>47</v>
      </c>
      <c r="J260" s="31">
        <v>10</v>
      </c>
      <c r="K260" s="35">
        <f>188.6</f>
        <v>188.6</v>
      </c>
      <c r="L260" s="32" t="s">
        <v>48</v>
      </c>
      <c r="M260" s="35">
        <f>189.8</f>
        <v>189.8</v>
      </c>
      <c r="N260" s="32" t="s">
        <v>103</v>
      </c>
      <c r="O260" s="35">
        <f>187.7</f>
        <v>187.7</v>
      </c>
      <c r="P260" s="32" t="s">
        <v>60</v>
      </c>
      <c r="Q260" s="35">
        <f>189.2</f>
        <v>189.2</v>
      </c>
      <c r="R260" s="32" t="s">
        <v>50</v>
      </c>
      <c r="S260" s="34">
        <f>188.57</f>
        <v>188.57</v>
      </c>
      <c r="T260" s="31">
        <f>117250</f>
        <v>117250</v>
      </c>
      <c r="U260" s="31">
        <f>110</f>
        <v>110</v>
      </c>
      <c r="V260" s="31">
        <f>22056489</f>
        <v>22056489</v>
      </c>
      <c r="W260" s="31">
        <f>20758</f>
        <v>20758</v>
      </c>
      <c r="X260" s="33">
        <f>19</f>
        <v>19</v>
      </c>
    </row>
    <row r="261" spans="1:24">
      <c r="A261" s="27" t="s">
        <v>42</v>
      </c>
      <c r="B261" s="27" t="s">
        <v>827</v>
      </c>
      <c r="C261" s="27" t="s">
        <v>828</v>
      </c>
      <c r="D261" s="27" t="s">
        <v>829</v>
      </c>
      <c r="E261" s="28" t="s">
        <v>46</v>
      </c>
      <c r="F261" s="29" t="s">
        <v>46</v>
      </c>
      <c r="G261" s="30" t="s">
        <v>46</v>
      </c>
      <c r="H261" s="25"/>
      <c r="I261" s="25" t="s">
        <v>47</v>
      </c>
      <c r="J261" s="31">
        <v>1</v>
      </c>
      <c r="K261" s="35">
        <f>2148</f>
        <v>2148</v>
      </c>
      <c r="L261" s="32" t="s">
        <v>48</v>
      </c>
      <c r="M261" s="35">
        <f>2162</f>
        <v>2162</v>
      </c>
      <c r="N261" s="32" t="s">
        <v>48</v>
      </c>
      <c r="O261" s="35">
        <f>1961</f>
        <v>1961</v>
      </c>
      <c r="P261" s="32" t="s">
        <v>70</v>
      </c>
      <c r="Q261" s="35">
        <f>1970</f>
        <v>1970</v>
      </c>
      <c r="R261" s="32" t="s">
        <v>50</v>
      </c>
      <c r="S261" s="34">
        <f>2065.89</f>
        <v>2065.89</v>
      </c>
      <c r="T261" s="31">
        <f>667088</f>
        <v>667088</v>
      </c>
      <c r="U261" s="31">
        <f>28645</f>
        <v>28645</v>
      </c>
      <c r="V261" s="31">
        <f>1380757676</f>
        <v>1380757676</v>
      </c>
      <c r="W261" s="31">
        <f>60778288</f>
        <v>60778288</v>
      </c>
      <c r="X261" s="33">
        <f>19</f>
        <v>19</v>
      </c>
    </row>
    <row r="262" spans="1:24">
      <c r="A262" s="27" t="s">
        <v>42</v>
      </c>
      <c r="B262" s="27" t="s">
        <v>830</v>
      </c>
      <c r="C262" s="27" t="s">
        <v>831</v>
      </c>
      <c r="D262" s="27" t="s">
        <v>832</v>
      </c>
      <c r="E262" s="28" t="s">
        <v>46</v>
      </c>
      <c r="F262" s="29" t="s">
        <v>46</v>
      </c>
      <c r="G262" s="30" t="s">
        <v>46</v>
      </c>
      <c r="H262" s="25"/>
      <c r="I262" s="25" t="s">
        <v>47</v>
      </c>
      <c r="J262" s="31">
        <v>1</v>
      </c>
      <c r="K262" s="35">
        <f>1324</f>
        <v>1324</v>
      </c>
      <c r="L262" s="32" t="s">
        <v>48</v>
      </c>
      <c r="M262" s="35">
        <f>1430</f>
        <v>1430</v>
      </c>
      <c r="N262" s="32" t="s">
        <v>206</v>
      </c>
      <c r="O262" s="35">
        <f>1324</f>
        <v>1324</v>
      </c>
      <c r="P262" s="32" t="s">
        <v>48</v>
      </c>
      <c r="Q262" s="35">
        <f>1374</f>
        <v>1374</v>
      </c>
      <c r="R262" s="32" t="s">
        <v>50</v>
      </c>
      <c r="S262" s="34">
        <f>1368.47</f>
        <v>1368.47</v>
      </c>
      <c r="T262" s="31">
        <f>1761418</f>
        <v>1761418</v>
      </c>
      <c r="U262" s="31">
        <f>1510028</f>
        <v>1510028</v>
      </c>
      <c r="V262" s="31">
        <f>2380536298</f>
        <v>2380536298</v>
      </c>
      <c r="W262" s="31">
        <f>2040330911</f>
        <v>2040330911</v>
      </c>
      <c r="X262" s="33">
        <f>19</f>
        <v>19</v>
      </c>
    </row>
    <row r="263" spans="1:24">
      <c r="A263" s="27" t="s">
        <v>42</v>
      </c>
      <c r="B263" s="27" t="s">
        <v>833</v>
      </c>
      <c r="C263" s="27" t="s">
        <v>834</v>
      </c>
      <c r="D263" s="27" t="s">
        <v>835</v>
      </c>
      <c r="E263" s="28" t="s">
        <v>46</v>
      </c>
      <c r="F263" s="29" t="s">
        <v>46</v>
      </c>
      <c r="G263" s="30" t="s">
        <v>46</v>
      </c>
      <c r="H263" s="25"/>
      <c r="I263" s="25" t="s">
        <v>47</v>
      </c>
      <c r="J263" s="31">
        <v>1</v>
      </c>
      <c r="K263" s="35">
        <f>1265</f>
        <v>1265</v>
      </c>
      <c r="L263" s="32" t="s">
        <v>48</v>
      </c>
      <c r="M263" s="35">
        <f>1348</f>
        <v>1348</v>
      </c>
      <c r="N263" s="32" t="s">
        <v>74</v>
      </c>
      <c r="O263" s="35">
        <f>1262</f>
        <v>1262</v>
      </c>
      <c r="P263" s="32" t="s">
        <v>48</v>
      </c>
      <c r="Q263" s="35">
        <f>1301</f>
        <v>1301</v>
      </c>
      <c r="R263" s="32" t="s">
        <v>50</v>
      </c>
      <c r="S263" s="34">
        <f>1301.68</f>
        <v>1301.68</v>
      </c>
      <c r="T263" s="31">
        <f>4343875</f>
        <v>4343875</v>
      </c>
      <c r="U263" s="31">
        <f>3224525</f>
        <v>3224525</v>
      </c>
      <c r="V263" s="31">
        <f>5662164732</f>
        <v>5662164732</v>
      </c>
      <c r="W263" s="31">
        <f>4214651824</f>
        <v>4214651824</v>
      </c>
      <c r="X263" s="33">
        <f>19</f>
        <v>19</v>
      </c>
    </row>
    <row r="264" spans="1:24">
      <c r="A264" s="27" t="s">
        <v>42</v>
      </c>
      <c r="B264" s="27" t="s">
        <v>836</v>
      </c>
      <c r="C264" s="27" t="s">
        <v>837</v>
      </c>
      <c r="D264" s="27" t="s">
        <v>838</v>
      </c>
      <c r="E264" s="28" t="s">
        <v>46</v>
      </c>
      <c r="F264" s="29" t="s">
        <v>46</v>
      </c>
      <c r="G264" s="30" t="s">
        <v>46</v>
      </c>
      <c r="H264" s="25"/>
      <c r="I264" s="25" t="s">
        <v>47</v>
      </c>
      <c r="J264" s="31">
        <v>10</v>
      </c>
      <c r="K264" s="35">
        <f>460</f>
        <v>460</v>
      </c>
      <c r="L264" s="32" t="s">
        <v>48</v>
      </c>
      <c r="M264" s="35">
        <f>461.3</f>
        <v>461.3</v>
      </c>
      <c r="N264" s="32" t="s">
        <v>195</v>
      </c>
      <c r="O264" s="35">
        <f>452.1</f>
        <v>452.1</v>
      </c>
      <c r="P264" s="32" t="s">
        <v>213</v>
      </c>
      <c r="Q264" s="35">
        <f>454.8</f>
        <v>454.8</v>
      </c>
      <c r="R264" s="32" t="s">
        <v>50</v>
      </c>
      <c r="S264" s="34">
        <f>456.56</f>
        <v>456.56</v>
      </c>
      <c r="T264" s="31">
        <f>713800</f>
        <v>713800</v>
      </c>
      <c r="U264" s="31">
        <f>240</f>
        <v>240</v>
      </c>
      <c r="V264" s="31">
        <f>325806913</f>
        <v>325806913</v>
      </c>
      <c r="W264" s="31">
        <f>108375</f>
        <v>108375</v>
      </c>
      <c r="X264" s="33">
        <f>19</f>
        <v>19</v>
      </c>
    </row>
    <row r="265" spans="1:24">
      <c r="A265" s="27" t="s">
        <v>42</v>
      </c>
      <c r="B265" s="27" t="s">
        <v>839</v>
      </c>
      <c r="C265" s="27" t="s">
        <v>840</v>
      </c>
      <c r="D265" s="27" t="s">
        <v>841</v>
      </c>
      <c r="E265" s="28" t="s">
        <v>46</v>
      </c>
      <c r="F265" s="29" t="s">
        <v>46</v>
      </c>
      <c r="G265" s="30" t="s">
        <v>46</v>
      </c>
      <c r="H265" s="25"/>
      <c r="I265" s="25" t="s">
        <v>47</v>
      </c>
      <c r="J265" s="31">
        <v>10</v>
      </c>
      <c r="K265" s="35">
        <f>167.4</f>
        <v>167.4</v>
      </c>
      <c r="L265" s="32" t="s">
        <v>48</v>
      </c>
      <c r="M265" s="35">
        <f>167.8</f>
        <v>167.8</v>
      </c>
      <c r="N265" s="32" t="s">
        <v>49</v>
      </c>
      <c r="O265" s="35">
        <f>157.9</f>
        <v>157.9</v>
      </c>
      <c r="P265" s="32" t="s">
        <v>70</v>
      </c>
      <c r="Q265" s="35">
        <f>158.7</f>
        <v>158.69999999999999</v>
      </c>
      <c r="R265" s="32" t="s">
        <v>50</v>
      </c>
      <c r="S265" s="34">
        <f>163.88</f>
        <v>163.88</v>
      </c>
      <c r="T265" s="31">
        <f>11306550</f>
        <v>11306550</v>
      </c>
      <c r="U265" s="31">
        <f>4330</f>
        <v>4330</v>
      </c>
      <c r="V265" s="31">
        <f>1841666369</f>
        <v>1841666369</v>
      </c>
      <c r="W265" s="31">
        <f>709466</f>
        <v>709466</v>
      </c>
      <c r="X265" s="33">
        <f>19</f>
        <v>19</v>
      </c>
    </row>
    <row r="266" spans="1:24">
      <c r="A266" s="27" t="s">
        <v>42</v>
      </c>
      <c r="B266" s="27" t="s">
        <v>842</v>
      </c>
      <c r="C266" s="27" t="s">
        <v>843</v>
      </c>
      <c r="D266" s="27" t="s">
        <v>844</v>
      </c>
      <c r="E266" s="28" t="s">
        <v>46</v>
      </c>
      <c r="F266" s="29" t="s">
        <v>46</v>
      </c>
      <c r="G266" s="30" t="s">
        <v>46</v>
      </c>
      <c r="H266" s="25"/>
      <c r="I266" s="25" t="s">
        <v>47</v>
      </c>
      <c r="J266" s="31">
        <v>10</v>
      </c>
      <c r="K266" s="35">
        <f>143.7</f>
        <v>143.69999999999999</v>
      </c>
      <c r="L266" s="32" t="s">
        <v>48</v>
      </c>
      <c r="M266" s="35">
        <f>143.7</f>
        <v>143.69999999999999</v>
      </c>
      <c r="N266" s="32" t="s">
        <v>48</v>
      </c>
      <c r="O266" s="35">
        <f>136.7</f>
        <v>136.69999999999999</v>
      </c>
      <c r="P266" s="32" t="s">
        <v>213</v>
      </c>
      <c r="Q266" s="35">
        <f>138.1</f>
        <v>138.1</v>
      </c>
      <c r="R266" s="32" t="s">
        <v>50</v>
      </c>
      <c r="S266" s="34">
        <f>139.72</f>
        <v>139.72</v>
      </c>
      <c r="T266" s="31">
        <f>16466690</f>
        <v>16466690</v>
      </c>
      <c r="U266" s="31">
        <f>450</f>
        <v>450</v>
      </c>
      <c r="V266" s="31">
        <f>2302558647</f>
        <v>2302558647</v>
      </c>
      <c r="W266" s="31">
        <f>63367</f>
        <v>63367</v>
      </c>
      <c r="X266" s="33">
        <f>19</f>
        <v>19</v>
      </c>
    </row>
    <row r="267" spans="1:24">
      <c r="A267" s="27" t="s">
        <v>42</v>
      </c>
      <c r="B267" s="27" t="s">
        <v>845</v>
      </c>
      <c r="C267" s="27" t="s">
        <v>846</v>
      </c>
      <c r="D267" s="27" t="s">
        <v>847</v>
      </c>
      <c r="E267" s="28" t="s">
        <v>46</v>
      </c>
      <c r="F267" s="29" t="s">
        <v>46</v>
      </c>
      <c r="G267" s="30" t="s">
        <v>46</v>
      </c>
      <c r="H267" s="25"/>
      <c r="I267" s="25" t="s">
        <v>47</v>
      </c>
      <c r="J267" s="31">
        <v>10</v>
      </c>
      <c r="K267" s="35">
        <f>841.2</f>
        <v>841.2</v>
      </c>
      <c r="L267" s="32" t="s">
        <v>48</v>
      </c>
      <c r="M267" s="35">
        <f>841.2</f>
        <v>841.2</v>
      </c>
      <c r="N267" s="32" t="s">
        <v>48</v>
      </c>
      <c r="O267" s="35">
        <f>821.5</f>
        <v>821.5</v>
      </c>
      <c r="P267" s="32" t="s">
        <v>213</v>
      </c>
      <c r="Q267" s="35">
        <f>829</f>
        <v>829</v>
      </c>
      <c r="R267" s="32" t="s">
        <v>50</v>
      </c>
      <c r="S267" s="34">
        <f>831.26</f>
        <v>831.26</v>
      </c>
      <c r="T267" s="31">
        <f>10640230</f>
        <v>10640230</v>
      </c>
      <c r="U267" s="31">
        <f>4987540</f>
        <v>4987540</v>
      </c>
      <c r="V267" s="31">
        <f>8835230475</f>
        <v>8835230475</v>
      </c>
      <c r="W267" s="31">
        <f>4139990592</f>
        <v>4139990592</v>
      </c>
      <c r="X267" s="33">
        <f>19</f>
        <v>19</v>
      </c>
    </row>
    <row r="268" spans="1:24">
      <c r="A268" s="27" t="s">
        <v>42</v>
      </c>
      <c r="B268" s="27" t="s">
        <v>848</v>
      </c>
      <c r="C268" s="27" t="s">
        <v>849</v>
      </c>
      <c r="D268" s="27" t="s">
        <v>850</v>
      </c>
      <c r="E268" s="28" t="s">
        <v>46</v>
      </c>
      <c r="F268" s="29" t="s">
        <v>46</v>
      </c>
      <c r="G268" s="30" t="s">
        <v>46</v>
      </c>
      <c r="H268" s="25"/>
      <c r="I268" s="25" t="s">
        <v>47</v>
      </c>
      <c r="J268" s="31">
        <v>10</v>
      </c>
      <c r="K268" s="35">
        <f>1184.5</f>
        <v>1184.5</v>
      </c>
      <c r="L268" s="32" t="s">
        <v>48</v>
      </c>
      <c r="M268" s="35">
        <f>1300</f>
        <v>1300</v>
      </c>
      <c r="N268" s="32" t="s">
        <v>65</v>
      </c>
      <c r="O268" s="35">
        <f>1163</f>
        <v>1163</v>
      </c>
      <c r="P268" s="32" t="s">
        <v>61</v>
      </c>
      <c r="Q268" s="35">
        <f>1172</f>
        <v>1172</v>
      </c>
      <c r="R268" s="32" t="s">
        <v>50</v>
      </c>
      <c r="S268" s="34">
        <f>1186.95</f>
        <v>1186.95</v>
      </c>
      <c r="T268" s="31">
        <f>4154610</f>
        <v>4154610</v>
      </c>
      <c r="U268" s="31">
        <f>2386250</f>
        <v>2386250</v>
      </c>
      <c r="V268" s="31">
        <f>4935038212</f>
        <v>4935038212</v>
      </c>
      <c r="W268" s="31">
        <f>2840061512</f>
        <v>2840061512</v>
      </c>
      <c r="X268" s="33">
        <f>19</f>
        <v>19</v>
      </c>
    </row>
    <row r="269" spans="1:24">
      <c r="A269" s="27" t="s">
        <v>42</v>
      </c>
      <c r="B269" s="27" t="s">
        <v>851</v>
      </c>
      <c r="C269" s="27" t="s">
        <v>852</v>
      </c>
      <c r="D269" s="27" t="s">
        <v>853</v>
      </c>
      <c r="E269" s="28" t="s">
        <v>46</v>
      </c>
      <c r="F269" s="29" t="s">
        <v>46</v>
      </c>
      <c r="G269" s="30" t="s">
        <v>46</v>
      </c>
      <c r="H269" s="25"/>
      <c r="I269" s="25" t="s">
        <v>47</v>
      </c>
      <c r="J269" s="31">
        <v>10</v>
      </c>
      <c r="K269" s="35">
        <f>748.6</f>
        <v>748.6</v>
      </c>
      <c r="L269" s="32" t="s">
        <v>48</v>
      </c>
      <c r="M269" s="35">
        <f>770.2</f>
        <v>770.2</v>
      </c>
      <c r="N269" s="32" t="s">
        <v>65</v>
      </c>
      <c r="O269" s="35">
        <f>748</f>
        <v>748</v>
      </c>
      <c r="P269" s="32" t="s">
        <v>48</v>
      </c>
      <c r="Q269" s="35">
        <f>752.1</f>
        <v>752.1</v>
      </c>
      <c r="R269" s="32" t="s">
        <v>50</v>
      </c>
      <c r="S269" s="34">
        <f>753.23</f>
        <v>753.23</v>
      </c>
      <c r="T269" s="31">
        <f>3706370</f>
        <v>3706370</v>
      </c>
      <c r="U269" s="31">
        <f>2203510</f>
        <v>2203510</v>
      </c>
      <c r="V269" s="31">
        <f>2787571767</f>
        <v>2787571767</v>
      </c>
      <c r="W269" s="31">
        <f>1655748820</f>
        <v>1655748820</v>
      </c>
      <c r="X269" s="33">
        <f>19</f>
        <v>19</v>
      </c>
    </row>
    <row r="270" spans="1:24">
      <c r="A270" s="27" t="s">
        <v>42</v>
      </c>
      <c r="B270" s="27" t="s">
        <v>854</v>
      </c>
      <c r="C270" s="27" t="s">
        <v>855</v>
      </c>
      <c r="D270" s="27" t="s">
        <v>856</v>
      </c>
      <c r="E270" s="28" t="s">
        <v>46</v>
      </c>
      <c r="F270" s="29" t="s">
        <v>46</v>
      </c>
      <c r="G270" s="30" t="s">
        <v>46</v>
      </c>
      <c r="H270" s="25"/>
      <c r="I270" s="25" t="s">
        <v>47</v>
      </c>
      <c r="J270" s="31">
        <v>1</v>
      </c>
      <c r="K270" s="35">
        <f>3207</f>
        <v>3207</v>
      </c>
      <c r="L270" s="32" t="s">
        <v>48</v>
      </c>
      <c r="M270" s="35">
        <f>3302</f>
        <v>3302</v>
      </c>
      <c r="N270" s="32" t="s">
        <v>74</v>
      </c>
      <c r="O270" s="35">
        <f>3175</f>
        <v>3175</v>
      </c>
      <c r="P270" s="32" t="s">
        <v>273</v>
      </c>
      <c r="Q270" s="35">
        <f>3186</f>
        <v>3186</v>
      </c>
      <c r="R270" s="32" t="s">
        <v>50</v>
      </c>
      <c r="S270" s="34">
        <f>3241</f>
        <v>3241</v>
      </c>
      <c r="T270" s="31">
        <f>1504757</f>
        <v>1504757</v>
      </c>
      <c r="U270" s="31">
        <f>272492</f>
        <v>272492</v>
      </c>
      <c r="V270" s="31">
        <f>4866075816</f>
        <v>4866075816</v>
      </c>
      <c r="W270" s="31">
        <f>885603326</f>
        <v>885603326</v>
      </c>
      <c r="X270" s="33">
        <f>19</f>
        <v>19</v>
      </c>
    </row>
    <row r="271" spans="1:24">
      <c r="A271" s="27" t="s">
        <v>42</v>
      </c>
      <c r="B271" s="27" t="s">
        <v>857</v>
      </c>
      <c r="C271" s="27" t="s">
        <v>858</v>
      </c>
      <c r="D271" s="27" t="s">
        <v>859</v>
      </c>
      <c r="E271" s="28" t="s">
        <v>46</v>
      </c>
      <c r="F271" s="29" t="s">
        <v>46</v>
      </c>
      <c r="G271" s="30" t="s">
        <v>46</v>
      </c>
      <c r="H271" s="25"/>
      <c r="I271" s="25" t="s">
        <v>47</v>
      </c>
      <c r="J271" s="31">
        <v>1</v>
      </c>
      <c r="K271" s="35">
        <f>1866</f>
        <v>1866</v>
      </c>
      <c r="L271" s="32" t="s">
        <v>48</v>
      </c>
      <c r="M271" s="35">
        <f>1919</f>
        <v>1919</v>
      </c>
      <c r="N271" s="32" t="s">
        <v>70</v>
      </c>
      <c r="O271" s="35">
        <f>1854</f>
        <v>1854</v>
      </c>
      <c r="P271" s="32" t="s">
        <v>213</v>
      </c>
      <c r="Q271" s="35">
        <f>1881</f>
        <v>1881</v>
      </c>
      <c r="R271" s="32" t="s">
        <v>50</v>
      </c>
      <c r="S271" s="34">
        <f>1885.26</f>
        <v>1885.26</v>
      </c>
      <c r="T271" s="31">
        <f>279243</f>
        <v>279243</v>
      </c>
      <c r="U271" s="31">
        <f>240</f>
        <v>240</v>
      </c>
      <c r="V271" s="31">
        <f>524358953</f>
        <v>524358953</v>
      </c>
      <c r="W271" s="31">
        <f>448904</f>
        <v>448904</v>
      </c>
      <c r="X271" s="33">
        <f>19</f>
        <v>19</v>
      </c>
    </row>
    <row r="272" spans="1:24">
      <c r="A272" s="27" t="s">
        <v>42</v>
      </c>
      <c r="B272" s="27" t="s">
        <v>860</v>
      </c>
      <c r="C272" s="27" t="s">
        <v>861</v>
      </c>
      <c r="D272" s="27" t="s">
        <v>862</v>
      </c>
      <c r="E272" s="28" t="s">
        <v>46</v>
      </c>
      <c r="F272" s="29" t="s">
        <v>46</v>
      </c>
      <c r="G272" s="30" t="s">
        <v>46</v>
      </c>
      <c r="H272" s="25"/>
      <c r="I272" s="25" t="s">
        <v>47</v>
      </c>
      <c r="J272" s="31">
        <v>1</v>
      </c>
      <c r="K272" s="35">
        <f>1492</f>
        <v>1492</v>
      </c>
      <c r="L272" s="32" t="s">
        <v>48</v>
      </c>
      <c r="M272" s="35">
        <f>1556</f>
        <v>1556</v>
      </c>
      <c r="N272" s="32" t="s">
        <v>202</v>
      </c>
      <c r="O272" s="35">
        <f>1465</f>
        <v>1465</v>
      </c>
      <c r="P272" s="32" t="s">
        <v>70</v>
      </c>
      <c r="Q272" s="35">
        <f>1484</f>
        <v>1484</v>
      </c>
      <c r="R272" s="32" t="s">
        <v>50</v>
      </c>
      <c r="S272" s="34">
        <f>1506.68</f>
        <v>1506.68</v>
      </c>
      <c r="T272" s="31">
        <f>1112308</f>
        <v>1112308</v>
      </c>
      <c r="U272" s="31">
        <f>337629</f>
        <v>337629</v>
      </c>
      <c r="V272" s="31">
        <f>1662486777</f>
        <v>1662486777</v>
      </c>
      <c r="W272" s="31">
        <f>501449285</f>
        <v>501449285</v>
      </c>
      <c r="X272" s="33">
        <f>19</f>
        <v>19</v>
      </c>
    </row>
    <row r="273" spans="1:24">
      <c r="A273" s="27" t="s">
        <v>42</v>
      </c>
      <c r="B273" s="27" t="s">
        <v>863</v>
      </c>
      <c r="C273" s="27" t="s">
        <v>864</v>
      </c>
      <c r="D273" s="27" t="s">
        <v>865</v>
      </c>
      <c r="E273" s="28" t="s">
        <v>46</v>
      </c>
      <c r="F273" s="29" t="s">
        <v>46</v>
      </c>
      <c r="G273" s="30" t="s">
        <v>46</v>
      </c>
      <c r="H273" s="25"/>
      <c r="I273" s="25" t="s">
        <v>47</v>
      </c>
      <c r="J273" s="31">
        <v>10</v>
      </c>
      <c r="K273" s="35">
        <f>532.9</f>
        <v>532.9</v>
      </c>
      <c r="L273" s="32" t="s">
        <v>48</v>
      </c>
      <c r="M273" s="35">
        <f>590</f>
        <v>590</v>
      </c>
      <c r="N273" s="32" t="s">
        <v>202</v>
      </c>
      <c r="O273" s="35">
        <f>528.7</f>
        <v>528.70000000000005</v>
      </c>
      <c r="P273" s="32" t="s">
        <v>48</v>
      </c>
      <c r="Q273" s="35">
        <f>555.3</f>
        <v>555.29999999999995</v>
      </c>
      <c r="R273" s="32" t="s">
        <v>50</v>
      </c>
      <c r="S273" s="34">
        <f>561.81</f>
        <v>561.80999999999995</v>
      </c>
      <c r="T273" s="31">
        <f>17211950</f>
        <v>17211950</v>
      </c>
      <c r="U273" s="31">
        <f>557420</f>
        <v>557420</v>
      </c>
      <c r="V273" s="31">
        <f>9650799331</f>
        <v>9650799331</v>
      </c>
      <c r="W273" s="31">
        <f>323501545</f>
        <v>323501545</v>
      </c>
      <c r="X273" s="33">
        <f>19</f>
        <v>19</v>
      </c>
    </row>
    <row r="274" spans="1:24">
      <c r="A274" s="27" t="s">
        <v>42</v>
      </c>
      <c r="B274" s="27" t="s">
        <v>866</v>
      </c>
      <c r="C274" s="27" t="s">
        <v>867</v>
      </c>
      <c r="D274" s="27" t="s">
        <v>868</v>
      </c>
      <c r="E274" s="28" t="s">
        <v>46</v>
      </c>
      <c r="F274" s="29" t="s">
        <v>46</v>
      </c>
      <c r="G274" s="30" t="s">
        <v>46</v>
      </c>
      <c r="H274" s="25"/>
      <c r="I274" s="25" t="s">
        <v>47</v>
      </c>
      <c r="J274" s="31">
        <v>10</v>
      </c>
      <c r="K274" s="35">
        <f>1237</f>
        <v>1237</v>
      </c>
      <c r="L274" s="32" t="s">
        <v>48</v>
      </c>
      <c r="M274" s="35">
        <f>1264.5</f>
        <v>1264.5</v>
      </c>
      <c r="N274" s="32" t="s">
        <v>65</v>
      </c>
      <c r="O274" s="35">
        <f>1198</f>
        <v>1198</v>
      </c>
      <c r="P274" s="32" t="s">
        <v>70</v>
      </c>
      <c r="Q274" s="35">
        <f>1213.5</f>
        <v>1213.5</v>
      </c>
      <c r="R274" s="32" t="s">
        <v>50</v>
      </c>
      <c r="S274" s="34">
        <f>1231.13</f>
        <v>1231.1300000000001</v>
      </c>
      <c r="T274" s="31">
        <f>5566840</f>
        <v>5566840</v>
      </c>
      <c r="U274" s="31">
        <f>4833220</f>
        <v>4833220</v>
      </c>
      <c r="V274" s="31">
        <f>6859185245</f>
        <v>6859185245</v>
      </c>
      <c r="W274" s="31">
        <f>5950421305</f>
        <v>5950421305</v>
      </c>
      <c r="X274" s="33">
        <f>19</f>
        <v>19</v>
      </c>
    </row>
    <row r="275" spans="1:24">
      <c r="A275" s="27" t="s">
        <v>42</v>
      </c>
      <c r="B275" s="27" t="s">
        <v>869</v>
      </c>
      <c r="C275" s="27" t="s">
        <v>870</v>
      </c>
      <c r="D275" s="27" t="s">
        <v>871</v>
      </c>
      <c r="E275" s="28" t="s">
        <v>46</v>
      </c>
      <c r="F275" s="29" t="s">
        <v>46</v>
      </c>
      <c r="G275" s="30" t="s">
        <v>46</v>
      </c>
      <c r="H275" s="25"/>
      <c r="I275" s="25" t="s">
        <v>47</v>
      </c>
      <c r="J275" s="31">
        <v>1</v>
      </c>
      <c r="K275" s="35">
        <f>1941</f>
        <v>1941</v>
      </c>
      <c r="L275" s="32" t="s">
        <v>48</v>
      </c>
      <c r="M275" s="35">
        <f>2118</f>
        <v>2118</v>
      </c>
      <c r="N275" s="32" t="s">
        <v>202</v>
      </c>
      <c r="O275" s="35">
        <f>1941</f>
        <v>1941</v>
      </c>
      <c r="P275" s="32" t="s">
        <v>48</v>
      </c>
      <c r="Q275" s="35">
        <f>2045</f>
        <v>2045</v>
      </c>
      <c r="R275" s="32" t="s">
        <v>50</v>
      </c>
      <c r="S275" s="34">
        <f>2041.11</f>
        <v>2041.11</v>
      </c>
      <c r="T275" s="31">
        <f>25819</f>
        <v>25819</v>
      </c>
      <c r="U275" s="31" t="str">
        <f>"－"</f>
        <v>－</v>
      </c>
      <c r="V275" s="31">
        <f>52638107</f>
        <v>52638107</v>
      </c>
      <c r="W275" s="31" t="str">
        <f>"－"</f>
        <v>－</v>
      </c>
      <c r="X275" s="33">
        <f>19</f>
        <v>19</v>
      </c>
    </row>
    <row r="276" spans="1:24">
      <c r="A276" s="27" t="s">
        <v>42</v>
      </c>
      <c r="B276" s="27" t="s">
        <v>872</v>
      </c>
      <c r="C276" s="27" t="s">
        <v>873</v>
      </c>
      <c r="D276" s="27" t="s">
        <v>874</v>
      </c>
      <c r="E276" s="28" t="s">
        <v>46</v>
      </c>
      <c r="F276" s="29" t="s">
        <v>46</v>
      </c>
      <c r="G276" s="30" t="s">
        <v>46</v>
      </c>
      <c r="H276" s="25"/>
      <c r="I276" s="25" t="s">
        <v>47</v>
      </c>
      <c r="J276" s="31">
        <v>10</v>
      </c>
      <c r="K276" s="35">
        <f>1180</f>
        <v>1180</v>
      </c>
      <c r="L276" s="32" t="s">
        <v>48</v>
      </c>
      <c r="M276" s="35">
        <f>1282.5</f>
        <v>1282.5</v>
      </c>
      <c r="N276" s="32" t="s">
        <v>60</v>
      </c>
      <c r="O276" s="35">
        <f>1155</f>
        <v>1155</v>
      </c>
      <c r="P276" s="32" t="s">
        <v>70</v>
      </c>
      <c r="Q276" s="35">
        <f>1163</f>
        <v>1163</v>
      </c>
      <c r="R276" s="32" t="s">
        <v>50</v>
      </c>
      <c r="S276" s="34">
        <f>1192.39</f>
        <v>1192.3900000000001</v>
      </c>
      <c r="T276" s="31">
        <f>155490</f>
        <v>155490</v>
      </c>
      <c r="U276" s="31">
        <f>18250</f>
        <v>18250</v>
      </c>
      <c r="V276" s="31">
        <f>184900169</f>
        <v>184900169</v>
      </c>
      <c r="W276" s="31">
        <f>21791069</f>
        <v>21791069</v>
      </c>
      <c r="X276" s="33">
        <f>19</f>
        <v>19</v>
      </c>
    </row>
    <row r="277" spans="1:24">
      <c r="A277" s="27" t="s">
        <v>42</v>
      </c>
      <c r="B277" s="27" t="s">
        <v>875</v>
      </c>
      <c r="C277" s="27" t="s">
        <v>876</v>
      </c>
      <c r="D277" s="27" t="s">
        <v>877</v>
      </c>
      <c r="E277" s="28" t="s">
        <v>46</v>
      </c>
      <c r="F277" s="29" t="s">
        <v>46</v>
      </c>
      <c r="G277" s="30" t="s">
        <v>46</v>
      </c>
      <c r="H277" s="25"/>
      <c r="I277" s="25" t="s">
        <v>47</v>
      </c>
      <c r="J277" s="31">
        <v>1</v>
      </c>
      <c r="K277" s="35">
        <f>1955</f>
        <v>1955</v>
      </c>
      <c r="L277" s="32" t="s">
        <v>48</v>
      </c>
      <c r="M277" s="35">
        <f>2100</f>
        <v>2100</v>
      </c>
      <c r="N277" s="32" t="s">
        <v>50</v>
      </c>
      <c r="O277" s="35">
        <f>1955</f>
        <v>1955</v>
      </c>
      <c r="P277" s="32" t="s">
        <v>48</v>
      </c>
      <c r="Q277" s="35">
        <f>2094</f>
        <v>2094</v>
      </c>
      <c r="R277" s="32" t="s">
        <v>50</v>
      </c>
      <c r="S277" s="34">
        <f>2044.37</f>
        <v>2044.37</v>
      </c>
      <c r="T277" s="31">
        <f>241702</f>
        <v>241702</v>
      </c>
      <c r="U277" s="31">
        <f>4176</f>
        <v>4176</v>
      </c>
      <c r="V277" s="31">
        <f>491479784</f>
        <v>491479784</v>
      </c>
      <c r="W277" s="31">
        <f>8470760</f>
        <v>8470760</v>
      </c>
      <c r="X277" s="33">
        <f>19</f>
        <v>19</v>
      </c>
    </row>
    <row r="278" spans="1:24">
      <c r="A278" s="27" t="s">
        <v>42</v>
      </c>
      <c r="B278" s="27" t="s">
        <v>878</v>
      </c>
      <c r="C278" s="27" t="s">
        <v>879</v>
      </c>
      <c r="D278" s="27" t="s">
        <v>880</v>
      </c>
      <c r="E278" s="28" t="s">
        <v>46</v>
      </c>
      <c r="F278" s="29" t="s">
        <v>46</v>
      </c>
      <c r="G278" s="30" t="s">
        <v>46</v>
      </c>
      <c r="H278" s="25"/>
      <c r="I278" s="25" t="s">
        <v>47</v>
      </c>
      <c r="J278" s="31">
        <v>1</v>
      </c>
      <c r="K278" s="35">
        <f>1993</f>
        <v>1993</v>
      </c>
      <c r="L278" s="32" t="s">
        <v>48</v>
      </c>
      <c r="M278" s="35">
        <f>2026</f>
        <v>2026</v>
      </c>
      <c r="N278" s="32" t="s">
        <v>60</v>
      </c>
      <c r="O278" s="35">
        <f>1950</f>
        <v>1950</v>
      </c>
      <c r="P278" s="32" t="s">
        <v>213</v>
      </c>
      <c r="Q278" s="35">
        <f>1980</f>
        <v>1980</v>
      </c>
      <c r="R278" s="32" t="s">
        <v>50</v>
      </c>
      <c r="S278" s="34">
        <f>1998.74</f>
        <v>1998.74</v>
      </c>
      <c r="T278" s="31">
        <f>2793349</f>
        <v>2793349</v>
      </c>
      <c r="U278" s="31">
        <f>2350653</f>
        <v>2350653</v>
      </c>
      <c r="V278" s="31">
        <f>5589425698</f>
        <v>5589425698</v>
      </c>
      <c r="W278" s="31">
        <f>4707576530</f>
        <v>4707576530</v>
      </c>
      <c r="X278" s="33">
        <f>19</f>
        <v>19</v>
      </c>
    </row>
    <row r="279" spans="1:24">
      <c r="A279" s="27" t="s">
        <v>42</v>
      </c>
      <c r="B279" s="27" t="s">
        <v>881</v>
      </c>
      <c r="C279" s="27" t="s">
        <v>882</v>
      </c>
      <c r="D279" s="27" t="s">
        <v>883</v>
      </c>
      <c r="E279" s="28" t="s">
        <v>46</v>
      </c>
      <c r="F279" s="29" t="s">
        <v>46</v>
      </c>
      <c r="G279" s="30" t="s">
        <v>46</v>
      </c>
      <c r="H279" s="25"/>
      <c r="I279" s="25" t="s">
        <v>47</v>
      </c>
      <c r="J279" s="31">
        <v>1</v>
      </c>
      <c r="K279" s="35">
        <f>6768</f>
        <v>6768</v>
      </c>
      <c r="L279" s="32" t="s">
        <v>48</v>
      </c>
      <c r="M279" s="35">
        <f>7200</f>
        <v>7200</v>
      </c>
      <c r="N279" s="32" t="s">
        <v>155</v>
      </c>
      <c r="O279" s="35">
        <f>6755</f>
        <v>6755</v>
      </c>
      <c r="P279" s="32" t="s">
        <v>48</v>
      </c>
      <c r="Q279" s="35">
        <f>6880</f>
        <v>6880</v>
      </c>
      <c r="R279" s="32" t="s">
        <v>50</v>
      </c>
      <c r="S279" s="34">
        <f>7010.95</f>
        <v>7010.95</v>
      </c>
      <c r="T279" s="31">
        <f>122128</f>
        <v>122128</v>
      </c>
      <c r="U279" s="31" t="str">
        <f>"－"</f>
        <v>－</v>
      </c>
      <c r="V279" s="31">
        <f>852428182</f>
        <v>852428182</v>
      </c>
      <c r="W279" s="31" t="str">
        <f>"－"</f>
        <v>－</v>
      </c>
      <c r="X279" s="33">
        <f>19</f>
        <v>19</v>
      </c>
    </row>
    <row r="280" spans="1:24">
      <c r="A280" s="27" t="s">
        <v>42</v>
      </c>
      <c r="B280" s="27" t="s">
        <v>884</v>
      </c>
      <c r="C280" s="27" t="s">
        <v>885</v>
      </c>
      <c r="D280" s="27" t="s">
        <v>886</v>
      </c>
      <c r="E280" s="28" t="s">
        <v>46</v>
      </c>
      <c r="F280" s="29" t="s">
        <v>46</v>
      </c>
      <c r="G280" s="30" t="s">
        <v>46</v>
      </c>
      <c r="H280" s="25"/>
      <c r="I280" s="25" t="s">
        <v>47</v>
      </c>
      <c r="J280" s="31">
        <v>10</v>
      </c>
      <c r="K280" s="35">
        <f>2667</f>
        <v>2667</v>
      </c>
      <c r="L280" s="32" t="s">
        <v>60</v>
      </c>
      <c r="M280" s="35">
        <f>2786.5</f>
        <v>2786.5</v>
      </c>
      <c r="N280" s="32" t="s">
        <v>202</v>
      </c>
      <c r="O280" s="35">
        <f>2650.5</f>
        <v>2650.5</v>
      </c>
      <c r="P280" s="32" t="s">
        <v>70</v>
      </c>
      <c r="Q280" s="35">
        <f>2729</f>
        <v>2729</v>
      </c>
      <c r="R280" s="32" t="s">
        <v>50</v>
      </c>
      <c r="S280" s="34">
        <f>2723.06</f>
        <v>2723.06</v>
      </c>
      <c r="T280" s="31">
        <f>1370</f>
        <v>1370</v>
      </c>
      <c r="U280" s="31">
        <f>100</f>
        <v>100</v>
      </c>
      <c r="V280" s="31">
        <f>3710937</f>
        <v>3710937</v>
      </c>
      <c r="W280" s="31">
        <f>274052</f>
        <v>274052</v>
      </c>
      <c r="X280" s="33">
        <f>8</f>
        <v>8</v>
      </c>
    </row>
    <row r="281" spans="1:24">
      <c r="A281" s="27" t="s">
        <v>42</v>
      </c>
      <c r="B281" s="27" t="s">
        <v>887</v>
      </c>
      <c r="C281" s="27" t="s">
        <v>888</v>
      </c>
      <c r="D281" s="27" t="s">
        <v>889</v>
      </c>
      <c r="E281" s="28" t="s">
        <v>46</v>
      </c>
      <c r="F281" s="29" t="s">
        <v>46</v>
      </c>
      <c r="G281" s="30" t="s">
        <v>46</v>
      </c>
      <c r="H281" s="25"/>
      <c r="I281" s="25" t="s">
        <v>47</v>
      </c>
      <c r="J281" s="31">
        <v>10</v>
      </c>
      <c r="K281" s="35">
        <f>3587</f>
        <v>3587</v>
      </c>
      <c r="L281" s="32" t="s">
        <v>48</v>
      </c>
      <c r="M281" s="35">
        <f>3825</f>
        <v>3825</v>
      </c>
      <c r="N281" s="32" t="s">
        <v>103</v>
      </c>
      <c r="O281" s="35">
        <f>3559</f>
        <v>3559</v>
      </c>
      <c r="P281" s="32" t="s">
        <v>48</v>
      </c>
      <c r="Q281" s="35">
        <f>3657</f>
        <v>3657</v>
      </c>
      <c r="R281" s="32" t="s">
        <v>50</v>
      </c>
      <c r="S281" s="34">
        <f>3686.39</f>
        <v>3686.39</v>
      </c>
      <c r="T281" s="31">
        <f>6078550</f>
        <v>6078550</v>
      </c>
      <c r="U281" s="31">
        <f>5842770</f>
        <v>5842770</v>
      </c>
      <c r="V281" s="31">
        <f>22403933073</f>
        <v>22403933073</v>
      </c>
      <c r="W281" s="31">
        <f>21541988493</f>
        <v>21541988493</v>
      </c>
      <c r="X281" s="33">
        <f>18</f>
        <v>18</v>
      </c>
    </row>
    <row r="282" spans="1:24">
      <c r="A282" s="27" t="s">
        <v>42</v>
      </c>
      <c r="B282" s="27" t="s">
        <v>890</v>
      </c>
      <c r="C282" s="27" t="s">
        <v>891</v>
      </c>
      <c r="D282" s="27" t="s">
        <v>892</v>
      </c>
      <c r="E282" s="28" t="s">
        <v>46</v>
      </c>
      <c r="F282" s="29" t="s">
        <v>46</v>
      </c>
      <c r="G282" s="30" t="s">
        <v>46</v>
      </c>
      <c r="H282" s="25"/>
      <c r="I282" s="25" t="s">
        <v>47</v>
      </c>
      <c r="J282" s="31">
        <v>1</v>
      </c>
      <c r="K282" s="35">
        <f>51870</f>
        <v>51870</v>
      </c>
      <c r="L282" s="32" t="s">
        <v>48</v>
      </c>
      <c r="M282" s="35">
        <f>55100</f>
        <v>55100</v>
      </c>
      <c r="N282" s="32" t="s">
        <v>74</v>
      </c>
      <c r="O282" s="35">
        <f>51660</f>
        <v>51660</v>
      </c>
      <c r="P282" s="32" t="s">
        <v>75</v>
      </c>
      <c r="Q282" s="35">
        <f>53970</f>
        <v>53970</v>
      </c>
      <c r="R282" s="32" t="s">
        <v>50</v>
      </c>
      <c r="S282" s="34">
        <f>53731.58</f>
        <v>53731.58</v>
      </c>
      <c r="T282" s="31">
        <f>250080</f>
        <v>250080</v>
      </c>
      <c r="U282" s="31">
        <f>214595</f>
        <v>214595</v>
      </c>
      <c r="V282" s="31">
        <f>13425564540</f>
        <v>13425564540</v>
      </c>
      <c r="W282" s="31">
        <f>11523046380</f>
        <v>11523046380</v>
      </c>
      <c r="X282" s="33">
        <f>19</f>
        <v>19</v>
      </c>
    </row>
    <row r="283" spans="1:24">
      <c r="A283" s="27" t="s">
        <v>42</v>
      </c>
      <c r="B283" s="27" t="s">
        <v>893</v>
      </c>
      <c r="C283" s="27" t="s">
        <v>894</v>
      </c>
      <c r="D283" s="27" t="s">
        <v>895</v>
      </c>
      <c r="E283" s="28" t="s">
        <v>46</v>
      </c>
      <c r="F283" s="29" t="s">
        <v>46</v>
      </c>
      <c r="G283" s="30" t="s">
        <v>46</v>
      </c>
      <c r="H283" s="25"/>
      <c r="I283" s="25" t="s">
        <v>47</v>
      </c>
      <c r="J283" s="31">
        <v>1</v>
      </c>
      <c r="K283" s="35">
        <f>31990</f>
        <v>31990</v>
      </c>
      <c r="L283" s="32" t="s">
        <v>48</v>
      </c>
      <c r="M283" s="35">
        <f>33830</f>
        <v>33830</v>
      </c>
      <c r="N283" s="32" t="s">
        <v>49</v>
      </c>
      <c r="O283" s="35">
        <f>31890</f>
        <v>31890</v>
      </c>
      <c r="P283" s="32" t="s">
        <v>48</v>
      </c>
      <c r="Q283" s="35">
        <f>32810</f>
        <v>32810</v>
      </c>
      <c r="R283" s="32" t="s">
        <v>50</v>
      </c>
      <c r="S283" s="34">
        <f>32917.65</f>
        <v>32917.65</v>
      </c>
      <c r="T283" s="31">
        <f>136212</f>
        <v>136212</v>
      </c>
      <c r="U283" s="31">
        <f>122535</f>
        <v>122535</v>
      </c>
      <c r="V283" s="31">
        <f>4496219430</f>
        <v>4496219430</v>
      </c>
      <c r="W283" s="31">
        <f>4053420740</f>
        <v>4053420740</v>
      </c>
      <c r="X283" s="33">
        <f>17</f>
        <v>17</v>
      </c>
    </row>
    <row r="284" spans="1:24">
      <c r="A284" s="27" t="s">
        <v>42</v>
      </c>
      <c r="B284" s="27" t="s">
        <v>896</v>
      </c>
      <c r="C284" s="27" t="s">
        <v>897</v>
      </c>
      <c r="D284" s="27" t="s">
        <v>898</v>
      </c>
      <c r="E284" s="28" t="s">
        <v>46</v>
      </c>
      <c r="F284" s="29" t="s">
        <v>46</v>
      </c>
      <c r="G284" s="30" t="s">
        <v>46</v>
      </c>
      <c r="H284" s="25"/>
      <c r="I284" s="25" t="s">
        <v>47</v>
      </c>
      <c r="J284" s="31">
        <v>10</v>
      </c>
      <c r="K284" s="35">
        <f>1257.5</f>
        <v>1257.5</v>
      </c>
      <c r="L284" s="32" t="s">
        <v>48</v>
      </c>
      <c r="M284" s="35">
        <f>1265</f>
        <v>1265</v>
      </c>
      <c r="N284" s="32" t="s">
        <v>60</v>
      </c>
      <c r="O284" s="35">
        <f>1191.5</f>
        <v>1191.5</v>
      </c>
      <c r="P284" s="32" t="s">
        <v>70</v>
      </c>
      <c r="Q284" s="35">
        <f>1208.5</f>
        <v>1208.5</v>
      </c>
      <c r="R284" s="32" t="s">
        <v>50</v>
      </c>
      <c r="S284" s="34">
        <f>1229.97</f>
        <v>1229.97</v>
      </c>
      <c r="T284" s="31">
        <f>6658830</f>
        <v>6658830</v>
      </c>
      <c r="U284" s="31">
        <f>5963850</f>
        <v>5963850</v>
      </c>
      <c r="V284" s="31">
        <f>8216923121</f>
        <v>8216923121</v>
      </c>
      <c r="W284" s="31">
        <f>7368180746</f>
        <v>7368180746</v>
      </c>
      <c r="X284" s="33">
        <f>16</f>
        <v>16</v>
      </c>
    </row>
    <row r="285" spans="1:24">
      <c r="A285" s="27" t="s">
        <v>42</v>
      </c>
      <c r="B285" s="27" t="s">
        <v>899</v>
      </c>
      <c r="C285" s="27" t="s">
        <v>900</v>
      </c>
      <c r="D285" s="27" t="s">
        <v>901</v>
      </c>
      <c r="E285" s="28" t="s">
        <v>46</v>
      </c>
      <c r="F285" s="29" t="s">
        <v>46</v>
      </c>
      <c r="G285" s="30" t="s">
        <v>46</v>
      </c>
      <c r="H285" s="25"/>
      <c r="I285" s="25" t="s">
        <v>47</v>
      </c>
      <c r="J285" s="31">
        <v>1</v>
      </c>
      <c r="K285" s="35">
        <f>1227</f>
        <v>1227</v>
      </c>
      <c r="L285" s="32" t="s">
        <v>48</v>
      </c>
      <c r="M285" s="35">
        <f>1256</f>
        <v>1256</v>
      </c>
      <c r="N285" s="32" t="s">
        <v>103</v>
      </c>
      <c r="O285" s="35">
        <f>1193</f>
        <v>1193</v>
      </c>
      <c r="P285" s="32" t="s">
        <v>70</v>
      </c>
      <c r="Q285" s="35">
        <f>1209</f>
        <v>1209</v>
      </c>
      <c r="R285" s="32" t="s">
        <v>50</v>
      </c>
      <c r="S285" s="34">
        <f>1225.11</f>
        <v>1225.1099999999999</v>
      </c>
      <c r="T285" s="31">
        <f>1608762</f>
        <v>1608762</v>
      </c>
      <c r="U285" s="31">
        <f>598530</f>
        <v>598530</v>
      </c>
      <c r="V285" s="31">
        <f>1970461410</f>
        <v>1970461410</v>
      </c>
      <c r="W285" s="31">
        <f>728244357</f>
        <v>728244357</v>
      </c>
      <c r="X285" s="33">
        <f>19</f>
        <v>19</v>
      </c>
    </row>
    <row r="286" spans="1:24">
      <c r="A286" s="27" t="s">
        <v>42</v>
      </c>
      <c r="B286" s="27" t="s">
        <v>902</v>
      </c>
      <c r="C286" s="27" t="s">
        <v>903</v>
      </c>
      <c r="D286" s="27" t="s">
        <v>904</v>
      </c>
      <c r="E286" s="28" t="s">
        <v>46</v>
      </c>
      <c r="F286" s="29" t="s">
        <v>46</v>
      </c>
      <c r="G286" s="30" t="s">
        <v>46</v>
      </c>
      <c r="H286" s="25"/>
      <c r="I286" s="25" t="s">
        <v>47</v>
      </c>
      <c r="J286" s="31">
        <v>1</v>
      </c>
      <c r="K286" s="35">
        <f>2049</f>
        <v>2049</v>
      </c>
      <c r="L286" s="32" t="s">
        <v>48</v>
      </c>
      <c r="M286" s="35">
        <f>2152</f>
        <v>2152</v>
      </c>
      <c r="N286" s="32" t="s">
        <v>65</v>
      </c>
      <c r="O286" s="35">
        <f>2034</f>
        <v>2034</v>
      </c>
      <c r="P286" s="32" t="s">
        <v>48</v>
      </c>
      <c r="Q286" s="35">
        <f>2104</f>
        <v>2104</v>
      </c>
      <c r="R286" s="32" t="s">
        <v>50</v>
      </c>
      <c r="S286" s="34">
        <f>2096.21</f>
        <v>2096.21</v>
      </c>
      <c r="T286" s="31">
        <f>665700</f>
        <v>665700</v>
      </c>
      <c r="U286" s="31">
        <f>465248</f>
        <v>465248</v>
      </c>
      <c r="V286" s="31">
        <f>1397635111</f>
        <v>1397635111</v>
      </c>
      <c r="W286" s="31">
        <f>977461516</f>
        <v>977461516</v>
      </c>
      <c r="X286" s="33">
        <f>19</f>
        <v>19</v>
      </c>
    </row>
    <row r="287" spans="1:24">
      <c r="A287" s="27" t="s">
        <v>42</v>
      </c>
      <c r="B287" s="27" t="s">
        <v>905</v>
      </c>
      <c r="C287" s="27" t="s">
        <v>906</v>
      </c>
      <c r="D287" s="27" t="s">
        <v>907</v>
      </c>
      <c r="E287" s="28" t="s">
        <v>46</v>
      </c>
      <c r="F287" s="29" t="s">
        <v>46</v>
      </c>
      <c r="G287" s="30" t="s">
        <v>46</v>
      </c>
      <c r="H287" s="25"/>
      <c r="I287" s="25" t="s">
        <v>47</v>
      </c>
      <c r="J287" s="31">
        <v>1</v>
      </c>
      <c r="K287" s="35">
        <f>16910</f>
        <v>16910</v>
      </c>
      <c r="L287" s="32" t="s">
        <v>48</v>
      </c>
      <c r="M287" s="35">
        <f>18130</f>
        <v>18130</v>
      </c>
      <c r="N287" s="32" t="s">
        <v>74</v>
      </c>
      <c r="O287" s="35">
        <f>16910</f>
        <v>16910</v>
      </c>
      <c r="P287" s="32" t="s">
        <v>48</v>
      </c>
      <c r="Q287" s="35">
        <f>17405</f>
        <v>17405</v>
      </c>
      <c r="R287" s="32" t="s">
        <v>50</v>
      </c>
      <c r="S287" s="34">
        <f>17657.63</f>
        <v>17657.63</v>
      </c>
      <c r="T287" s="31">
        <f>6742</f>
        <v>6742</v>
      </c>
      <c r="U287" s="31" t="str">
        <f>"－"</f>
        <v>－</v>
      </c>
      <c r="V287" s="31">
        <f>118931985</f>
        <v>118931985</v>
      </c>
      <c r="W287" s="31" t="str">
        <f>"－"</f>
        <v>－</v>
      </c>
      <c r="X287" s="33">
        <f>19</f>
        <v>19</v>
      </c>
    </row>
    <row r="288" spans="1:24">
      <c r="A288" s="27" t="s">
        <v>42</v>
      </c>
      <c r="B288" s="27" t="s">
        <v>908</v>
      </c>
      <c r="C288" s="27" t="s">
        <v>909</v>
      </c>
      <c r="D288" s="27" t="s">
        <v>910</v>
      </c>
      <c r="E288" s="28" t="s">
        <v>46</v>
      </c>
      <c r="F288" s="29" t="s">
        <v>46</v>
      </c>
      <c r="G288" s="30" t="s">
        <v>46</v>
      </c>
      <c r="H288" s="25"/>
      <c r="I288" s="25" t="s">
        <v>47</v>
      </c>
      <c r="J288" s="31">
        <v>1</v>
      </c>
      <c r="K288" s="35">
        <f>2200</f>
        <v>2200</v>
      </c>
      <c r="L288" s="32" t="s">
        <v>48</v>
      </c>
      <c r="M288" s="35">
        <f>2239</f>
        <v>2239</v>
      </c>
      <c r="N288" s="32" t="s">
        <v>103</v>
      </c>
      <c r="O288" s="35">
        <f>2122</f>
        <v>2122</v>
      </c>
      <c r="P288" s="32" t="s">
        <v>70</v>
      </c>
      <c r="Q288" s="35">
        <f>2169</f>
        <v>2169</v>
      </c>
      <c r="R288" s="32" t="s">
        <v>50</v>
      </c>
      <c r="S288" s="34">
        <f>2188.68</f>
        <v>2188.6799999999998</v>
      </c>
      <c r="T288" s="31">
        <f>694668</f>
        <v>694668</v>
      </c>
      <c r="U288" s="31">
        <f>616790</f>
        <v>616790</v>
      </c>
      <c r="V288" s="31">
        <f>1511866893</f>
        <v>1511866893</v>
      </c>
      <c r="W288" s="31">
        <f>1341867390</f>
        <v>1341867390</v>
      </c>
      <c r="X288" s="33">
        <f>19</f>
        <v>19</v>
      </c>
    </row>
    <row r="289" spans="1:24">
      <c r="A289" s="27" t="s">
        <v>42</v>
      </c>
      <c r="B289" s="27" t="s">
        <v>911</v>
      </c>
      <c r="C289" s="27" t="s">
        <v>912</v>
      </c>
      <c r="D289" s="27" t="s">
        <v>913</v>
      </c>
      <c r="E289" s="28" t="s">
        <v>46</v>
      </c>
      <c r="F289" s="29" t="s">
        <v>46</v>
      </c>
      <c r="G289" s="30" t="s">
        <v>46</v>
      </c>
      <c r="H289" s="25"/>
      <c r="I289" s="25" t="s">
        <v>47</v>
      </c>
      <c r="J289" s="31">
        <v>10</v>
      </c>
      <c r="K289" s="35">
        <f>2268</f>
        <v>2268</v>
      </c>
      <c r="L289" s="32" t="s">
        <v>48</v>
      </c>
      <c r="M289" s="35">
        <f>2650.5</f>
        <v>2650.5</v>
      </c>
      <c r="N289" s="32" t="s">
        <v>61</v>
      </c>
      <c r="O289" s="35">
        <f>2262</f>
        <v>2262</v>
      </c>
      <c r="P289" s="32" t="s">
        <v>48</v>
      </c>
      <c r="Q289" s="35">
        <f>2527.5</f>
        <v>2527.5</v>
      </c>
      <c r="R289" s="32" t="s">
        <v>50</v>
      </c>
      <c r="S289" s="34">
        <f>2491.66</f>
        <v>2491.66</v>
      </c>
      <c r="T289" s="31">
        <f>376570</f>
        <v>376570</v>
      </c>
      <c r="U289" s="31" t="str">
        <f>"－"</f>
        <v>－</v>
      </c>
      <c r="V289" s="31">
        <f>938821985</f>
        <v>938821985</v>
      </c>
      <c r="W289" s="31" t="str">
        <f>"－"</f>
        <v>－</v>
      </c>
      <c r="X289" s="33">
        <f>19</f>
        <v>19</v>
      </c>
    </row>
    <row r="290" spans="1:24">
      <c r="A290" s="27" t="s">
        <v>42</v>
      </c>
      <c r="B290" s="27" t="s">
        <v>914</v>
      </c>
      <c r="C290" s="27" t="s">
        <v>915</v>
      </c>
      <c r="D290" s="27" t="s">
        <v>916</v>
      </c>
      <c r="E290" s="28" t="s">
        <v>46</v>
      </c>
      <c r="F290" s="29" t="s">
        <v>46</v>
      </c>
      <c r="G290" s="30" t="s">
        <v>46</v>
      </c>
      <c r="H290" s="25"/>
      <c r="I290" s="25" t="s">
        <v>47</v>
      </c>
      <c r="J290" s="31">
        <v>10</v>
      </c>
      <c r="K290" s="35">
        <f>777.1</f>
        <v>777.1</v>
      </c>
      <c r="L290" s="32" t="s">
        <v>48</v>
      </c>
      <c r="M290" s="35">
        <f>780.8</f>
        <v>780.8</v>
      </c>
      <c r="N290" s="32" t="s">
        <v>103</v>
      </c>
      <c r="O290" s="35">
        <f>774.6</f>
        <v>774.6</v>
      </c>
      <c r="P290" s="32" t="s">
        <v>213</v>
      </c>
      <c r="Q290" s="35">
        <f>777.5</f>
        <v>777.5</v>
      </c>
      <c r="R290" s="32" t="s">
        <v>50</v>
      </c>
      <c r="S290" s="34">
        <f>777.78</f>
        <v>777.78</v>
      </c>
      <c r="T290" s="31">
        <f>441590</f>
        <v>441590</v>
      </c>
      <c r="U290" s="31">
        <f>342010</f>
        <v>342010</v>
      </c>
      <c r="V290" s="31">
        <f>344306198</f>
        <v>344306198</v>
      </c>
      <c r="W290" s="31">
        <f>266829811</f>
        <v>266829811</v>
      </c>
      <c r="X290" s="33">
        <f>19</f>
        <v>19</v>
      </c>
    </row>
    <row r="291" spans="1:24">
      <c r="A291" s="27" t="s">
        <v>42</v>
      </c>
      <c r="B291" s="27" t="s">
        <v>917</v>
      </c>
      <c r="C291" s="27" t="s">
        <v>918</v>
      </c>
      <c r="D291" s="27" t="s">
        <v>919</v>
      </c>
      <c r="E291" s="28" t="s">
        <v>46</v>
      </c>
      <c r="F291" s="29" t="s">
        <v>46</v>
      </c>
      <c r="G291" s="30" t="s">
        <v>46</v>
      </c>
      <c r="H291" s="25"/>
      <c r="I291" s="25" t="s">
        <v>47</v>
      </c>
      <c r="J291" s="31">
        <v>10</v>
      </c>
      <c r="K291" s="35">
        <f>2127</f>
        <v>2127</v>
      </c>
      <c r="L291" s="32" t="s">
        <v>48</v>
      </c>
      <c r="M291" s="35">
        <f>2135</f>
        <v>2135</v>
      </c>
      <c r="N291" s="32" t="s">
        <v>103</v>
      </c>
      <c r="O291" s="35">
        <f>2016</f>
        <v>2016</v>
      </c>
      <c r="P291" s="32" t="s">
        <v>70</v>
      </c>
      <c r="Q291" s="35">
        <f>2063</f>
        <v>2063</v>
      </c>
      <c r="R291" s="32" t="s">
        <v>50</v>
      </c>
      <c r="S291" s="34">
        <f>2083.63</f>
        <v>2083.63</v>
      </c>
      <c r="T291" s="31">
        <f>1437490</f>
        <v>1437490</v>
      </c>
      <c r="U291" s="31">
        <f>1162830</f>
        <v>1162830</v>
      </c>
      <c r="V291" s="31">
        <f>2975968547</f>
        <v>2975968547</v>
      </c>
      <c r="W291" s="31">
        <f>2408205117</f>
        <v>2408205117</v>
      </c>
      <c r="X291" s="33">
        <f>19</f>
        <v>19</v>
      </c>
    </row>
    <row r="292" spans="1:24">
      <c r="A292" s="27" t="s">
        <v>42</v>
      </c>
      <c r="B292" s="27" t="s">
        <v>920</v>
      </c>
      <c r="C292" s="27" t="s">
        <v>921</v>
      </c>
      <c r="D292" s="27" t="s">
        <v>922</v>
      </c>
      <c r="E292" s="28" t="s">
        <v>46</v>
      </c>
      <c r="F292" s="29" t="s">
        <v>46</v>
      </c>
      <c r="G292" s="30" t="s">
        <v>46</v>
      </c>
      <c r="H292" s="25"/>
      <c r="I292" s="25" t="s">
        <v>47</v>
      </c>
      <c r="J292" s="31">
        <v>10</v>
      </c>
      <c r="K292" s="35">
        <f>2100</f>
        <v>2100</v>
      </c>
      <c r="L292" s="32" t="s">
        <v>48</v>
      </c>
      <c r="M292" s="35">
        <f>2182.5</f>
        <v>2182.5</v>
      </c>
      <c r="N292" s="32" t="s">
        <v>65</v>
      </c>
      <c r="O292" s="35">
        <f>2011</f>
        <v>2011</v>
      </c>
      <c r="P292" s="32" t="s">
        <v>70</v>
      </c>
      <c r="Q292" s="35">
        <f>2044</f>
        <v>2044</v>
      </c>
      <c r="R292" s="32" t="s">
        <v>50</v>
      </c>
      <c r="S292" s="34">
        <f>2076.05</f>
        <v>2076.0500000000002</v>
      </c>
      <c r="T292" s="31">
        <f>8365860</f>
        <v>8365860</v>
      </c>
      <c r="U292" s="31">
        <f>7268190</f>
        <v>7268190</v>
      </c>
      <c r="V292" s="31">
        <f>17330126614</f>
        <v>17330126614</v>
      </c>
      <c r="W292" s="31">
        <f>15050233684</f>
        <v>15050233684</v>
      </c>
      <c r="X292" s="33">
        <f>19</f>
        <v>19</v>
      </c>
    </row>
    <row r="293" spans="1:24">
      <c r="A293" s="27" t="s">
        <v>42</v>
      </c>
      <c r="B293" s="27" t="s">
        <v>923</v>
      </c>
      <c r="C293" s="27" t="s">
        <v>924</v>
      </c>
      <c r="D293" s="27" t="s">
        <v>925</v>
      </c>
      <c r="E293" s="28" t="s">
        <v>46</v>
      </c>
      <c r="F293" s="29" t="s">
        <v>46</v>
      </c>
      <c r="G293" s="30" t="s">
        <v>46</v>
      </c>
      <c r="H293" s="25"/>
      <c r="I293" s="25" t="s">
        <v>47</v>
      </c>
      <c r="J293" s="31">
        <v>10</v>
      </c>
      <c r="K293" s="35">
        <f>3485</f>
        <v>3485</v>
      </c>
      <c r="L293" s="32" t="s">
        <v>48</v>
      </c>
      <c r="M293" s="35">
        <f>3713</f>
        <v>3713</v>
      </c>
      <c r="N293" s="32" t="s">
        <v>49</v>
      </c>
      <c r="O293" s="35">
        <f>3485</f>
        <v>3485</v>
      </c>
      <c r="P293" s="32" t="s">
        <v>48</v>
      </c>
      <c r="Q293" s="35">
        <f>3610</f>
        <v>3610</v>
      </c>
      <c r="R293" s="32" t="s">
        <v>50</v>
      </c>
      <c r="S293" s="34">
        <f>3617.21</f>
        <v>3617.21</v>
      </c>
      <c r="T293" s="31">
        <f>2617500</f>
        <v>2617500</v>
      </c>
      <c r="U293" s="31">
        <f>2213230</f>
        <v>2213230</v>
      </c>
      <c r="V293" s="31">
        <f>9387372617</f>
        <v>9387372617</v>
      </c>
      <c r="W293" s="31">
        <f>7925806417</f>
        <v>7925806417</v>
      </c>
      <c r="X293" s="33">
        <f>19</f>
        <v>19</v>
      </c>
    </row>
    <row r="294" spans="1:24">
      <c r="A294" s="27" t="s">
        <v>42</v>
      </c>
      <c r="B294" s="27" t="s">
        <v>926</v>
      </c>
      <c r="C294" s="27" t="s">
        <v>927</v>
      </c>
      <c r="D294" s="27" t="s">
        <v>928</v>
      </c>
      <c r="E294" s="28" t="s">
        <v>46</v>
      </c>
      <c r="F294" s="29" t="s">
        <v>46</v>
      </c>
      <c r="G294" s="30" t="s">
        <v>46</v>
      </c>
      <c r="H294" s="25"/>
      <c r="I294" s="25" t="s">
        <v>47</v>
      </c>
      <c r="J294" s="31">
        <v>1</v>
      </c>
      <c r="K294" s="35">
        <f>30950</f>
        <v>30950</v>
      </c>
      <c r="L294" s="32" t="s">
        <v>48</v>
      </c>
      <c r="M294" s="35">
        <f>31880</f>
        <v>31880</v>
      </c>
      <c r="N294" s="32" t="s">
        <v>74</v>
      </c>
      <c r="O294" s="35">
        <f>30470</f>
        <v>30470</v>
      </c>
      <c r="P294" s="32" t="s">
        <v>273</v>
      </c>
      <c r="Q294" s="35">
        <f>30610</f>
        <v>30610</v>
      </c>
      <c r="R294" s="32" t="s">
        <v>50</v>
      </c>
      <c r="S294" s="34">
        <f>31191.05</f>
        <v>31191.05</v>
      </c>
      <c r="T294" s="31">
        <f>803268</f>
        <v>803268</v>
      </c>
      <c r="U294" s="31">
        <f>174448</f>
        <v>174448</v>
      </c>
      <c r="V294" s="31">
        <f>25045486557</f>
        <v>25045486557</v>
      </c>
      <c r="W294" s="31">
        <f>5453995387</f>
        <v>5453995387</v>
      </c>
      <c r="X294" s="33">
        <f>19</f>
        <v>19</v>
      </c>
    </row>
    <row r="295" spans="1:24">
      <c r="A295" s="27" t="s">
        <v>42</v>
      </c>
      <c r="B295" s="27" t="s">
        <v>929</v>
      </c>
      <c r="C295" s="27" t="s">
        <v>930</v>
      </c>
      <c r="D295" s="27" t="s">
        <v>931</v>
      </c>
      <c r="E295" s="28" t="s">
        <v>46</v>
      </c>
      <c r="F295" s="29" t="s">
        <v>46</v>
      </c>
      <c r="G295" s="30" t="s">
        <v>46</v>
      </c>
      <c r="H295" s="25"/>
      <c r="I295" s="25" t="s">
        <v>47</v>
      </c>
      <c r="J295" s="31">
        <v>1</v>
      </c>
      <c r="K295" s="35">
        <f>26320</f>
        <v>26320</v>
      </c>
      <c r="L295" s="32" t="s">
        <v>48</v>
      </c>
      <c r="M295" s="35">
        <f>27165</f>
        <v>27165</v>
      </c>
      <c r="N295" s="32" t="s">
        <v>74</v>
      </c>
      <c r="O295" s="35">
        <f>26205</f>
        <v>26205</v>
      </c>
      <c r="P295" s="32" t="s">
        <v>213</v>
      </c>
      <c r="Q295" s="35">
        <f>26385</f>
        <v>26385</v>
      </c>
      <c r="R295" s="32" t="s">
        <v>50</v>
      </c>
      <c r="S295" s="34">
        <f>26680.53</f>
        <v>26680.53</v>
      </c>
      <c r="T295" s="31">
        <f>707408</f>
        <v>707408</v>
      </c>
      <c r="U295" s="31">
        <f>16234</f>
        <v>16234</v>
      </c>
      <c r="V295" s="31">
        <f>18835380747</f>
        <v>18835380747</v>
      </c>
      <c r="W295" s="31">
        <f>433395822</f>
        <v>433395822</v>
      </c>
      <c r="X295" s="33">
        <f>19</f>
        <v>19</v>
      </c>
    </row>
    <row r="296" spans="1:24">
      <c r="A296" s="27" t="s">
        <v>42</v>
      </c>
      <c r="B296" s="27" t="s">
        <v>932</v>
      </c>
      <c r="C296" s="27" t="s">
        <v>933</v>
      </c>
      <c r="D296" s="27" t="s">
        <v>934</v>
      </c>
      <c r="E296" s="28" t="s">
        <v>46</v>
      </c>
      <c r="F296" s="29" t="s">
        <v>46</v>
      </c>
      <c r="G296" s="30" t="s">
        <v>46</v>
      </c>
      <c r="H296" s="25"/>
      <c r="I296" s="25" t="s">
        <v>47</v>
      </c>
      <c r="J296" s="31">
        <v>1</v>
      </c>
      <c r="K296" s="35">
        <f>45980</f>
        <v>45980</v>
      </c>
      <c r="L296" s="32" t="s">
        <v>48</v>
      </c>
      <c r="M296" s="35">
        <f>54450</f>
        <v>54450</v>
      </c>
      <c r="N296" s="32" t="s">
        <v>60</v>
      </c>
      <c r="O296" s="35">
        <f>45980</f>
        <v>45980</v>
      </c>
      <c r="P296" s="32" t="s">
        <v>48</v>
      </c>
      <c r="Q296" s="35">
        <f>46920</f>
        <v>46920</v>
      </c>
      <c r="R296" s="32" t="s">
        <v>223</v>
      </c>
      <c r="S296" s="34">
        <f>47777</f>
        <v>47777</v>
      </c>
      <c r="T296" s="31">
        <f>1598</f>
        <v>1598</v>
      </c>
      <c r="U296" s="31" t="str">
        <f>"－"</f>
        <v>－</v>
      </c>
      <c r="V296" s="31">
        <f>77180930</f>
        <v>77180930</v>
      </c>
      <c r="W296" s="31" t="str">
        <f>"－"</f>
        <v>－</v>
      </c>
      <c r="X296" s="33">
        <f>10</f>
        <v>10</v>
      </c>
    </row>
    <row r="297" spans="1:24">
      <c r="A297" s="27" t="s">
        <v>42</v>
      </c>
      <c r="B297" s="27" t="s">
        <v>935</v>
      </c>
      <c r="C297" s="27" t="s">
        <v>936</v>
      </c>
      <c r="D297" s="27" t="s">
        <v>937</v>
      </c>
      <c r="E297" s="28" t="s">
        <v>46</v>
      </c>
      <c r="F297" s="29" t="s">
        <v>46</v>
      </c>
      <c r="G297" s="30" t="s">
        <v>46</v>
      </c>
      <c r="H297" s="25"/>
      <c r="I297" s="25" t="s">
        <v>47</v>
      </c>
      <c r="J297" s="31">
        <v>1</v>
      </c>
      <c r="K297" s="35">
        <f>2109</f>
        <v>2109</v>
      </c>
      <c r="L297" s="32" t="s">
        <v>48</v>
      </c>
      <c r="M297" s="35">
        <f>2111</f>
        <v>2111</v>
      </c>
      <c r="N297" s="32" t="s">
        <v>75</v>
      </c>
      <c r="O297" s="35">
        <f>2042</f>
        <v>2042</v>
      </c>
      <c r="P297" s="32" t="s">
        <v>213</v>
      </c>
      <c r="Q297" s="35">
        <f>2069</f>
        <v>2069</v>
      </c>
      <c r="R297" s="32" t="s">
        <v>50</v>
      </c>
      <c r="S297" s="34">
        <f>2078</f>
        <v>2078</v>
      </c>
      <c r="T297" s="31">
        <f>2694480</f>
        <v>2694480</v>
      </c>
      <c r="U297" s="31">
        <f>1120075</f>
        <v>1120075</v>
      </c>
      <c r="V297" s="31">
        <f>5588102110</f>
        <v>5588102110</v>
      </c>
      <c r="W297" s="31">
        <f>2329317559</f>
        <v>2329317559</v>
      </c>
      <c r="X297" s="33">
        <f>19</f>
        <v>19</v>
      </c>
    </row>
    <row r="298" spans="1:24">
      <c r="A298" s="27" t="s">
        <v>42</v>
      </c>
      <c r="B298" s="27" t="s">
        <v>938</v>
      </c>
      <c r="C298" s="27" t="s">
        <v>939</v>
      </c>
      <c r="D298" s="27" t="s">
        <v>940</v>
      </c>
      <c r="E298" s="28" t="s">
        <v>46</v>
      </c>
      <c r="F298" s="29" t="s">
        <v>46</v>
      </c>
      <c r="G298" s="30" t="s">
        <v>46</v>
      </c>
      <c r="H298" s="25"/>
      <c r="I298" s="25" t="s">
        <v>47</v>
      </c>
      <c r="J298" s="31">
        <v>1</v>
      </c>
      <c r="K298" s="35">
        <f>3477</f>
        <v>3477</v>
      </c>
      <c r="L298" s="32" t="s">
        <v>48</v>
      </c>
      <c r="M298" s="35">
        <f>3516</f>
        <v>3516</v>
      </c>
      <c r="N298" s="32" t="s">
        <v>195</v>
      </c>
      <c r="O298" s="35">
        <f>3433</f>
        <v>3433</v>
      </c>
      <c r="P298" s="32" t="s">
        <v>213</v>
      </c>
      <c r="Q298" s="35">
        <f>3448</f>
        <v>3448</v>
      </c>
      <c r="R298" s="32" t="s">
        <v>50</v>
      </c>
      <c r="S298" s="34">
        <f>3479.32</f>
        <v>3479.32</v>
      </c>
      <c r="T298" s="31">
        <f>2136589</f>
        <v>2136589</v>
      </c>
      <c r="U298" s="31">
        <f>1634833</f>
        <v>1634833</v>
      </c>
      <c r="V298" s="31">
        <f>7445734044</f>
        <v>7445734044</v>
      </c>
      <c r="W298" s="31">
        <f>5698168886</f>
        <v>5698168886</v>
      </c>
      <c r="X298" s="33">
        <f>19</f>
        <v>19</v>
      </c>
    </row>
    <row r="299" spans="1:24">
      <c r="A299" s="27" t="s">
        <v>42</v>
      </c>
      <c r="B299" s="27" t="s">
        <v>941</v>
      </c>
      <c r="C299" s="27" t="s">
        <v>942</v>
      </c>
      <c r="D299" s="27" t="s">
        <v>943</v>
      </c>
      <c r="E299" s="28" t="s">
        <v>46</v>
      </c>
      <c r="F299" s="29" t="s">
        <v>46</v>
      </c>
      <c r="G299" s="30" t="s">
        <v>46</v>
      </c>
      <c r="H299" s="25"/>
      <c r="I299" s="25" t="s">
        <v>47</v>
      </c>
      <c r="J299" s="31">
        <v>10</v>
      </c>
      <c r="K299" s="35">
        <f>371.7</f>
        <v>371.7</v>
      </c>
      <c r="L299" s="32" t="s">
        <v>48</v>
      </c>
      <c r="M299" s="35">
        <f>378.8</f>
        <v>378.8</v>
      </c>
      <c r="N299" s="32" t="s">
        <v>61</v>
      </c>
      <c r="O299" s="35">
        <f>367.8</f>
        <v>367.8</v>
      </c>
      <c r="P299" s="32" t="s">
        <v>213</v>
      </c>
      <c r="Q299" s="35">
        <f>374.4</f>
        <v>374.4</v>
      </c>
      <c r="R299" s="32" t="s">
        <v>50</v>
      </c>
      <c r="S299" s="34">
        <f>374.51</f>
        <v>374.51</v>
      </c>
      <c r="T299" s="31">
        <f>40237250</f>
        <v>40237250</v>
      </c>
      <c r="U299" s="31">
        <f>21702000</f>
        <v>21702000</v>
      </c>
      <c r="V299" s="31">
        <f>15048105682</f>
        <v>15048105682</v>
      </c>
      <c r="W299" s="31">
        <f>8120622295</f>
        <v>8120622295</v>
      </c>
      <c r="X299" s="33">
        <f>19</f>
        <v>19</v>
      </c>
    </row>
    <row r="300" spans="1:24">
      <c r="A300" s="27" t="s">
        <v>42</v>
      </c>
      <c r="B300" s="27" t="s">
        <v>944</v>
      </c>
      <c r="C300" s="27" t="s">
        <v>945</v>
      </c>
      <c r="D300" s="27" t="s">
        <v>946</v>
      </c>
      <c r="E300" s="28" t="s">
        <v>46</v>
      </c>
      <c r="F300" s="29" t="s">
        <v>46</v>
      </c>
      <c r="G300" s="30" t="s">
        <v>46</v>
      </c>
      <c r="H300" s="25"/>
      <c r="I300" s="25" t="s">
        <v>47</v>
      </c>
      <c r="J300" s="31">
        <v>1</v>
      </c>
      <c r="K300" s="35">
        <f>3409</f>
        <v>3409</v>
      </c>
      <c r="L300" s="32" t="s">
        <v>48</v>
      </c>
      <c r="M300" s="35">
        <f>3674</f>
        <v>3674</v>
      </c>
      <c r="N300" s="32" t="s">
        <v>103</v>
      </c>
      <c r="O300" s="35">
        <f>3397</f>
        <v>3397</v>
      </c>
      <c r="P300" s="32" t="s">
        <v>48</v>
      </c>
      <c r="Q300" s="35">
        <f>3522</f>
        <v>3522</v>
      </c>
      <c r="R300" s="32" t="s">
        <v>50</v>
      </c>
      <c r="S300" s="34">
        <f>3529.37</f>
        <v>3529.37</v>
      </c>
      <c r="T300" s="31">
        <f>2836209</f>
        <v>2836209</v>
      </c>
      <c r="U300" s="31">
        <f>2097967</f>
        <v>2097967</v>
      </c>
      <c r="V300" s="31">
        <f>10110045592</f>
        <v>10110045592</v>
      </c>
      <c r="W300" s="31">
        <f>7510639024</f>
        <v>7510639024</v>
      </c>
      <c r="X300" s="33">
        <f>19</f>
        <v>19</v>
      </c>
    </row>
    <row r="301" spans="1:24">
      <c r="A301" s="27" t="s">
        <v>42</v>
      </c>
      <c r="B301" s="27" t="s">
        <v>947</v>
      </c>
      <c r="C301" s="27" t="s">
        <v>948</v>
      </c>
      <c r="D301" s="27" t="s">
        <v>949</v>
      </c>
      <c r="E301" s="28" t="s">
        <v>46</v>
      </c>
      <c r="F301" s="29" t="s">
        <v>46</v>
      </c>
      <c r="G301" s="30" t="s">
        <v>46</v>
      </c>
      <c r="H301" s="25"/>
      <c r="I301" s="25" t="s">
        <v>47</v>
      </c>
      <c r="J301" s="31">
        <v>1</v>
      </c>
      <c r="K301" s="35">
        <f>994</f>
        <v>994</v>
      </c>
      <c r="L301" s="32" t="s">
        <v>48</v>
      </c>
      <c r="M301" s="35">
        <f>1026</f>
        <v>1026</v>
      </c>
      <c r="N301" s="32" t="s">
        <v>103</v>
      </c>
      <c r="O301" s="35">
        <f>958</f>
        <v>958</v>
      </c>
      <c r="P301" s="32" t="s">
        <v>70</v>
      </c>
      <c r="Q301" s="35">
        <f>968</f>
        <v>968</v>
      </c>
      <c r="R301" s="32" t="s">
        <v>50</v>
      </c>
      <c r="S301" s="34">
        <f>995.16</f>
        <v>995.16</v>
      </c>
      <c r="T301" s="31">
        <f>1722185</f>
        <v>1722185</v>
      </c>
      <c r="U301" s="31">
        <f>1486399</f>
        <v>1486399</v>
      </c>
      <c r="V301" s="31">
        <f>1718116912</f>
        <v>1718116912</v>
      </c>
      <c r="W301" s="31">
        <f>1486332319</f>
        <v>1486332319</v>
      </c>
      <c r="X301" s="33">
        <f>19</f>
        <v>19</v>
      </c>
    </row>
    <row r="302" spans="1:24">
      <c r="A302" s="27" t="s">
        <v>42</v>
      </c>
      <c r="B302" s="27" t="s">
        <v>950</v>
      </c>
      <c r="C302" s="27" t="s">
        <v>951</v>
      </c>
      <c r="D302" s="27" t="s">
        <v>952</v>
      </c>
      <c r="E302" s="28" t="s">
        <v>46</v>
      </c>
      <c r="F302" s="29" t="s">
        <v>46</v>
      </c>
      <c r="G302" s="30" t="s">
        <v>46</v>
      </c>
      <c r="H302" s="25"/>
      <c r="I302" s="25" t="s">
        <v>47</v>
      </c>
      <c r="J302" s="31">
        <v>1</v>
      </c>
      <c r="K302" s="35">
        <f>1156</f>
        <v>1156</v>
      </c>
      <c r="L302" s="32" t="s">
        <v>48</v>
      </c>
      <c r="M302" s="35">
        <f>1169</f>
        <v>1169</v>
      </c>
      <c r="N302" s="32" t="s">
        <v>103</v>
      </c>
      <c r="O302" s="35">
        <f>1101</f>
        <v>1101</v>
      </c>
      <c r="P302" s="32" t="s">
        <v>70</v>
      </c>
      <c r="Q302" s="35">
        <f>1119</f>
        <v>1119</v>
      </c>
      <c r="R302" s="32" t="s">
        <v>50</v>
      </c>
      <c r="S302" s="34">
        <f>1139.79</f>
        <v>1139.79</v>
      </c>
      <c r="T302" s="31">
        <f>3622640</f>
        <v>3622640</v>
      </c>
      <c r="U302" s="31">
        <f>3405893</f>
        <v>3405893</v>
      </c>
      <c r="V302" s="31">
        <f>4080760438</f>
        <v>4080760438</v>
      </c>
      <c r="W302" s="31">
        <f>3835909654</f>
        <v>3835909654</v>
      </c>
      <c r="X302" s="33">
        <f>19</f>
        <v>19</v>
      </c>
    </row>
    <row r="303" spans="1:24">
      <c r="A303" s="27" t="s">
        <v>42</v>
      </c>
      <c r="B303" s="27" t="s">
        <v>953</v>
      </c>
      <c r="C303" s="27" t="s">
        <v>954</v>
      </c>
      <c r="D303" s="27" t="s">
        <v>955</v>
      </c>
      <c r="E303" s="28" t="s">
        <v>46</v>
      </c>
      <c r="F303" s="29" t="s">
        <v>46</v>
      </c>
      <c r="G303" s="30" t="s">
        <v>46</v>
      </c>
      <c r="H303" s="25"/>
      <c r="I303" s="25" t="s">
        <v>47</v>
      </c>
      <c r="J303" s="31">
        <v>10</v>
      </c>
      <c r="K303" s="35">
        <f>460</f>
        <v>460</v>
      </c>
      <c r="L303" s="32" t="s">
        <v>48</v>
      </c>
      <c r="M303" s="35">
        <f>530</f>
        <v>530</v>
      </c>
      <c r="N303" s="32" t="s">
        <v>60</v>
      </c>
      <c r="O303" s="35">
        <f>458.7</f>
        <v>458.7</v>
      </c>
      <c r="P303" s="32" t="s">
        <v>195</v>
      </c>
      <c r="Q303" s="35">
        <f>474</f>
        <v>474</v>
      </c>
      <c r="R303" s="32" t="s">
        <v>50</v>
      </c>
      <c r="S303" s="34">
        <f>479.31</f>
        <v>479.31</v>
      </c>
      <c r="T303" s="31">
        <f>8550</f>
        <v>8550</v>
      </c>
      <c r="U303" s="31">
        <f>200</f>
        <v>200</v>
      </c>
      <c r="V303" s="31">
        <f>4146359</f>
        <v>4146359</v>
      </c>
      <c r="W303" s="31">
        <f>94620</f>
        <v>94620</v>
      </c>
      <c r="X303" s="33">
        <f>19</f>
        <v>19</v>
      </c>
    </row>
    <row r="304" spans="1:24">
      <c r="A304" s="27" t="s">
        <v>42</v>
      </c>
      <c r="B304" s="27" t="s">
        <v>956</v>
      </c>
      <c r="C304" s="27" t="s">
        <v>957</v>
      </c>
      <c r="D304" s="27" t="s">
        <v>958</v>
      </c>
      <c r="E304" s="28" t="s">
        <v>46</v>
      </c>
      <c r="F304" s="29" t="s">
        <v>46</v>
      </c>
      <c r="G304" s="30" t="s">
        <v>46</v>
      </c>
      <c r="H304" s="25"/>
      <c r="I304" s="25" t="s">
        <v>47</v>
      </c>
      <c r="J304" s="31">
        <v>1</v>
      </c>
      <c r="K304" s="35">
        <f>6814</f>
        <v>6814</v>
      </c>
      <c r="L304" s="32" t="s">
        <v>48</v>
      </c>
      <c r="M304" s="35">
        <f>7041</f>
        <v>7041</v>
      </c>
      <c r="N304" s="32" t="s">
        <v>74</v>
      </c>
      <c r="O304" s="35">
        <f>6728</f>
        <v>6728</v>
      </c>
      <c r="P304" s="32" t="s">
        <v>273</v>
      </c>
      <c r="Q304" s="35">
        <f>6769</f>
        <v>6769</v>
      </c>
      <c r="R304" s="32" t="s">
        <v>50</v>
      </c>
      <c r="S304" s="34">
        <f>6876.58</f>
        <v>6876.58</v>
      </c>
      <c r="T304" s="31">
        <f>382171</f>
        <v>382171</v>
      </c>
      <c r="U304" s="31">
        <f>161</f>
        <v>161</v>
      </c>
      <c r="V304" s="31">
        <f>2621660966</f>
        <v>2621660966</v>
      </c>
      <c r="W304" s="31">
        <f>1107236</f>
        <v>1107236</v>
      </c>
      <c r="X304" s="33">
        <f>19</f>
        <v>19</v>
      </c>
    </row>
    <row r="305" spans="1:24">
      <c r="A305" s="27" t="s">
        <v>42</v>
      </c>
      <c r="B305" s="27" t="s">
        <v>959</v>
      </c>
      <c r="C305" s="27" t="s">
        <v>960</v>
      </c>
      <c r="D305" s="27" t="s">
        <v>961</v>
      </c>
      <c r="E305" s="28" t="s">
        <v>46</v>
      </c>
      <c r="F305" s="29" t="s">
        <v>46</v>
      </c>
      <c r="G305" s="30" t="s">
        <v>46</v>
      </c>
      <c r="H305" s="25"/>
      <c r="I305" s="25" t="s">
        <v>47</v>
      </c>
      <c r="J305" s="31">
        <v>1</v>
      </c>
      <c r="K305" s="35">
        <f>3765</f>
        <v>3765</v>
      </c>
      <c r="L305" s="32" t="s">
        <v>48</v>
      </c>
      <c r="M305" s="35">
        <f>3882</f>
        <v>3882</v>
      </c>
      <c r="N305" s="32" t="s">
        <v>61</v>
      </c>
      <c r="O305" s="35">
        <f>3708</f>
        <v>3708</v>
      </c>
      <c r="P305" s="32" t="s">
        <v>213</v>
      </c>
      <c r="Q305" s="35">
        <f>3807</f>
        <v>3807</v>
      </c>
      <c r="R305" s="32" t="s">
        <v>50</v>
      </c>
      <c r="S305" s="34">
        <f>3798.53</f>
        <v>3798.53</v>
      </c>
      <c r="T305" s="31">
        <f>3495421</f>
        <v>3495421</v>
      </c>
      <c r="U305" s="31">
        <f>2455819</f>
        <v>2455819</v>
      </c>
      <c r="V305" s="31">
        <f>13290658289</f>
        <v>13290658289</v>
      </c>
      <c r="W305" s="31">
        <f>9362545705</f>
        <v>9362545705</v>
      </c>
      <c r="X305" s="33">
        <f>19</f>
        <v>19</v>
      </c>
    </row>
    <row r="306" spans="1:24">
      <c r="A306" s="27" t="s">
        <v>42</v>
      </c>
      <c r="B306" s="27" t="s">
        <v>962</v>
      </c>
      <c r="C306" s="27" t="s">
        <v>963</v>
      </c>
      <c r="D306" s="27" t="s">
        <v>964</v>
      </c>
      <c r="E306" s="28" t="s">
        <v>46</v>
      </c>
      <c r="F306" s="29" t="s">
        <v>46</v>
      </c>
      <c r="G306" s="30" t="s">
        <v>46</v>
      </c>
      <c r="H306" s="25"/>
      <c r="I306" s="25" t="s">
        <v>47</v>
      </c>
      <c r="J306" s="31">
        <v>1</v>
      </c>
      <c r="K306" s="35">
        <f>2723</f>
        <v>2723</v>
      </c>
      <c r="L306" s="32" t="s">
        <v>48</v>
      </c>
      <c r="M306" s="35">
        <f>6270</f>
        <v>6270</v>
      </c>
      <c r="N306" s="32" t="s">
        <v>103</v>
      </c>
      <c r="O306" s="35">
        <f>2721</f>
        <v>2721</v>
      </c>
      <c r="P306" s="32" t="s">
        <v>257</v>
      </c>
      <c r="Q306" s="35">
        <f>2853</f>
        <v>2853</v>
      </c>
      <c r="R306" s="32" t="s">
        <v>50</v>
      </c>
      <c r="S306" s="34">
        <f>2909.68</f>
        <v>2909.68</v>
      </c>
      <c r="T306" s="31">
        <f>63212</f>
        <v>63212</v>
      </c>
      <c r="U306" s="31" t="str">
        <f>"－"</f>
        <v>－</v>
      </c>
      <c r="V306" s="31">
        <f>216997988</f>
        <v>216997988</v>
      </c>
      <c r="W306" s="31" t="str">
        <f>"－"</f>
        <v>－</v>
      </c>
      <c r="X306" s="33">
        <f>19</f>
        <v>19</v>
      </c>
    </row>
    <row r="307" spans="1:24">
      <c r="A307" s="27" t="s">
        <v>42</v>
      </c>
      <c r="B307" s="27" t="s">
        <v>965</v>
      </c>
      <c r="C307" s="27" t="s">
        <v>966</v>
      </c>
      <c r="D307" s="27" t="s">
        <v>967</v>
      </c>
      <c r="E307" s="28" t="s">
        <v>46</v>
      </c>
      <c r="F307" s="29" t="s">
        <v>46</v>
      </c>
      <c r="G307" s="30" t="s">
        <v>46</v>
      </c>
      <c r="H307" s="25"/>
      <c r="I307" s="25" t="s">
        <v>47</v>
      </c>
      <c r="J307" s="31">
        <v>1</v>
      </c>
      <c r="K307" s="35">
        <f>2394</f>
        <v>2394</v>
      </c>
      <c r="L307" s="32" t="s">
        <v>48</v>
      </c>
      <c r="M307" s="35">
        <f>2499</f>
        <v>2499</v>
      </c>
      <c r="N307" s="32" t="s">
        <v>75</v>
      </c>
      <c r="O307" s="35">
        <f>2245</f>
        <v>2245</v>
      </c>
      <c r="P307" s="32" t="s">
        <v>61</v>
      </c>
      <c r="Q307" s="35">
        <f>2266</f>
        <v>2266</v>
      </c>
      <c r="R307" s="32" t="s">
        <v>50</v>
      </c>
      <c r="S307" s="34">
        <f>2311.68</f>
        <v>2311.6799999999998</v>
      </c>
      <c r="T307" s="31">
        <f>13579</f>
        <v>13579</v>
      </c>
      <c r="U307" s="31">
        <f>1</f>
        <v>1</v>
      </c>
      <c r="V307" s="31">
        <f>31863599</f>
        <v>31863599</v>
      </c>
      <c r="W307" s="31">
        <f>2349</f>
        <v>2349</v>
      </c>
      <c r="X307" s="33">
        <f>19</f>
        <v>19</v>
      </c>
    </row>
    <row r="308" spans="1:24">
      <c r="A308" s="27" t="s">
        <v>42</v>
      </c>
      <c r="B308" s="27" t="s">
        <v>968</v>
      </c>
      <c r="C308" s="27" t="s">
        <v>969</v>
      </c>
      <c r="D308" s="27" t="s">
        <v>970</v>
      </c>
      <c r="E308" s="28" t="s">
        <v>46</v>
      </c>
      <c r="F308" s="29" t="s">
        <v>46</v>
      </c>
      <c r="G308" s="30" t="s">
        <v>46</v>
      </c>
      <c r="H308" s="25"/>
      <c r="I308" s="25" t="s">
        <v>47</v>
      </c>
      <c r="J308" s="31">
        <v>10</v>
      </c>
      <c r="K308" s="35">
        <f>367.8</f>
        <v>367.8</v>
      </c>
      <c r="L308" s="32" t="s">
        <v>48</v>
      </c>
      <c r="M308" s="35">
        <f>386</f>
        <v>386</v>
      </c>
      <c r="N308" s="32" t="s">
        <v>48</v>
      </c>
      <c r="O308" s="35">
        <f>353.8</f>
        <v>353.8</v>
      </c>
      <c r="P308" s="32" t="s">
        <v>61</v>
      </c>
      <c r="Q308" s="35">
        <f>358.2</f>
        <v>358.2</v>
      </c>
      <c r="R308" s="32" t="s">
        <v>50</v>
      </c>
      <c r="S308" s="34">
        <f>365.24</f>
        <v>365.24</v>
      </c>
      <c r="T308" s="31">
        <f>11061310</f>
        <v>11061310</v>
      </c>
      <c r="U308" s="31">
        <f>7295820</f>
        <v>7295820</v>
      </c>
      <c r="V308" s="31">
        <f>4007953840</f>
        <v>4007953840</v>
      </c>
      <c r="W308" s="31">
        <f>2644163785</f>
        <v>2644163785</v>
      </c>
      <c r="X308" s="33">
        <f>19</f>
        <v>19</v>
      </c>
    </row>
    <row r="309" spans="1:24">
      <c r="A309" s="27" t="s">
        <v>42</v>
      </c>
      <c r="B309" s="27" t="s">
        <v>971</v>
      </c>
      <c r="C309" s="27" t="s">
        <v>972</v>
      </c>
      <c r="D309" s="27" t="s">
        <v>973</v>
      </c>
      <c r="E309" s="28" t="s">
        <v>46</v>
      </c>
      <c r="F309" s="29" t="s">
        <v>46</v>
      </c>
      <c r="G309" s="30" t="s">
        <v>46</v>
      </c>
      <c r="H309" s="25"/>
      <c r="I309" s="25" t="s">
        <v>47</v>
      </c>
      <c r="J309" s="31">
        <v>1</v>
      </c>
      <c r="K309" s="35">
        <f>1085</f>
        <v>1085</v>
      </c>
      <c r="L309" s="32" t="s">
        <v>48</v>
      </c>
      <c r="M309" s="35">
        <f>1087</f>
        <v>1087</v>
      </c>
      <c r="N309" s="32" t="s">
        <v>195</v>
      </c>
      <c r="O309" s="35">
        <f>1063</f>
        <v>1063</v>
      </c>
      <c r="P309" s="32" t="s">
        <v>213</v>
      </c>
      <c r="Q309" s="35">
        <f>1068</f>
        <v>1068</v>
      </c>
      <c r="R309" s="32" t="s">
        <v>50</v>
      </c>
      <c r="S309" s="34">
        <f>1076.95</f>
        <v>1076.95</v>
      </c>
      <c r="T309" s="31">
        <f>17243805</f>
        <v>17243805</v>
      </c>
      <c r="U309" s="31">
        <f>281155</f>
        <v>281155</v>
      </c>
      <c r="V309" s="31">
        <f>18581284442</f>
        <v>18581284442</v>
      </c>
      <c r="W309" s="31">
        <f>302615253</f>
        <v>302615253</v>
      </c>
      <c r="X309" s="33">
        <f>19</f>
        <v>19</v>
      </c>
    </row>
    <row r="310" spans="1:24">
      <c r="A310" s="27" t="s">
        <v>42</v>
      </c>
      <c r="B310" s="27" t="s">
        <v>974</v>
      </c>
      <c r="C310" s="27" t="s">
        <v>975</v>
      </c>
      <c r="D310" s="27" t="s">
        <v>976</v>
      </c>
      <c r="E310" s="28" t="s">
        <v>46</v>
      </c>
      <c r="F310" s="29" t="s">
        <v>46</v>
      </c>
      <c r="G310" s="30" t="s">
        <v>46</v>
      </c>
      <c r="H310" s="25"/>
      <c r="I310" s="25" t="s">
        <v>47</v>
      </c>
      <c r="J310" s="31">
        <v>1</v>
      </c>
      <c r="K310" s="35">
        <f>1785</f>
        <v>1785</v>
      </c>
      <c r="L310" s="32" t="s">
        <v>48</v>
      </c>
      <c r="M310" s="35">
        <f>1806</f>
        <v>1806</v>
      </c>
      <c r="N310" s="32" t="s">
        <v>48</v>
      </c>
      <c r="O310" s="35">
        <f>1733</f>
        <v>1733</v>
      </c>
      <c r="P310" s="32" t="s">
        <v>50</v>
      </c>
      <c r="Q310" s="35">
        <f>1750</f>
        <v>1750</v>
      </c>
      <c r="R310" s="32" t="s">
        <v>50</v>
      </c>
      <c r="S310" s="34">
        <f>1756.84</f>
        <v>1756.84</v>
      </c>
      <c r="T310" s="31">
        <f>116796</f>
        <v>116796</v>
      </c>
      <c r="U310" s="31">
        <f>16026</f>
        <v>16026</v>
      </c>
      <c r="V310" s="31">
        <f>204760172</f>
        <v>204760172</v>
      </c>
      <c r="W310" s="31">
        <f>27783039</f>
        <v>27783039</v>
      </c>
      <c r="X310" s="33">
        <f>19</f>
        <v>19</v>
      </c>
    </row>
    <row r="311" spans="1:24">
      <c r="A311" s="27" t="s">
        <v>42</v>
      </c>
      <c r="B311" s="27" t="s">
        <v>977</v>
      </c>
      <c r="C311" s="27" t="s">
        <v>978</v>
      </c>
      <c r="D311" s="27" t="s">
        <v>979</v>
      </c>
      <c r="E311" s="28" t="s">
        <v>46</v>
      </c>
      <c r="F311" s="29" t="s">
        <v>46</v>
      </c>
      <c r="G311" s="30" t="s">
        <v>46</v>
      </c>
      <c r="H311" s="25"/>
      <c r="I311" s="25" t="s">
        <v>47</v>
      </c>
      <c r="J311" s="31">
        <v>1</v>
      </c>
      <c r="K311" s="35">
        <f>2010</f>
        <v>2010</v>
      </c>
      <c r="L311" s="32" t="s">
        <v>48</v>
      </c>
      <c r="M311" s="35">
        <f>2104</f>
        <v>2104</v>
      </c>
      <c r="N311" s="32" t="s">
        <v>60</v>
      </c>
      <c r="O311" s="35">
        <f>1995</f>
        <v>1995</v>
      </c>
      <c r="P311" s="32" t="s">
        <v>48</v>
      </c>
      <c r="Q311" s="35">
        <f>2008</f>
        <v>2008</v>
      </c>
      <c r="R311" s="32" t="s">
        <v>50</v>
      </c>
      <c r="S311" s="34">
        <f>2004.63</f>
        <v>2004.63</v>
      </c>
      <c r="T311" s="31">
        <f>524805</f>
        <v>524805</v>
      </c>
      <c r="U311" s="31">
        <f>499000</f>
        <v>499000</v>
      </c>
      <c r="V311" s="31">
        <f>1049162083</f>
        <v>1049162083</v>
      </c>
      <c r="W311" s="31">
        <f>997051900</f>
        <v>997051900</v>
      </c>
      <c r="X311" s="33">
        <f>19</f>
        <v>19</v>
      </c>
    </row>
    <row r="312" spans="1:24">
      <c r="A312" s="27" t="s">
        <v>42</v>
      </c>
      <c r="B312" s="27" t="s">
        <v>980</v>
      </c>
      <c r="C312" s="27" t="s">
        <v>981</v>
      </c>
      <c r="D312" s="27" t="s">
        <v>982</v>
      </c>
      <c r="E312" s="28" t="s">
        <v>46</v>
      </c>
      <c r="F312" s="29" t="s">
        <v>46</v>
      </c>
      <c r="G312" s="30" t="s">
        <v>46</v>
      </c>
      <c r="H312" s="25"/>
      <c r="I312" s="25" t="s">
        <v>47</v>
      </c>
      <c r="J312" s="31">
        <v>1</v>
      </c>
      <c r="K312" s="35">
        <f>5146</f>
        <v>5146</v>
      </c>
      <c r="L312" s="32" t="s">
        <v>48</v>
      </c>
      <c r="M312" s="35">
        <f>5474</f>
        <v>5474</v>
      </c>
      <c r="N312" s="32" t="s">
        <v>74</v>
      </c>
      <c r="O312" s="35">
        <f>5130</f>
        <v>5130</v>
      </c>
      <c r="P312" s="32" t="s">
        <v>75</v>
      </c>
      <c r="Q312" s="35">
        <f>5346</f>
        <v>5346</v>
      </c>
      <c r="R312" s="32" t="s">
        <v>50</v>
      </c>
      <c r="S312" s="34">
        <f>5339.58</f>
        <v>5339.58</v>
      </c>
      <c r="T312" s="31">
        <f>1366003</f>
        <v>1366003</v>
      </c>
      <c r="U312" s="31">
        <f>632959</f>
        <v>632959</v>
      </c>
      <c r="V312" s="31">
        <f>7268566045</f>
        <v>7268566045</v>
      </c>
      <c r="W312" s="31">
        <f>3387340735</f>
        <v>3387340735</v>
      </c>
      <c r="X312" s="33">
        <f>19</f>
        <v>19</v>
      </c>
    </row>
    <row r="313" spans="1:24">
      <c r="A313" s="27" t="s">
        <v>42</v>
      </c>
      <c r="B313" s="27" t="s">
        <v>983</v>
      </c>
      <c r="C313" s="27" t="s">
        <v>984</v>
      </c>
      <c r="D313" s="27" t="s">
        <v>985</v>
      </c>
      <c r="E313" s="28" t="s">
        <v>46</v>
      </c>
      <c r="F313" s="29" t="s">
        <v>46</v>
      </c>
      <c r="G313" s="30" t="s">
        <v>46</v>
      </c>
      <c r="H313" s="25"/>
      <c r="I313" s="25" t="s">
        <v>47</v>
      </c>
      <c r="J313" s="31">
        <v>1</v>
      </c>
      <c r="K313" s="35">
        <f>3475</f>
        <v>3475</v>
      </c>
      <c r="L313" s="32" t="s">
        <v>48</v>
      </c>
      <c r="M313" s="35">
        <f>3685</f>
        <v>3685</v>
      </c>
      <c r="N313" s="32" t="s">
        <v>49</v>
      </c>
      <c r="O313" s="35">
        <f>3465</f>
        <v>3465</v>
      </c>
      <c r="P313" s="32" t="s">
        <v>48</v>
      </c>
      <c r="Q313" s="35">
        <f>3585</f>
        <v>3585</v>
      </c>
      <c r="R313" s="32" t="s">
        <v>50</v>
      </c>
      <c r="S313" s="34">
        <f>3590.47</f>
        <v>3590.47</v>
      </c>
      <c r="T313" s="31">
        <f>3613668</f>
        <v>3613668</v>
      </c>
      <c r="U313" s="31">
        <f>3309758</f>
        <v>3309758</v>
      </c>
      <c r="V313" s="31">
        <f>13039155726</f>
        <v>13039155726</v>
      </c>
      <c r="W313" s="31">
        <f>11939812422</f>
        <v>11939812422</v>
      </c>
      <c r="X313" s="33">
        <f>19</f>
        <v>19</v>
      </c>
    </row>
    <row r="314" spans="1:24">
      <c r="A314" s="27" t="s">
        <v>42</v>
      </c>
      <c r="B314" s="27" t="s">
        <v>986</v>
      </c>
      <c r="C314" s="27" t="s">
        <v>987</v>
      </c>
      <c r="D314" s="27" t="s">
        <v>988</v>
      </c>
      <c r="E314" s="28" t="s">
        <v>46</v>
      </c>
      <c r="F314" s="29" t="s">
        <v>46</v>
      </c>
      <c r="G314" s="30" t="s">
        <v>46</v>
      </c>
      <c r="H314" s="25"/>
      <c r="I314" s="25" t="s">
        <v>47</v>
      </c>
      <c r="J314" s="31">
        <v>1</v>
      </c>
      <c r="K314" s="35">
        <f>3130</f>
        <v>3130</v>
      </c>
      <c r="L314" s="32" t="s">
        <v>48</v>
      </c>
      <c r="M314" s="35">
        <f>3130</f>
        <v>3130</v>
      </c>
      <c r="N314" s="32" t="s">
        <v>48</v>
      </c>
      <c r="O314" s="35">
        <f>2903</f>
        <v>2903</v>
      </c>
      <c r="P314" s="32" t="s">
        <v>70</v>
      </c>
      <c r="Q314" s="35">
        <f>2939</f>
        <v>2939</v>
      </c>
      <c r="R314" s="32" t="s">
        <v>50</v>
      </c>
      <c r="S314" s="34">
        <f>3040</f>
        <v>3040</v>
      </c>
      <c r="T314" s="31">
        <f>47506</f>
        <v>47506</v>
      </c>
      <c r="U314" s="31">
        <f>50</f>
        <v>50</v>
      </c>
      <c r="V314" s="31">
        <f>140770853</f>
        <v>140770853</v>
      </c>
      <c r="W314" s="31">
        <f>154230</f>
        <v>154230</v>
      </c>
      <c r="X314" s="33">
        <f>19</f>
        <v>19</v>
      </c>
    </row>
    <row r="315" spans="1:24">
      <c r="A315" s="27" t="s">
        <v>42</v>
      </c>
      <c r="B315" s="27" t="s">
        <v>989</v>
      </c>
      <c r="C315" s="27" t="s">
        <v>990</v>
      </c>
      <c r="D315" s="27" t="s">
        <v>991</v>
      </c>
      <c r="E315" s="28" t="s">
        <v>46</v>
      </c>
      <c r="F315" s="29" t="s">
        <v>46</v>
      </c>
      <c r="G315" s="30" t="s">
        <v>46</v>
      </c>
      <c r="H315" s="25"/>
      <c r="I315" s="25" t="s">
        <v>47</v>
      </c>
      <c r="J315" s="31">
        <v>1</v>
      </c>
      <c r="K315" s="35">
        <f>1533</f>
        <v>1533</v>
      </c>
      <c r="L315" s="32" t="s">
        <v>48</v>
      </c>
      <c r="M315" s="35">
        <f>1585</f>
        <v>1585</v>
      </c>
      <c r="N315" s="32" t="s">
        <v>74</v>
      </c>
      <c r="O315" s="35">
        <f>1435</f>
        <v>1435</v>
      </c>
      <c r="P315" s="32" t="s">
        <v>70</v>
      </c>
      <c r="Q315" s="35">
        <f>1452</f>
        <v>1452</v>
      </c>
      <c r="R315" s="32" t="s">
        <v>50</v>
      </c>
      <c r="S315" s="34">
        <f>1507.21</f>
        <v>1507.21</v>
      </c>
      <c r="T315" s="31">
        <f>20589</f>
        <v>20589</v>
      </c>
      <c r="U315" s="31">
        <f>130</f>
        <v>130</v>
      </c>
      <c r="V315" s="31">
        <f>31340274</f>
        <v>31340274</v>
      </c>
      <c r="W315" s="31">
        <f>195200</f>
        <v>195200</v>
      </c>
      <c r="X315" s="33">
        <f>19</f>
        <v>19</v>
      </c>
    </row>
    <row r="316" spans="1:24">
      <c r="A316" s="27" t="s">
        <v>42</v>
      </c>
      <c r="B316" s="27" t="s">
        <v>992</v>
      </c>
      <c r="C316" s="27" t="s">
        <v>993</v>
      </c>
      <c r="D316" s="27" t="s">
        <v>994</v>
      </c>
      <c r="E316" s="28" t="s">
        <v>46</v>
      </c>
      <c r="F316" s="29" t="s">
        <v>46</v>
      </c>
      <c r="G316" s="30" t="s">
        <v>46</v>
      </c>
      <c r="H316" s="25"/>
      <c r="I316" s="25" t="s">
        <v>47</v>
      </c>
      <c r="J316" s="31">
        <v>1</v>
      </c>
      <c r="K316" s="35">
        <f>2963</f>
        <v>2963</v>
      </c>
      <c r="L316" s="32" t="s">
        <v>48</v>
      </c>
      <c r="M316" s="35">
        <f>3450</f>
        <v>3450</v>
      </c>
      <c r="N316" s="32" t="s">
        <v>206</v>
      </c>
      <c r="O316" s="35">
        <f>2946</f>
        <v>2946</v>
      </c>
      <c r="P316" s="32" t="s">
        <v>48</v>
      </c>
      <c r="Q316" s="35">
        <f>3275</f>
        <v>3275</v>
      </c>
      <c r="R316" s="32" t="s">
        <v>50</v>
      </c>
      <c r="S316" s="34">
        <f>3259.89</f>
        <v>3259.89</v>
      </c>
      <c r="T316" s="31">
        <f>343105</f>
        <v>343105</v>
      </c>
      <c r="U316" s="31" t="str">
        <f>"－"</f>
        <v>－</v>
      </c>
      <c r="V316" s="31">
        <f>1117365376</f>
        <v>1117365376</v>
      </c>
      <c r="W316" s="31" t="str">
        <f>"－"</f>
        <v>－</v>
      </c>
      <c r="X316" s="33">
        <f>19</f>
        <v>19</v>
      </c>
    </row>
    <row r="317" spans="1:24">
      <c r="A317" s="27" t="s">
        <v>42</v>
      </c>
      <c r="B317" s="27" t="s">
        <v>995</v>
      </c>
      <c r="C317" s="27" t="s">
        <v>996</v>
      </c>
      <c r="D317" s="27" t="s">
        <v>997</v>
      </c>
      <c r="E317" s="28" t="s">
        <v>46</v>
      </c>
      <c r="F317" s="29" t="s">
        <v>46</v>
      </c>
      <c r="G317" s="30" t="s">
        <v>46</v>
      </c>
      <c r="H317" s="25"/>
      <c r="I317" s="25" t="s">
        <v>47</v>
      </c>
      <c r="J317" s="31">
        <v>1</v>
      </c>
      <c r="K317" s="35">
        <f>3790</f>
        <v>3790</v>
      </c>
      <c r="L317" s="32" t="s">
        <v>48</v>
      </c>
      <c r="M317" s="35">
        <f>4197</f>
        <v>4197</v>
      </c>
      <c r="N317" s="32" t="s">
        <v>74</v>
      </c>
      <c r="O317" s="35">
        <f>3689</f>
        <v>3689</v>
      </c>
      <c r="P317" s="32" t="s">
        <v>50</v>
      </c>
      <c r="Q317" s="35">
        <f>3725</f>
        <v>3725</v>
      </c>
      <c r="R317" s="32" t="s">
        <v>50</v>
      </c>
      <c r="S317" s="34">
        <f>3839.16</f>
        <v>3839.16</v>
      </c>
      <c r="T317" s="31">
        <f>311383</f>
        <v>311383</v>
      </c>
      <c r="U317" s="31" t="str">
        <f>"－"</f>
        <v>－</v>
      </c>
      <c r="V317" s="31">
        <f>1194070083</f>
        <v>1194070083</v>
      </c>
      <c r="W317" s="31" t="str">
        <f>"－"</f>
        <v>－</v>
      </c>
      <c r="X317" s="33">
        <f>19</f>
        <v>19</v>
      </c>
    </row>
    <row r="318" spans="1:24">
      <c r="A318" s="27" t="s">
        <v>42</v>
      </c>
      <c r="B318" s="27" t="s">
        <v>998</v>
      </c>
      <c r="C318" s="27" t="s">
        <v>999</v>
      </c>
      <c r="D318" s="27" t="s">
        <v>1000</v>
      </c>
      <c r="E318" s="28" t="s">
        <v>46</v>
      </c>
      <c r="F318" s="29" t="s">
        <v>46</v>
      </c>
      <c r="G318" s="30" t="s">
        <v>46</v>
      </c>
      <c r="H318" s="25"/>
      <c r="I318" s="25" t="s">
        <v>47</v>
      </c>
      <c r="J318" s="31">
        <v>1</v>
      </c>
      <c r="K318" s="35">
        <f>14680</f>
        <v>14680</v>
      </c>
      <c r="L318" s="32" t="s">
        <v>48</v>
      </c>
      <c r="M318" s="35">
        <f>14955</f>
        <v>14955</v>
      </c>
      <c r="N318" s="32" t="s">
        <v>61</v>
      </c>
      <c r="O318" s="35">
        <f>14510</f>
        <v>14510</v>
      </c>
      <c r="P318" s="32" t="s">
        <v>213</v>
      </c>
      <c r="Q318" s="35">
        <f>14745</f>
        <v>14745</v>
      </c>
      <c r="R318" s="32" t="s">
        <v>50</v>
      </c>
      <c r="S318" s="34">
        <f>14775.53</f>
        <v>14775.53</v>
      </c>
      <c r="T318" s="31">
        <f>436192</f>
        <v>436192</v>
      </c>
      <c r="U318" s="31">
        <f>310975</f>
        <v>310975</v>
      </c>
      <c r="V318" s="31">
        <f>6433356824</f>
        <v>6433356824</v>
      </c>
      <c r="W318" s="31">
        <f>4584243084</f>
        <v>4584243084</v>
      </c>
      <c r="X318" s="33">
        <f>19</f>
        <v>19</v>
      </c>
    </row>
    <row r="319" spans="1:24">
      <c r="A319" s="27" t="s">
        <v>42</v>
      </c>
      <c r="B319" s="27" t="s">
        <v>1001</v>
      </c>
      <c r="C319" s="27" t="s">
        <v>1002</v>
      </c>
      <c r="D319" s="27" t="s">
        <v>1003</v>
      </c>
      <c r="E319" s="28" t="s">
        <v>46</v>
      </c>
      <c r="F319" s="29" t="s">
        <v>46</v>
      </c>
      <c r="G319" s="30" t="s">
        <v>46</v>
      </c>
      <c r="H319" s="25"/>
      <c r="I319" s="25" t="s">
        <v>47</v>
      </c>
      <c r="J319" s="31">
        <v>1</v>
      </c>
      <c r="K319" s="35">
        <f>28395</f>
        <v>28395</v>
      </c>
      <c r="L319" s="32" t="s">
        <v>48</v>
      </c>
      <c r="M319" s="35">
        <f>29385</f>
        <v>29385</v>
      </c>
      <c r="N319" s="32" t="s">
        <v>74</v>
      </c>
      <c r="O319" s="35">
        <f>28060</f>
        <v>28060</v>
      </c>
      <c r="P319" s="32" t="s">
        <v>273</v>
      </c>
      <c r="Q319" s="35">
        <f>28265</f>
        <v>28265</v>
      </c>
      <c r="R319" s="32" t="s">
        <v>50</v>
      </c>
      <c r="S319" s="34">
        <f>28692.63</f>
        <v>28692.63</v>
      </c>
      <c r="T319" s="31">
        <f>282676</f>
        <v>282676</v>
      </c>
      <c r="U319" s="31">
        <f>60112</f>
        <v>60112</v>
      </c>
      <c r="V319" s="31">
        <f>8096733839</f>
        <v>8096733839</v>
      </c>
      <c r="W319" s="31">
        <f>1727188824</f>
        <v>1727188824</v>
      </c>
      <c r="X319" s="33">
        <f>19</f>
        <v>19</v>
      </c>
    </row>
    <row r="320" spans="1:24">
      <c r="A320" s="27" t="s">
        <v>42</v>
      </c>
      <c r="B320" s="27" t="s">
        <v>1004</v>
      </c>
      <c r="C320" s="27" t="s">
        <v>1005</v>
      </c>
      <c r="D320" s="27" t="s">
        <v>1006</v>
      </c>
      <c r="E320" s="28" t="s">
        <v>46</v>
      </c>
      <c r="F320" s="29" t="s">
        <v>46</v>
      </c>
      <c r="G320" s="30" t="s">
        <v>46</v>
      </c>
      <c r="H320" s="25"/>
      <c r="I320" s="25" t="s">
        <v>47</v>
      </c>
      <c r="J320" s="31">
        <v>1</v>
      </c>
      <c r="K320" s="35">
        <f>15710</f>
        <v>15710</v>
      </c>
      <c r="L320" s="32" t="s">
        <v>48</v>
      </c>
      <c r="M320" s="35">
        <f>16230</f>
        <v>16230</v>
      </c>
      <c r="N320" s="32" t="s">
        <v>61</v>
      </c>
      <c r="O320" s="35">
        <f>15490</f>
        <v>15490</v>
      </c>
      <c r="P320" s="32" t="s">
        <v>213</v>
      </c>
      <c r="Q320" s="35">
        <f>15950</f>
        <v>15950</v>
      </c>
      <c r="R320" s="32" t="s">
        <v>50</v>
      </c>
      <c r="S320" s="34">
        <f>15883.95</f>
        <v>15883.95</v>
      </c>
      <c r="T320" s="31">
        <f>201796</f>
        <v>201796</v>
      </c>
      <c r="U320" s="31">
        <f>13153</f>
        <v>13153</v>
      </c>
      <c r="V320" s="31">
        <f>3199675190</f>
        <v>3199675190</v>
      </c>
      <c r="W320" s="31">
        <f>204330585</f>
        <v>204330585</v>
      </c>
      <c r="X320" s="33">
        <f>19</f>
        <v>19</v>
      </c>
    </row>
    <row r="321" spans="1:24">
      <c r="A321" s="27" t="s">
        <v>42</v>
      </c>
      <c r="B321" s="27" t="s">
        <v>1007</v>
      </c>
      <c r="C321" s="27" t="s">
        <v>1008</v>
      </c>
      <c r="D321" s="27" t="s">
        <v>1009</v>
      </c>
      <c r="E321" s="28" t="s">
        <v>46</v>
      </c>
      <c r="F321" s="29" t="s">
        <v>46</v>
      </c>
      <c r="G321" s="30" t="s">
        <v>46</v>
      </c>
      <c r="H321" s="25"/>
      <c r="I321" s="25" t="s">
        <v>47</v>
      </c>
      <c r="J321" s="31">
        <v>10</v>
      </c>
      <c r="K321" s="35">
        <f>497.7</f>
        <v>497.7</v>
      </c>
      <c r="L321" s="32" t="s">
        <v>48</v>
      </c>
      <c r="M321" s="35">
        <f>512.7</f>
        <v>512.70000000000005</v>
      </c>
      <c r="N321" s="32" t="s">
        <v>74</v>
      </c>
      <c r="O321" s="35">
        <f>490</f>
        <v>490</v>
      </c>
      <c r="P321" s="32" t="s">
        <v>273</v>
      </c>
      <c r="Q321" s="35">
        <f>492.2</f>
        <v>492.2</v>
      </c>
      <c r="R321" s="32" t="s">
        <v>50</v>
      </c>
      <c r="S321" s="34">
        <f>501.54</f>
        <v>501.54</v>
      </c>
      <c r="T321" s="31">
        <f>7316420</f>
        <v>7316420</v>
      </c>
      <c r="U321" s="31">
        <f>3873330</f>
        <v>3873330</v>
      </c>
      <c r="V321" s="31">
        <f>3683239596</f>
        <v>3683239596</v>
      </c>
      <c r="W321" s="31">
        <f>1962137676</f>
        <v>1962137676</v>
      </c>
      <c r="X321" s="33">
        <f>19</f>
        <v>19</v>
      </c>
    </row>
    <row r="322" spans="1:24">
      <c r="A322" s="27" t="s">
        <v>42</v>
      </c>
      <c r="B322" s="27" t="s">
        <v>1010</v>
      </c>
      <c r="C322" s="27" t="s">
        <v>1011</v>
      </c>
      <c r="D322" s="27" t="s">
        <v>1012</v>
      </c>
      <c r="E322" s="28" t="s">
        <v>46</v>
      </c>
      <c r="F322" s="29" t="s">
        <v>46</v>
      </c>
      <c r="G322" s="30" t="s">
        <v>46</v>
      </c>
      <c r="H322" s="25"/>
      <c r="I322" s="25" t="s">
        <v>47</v>
      </c>
      <c r="J322" s="31">
        <v>1</v>
      </c>
      <c r="K322" s="35">
        <f>2904</f>
        <v>2904</v>
      </c>
      <c r="L322" s="32" t="s">
        <v>48</v>
      </c>
      <c r="M322" s="35">
        <f>2955</f>
        <v>2955</v>
      </c>
      <c r="N322" s="32" t="s">
        <v>61</v>
      </c>
      <c r="O322" s="35">
        <f>2865</f>
        <v>2865</v>
      </c>
      <c r="P322" s="32" t="s">
        <v>213</v>
      </c>
      <c r="Q322" s="35">
        <f>2917</f>
        <v>2917</v>
      </c>
      <c r="R322" s="32" t="s">
        <v>50</v>
      </c>
      <c r="S322" s="34">
        <f>2922.11</f>
        <v>2922.11</v>
      </c>
      <c r="T322" s="31">
        <f>6561720</f>
        <v>6561720</v>
      </c>
      <c r="U322" s="31">
        <f>4609241</f>
        <v>4609241</v>
      </c>
      <c r="V322" s="31">
        <f>19130890131</f>
        <v>19130890131</v>
      </c>
      <c r="W322" s="31">
        <f>13446675040</f>
        <v>13446675040</v>
      </c>
      <c r="X322" s="33">
        <f>19</f>
        <v>19</v>
      </c>
    </row>
    <row r="323" spans="1:24">
      <c r="A323" s="27" t="s">
        <v>42</v>
      </c>
      <c r="B323" s="27" t="s">
        <v>1013</v>
      </c>
      <c r="C323" s="27" t="s">
        <v>1014</v>
      </c>
      <c r="D323" s="27" t="s">
        <v>1015</v>
      </c>
      <c r="E323" s="28" t="s">
        <v>46</v>
      </c>
      <c r="F323" s="29" t="s">
        <v>46</v>
      </c>
      <c r="G323" s="30" t="s">
        <v>46</v>
      </c>
      <c r="H323" s="25"/>
      <c r="I323" s="25" t="s">
        <v>47</v>
      </c>
      <c r="J323" s="31">
        <v>1</v>
      </c>
      <c r="K323" s="35">
        <f>4151</f>
        <v>4151</v>
      </c>
      <c r="L323" s="32" t="s">
        <v>48</v>
      </c>
      <c r="M323" s="35">
        <f>4446</f>
        <v>4446</v>
      </c>
      <c r="N323" s="32" t="s">
        <v>103</v>
      </c>
      <c r="O323" s="35">
        <f>4137</f>
        <v>4137</v>
      </c>
      <c r="P323" s="32" t="s">
        <v>48</v>
      </c>
      <c r="Q323" s="35">
        <f>4252</f>
        <v>4252</v>
      </c>
      <c r="R323" s="32" t="s">
        <v>50</v>
      </c>
      <c r="S323" s="34">
        <f>4270.05</f>
        <v>4270.05</v>
      </c>
      <c r="T323" s="31">
        <f>20447</f>
        <v>20447</v>
      </c>
      <c r="U323" s="31">
        <f>10</f>
        <v>10</v>
      </c>
      <c r="V323" s="31">
        <f>86553181</f>
        <v>86553181</v>
      </c>
      <c r="W323" s="31">
        <f>42815</f>
        <v>42815</v>
      </c>
      <c r="X323" s="33">
        <f>19</f>
        <v>19</v>
      </c>
    </row>
    <row r="324" spans="1:24">
      <c r="A324" s="27" t="s">
        <v>42</v>
      </c>
      <c r="B324" s="27" t="s">
        <v>1016</v>
      </c>
      <c r="C324" s="27" t="s">
        <v>1017</v>
      </c>
      <c r="D324" s="27" t="s">
        <v>1018</v>
      </c>
      <c r="E324" s="28" t="s">
        <v>46</v>
      </c>
      <c r="F324" s="29" t="s">
        <v>46</v>
      </c>
      <c r="G324" s="30" t="s">
        <v>46</v>
      </c>
      <c r="H324" s="25"/>
      <c r="I324" s="25" t="s">
        <v>47</v>
      </c>
      <c r="J324" s="31">
        <v>1</v>
      </c>
      <c r="K324" s="35">
        <f>1954</f>
        <v>1954</v>
      </c>
      <c r="L324" s="32" t="s">
        <v>48</v>
      </c>
      <c r="M324" s="35">
        <f>2203</f>
        <v>2203</v>
      </c>
      <c r="N324" s="32" t="s">
        <v>61</v>
      </c>
      <c r="O324" s="35">
        <f>1954</f>
        <v>1954</v>
      </c>
      <c r="P324" s="32" t="s">
        <v>48</v>
      </c>
      <c r="Q324" s="35">
        <f>2060</f>
        <v>2060</v>
      </c>
      <c r="R324" s="32" t="s">
        <v>50</v>
      </c>
      <c r="S324" s="34">
        <f>2095.21</f>
        <v>2095.21</v>
      </c>
      <c r="T324" s="31">
        <f>33162</f>
        <v>33162</v>
      </c>
      <c r="U324" s="31">
        <f>230</f>
        <v>230</v>
      </c>
      <c r="V324" s="31">
        <f>68861098</f>
        <v>68861098</v>
      </c>
      <c r="W324" s="31">
        <f>480278</f>
        <v>480278</v>
      </c>
      <c r="X324" s="33">
        <f>19</f>
        <v>19</v>
      </c>
    </row>
    <row r="325" spans="1:24">
      <c r="A325" s="27" t="s">
        <v>42</v>
      </c>
      <c r="B325" s="27" t="s">
        <v>1019</v>
      </c>
      <c r="C325" s="27" t="s">
        <v>1020</v>
      </c>
      <c r="D325" s="27" t="s">
        <v>1021</v>
      </c>
      <c r="E325" s="28" t="s">
        <v>46</v>
      </c>
      <c r="F325" s="29" t="s">
        <v>46</v>
      </c>
      <c r="G325" s="30" t="s">
        <v>46</v>
      </c>
      <c r="H325" s="25"/>
      <c r="I325" s="25" t="s">
        <v>47</v>
      </c>
      <c r="J325" s="31">
        <v>1</v>
      </c>
      <c r="K325" s="35">
        <f>2448</f>
        <v>2448</v>
      </c>
      <c r="L325" s="32" t="s">
        <v>48</v>
      </c>
      <c r="M325" s="35">
        <f>2589</f>
        <v>2589</v>
      </c>
      <c r="N325" s="32" t="s">
        <v>49</v>
      </c>
      <c r="O325" s="35">
        <f>2386</f>
        <v>2386</v>
      </c>
      <c r="P325" s="32" t="s">
        <v>70</v>
      </c>
      <c r="Q325" s="35">
        <f>2421</f>
        <v>2421</v>
      </c>
      <c r="R325" s="32" t="s">
        <v>50</v>
      </c>
      <c r="S325" s="34">
        <f>2492.37</f>
        <v>2492.37</v>
      </c>
      <c r="T325" s="31">
        <f>1270557</f>
        <v>1270557</v>
      </c>
      <c r="U325" s="31">
        <f>301255</f>
        <v>301255</v>
      </c>
      <c r="V325" s="31">
        <f>3178262097</f>
        <v>3178262097</v>
      </c>
      <c r="W325" s="31">
        <f>767279485</f>
        <v>767279485</v>
      </c>
      <c r="X325" s="33">
        <f>19</f>
        <v>19</v>
      </c>
    </row>
    <row r="326" spans="1:24">
      <c r="A326" s="27" t="s">
        <v>42</v>
      </c>
      <c r="B326" s="27" t="s">
        <v>1022</v>
      </c>
      <c r="C326" s="27" t="s">
        <v>1023</v>
      </c>
      <c r="D326" s="27" t="s">
        <v>1024</v>
      </c>
      <c r="E326" s="28" t="s">
        <v>46</v>
      </c>
      <c r="F326" s="29" t="s">
        <v>46</v>
      </c>
      <c r="G326" s="30" t="s">
        <v>46</v>
      </c>
      <c r="H326" s="25"/>
      <c r="I326" s="25" t="s">
        <v>47</v>
      </c>
      <c r="J326" s="31">
        <v>1</v>
      </c>
      <c r="K326" s="35">
        <f>1697</f>
        <v>1697</v>
      </c>
      <c r="L326" s="32" t="s">
        <v>48</v>
      </c>
      <c r="M326" s="35">
        <f>1780</f>
        <v>1780</v>
      </c>
      <c r="N326" s="32" t="s">
        <v>74</v>
      </c>
      <c r="O326" s="35">
        <f>1650</f>
        <v>1650</v>
      </c>
      <c r="P326" s="32" t="s">
        <v>70</v>
      </c>
      <c r="Q326" s="35">
        <f>1692</f>
        <v>1692</v>
      </c>
      <c r="R326" s="32" t="s">
        <v>50</v>
      </c>
      <c r="S326" s="34">
        <f>1721.84</f>
        <v>1721.84</v>
      </c>
      <c r="T326" s="31">
        <f>128185</f>
        <v>128185</v>
      </c>
      <c r="U326" s="31">
        <f>114520</f>
        <v>114520</v>
      </c>
      <c r="V326" s="31">
        <f>224048074</f>
        <v>224048074</v>
      </c>
      <c r="W326" s="31">
        <f>200523457</f>
        <v>200523457</v>
      </c>
      <c r="X326" s="33">
        <f>19</f>
        <v>19</v>
      </c>
    </row>
    <row r="327" spans="1:24">
      <c r="A327" s="27" t="s">
        <v>42</v>
      </c>
      <c r="B327" s="27" t="s">
        <v>1025</v>
      </c>
      <c r="C327" s="27" t="s">
        <v>1026</v>
      </c>
      <c r="D327" s="27" t="s">
        <v>1027</v>
      </c>
      <c r="E327" s="28" t="s">
        <v>46</v>
      </c>
      <c r="F327" s="29" t="s">
        <v>46</v>
      </c>
      <c r="G327" s="30" t="s">
        <v>46</v>
      </c>
      <c r="H327" s="25"/>
      <c r="I327" s="25" t="s">
        <v>47</v>
      </c>
      <c r="J327" s="31">
        <v>1</v>
      </c>
      <c r="K327" s="35">
        <f>4352</f>
        <v>4352</v>
      </c>
      <c r="L327" s="32" t="s">
        <v>48</v>
      </c>
      <c r="M327" s="35">
        <f>4449</f>
        <v>4449</v>
      </c>
      <c r="N327" s="32" t="s">
        <v>65</v>
      </c>
      <c r="O327" s="35">
        <f>4128</f>
        <v>4128</v>
      </c>
      <c r="P327" s="32" t="s">
        <v>70</v>
      </c>
      <c r="Q327" s="35">
        <f>4193</f>
        <v>4193</v>
      </c>
      <c r="R327" s="32" t="s">
        <v>50</v>
      </c>
      <c r="S327" s="34">
        <f>4302</f>
        <v>4302</v>
      </c>
      <c r="T327" s="31">
        <f>372914</f>
        <v>372914</v>
      </c>
      <c r="U327" s="31">
        <f>128216</f>
        <v>128216</v>
      </c>
      <c r="V327" s="31">
        <f>1612500910</f>
        <v>1612500910</v>
      </c>
      <c r="W327" s="31">
        <f>559328949</f>
        <v>559328949</v>
      </c>
      <c r="X327" s="33">
        <f>19</f>
        <v>19</v>
      </c>
    </row>
    <row r="328" spans="1:24">
      <c r="A328" s="27" t="s">
        <v>42</v>
      </c>
      <c r="B328" s="27" t="s">
        <v>1028</v>
      </c>
      <c r="C328" s="27" t="s">
        <v>1029</v>
      </c>
      <c r="D328" s="27" t="s">
        <v>1030</v>
      </c>
      <c r="E328" s="28" t="s">
        <v>46</v>
      </c>
      <c r="F328" s="29" t="s">
        <v>46</v>
      </c>
      <c r="G328" s="30" t="s">
        <v>46</v>
      </c>
      <c r="H328" s="25"/>
      <c r="I328" s="25" t="s">
        <v>47</v>
      </c>
      <c r="J328" s="31">
        <v>1</v>
      </c>
      <c r="K328" s="35">
        <f>3986</f>
        <v>3986</v>
      </c>
      <c r="L328" s="32" t="s">
        <v>48</v>
      </c>
      <c r="M328" s="35">
        <f>4300</f>
        <v>4300</v>
      </c>
      <c r="N328" s="32" t="s">
        <v>103</v>
      </c>
      <c r="O328" s="35">
        <f>3978</f>
        <v>3978</v>
      </c>
      <c r="P328" s="32" t="s">
        <v>75</v>
      </c>
      <c r="Q328" s="35">
        <f>4085</f>
        <v>4085</v>
      </c>
      <c r="R328" s="32" t="s">
        <v>50</v>
      </c>
      <c r="S328" s="34">
        <f>4120.42</f>
        <v>4120.42</v>
      </c>
      <c r="T328" s="31">
        <f>1274754</f>
        <v>1274754</v>
      </c>
      <c r="U328" s="31">
        <f>879263</f>
        <v>879263</v>
      </c>
      <c r="V328" s="31">
        <f>5234965246</f>
        <v>5234965246</v>
      </c>
      <c r="W328" s="31">
        <f>3604128896</f>
        <v>3604128896</v>
      </c>
      <c r="X328" s="33">
        <f>19</f>
        <v>19</v>
      </c>
    </row>
    <row r="329" spans="1:24">
      <c r="A329" s="27" t="s">
        <v>42</v>
      </c>
      <c r="B329" s="27" t="s">
        <v>1031</v>
      </c>
      <c r="C329" s="27" t="s">
        <v>1032</v>
      </c>
      <c r="D329" s="27" t="s">
        <v>1033</v>
      </c>
      <c r="E329" s="28" t="s">
        <v>46</v>
      </c>
      <c r="F329" s="29" t="s">
        <v>46</v>
      </c>
      <c r="G329" s="30" t="s">
        <v>46</v>
      </c>
      <c r="H329" s="25"/>
      <c r="I329" s="25" t="s">
        <v>47</v>
      </c>
      <c r="J329" s="31">
        <v>1</v>
      </c>
      <c r="K329" s="35">
        <f>46190</f>
        <v>46190</v>
      </c>
      <c r="L329" s="32" t="s">
        <v>48</v>
      </c>
      <c r="M329" s="35">
        <f>48550</f>
        <v>48550</v>
      </c>
      <c r="N329" s="32" t="s">
        <v>65</v>
      </c>
      <c r="O329" s="35">
        <f>46190</f>
        <v>46190</v>
      </c>
      <c r="P329" s="32" t="s">
        <v>48</v>
      </c>
      <c r="Q329" s="35">
        <f>47280</f>
        <v>47280</v>
      </c>
      <c r="R329" s="32" t="s">
        <v>50</v>
      </c>
      <c r="S329" s="34">
        <f>47416.25</f>
        <v>47416.25</v>
      </c>
      <c r="T329" s="31">
        <f>25</f>
        <v>25</v>
      </c>
      <c r="U329" s="31" t="str">
        <f>"－"</f>
        <v>－</v>
      </c>
      <c r="V329" s="31">
        <f>1184260</f>
        <v>1184260</v>
      </c>
      <c r="W329" s="31" t="str">
        <f>"－"</f>
        <v>－</v>
      </c>
      <c r="X329" s="33">
        <f>16</f>
        <v>16</v>
      </c>
    </row>
    <row r="330" spans="1:24">
      <c r="A330" s="27" t="s">
        <v>42</v>
      </c>
      <c r="B330" s="27" t="s">
        <v>1034</v>
      </c>
      <c r="C330" s="27" t="s">
        <v>1035</v>
      </c>
      <c r="D330" s="27" t="s">
        <v>1036</v>
      </c>
      <c r="E330" s="28" t="s">
        <v>46</v>
      </c>
      <c r="F330" s="29" t="s">
        <v>46</v>
      </c>
      <c r="G330" s="30" t="s">
        <v>46</v>
      </c>
      <c r="H330" s="25"/>
      <c r="I330" s="25" t="s">
        <v>47</v>
      </c>
      <c r="J330" s="31">
        <v>1</v>
      </c>
      <c r="K330" s="35">
        <f>3687</f>
        <v>3687</v>
      </c>
      <c r="L330" s="32" t="s">
        <v>48</v>
      </c>
      <c r="M330" s="35">
        <f>3895</f>
        <v>3895</v>
      </c>
      <c r="N330" s="32" t="s">
        <v>49</v>
      </c>
      <c r="O330" s="35">
        <f>3667</f>
        <v>3667</v>
      </c>
      <c r="P330" s="32" t="s">
        <v>48</v>
      </c>
      <c r="Q330" s="35">
        <f>3715</f>
        <v>3715</v>
      </c>
      <c r="R330" s="32" t="s">
        <v>223</v>
      </c>
      <c r="S330" s="34">
        <f>3766.62</f>
        <v>3766.62</v>
      </c>
      <c r="T330" s="31">
        <f>51118</f>
        <v>51118</v>
      </c>
      <c r="U330" s="31" t="str">
        <f>"－"</f>
        <v>－</v>
      </c>
      <c r="V330" s="31">
        <f>193287971</f>
        <v>193287971</v>
      </c>
      <c r="W330" s="31" t="str">
        <f>"－"</f>
        <v>－</v>
      </c>
      <c r="X330" s="33">
        <f>13</f>
        <v>13</v>
      </c>
    </row>
    <row r="331" spans="1:24">
      <c r="A331" s="27" t="s">
        <v>42</v>
      </c>
      <c r="B331" s="27" t="s">
        <v>1037</v>
      </c>
      <c r="C331" s="27" t="s">
        <v>1038</v>
      </c>
      <c r="D331" s="27" t="s">
        <v>1039</v>
      </c>
      <c r="E331" s="28" t="s">
        <v>46</v>
      </c>
      <c r="F331" s="29" t="s">
        <v>46</v>
      </c>
      <c r="G331" s="30" t="s">
        <v>46</v>
      </c>
      <c r="H331" s="25"/>
      <c r="I331" s="25" t="s">
        <v>47</v>
      </c>
      <c r="J331" s="31">
        <v>1</v>
      </c>
      <c r="K331" s="35">
        <f>2630</f>
        <v>2630</v>
      </c>
      <c r="L331" s="32" t="s">
        <v>48</v>
      </c>
      <c r="M331" s="35">
        <f>3330</f>
        <v>3330</v>
      </c>
      <c r="N331" s="32" t="s">
        <v>70</v>
      </c>
      <c r="O331" s="35">
        <f>2630</f>
        <v>2630</v>
      </c>
      <c r="P331" s="32" t="s">
        <v>48</v>
      </c>
      <c r="Q331" s="35">
        <f>3152</f>
        <v>3152</v>
      </c>
      <c r="R331" s="32" t="s">
        <v>50</v>
      </c>
      <c r="S331" s="34">
        <f>2985.84</f>
        <v>2985.84</v>
      </c>
      <c r="T331" s="31">
        <f>28811190</f>
        <v>28811190</v>
      </c>
      <c r="U331" s="31">
        <f>636781</f>
        <v>636781</v>
      </c>
      <c r="V331" s="31">
        <f>86462925621</f>
        <v>86462925621</v>
      </c>
      <c r="W331" s="31">
        <f>1848975904</f>
        <v>1848975904</v>
      </c>
      <c r="X331" s="33">
        <f>19</f>
        <v>19</v>
      </c>
    </row>
    <row r="332" spans="1:24">
      <c r="A332" s="27" t="s">
        <v>42</v>
      </c>
      <c r="B332" s="27" t="s">
        <v>1040</v>
      </c>
      <c r="C332" s="27" t="s">
        <v>1041</v>
      </c>
      <c r="D332" s="27" t="s">
        <v>1042</v>
      </c>
      <c r="E332" s="28" t="s">
        <v>46</v>
      </c>
      <c r="F332" s="29" t="s">
        <v>46</v>
      </c>
      <c r="G332" s="30" t="s">
        <v>46</v>
      </c>
      <c r="H332" s="25"/>
      <c r="I332" s="25" t="s">
        <v>47</v>
      </c>
      <c r="J332" s="31">
        <v>1</v>
      </c>
      <c r="K332" s="35">
        <f>2706</f>
        <v>2706</v>
      </c>
      <c r="L332" s="32" t="s">
        <v>48</v>
      </c>
      <c r="M332" s="35">
        <f>2764</f>
        <v>2764</v>
      </c>
      <c r="N332" s="32" t="s">
        <v>60</v>
      </c>
      <c r="O332" s="35">
        <f>2599</f>
        <v>2599</v>
      </c>
      <c r="P332" s="32" t="s">
        <v>70</v>
      </c>
      <c r="Q332" s="35">
        <f>2628</f>
        <v>2628</v>
      </c>
      <c r="R332" s="32" t="s">
        <v>50</v>
      </c>
      <c r="S332" s="34">
        <f>2708.42</f>
        <v>2708.42</v>
      </c>
      <c r="T332" s="31">
        <f>16495</f>
        <v>16495</v>
      </c>
      <c r="U332" s="31">
        <f>30</f>
        <v>30</v>
      </c>
      <c r="V332" s="31">
        <f>44696462</f>
        <v>44696462</v>
      </c>
      <c r="W332" s="31">
        <f>82080</f>
        <v>82080</v>
      </c>
      <c r="X332" s="33">
        <f>19</f>
        <v>19</v>
      </c>
    </row>
    <row r="333" spans="1:24">
      <c r="A333" s="27" t="s">
        <v>42</v>
      </c>
      <c r="B333" s="27" t="s">
        <v>1043</v>
      </c>
      <c r="C333" s="27" t="s">
        <v>1044</v>
      </c>
      <c r="D333" s="27" t="s">
        <v>1045</v>
      </c>
      <c r="E333" s="28" t="s">
        <v>46</v>
      </c>
      <c r="F333" s="29" t="s">
        <v>46</v>
      </c>
      <c r="G333" s="30" t="s">
        <v>46</v>
      </c>
      <c r="H333" s="25"/>
      <c r="I333" s="25" t="s">
        <v>47</v>
      </c>
      <c r="J333" s="31">
        <v>1</v>
      </c>
      <c r="K333" s="35">
        <f>2823</f>
        <v>2823</v>
      </c>
      <c r="L333" s="32" t="s">
        <v>48</v>
      </c>
      <c r="M333" s="35">
        <f>3418</f>
        <v>3418</v>
      </c>
      <c r="N333" s="32" t="s">
        <v>50</v>
      </c>
      <c r="O333" s="35">
        <f>2810</f>
        <v>2810</v>
      </c>
      <c r="P333" s="32" t="s">
        <v>48</v>
      </c>
      <c r="Q333" s="35">
        <f>3277</f>
        <v>3277</v>
      </c>
      <c r="R333" s="32" t="s">
        <v>50</v>
      </c>
      <c r="S333" s="34">
        <f>3170.37</f>
        <v>3170.37</v>
      </c>
      <c r="T333" s="31">
        <f>894039</f>
        <v>894039</v>
      </c>
      <c r="U333" s="31">
        <f>17057</f>
        <v>17057</v>
      </c>
      <c r="V333" s="31">
        <f>2846095354</f>
        <v>2846095354</v>
      </c>
      <c r="W333" s="31">
        <f>55444305</f>
        <v>55444305</v>
      </c>
      <c r="X333" s="33">
        <f>19</f>
        <v>19</v>
      </c>
    </row>
    <row r="334" spans="1:24">
      <c r="A334" s="27" t="s">
        <v>42</v>
      </c>
      <c r="B334" s="27" t="s">
        <v>1046</v>
      </c>
      <c r="C334" s="27" t="s">
        <v>1047</v>
      </c>
      <c r="D334" s="27" t="s">
        <v>1048</v>
      </c>
      <c r="E334" s="28" t="s">
        <v>46</v>
      </c>
      <c r="F334" s="29" t="s">
        <v>46</v>
      </c>
      <c r="G334" s="30" t="s">
        <v>46</v>
      </c>
      <c r="H334" s="25"/>
      <c r="I334" s="25" t="s">
        <v>47</v>
      </c>
      <c r="J334" s="31">
        <v>1</v>
      </c>
      <c r="K334" s="35">
        <f>6098</f>
        <v>6098</v>
      </c>
      <c r="L334" s="32" t="s">
        <v>48</v>
      </c>
      <c r="M334" s="35">
        <f>6098</f>
        <v>6098</v>
      </c>
      <c r="N334" s="32" t="s">
        <v>48</v>
      </c>
      <c r="O334" s="35">
        <f>5791</f>
        <v>5791</v>
      </c>
      <c r="P334" s="32" t="s">
        <v>61</v>
      </c>
      <c r="Q334" s="35">
        <f>5830</f>
        <v>5830</v>
      </c>
      <c r="R334" s="32" t="s">
        <v>50</v>
      </c>
      <c r="S334" s="34">
        <f>5961.79</f>
        <v>5961.79</v>
      </c>
      <c r="T334" s="31">
        <f>211823</f>
        <v>211823</v>
      </c>
      <c r="U334" s="31">
        <f>184521</f>
        <v>184521</v>
      </c>
      <c r="V334" s="31">
        <f>1242065152</f>
        <v>1242065152</v>
      </c>
      <c r="W334" s="31">
        <f>1080450130</f>
        <v>1080450130</v>
      </c>
      <c r="X334" s="33">
        <f>19</f>
        <v>19</v>
      </c>
    </row>
    <row r="335" spans="1:24">
      <c r="A335" s="27" t="s">
        <v>42</v>
      </c>
      <c r="B335" s="27" t="s">
        <v>1049</v>
      </c>
      <c r="C335" s="27" t="s">
        <v>1050</v>
      </c>
      <c r="D335" s="27" t="s">
        <v>1051</v>
      </c>
      <c r="E335" s="28" t="s">
        <v>46</v>
      </c>
      <c r="F335" s="29" t="s">
        <v>46</v>
      </c>
      <c r="G335" s="30" t="s">
        <v>46</v>
      </c>
      <c r="H335" s="25"/>
      <c r="I335" s="25" t="s">
        <v>47</v>
      </c>
      <c r="J335" s="31">
        <v>1</v>
      </c>
      <c r="K335" s="35">
        <f>3540</f>
        <v>3540</v>
      </c>
      <c r="L335" s="32" t="s">
        <v>48</v>
      </c>
      <c r="M335" s="35">
        <f>3540</f>
        <v>3540</v>
      </c>
      <c r="N335" s="32" t="s">
        <v>48</v>
      </c>
      <c r="O335" s="35">
        <f>3494</f>
        <v>3494</v>
      </c>
      <c r="P335" s="32" t="s">
        <v>213</v>
      </c>
      <c r="Q335" s="35">
        <f>3502</f>
        <v>3502</v>
      </c>
      <c r="R335" s="32" t="s">
        <v>50</v>
      </c>
      <c r="S335" s="34">
        <f>3513.79</f>
        <v>3513.79</v>
      </c>
      <c r="T335" s="31">
        <f>345319</f>
        <v>345319</v>
      </c>
      <c r="U335" s="31">
        <f>265830</f>
        <v>265830</v>
      </c>
      <c r="V335" s="31">
        <f>1213696174</f>
        <v>1213696174</v>
      </c>
      <c r="W335" s="31">
        <f>934622568</f>
        <v>934622568</v>
      </c>
      <c r="X335" s="33">
        <f>19</f>
        <v>19</v>
      </c>
    </row>
    <row r="336" spans="1:24">
      <c r="A336" s="27" t="s">
        <v>42</v>
      </c>
      <c r="B336" s="27" t="s">
        <v>1052</v>
      </c>
      <c r="C336" s="27" t="s">
        <v>1053</v>
      </c>
      <c r="D336" s="27" t="s">
        <v>1054</v>
      </c>
      <c r="E336" s="28" t="s">
        <v>46</v>
      </c>
      <c r="F336" s="29" t="s">
        <v>46</v>
      </c>
      <c r="G336" s="30" t="s">
        <v>46</v>
      </c>
      <c r="H336" s="25"/>
      <c r="I336" s="25" t="s">
        <v>47</v>
      </c>
      <c r="J336" s="31">
        <v>10</v>
      </c>
      <c r="K336" s="35">
        <f>607.9</f>
        <v>607.9</v>
      </c>
      <c r="L336" s="32" t="s">
        <v>48</v>
      </c>
      <c r="M336" s="35">
        <f>608</f>
        <v>608</v>
      </c>
      <c r="N336" s="32" t="s">
        <v>69</v>
      </c>
      <c r="O336" s="35">
        <f>597.1</f>
        <v>597.1</v>
      </c>
      <c r="P336" s="32" t="s">
        <v>213</v>
      </c>
      <c r="Q336" s="35">
        <f>602.5</f>
        <v>602.5</v>
      </c>
      <c r="R336" s="32" t="s">
        <v>70</v>
      </c>
      <c r="S336" s="34">
        <f>601.82</f>
        <v>601.82000000000005</v>
      </c>
      <c r="T336" s="31">
        <f>130860</f>
        <v>130860</v>
      </c>
      <c r="U336" s="31">
        <f>60</f>
        <v>60</v>
      </c>
      <c r="V336" s="31">
        <f>78781504</f>
        <v>78781504</v>
      </c>
      <c r="W336" s="31">
        <f>36061</f>
        <v>36061</v>
      </c>
      <c r="X336" s="33">
        <f>18</f>
        <v>18</v>
      </c>
    </row>
    <row r="337" spans="1:24">
      <c r="A337" s="27" t="s">
        <v>42</v>
      </c>
      <c r="B337" s="27" t="s">
        <v>1055</v>
      </c>
      <c r="C337" s="27" t="s">
        <v>1056</v>
      </c>
      <c r="D337" s="27" t="s">
        <v>1057</v>
      </c>
      <c r="E337" s="28" t="s">
        <v>46</v>
      </c>
      <c r="F337" s="29" t="s">
        <v>46</v>
      </c>
      <c r="G337" s="30" t="s">
        <v>46</v>
      </c>
      <c r="H337" s="25"/>
      <c r="I337" s="25" t="s">
        <v>47</v>
      </c>
      <c r="J337" s="31">
        <v>1</v>
      </c>
      <c r="K337" s="35">
        <f>9422</f>
        <v>9422</v>
      </c>
      <c r="L337" s="32" t="s">
        <v>48</v>
      </c>
      <c r="M337" s="35">
        <f>10750</f>
        <v>10750</v>
      </c>
      <c r="N337" s="32" t="s">
        <v>273</v>
      </c>
      <c r="O337" s="35">
        <f>9150</f>
        <v>9150</v>
      </c>
      <c r="P337" s="32" t="s">
        <v>48</v>
      </c>
      <c r="Q337" s="35">
        <f>10030</f>
        <v>10030</v>
      </c>
      <c r="R337" s="32" t="s">
        <v>50</v>
      </c>
      <c r="S337" s="34">
        <f>9820.47</f>
        <v>9820.4699999999993</v>
      </c>
      <c r="T337" s="31">
        <f>13128</f>
        <v>13128</v>
      </c>
      <c r="U337" s="31" t="str">
        <f>"－"</f>
        <v>－</v>
      </c>
      <c r="V337" s="31">
        <f>130033898</f>
        <v>130033898</v>
      </c>
      <c r="W337" s="31" t="str">
        <f>"－"</f>
        <v>－</v>
      </c>
      <c r="X337" s="33">
        <f>19</f>
        <v>19</v>
      </c>
    </row>
    <row r="338" spans="1:24">
      <c r="A338" s="27" t="s">
        <v>42</v>
      </c>
      <c r="B338" s="27" t="s">
        <v>1058</v>
      </c>
      <c r="C338" s="27" t="s">
        <v>1059</v>
      </c>
      <c r="D338" s="27" t="s">
        <v>1060</v>
      </c>
      <c r="E338" s="28" t="s">
        <v>46</v>
      </c>
      <c r="F338" s="29" t="s">
        <v>46</v>
      </c>
      <c r="G338" s="30" t="s">
        <v>46</v>
      </c>
      <c r="H338" s="25"/>
      <c r="I338" s="25" t="s">
        <v>47</v>
      </c>
      <c r="J338" s="31">
        <v>1</v>
      </c>
      <c r="K338" s="35">
        <f>1455</f>
        <v>1455</v>
      </c>
      <c r="L338" s="32" t="s">
        <v>48</v>
      </c>
      <c r="M338" s="35">
        <f>1843</f>
        <v>1843</v>
      </c>
      <c r="N338" s="32" t="s">
        <v>70</v>
      </c>
      <c r="O338" s="35">
        <f>1455</f>
        <v>1455</v>
      </c>
      <c r="P338" s="32" t="s">
        <v>48</v>
      </c>
      <c r="Q338" s="35">
        <f>1758</f>
        <v>1758</v>
      </c>
      <c r="R338" s="32" t="s">
        <v>50</v>
      </c>
      <c r="S338" s="34">
        <f>1651.53</f>
        <v>1651.53</v>
      </c>
      <c r="T338" s="31">
        <f>2013547</f>
        <v>2013547</v>
      </c>
      <c r="U338" s="31">
        <f>221979</f>
        <v>221979</v>
      </c>
      <c r="V338" s="31">
        <f>3413509411</f>
        <v>3413509411</v>
      </c>
      <c r="W338" s="31">
        <f>386898664</f>
        <v>386898664</v>
      </c>
      <c r="X338" s="33">
        <f>19</f>
        <v>19</v>
      </c>
    </row>
    <row r="339" spans="1:24">
      <c r="A339" s="27" t="s">
        <v>42</v>
      </c>
      <c r="B339" s="27" t="s">
        <v>1061</v>
      </c>
      <c r="C339" s="27" t="s">
        <v>1062</v>
      </c>
      <c r="D339" s="27" t="s">
        <v>1063</v>
      </c>
      <c r="E339" s="28" t="s">
        <v>46</v>
      </c>
      <c r="F339" s="29" t="s">
        <v>46</v>
      </c>
      <c r="G339" s="30" t="s">
        <v>46</v>
      </c>
      <c r="H339" s="25"/>
      <c r="I339" s="25" t="s">
        <v>47</v>
      </c>
      <c r="J339" s="31">
        <v>1</v>
      </c>
      <c r="K339" s="35">
        <f>3255</f>
        <v>3255</v>
      </c>
      <c r="L339" s="32" t="s">
        <v>48</v>
      </c>
      <c r="M339" s="35">
        <f>3298</f>
        <v>3298</v>
      </c>
      <c r="N339" s="32" t="s">
        <v>49</v>
      </c>
      <c r="O339" s="35">
        <f>3022</f>
        <v>3022</v>
      </c>
      <c r="P339" s="32" t="s">
        <v>50</v>
      </c>
      <c r="Q339" s="35">
        <f>3032</f>
        <v>3032</v>
      </c>
      <c r="R339" s="32" t="s">
        <v>50</v>
      </c>
      <c r="S339" s="34">
        <f>3178.89</f>
        <v>3178.89</v>
      </c>
      <c r="T339" s="31">
        <f>17634</f>
        <v>17634</v>
      </c>
      <c r="U339" s="31">
        <f>200</f>
        <v>200</v>
      </c>
      <c r="V339" s="31">
        <f>57088087</f>
        <v>57088087</v>
      </c>
      <c r="W339" s="31">
        <f>638995</f>
        <v>638995</v>
      </c>
      <c r="X339" s="33">
        <f>19</f>
        <v>19</v>
      </c>
    </row>
    <row r="340" spans="1:24">
      <c r="A340" s="27" t="s">
        <v>42</v>
      </c>
      <c r="B340" s="27" t="s">
        <v>1064</v>
      </c>
      <c r="C340" s="27" t="s">
        <v>1065</v>
      </c>
      <c r="D340" s="27" t="s">
        <v>1066</v>
      </c>
      <c r="E340" s="28" t="s">
        <v>46</v>
      </c>
      <c r="F340" s="29" t="s">
        <v>46</v>
      </c>
      <c r="G340" s="30" t="s">
        <v>46</v>
      </c>
      <c r="H340" s="25"/>
      <c r="I340" s="25" t="s">
        <v>47</v>
      </c>
      <c r="J340" s="31">
        <v>1</v>
      </c>
      <c r="K340" s="35">
        <f>2849</f>
        <v>2849</v>
      </c>
      <c r="L340" s="32" t="s">
        <v>48</v>
      </c>
      <c r="M340" s="35">
        <f>3287</f>
        <v>3287</v>
      </c>
      <c r="N340" s="32" t="s">
        <v>50</v>
      </c>
      <c r="O340" s="35">
        <f>2838</f>
        <v>2838</v>
      </c>
      <c r="P340" s="32" t="s">
        <v>48</v>
      </c>
      <c r="Q340" s="35">
        <f>3273</f>
        <v>3273</v>
      </c>
      <c r="R340" s="32" t="s">
        <v>50</v>
      </c>
      <c r="S340" s="34">
        <f>3107.74</f>
        <v>3107.74</v>
      </c>
      <c r="T340" s="31">
        <f>377677</f>
        <v>377677</v>
      </c>
      <c r="U340" s="31">
        <f>174008</f>
        <v>174008</v>
      </c>
      <c r="V340" s="31">
        <f>1138852551</f>
        <v>1138852551</v>
      </c>
      <c r="W340" s="31">
        <f>520789206</f>
        <v>520789206</v>
      </c>
      <c r="X340" s="33">
        <f>19</f>
        <v>19</v>
      </c>
    </row>
    <row r="341" spans="1:24">
      <c r="A341" s="27" t="s">
        <v>42</v>
      </c>
      <c r="B341" s="27" t="s">
        <v>1067</v>
      </c>
      <c r="C341" s="27" t="s">
        <v>1068</v>
      </c>
      <c r="D341" s="27" t="s">
        <v>1069</v>
      </c>
      <c r="E341" s="28" t="s">
        <v>46</v>
      </c>
      <c r="F341" s="29" t="s">
        <v>46</v>
      </c>
      <c r="G341" s="30" t="s">
        <v>46</v>
      </c>
      <c r="H341" s="25"/>
      <c r="I341" s="25" t="s">
        <v>47</v>
      </c>
      <c r="J341" s="31">
        <v>1</v>
      </c>
      <c r="K341" s="35">
        <f>9203</f>
        <v>9203</v>
      </c>
      <c r="L341" s="32" t="s">
        <v>48</v>
      </c>
      <c r="M341" s="35">
        <f>9203</f>
        <v>9203</v>
      </c>
      <c r="N341" s="32" t="s">
        <v>48</v>
      </c>
      <c r="O341" s="35">
        <f>8639</f>
        <v>8639</v>
      </c>
      <c r="P341" s="32" t="s">
        <v>61</v>
      </c>
      <c r="Q341" s="35">
        <f>8693</f>
        <v>8693</v>
      </c>
      <c r="R341" s="32" t="s">
        <v>50</v>
      </c>
      <c r="S341" s="34">
        <f>8891</f>
        <v>8891</v>
      </c>
      <c r="T341" s="31">
        <f>664113</f>
        <v>664113</v>
      </c>
      <c r="U341" s="31">
        <f>656600</f>
        <v>656600</v>
      </c>
      <c r="V341" s="31">
        <f>5895722745</f>
        <v>5895722745</v>
      </c>
      <c r="W341" s="31">
        <f>5828258205</f>
        <v>5828258205</v>
      </c>
      <c r="X341" s="33">
        <f>19</f>
        <v>19</v>
      </c>
    </row>
    <row r="342" spans="1:24">
      <c r="A342" s="27" t="s">
        <v>42</v>
      </c>
      <c r="B342" s="27" t="s">
        <v>1070</v>
      </c>
      <c r="C342" s="27" t="s">
        <v>1071</v>
      </c>
      <c r="D342" s="27" t="s">
        <v>1072</v>
      </c>
      <c r="E342" s="28" t="s">
        <v>46</v>
      </c>
      <c r="F342" s="29" t="s">
        <v>46</v>
      </c>
      <c r="G342" s="30" t="s">
        <v>46</v>
      </c>
      <c r="H342" s="25"/>
      <c r="I342" s="25" t="s">
        <v>47</v>
      </c>
      <c r="J342" s="31">
        <v>1</v>
      </c>
      <c r="K342" s="35">
        <f>5330</f>
        <v>5330</v>
      </c>
      <c r="L342" s="32" t="s">
        <v>48</v>
      </c>
      <c r="M342" s="35">
        <f>5330</f>
        <v>5330</v>
      </c>
      <c r="N342" s="32" t="s">
        <v>48</v>
      </c>
      <c r="O342" s="35">
        <f>5220</f>
        <v>5220</v>
      </c>
      <c r="P342" s="32" t="s">
        <v>213</v>
      </c>
      <c r="Q342" s="35">
        <f>5230</f>
        <v>5230</v>
      </c>
      <c r="R342" s="32" t="s">
        <v>50</v>
      </c>
      <c r="S342" s="34">
        <f>5249.17</f>
        <v>5249.17</v>
      </c>
      <c r="T342" s="31">
        <f>407477</f>
        <v>407477</v>
      </c>
      <c r="U342" s="31">
        <f>400050</f>
        <v>400050</v>
      </c>
      <c r="V342" s="31">
        <f>2147564888</f>
        <v>2147564888</v>
      </c>
      <c r="W342" s="31">
        <f>2108563600</f>
        <v>2108563600</v>
      </c>
      <c r="X342" s="33">
        <f>18</f>
        <v>18</v>
      </c>
    </row>
    <row r="343" spans="1:24">
      <c r="A343" s="27" t="s">
        <v>42</v>
      </c>
      <c r="B343" s="27" t="s">
        <v>1073</v>
      </c>
      <c r="C343" s="27" t="s">
        <v>1074</v>
      </c>
      <c r="D343" s="27" t="s">
        <v>1075</v>
      </c>
      <c r="E343" s="28" t="s">
        <v>46</v>
      </c>
      <c r="F343" s="29" t="s">
        <v>46</v>
      </c>
      <c r="G343" s="30" t="s">
        <v>46</v>
      </c>
      <c r="H343" s="25"/>
      <c r="I343" s="25" t="s">
        <v>47</v>
      </c>
      <c r="J343" s="31">
        <v>1</v>
      </c>
      <c r="K343" s="35">
        <f>1159</f>
        <v>1159</v>
      </c>
      <c r="L343" s="32" t="s">
        <v>48</v>
      </c>
      <c r="M343" s="35">
        <f>1217</f>
        <v>1217</v>
      </c>
      <c r="N343" s="32" t="s">
        <v>65</v>
      </c>
      <c r="O343" s="35">
        <f>1153</f>
        <v>1153</v>
      </c>
      <c r="P343" s="32" t="s">
        <v>273</v>
      </c>
      <c r="Q343" s="35">
        <f>1168</f>
        <v>1168</v>
      </c>
      <c r="R343" s="32" t="s">
        <v>50</v>
      </c>
      <c r="S343" s="34">
        <f>1183.21</f>
        <v>1183.21</v>
      </c>
      <c r="T343" s="31">
        <f>198631</f>
        <v>198631</v>
      </c>
      <c r="U343" s="31" t="str">
        <f>"－"</f>
        <v>－</v>
      </c>
      <c r="V343" s="31">
        <f>233197144</f>
        <v>233197144</v>
      </c>
      <c r="W343" s="31" t="str">
        <f>"－"</f>
        <v>－</v>
      </c>
      <c r="X343" s="33">
        <f>19</f>
        <v>19</v>
      </c>
    </row>
    <row r="344" spans="1:24">
      <c r="A344" s="27" t="s">
        <v>42</v>
      </c>
      <c r="B344" s="27" t="s">
        <v>1076</v>
      </c>
      <c r="C344" s="27" t="s">
        <v>1077</v>
      </c>
      <c r="D344" s="27" t="s">
        <v>1078</v>
      </c>
      <c r="E344" s="28" t="s">
        <v>46</v>
      </c>
      <c r="F344" s="29" t="s">
        <v>46</v>
      </c>
      <c r="G344" s="30" t="s">
        <v>46</v>
      </c>
      <c r="H344" s="25"/>
      <c r="I344" s="25" t="s">
        <v>47</v>
      </c>
      <c r="J344" s="31">
        <v>1</v>
      </c>
      <c r="K344" s="35">
        <f>2290</f>
        <v>2290</v>
      </c>
      <c r="L344" s="32" t="s">
        <v>48</v>
      </c>
      <c r="M344" s="35">
        <f>2369</f>
        <v>2369</v>
      </c>
      <c r="N344" s="32" t="s">
        <v>74</v>
      </c>
      <c r="O344" s="35">
        <f>2263</f>
        <v>2263</v>
      </c>
      <c r="P344" s="32" t="s">
        <v>273</v>
      </c>
      <c r="Q344" s="35">
        <f>2282</f>
        <v>2282</v>
      </c>
      <c r="R344" s="32" t="s">
        <v>50</v>
      </c>
      <c r="S344" s="34">
        <f>2313.63</f>
        <v>2313.63</v>
      </c>
      <c r="T344" s="31">
        <f>2257787</f>
        <v>2257787</v>
      </c>
      <c r="U344" s="31">
        <f>589333</f>
        <v>589333</v>
      </c>
      <c r="V344" s="31">
        <f>5211871652</f>
        <v>5211871652</v>
      </c>
      <c r="W344" s="31">
        <f>1365354752</f>
        <v>1365354752</v>
      </c>
      <c r="X344" s="33">
        <f>19</f>
        <v>19</v>
      </c>
    </row>
    <row r="345" spans="1:24">
      <c r="A345" s="27" t="s">
        <v>42</v>
      </c>
      <c r="B345" s="27" t="s">
        <v>1079</v>
      </c>
      <c r="C345" s="27" t="s">
        <v>1080</v>
      </c>
      <c r="D345" s="27" t="s">
        <v>1081</v>
      </c>
      <c r="E345" s="28" t="s">
        <v>46</v>
      </c>
      <c r="F345" s="29" t="s">
        <v>46</v>
      </c>
      <c r="G345" s="30" t="s">
        <v>46</v>
      </c>
      <c r="H345" s="25"/>
      <c r="I345" s="25" t="s">
        <v>47</v>
      </c>
      <c r="J345" s="31">
        <v>1</v>
      </c>
      <c r="K345" s="35">
        <f>1482</f>
        <v>1482</v>
      </c>
      <c r="L345" s="32" t="s">
        <v>48</v>
      </c>
      <c r="M345" s="35">
        <f>1530</f>
        <v>1530</v>
      </c>
      <c r="N345" s="32" t="s">
        <v>61</v>
      </c>
      <c r="O345" s="35">
        <f>1462</f>
        <v>1462</v>
      </c>
      <c r="P345" s="32" t="s">
        <v>213</v>
      </c>
      <c r="Q345" s="35">
        <f>1500</f>
        <v>1500</v>
      </c>
      <c r="R345" s="32" t="s">
        <v>50</v>
      </c>
      <c r="S345" s="34">
        <f>1497</f>
        <v>1497</v>
      </c>
      <c r="T345" s="31">
        <f>2647489</f>
        <v>2647489</v>
      </c>
      <c r="U345" s="31">
        <f>733348</f>
        <v>733348</v>
      </c>
      <c r="V345" s="31">
        <f>3982698734</f>
        <v>3982698734</v>
      </c>
      <c r="W345" s="31">
        <f>1113292632</f>
        <v>1113292632</v>
      </c>
      <c r="X345" s="33">
        <f>19</f>
        <v>19</v>
      </c>
    </row>
    <row r="346" spans="1:24">
      <c r="A346" s="27" t="s">
        <v>42</v>
      </c>
      <c r="B346" s="27" t="s">
        <v>1082</v>
      </c>
      <c r="C346" s="27" t="s">
        <v>1083</v>
      </c>
      <c r="D346" s="27" t="s">
        <v>1084</v>
      </c>
      <c r="E346" s="28" t="s">
        <v>46</v>
      </c>
      <c r="F346" s="29" t="s">
        <v>46</v>
      </c>
      <c r="G346" s="30" t="s">
        <v>46</v>
      </c>
      <c r="H346" s="25"/>
      <c r="I346" s="25" t="s">
        <v>47</v>
      </c>
      <c r="J346" s="31">
        <v>1</v>
      </c>
      <c r="K346" s="35">
        <f>14250</f>
        <v>14250</v>
      </c>
      <c r="L346" s="32" t="s">
        <v>48</v>
      </c>
      <c r="M346" s="35">
        <f>14430</f>
        <v>14430</v>
      </c>
      <c r="N346" s="32" t="s">
        <v>213</v>
      </c>
      <c r="O346" s="35">
        <f>13765</f>
        <v>13765</v>
      </c>
      <c r="P346" s="32" t="s">
        <v>61</v>
      </c>
      <c r="Q346" s="35">
        <f>14155</f>
        <v>14155</v>
      </c>
      <c r="R346" s="32" t="s">
        <v>50</v>
      </c>
      <c r="S346" s="34">
        <f>14122.37</f>
        <v>14122.37</v>
      </c>
      <c r="T346" s="31">
        <f>67297</f>
        <v>67297</v>
      </c>
      <c r="U346" s="31">
        <f>402</f>
        <v>402</v>
      </c>
      <c r="V346" s="31">
        <f>947377265</f>
        <v>947377265</v>
      </c>
      <c r="W346" s="31">
        <f>5650700</f>
        <v>5650700</v>
      </c>
      <c r="X346" s="33">
        <f>19</f>
        <v>19</v>
      </c>
    </row>
    <row r="347" spans="1:24">
      <c r="A347" s="27" t="s">
        <v>42</v>
      </c>
      <c r="B347" s="27" t="s">
        <v>1085</v>
      </c>
      <c r="C347" s="27" t="s">
        <v>1086</v>
      </c>
      <c r="D347" s="27" t="s">
        <v>1087</v>
      </c>
      <c r="E347" s="28" t="s">
        <v>46</v>
      </c>
      <c r="F347" s="29" t="s">
        <v>46</v>
      </c>
      <c r="G347" s="30" t="s">
        <v>46</v>
      </c>
      <c r="H347" s="25"/>
      <c r="I347" s="25" t="s">
        <v>47</v>
      </c>
      <c r="J347" s="31">
        <v>1</v>
      </c>
      <c r="K347" s="35">
        <f>3912</f>
        <v>3912</v>
      </c>
      <c r="L347" s="32" t="s">
        <v>48</v>
      </c>
      <c r="M347" s="35">
        <f>3912</f>
        <v>3912</v>
      </c>
      <c r="N347" s="32" t="s">
        <v>48</v>
      </c>
      <c r="O347" s="35">
        <f>3783</f>
        <v>3783</v>
      </c>
      <c r="P347" s="32" t="s">
        <v>61</v>
      </c>
      <c r="Q347" s="35">
        <f>3817</f>
        <v>3817</v>
      </c>
      <c r="R347" s="32" t="s">
        <v>50</v>
      </c>
      <c r="S347" s="34">
        <f>3827.47</f>
        <v>3827.47</v>
      </c>
      <c r="T347" s="31">
        <f>229150</f>
        <v>229150</v>
      </c>
      <c r="U347" s="31">
        <f>104004</f>
        <v>104004</v>
      </c>
      <c r="V347" s="31">
        <f>874965606</f>
        <v>874965606</v>
      </c>
      <c r="W347" s="31">
        <f>396858464</f>
        <v>396858464</v>
      </c>
      <c r="X347" s="33">
        <f>19</f>
        <v>19</v>
      </c>
    </row>
    <row r="348" spans="1:24">
      <c r="A348" s="27" t="s">
        <v>42</v>
      </c>
      <c r="B348" s="27" t="s">
        <v>1088</v>
      </c>
      <c r="C348" s="27" t="s">
        <v>1089</v>
      </c>
      <c r="D348" s="27" t="s">
        <v>1090</v>
      </c>
      <c r="E348" s="28" t="s">
        <v>46</v>
      </c>
      <c r="F348" s="29" t="s">
        <v>46</v>
      </c>
      <c r="G348" s="30" t="s">
        <v>46</v>
      </c>
      <c r="H348" s="25"/>
      <c r="I348" s="25" t="s">
        <v>47</v>
      </c>
      <c r="J348" s="31">
        <v>1</v>
      </c>
      <c r="K348" s="35">
        <f>5400</f>
        <v>5400</v>
      </c>
      <c r="L348" s="32" t="s">
        <v>48</v>
      </c>
      <c r="M348" s="35">
        <f>5501</f>
        <v>5501</v>
      </c>
      <c r="N348" s="32" t="s">
        <v>155</v>
      </c>
      <c r="O348" s="35">
        <f>5288</f>
        <v>5288</v>
      </c>
      <c r="P348" s="32" t="s">
        <v>48</v>
      </c>
      <c r="Q348" s="35">
        <f>5447</f>
        <v>5447</v>
      </c>
      <c r="R348" s="32" t="s">
        <v>50</v>
      </c>
      <c r="S348" s="34">
        <f>5415.11</f>
        <v>5415.11</v>
      </c>
      <c r="T348" s="31">
        <f>324788</f>
        <v>324788</v>
      </c>
      <c r="U348" s="31">
        <f>242400</f>
        <v>242400</v>
      </c>
      <c r="V348" s="31">
        <f>1754435149</f>
        <v>1754435149</v>
      </c>
      <c r="W348" s="31">
        <f>1308776169</f>
        <v>1308776169</v>
      </c>
      <c r="X348" s="33">
        <f>19</f>
        <v>19</v>
      </c>
    </row>
    <row r="349" spans="1:24">
      <c r="A349" s="27" t="s">
        <v>42</v>
      </c>
      <c r="B349" s="27" t="s">
        <v>1091</v>
      </c>
      <c r="C349" s="27" t="s">
        <v>1092</v>
      </c>
      <c r="D349" s="27" t="s">
        <v>1093</v>
      </c>
      <c r="E349" s="28" t="s">
        <v>46</v>
      </c>
      <c r="F349" s="29" t="s">
        <v>46</v>
      </c>
      <c r="G349" s="30" t="s">
        <v>46</v>
      </c>
      <c r="H349" s="25"/>
      <c r="I349" s="25" t="s">
        <v>47</v>
      </c>
      <c r="J349" s="31">
        <v>1</v>
      </c>
      <c r="K349" s="35">
        <f>3110</f>
        <v>3110</v>
      </c>
      <c r="L349" s="32" t="s">
        <v>48</v>
      </c>
      <c r="M349" s="35">
        <f>3210</f>
        <v>3210</v>
      </c>
      <c r="N349" s="32" t="s">
        <v>61</v>
      </c>
      <c r="O349" s="35">
        <f>3065</f>
        <v>3065</v>
      </c>
      <c r="P349" s="32" t="s">
        <v>213</v>
      </c>
      <c r="Q349" s="35">
        <f>3150</f>
        <v>3150</v>
      </c>
      <c r="R349" s="32" t="s">
        <v>50</v>
      </c>
      <c r="S349" s="34">
        <f>3140.89</f>
        <v>3140.89</v>
      </c>
      <c r="T349" s="31">
        <f>656679</f>
        <v>656679</v>
      </c>
      <c r="U349" s="31">
        <f>320890</f>
        <v>320890</v>
      </c>
      <c r="V349" s="31">
        <f>2070013918</f>
        <v>2070013918</v>
      </c>
      <c r="W349" s="31">
        <f>1013777345</f>
        <v>1013777345</v>
      </c>
      <c r="X349" s="33">
        <f>19</f>
        <v>19</v>
      </c>
    </row>
    <row r="350" spans="1:24">
      <c r="A350" s="27" t="s">
        <v>42</v>
      </c>
      <c r="B350" s="27" t="s">
        <v>1094</v>
      </c>
      <c r="C350" s="27" t="s">
        <v>1095</v>
      </c>
      <c r="D350" s="27" t="s">
        <v>1096</v>
      </c>
      <c r="E350" s="28" t="s">
        <v>46</v>
      </c>
      <c r="F350" s="29" t="s">
        <v>46</v>
      </c>
      <c r="G350" s="30" t="s">
        <v>46</v>
      </c>
      <c r="H350" s="25"/>
      <c r="I350" s="25" t="s">
        <v>47</v>
      </c>
      <c r="J350" s="31">
        <v>1</v>
      </c>
      <c r="K350" s="35">
        <f>2388</f>
        <v>2388</v>
      </c>
      <c r="L350" s="32" t="s">
        <v>48</v>
      </c>
      <c r="M350" s="35">
        <f>2452</f>
        <v>2452</v>
      </c>
      <c r="N350" s="32" t="s">
        <v>60</v>
      </c>
      <c r="O350" s="35">
        <f>2379</f>
        <v>2379</v>
      </c>
      <c r="P350" s="32" t="s">
        <v>213</v>
      </c>
      <c r="Q350" s="35">
        <f>2398</f>
        <v>2398</v>
      </c>
      <c r="R350" s="32" t="s">
        <v>50</v>
      </c>
      <c r="S350" s="34">
        <f>2416.63</f>
        <v>2416.63</v>
      </c>
      <c r="T350" s="31">
        <f>1583061</f>
        <v>1583061</v>
      </c>
      <c r="U350" s="31">
        <f>1122110</f>
        <v>1122110</v>
      </c>
      <c r="V350" s="31">
        <f>3838589347</f>
        <v>3838589347</v>
      </c>
      <c r="W350" s="31">
        <f>2719302224</f>
        <v>2719302224</v>
      </c>
      <c r="X350" s="33">
        <f>19</f>
        <v>19</v>
      </c>
    </row>
    <row r="351" spans="1:24">
      <c r="A351" s="27" t="s">
        <v>42</v>
      </c>
      <c r="B351" s="27" t="s">
        <v>1097</v>
      </c>
      <c r="C351" s="27" t="s">
        <v>1098</v>
      </c>
      <c r="D351" s="27" t="s">
        <v>1099</v>
      </c>
      <c r="E351" s="28" t="s">
        <v>46</v>
      </c>
      <c r="F351" s="29" t="s">
        <v>46</v>
      </c>
      <c r="G351" s="30" t="s">
        <v>46</v>
      </c>
      <c r="H351" s="25"/>
      <c r="I351" s="25" t="s">
        <v>47</v>
      </c>
      <c r="J351" s="31">
        <v>1</v>
      </c>
      <c r="K351" s="35">
        <f>2558</f>
        <v>2558</v>
      </c>
      <c r="L351" s="32" t="s">
        <v>48</v>
      </c>
      <c r="M351" s="35">
        <f>2815</f>
        <v>2815</v>
      </c>
      <c r="N351" s="32" t="s">
        <v>202</v>
      </c>
      <c r="O351" s="35">
        <f>2558</f>
        <v>2558</v>
      </c>
      <c r="P351" s="32" t="s">
        <v>48</v>
      </c>
      <c r="Q351" s="35">
        <f>2585</f>
        <v>2585</v>
      </c>
      <c r="R351" s="32" t="s">
        <v>50</v>
      </c>
      <c r="S351" s="34">
        <f>2636.68</f>
        <v>2636.68</v>
      </c>
      <c r="T351" s="31">
        <f>13637</f>
        <v>13637</v>
      </c>
      <c r="U351" s="31">
        <f>80</f>
        <v>80</v>
      </c>
      <c r="V351" s="31">
        <f>36064536</f>
        <v>36064536</v>
      </c>
      <c r="W351" s="31">
        <f>210683</f>
        <v>210683</v>
      </c>
      <c r="X351" s="33">
        <f>19</f>
        <v>19</v>
      </c>
    </row>
    <row r="352" spans="1:24">
      <c r="A352" s="27" t="s">
        <v>42</v>
      </c>
      <c r="B352" s="27" t="s">
        <v>1100</v>
      </c>
      <c r="C352" s="27" t="s">
        <v>1101</v>
      </c>
      <c r="D352" s="27" t="s">
        <v>1102</v>
      </c>
      <c r="E352" s="28" t="s">
        <v>46</v>
      </c>
      <c r="F352" s="29" t="s">
        <v>46</v>
      </c>
      <c r="G352" s="30" t="s">
        <v>46</v>
      </c>
      <c r="H352" s="25"/>
      <c r="I352" s="25" t="s">
        <v>47</v>
      </c>
      <c r="J352" s="31">
        <v>1</v>
      </c>
      <c r="K352" s="35">
        <f>2610</f>
        <v>2610</v>
      </c>
      <c r="L352" s="32" t="s">
        <v>48</v>
      </c>
      <c r="M352" s="35">
        <f>2810</f>
        <v>2810</v>
      </c>
      <c r="N352" s="32" t="s">
        <v>49</v>
      </c>
      <c r="O352" s="35">
        <f>2610</f>
        <v>2610</v>
      </c>
      <c r="P352" s="32" t="s">
        <v>48</v>
      </c>
      <c r="Q352" s="35">
        <f>2682</f>
        <v>2682</v>
      </c>
      <c r="R352" s="32" t="s">
        <v>50</v>
      </c>
      <c r="S352" s="34">
        <f>2701.95</f>
        <v>2701.95</v>
      </c>
      <c r="T352" s="31">
        <f>8183</f>
        <v>8183</v>
      </c>
      <c r="U352" s="31" t="str">
        <f>"－"</f>
        <v>－</v>
      </c>
      <c r="V352" s="31">
        <f>21873737</f>
        <v>21873737</v>
      </c>
      <c r="W352" s="31" t="str">
        <f>"－"</f>
        <v>－</v>
      </c>
      <c r="X352" s="33">
        <f>19</f>
        <v>19</v>
      </c>
    </row>
    <row r="353" spans="1:24">
      <c r="A353" s="27" t="s">
        <v>42</v>
      </c>
      <c r="B353" s="27" t="s">
        <v>1103</v>
      </c>
      <c r="C353" s="27" t="s">
        <v>1104</v>
      </c>
      <c r="D353" s="27" t="s">
        <v>1105</v>
      </c>
      <c r="E353" s="28" t="s">
        <v>46</v>
      </c>
      <c r="F353" s="29" t="s">
        <v>46</v>
      </c>
      <c r="G353" s="30" t="s">
        <v>46</v>
      </c>
      <c r="H353" s="25"/>
      <c r="I353" s="25" t="s">
        <v>47</v>
      </c>
      <c r="J353" s="31">
        <v>1</v>
      </c>
      <c r="K353" s="35">
        <f>5200</f>
        <v>5200</v>
      </c>
      <c r="L353" s="32" t="s">
        <v>48</v>
      </c>
      <c r="M353" s="35">
        <f>5295</f>
        <v>5295</v>
      </c>
      <c r="N353" s="32" t="s">
        <v>202</v>
      </c>
      <c r="O353" s="35">
        <f>5004</f>
        <v>5004</v>
      </c>
      <c r="P353" s="32" t="s">
        <v>70</v>
      </c>
      <c r="Q353" s="35">
        <f>5093</f>
        <v>5093</v>
      </c>
      <c r="R353" s="32" t="s">
        <v>50</v>
      </c>
      <c r="S353" s="34">
        <f>5173.21</f>
        <v>5173.21</v>
      </c>
      <c r="T353" s="31">
        <f>793178</f>
        <v>793178</v>
      </c>
      <c r="U353" s="31">
        <f>750727</f>
        <v>750727</v>
      </c>
      <c r="V353" s="31">
        <f>4088467606</f>
        <v>4088467606</v>
      </c>
      <c r="W353" s="31">
        <f>3869823713</f>
        <v>3869823713</v>
      </c>
      <c r="X353" s="33">
        <f>19</f>
        <v>19</v>
      </c>
    </row>
    <row r="354" spans="1:24">
      <c r="A354" s="27" t="s">
        <v>42</v>
      </c>
      <c r="B354" s="27" t="s">
        <v>1106</v>
      </c>
      <c r="C354" s="27" t="s">
        <v>1107</v>
      </c>
      <c r="D354" s="27" t="s">
        <v>1108</v>
      </c>
      <c r="E354" s="28" t="s">
        <v>46</v>
      </c>
      <c r="F354" s="29" t="s">
        <v>46</v>
      </c>
      <c r="G354" s="30" t="s">
        <v>46</v>
      </c>
      <c r="H354" s="25"/>
      <c r="I354" s="25" t="s">
        <v>47</v>
      </c>
      <c r="J354" s="31">
        <v>10</v>
      </c>
      <c r="K354" s="35">
        <f>341</f>
        <v>341</v>
      </c>
      <c r="L354" s="32" t="s">
        <v>48</v>
      </c>
      <c r="M354" s="35">
        <f>365.4</f>
        <v>365.4</v>
      </c>
      <c r="N354" s="32" t="s">
        <v>49</v>
      </c>
      <c r="O354" s="35">
        <f>337.9</f>
        <v>337.9</v>
      </c>
      <c r="P354" s="32" t="s">
        <v>70</v>
      </c>
      <c r="Q354" s="35">
        <f>341.8</f>
        <v>341.8</v>
      </c>
      <c r="R354" s="32" t="s">
        <v>50</v>
      </c>
      <c r="S354" s="34">
        <f>348.93</f>
        <v>348.93</v>
      </c>
      <c r="T354" s="31">
        <f>74290</f>
        <v>74290</v>
      </c>
      <c r="U354" s="31">
        <f>110</f>
        <v>110</v>
      </c>
      <c r="V354" s="31">
        <f>25817098</f>
        <v>25817098</v>
      </c>
      <c r="W354" s="31">
        <f>37745</f>
        <v>37745</v>
      </c>
      <c r="X354" s="33">
        <f>19</f>
        <v>19</v>
      </c>
    </row>
    <row r="355" spans="1:24">
      <c r="A355" s="27" t="s">
        <v>42</v>
      </c>
      <c r="B355" s="27" t="s">
        <v>1109</v>
      </c>
      <c r="C355" s="27" t="s">
        <v>1110</v>
      </c>
      <c r="D355" s="27" t="s">
        <v>1111</v>
      </c>
      <c r="E355" s="28" t="s">
        <v>46</v>
      </c>
      <c r="F355" s="29" t="s">
        <v>46</v>
      </c>
      <c r="G355" s="30" t="s">
        <v>46</v>
      </c>
      <c r="H355" s="25"/>
      <c r="I355" s="25" t="s">
        <v>47</v>
      </c>
      <c r="J355" s="31">
        <v>10</v>
      </c>
      <c r="K355" s="35">
        <f>198.5</f>
        <v>198.5</v>
      </c>
      <c r="L355" s="32" t="s">
        <v>48</v>
      </c>
      <c r="M355" s="35">
        <f>203.4</f>
        <v>203.4</v>
      </c>
      <c r="N355" s="32" t="s">
        <v>65</v>
      </c>
      <c r="O355" s="35">
        <f>192.7</f>
        <v>192.7</v>
      </c>
      <c r="P355" s="32" t="s">
        <v>70</v>
      </c>
      <c r="Q355" s="35">
        <f>194.4</f>
        <v>194.4</v>
      </c>
      <c r="R355" s="32" t="s">
        <v>50</v>
      </c>
      <c r="S355" s="34">
        <f>198.24</f>
        <v>198.24</v>
      </c>
      <c r="T355" s="31">
        <f>141850</f>
        <v>141850</v>
      </c>
      <c r="U355" s="31">
        <f>700</f>
        <v>700</v>
      </c>
      <c r="V355" s="31">
        <f>27932970</f>
        <v>27932970</v>
      </c>
      <c r="W355" s="31">
        <f>136077</f>
        <v>136077</v>
      </c>
      <c r="X355" s="33">
        <f>19</f>
        <v>19</v>
      </c>
    </row>
    <row r="356" spans="1:24">
      <c r="A356" s="27" t="s">
        <v>42</v>
      </c>
      <c r="B356" s="27" t="s">
        <v>1112</v>
      </c>
      <c r="C356" s="27" t="s">
        <v>1113</v>
      </c>
      <c r="D356" s="27" t="s">
        <v>1114</v>
      </c>
      <c r="E356" s="28" t="s">
        <v>46</v>
      </c>
      <c r="F356" s="29" t="s">
        <v>46</v>
      </c>
      <c r="G356" s="30" t="s">
        <v>46</v>
      </c>
      <c r="H356" s="25"/>
      <c r="I356" s="25" t="s">
        <v>47</v>
      </c>
      <c r="J356" s="31">
        <v>10</v>
      </c>
      <c r="K356" s="35">
        <f>643.8</f>
        <v>643.79999999999995</v>
      </c>
      <c r="L356" s="32" t="s">
        <v>48</v>
      </c>
      <c r="M356" s="35">
        <f>643.8</f>
        <v>643.79999999999995</v>
      </c>
      <c r="N356" s="32" t="s">
        <v>48</v>
      </c>
      <c r="O356" s="35">
        <f>633</f>
        <v>633</v>
      </c>
      <c r="P356" s="32" t="s">
        <v>70</v>
      </c>
      <c r="Q356" s="35">
        <f>637.9</f>
        <v>637.9</v>
      </c>
      <c r="R356" s="32" t="s">
        <v>50</v>
      </c>
      <c r="S356" s="34">
        <f>635.58</f>
        <v>635.58000000000004</v>
      </c>
      <c r="T356" s="31">
        <f>2800</f>
        <v>2800</v>
      </c>
      <c r="U356" s="31" t="str">
        <f>"－"</f>
        <v>－</v>
      </c>
      <c r="V356" s="31">
        <f>1783455</f>
        <v>1783455</v>
      </c>
      <c r="W356" s="31" t="str">
        <f>"－"</f>
        <v>－</v>
      </c>
      <c r="X356" s="33">
        <f>16</f>
        <v>16</v>
      </c>
    </row>
    <row r="357" spans="1:24">
      <c r="A357" s="27" t="s">
        <v>42</v>
      </c>
      <c r="B357" s="27" t="s">
        <v>1115</v>
      </c>
      <c r="C357" s="27" t="s">
        <v>1116</v>
      </c>
      <c r="D357" s="27" t="s">
        <v>1117</v>
      </c>
      <c r="E357" s="28" t="s">
        <v>46</v>
      </c>
      <c r="F357" s="29" t="s">
        <v>46</v>
      </c>
      <c r="G357" s="30" t="s">
        <v>46</v>
      </c>
      <c r="H357" s="25"/>
      <c r="I357" s="25" t="s">
        <v>47</v>
      </c>
      <c r="J357" s="31">
        <v>1</v>
      </c>
      <c r="K357" s="35">
        <f>2020</f>
        <v>2020</v>
      </c>
      <c r="L357" s="32" t="s">
        <v>48</v>
      </c>
      <c r="M357" s="35">
        <f>2197</f>
        <v>2197</v>
      </c>
      <c r="N357" s="32" t="s">
        <v>49</v>
      </c>
      <c r="O357" s="35">
        <f>2012</f>
        <v>2012</v>
      </c>
      <c r="P357" s="32" t="s">
        <v>257</v>
      </c>
      <c r="Q357" s="35">
        <f>2072</f>
        <v>2072</v>
      </c>
      <c r="R357" s="32" t="s">
        <v>50</v>
      </c>
      <c r="S357" s="34">
        <f>2099.26</f>
        <v>2099.2600000000002</v>
      </c>
      <c r="T357" s="31">
        <f>347898</f>
        <v>347898</v>
      </c>
      <c r="U357" s="31">
        <f>72381</f>
        <v>72381</v>
      </c>
      <c r="V357" s="31">
        <f>735279036</f>
        <v>735279036</v>
      </c>
      <c r="W357" s="31">
        <f>155484477</f>
        <v>155484477</v>
      </c>
      <c r="X357" s="33">
        <f>19</f>
        <v>19</v>
      </c>
    </row>
    <row r="358" spans="1:24">
      <c r="A358" s="27" t="s">
        <v>42</v>
      </c>
      <c r="B358" s="27" t="s">
        <v>1118</v>
      </c>
      <c r="C358" s="27" t="s">
        <v>1119</v>
      </c>
      <c r="D358" s="27" t="s">
        <v>1120</v>
      </c>
      <c r="E358" s="28" t="s">
        <v>46</v>
      </c>
      <c r="F358" s="29" t="s">
        <v>46</v>
      </c>
      <c r="G358" s="30" t="s">
        <v>46</v>
      </c>
      <c r="H358" s="25"/>
      <c r="I358" s="25" t="s">
        <v>47</v>
      </c>
      <c r="J358" s="31">
        <v>1</v>
      </c>
      <c r="K358" s="35">
        <f>1070</f>
        <v>1070</v>
      </c>
      <c r="L358" s="32" t="s">
        <v>48</v>
      </c>
      <c r="M358" s="35">
        <f>1093</f>
        <v>1093</v>
      </c>
      <c r="N358" s="32" t="s">
        <v>213</v>
      </c>
      <c r="O358" s="35">
        <f>1029</f>
        <v>1029</v>
      </c>
      <c r="P358" s="32" t="s">
        <v>70</v>
      </c>
      <c r="Q358" s="35">
        <f>1042</f>
        <v>1042</v>
      </c>
      <c r="R358" s="32" t="s">
        <v>50</v>
      </c>
      <c r="S358" s="34">
        <f>1062.47</f>
        <v>1062.47</v>
      </c>
      <c r="T358" s="31">
        <f>1314150</f>
        <v>1314150</v>
      </c>
      <c r="U358" s="31">
        <f>1044862</f>
        <v>1044862</v>
      </c>
      <c r="V358" s="31">
        <f>1408966321</f>
        <v>1408966321</v>
      </c>
      <c r="W358" s="31">
        <f>1127100397</f>
        <v>1127100397</v>
      </c>
      <c r="X358" s="33">
        <f>19</f>
        <v>19</v>
      </c>
    </row>
    <row r="359" spans="1:24">
      <c r="A359" s="27" t="s">
        <v>42</v>
      </c>
      <c r="B359" s="27" t="s">
        <v>1121</v>
      </c>
      <c r="C359" s="27" t="s">
        <v>1122</v>
      </c>
      <c r="D359" s="27" t="s">
        <v>1123</v>
      </c>
      <c r="E359" s="28" t="s">
        <v>46</v>
      </c>
      <c r="F359" s="29" t="s">
        <v>46</v>
      </c>
      <c r="G359" s="30" t="s">
        <v>46</v>
      </c>
      <c r="H359" s="25"/>
      <c r="I359" s="25" t="s">
        <v>47</v>
      </c>
      <c r="J359" s="31">
        <v>10</v>
      </c>
      <c r="K359" s="35">
        <f>680.3</f>
        <v>680.3</v>
      </c>
      <c r="L359" s="32" t="s">
        <v>48</v>
      </c>
      <c r="M359" s="35">
        <f>681.6</f>
        <v>681.6</v>
      </c>
      <c r="N359" s="32" t="s">
        <v>48</v>
      </c>
      <c r="O359" s="35">
        <f>670.6</f>
        <v>670.6</v>
      </c>
      <c r="P359" s="32" t="s">
        <v>206</v>
      </c>
      <c r="Q359" s="35">
        <f>671.9</f>
        <v>671.9</v>
      </c>
      <c r="R359" s="32" t="s">
        <v>50</v>
      </c>
      <c r="S359" s="34">
        <f>673.53</f>
        <v>673.53</v>
      </c>
      <c r="T359" s="31">
        <f>971790</f>
        <v>971790</v>
      </c>
      <c r="U359" s="31">
        <f>18100</f>
        <v>18100</v>
      </c>
      <c r="V359" s="31">
        <f>655249422</f>
        <v>655249422</v>
      </c>
      <c r="W359" s="31">
        <f>12158051</f>
        <v>12158051</v>
      </c>
      <c r="X359" s="33">
        <f>19</f>
        <v>19</v>
      </c>
    </row>
    <row r="360" spans="1:24">
      <c r="A360" s="27" t="s">
        <v>42</v>
      </c>
      <c r="B360" s="27" t="s">
        <v>1124</v>
      </c>
      <c r="C360" s="27" t="s">
        <v>1125</v>
      </c>
      <c r="D360" s="27" t="s">
        <v>1126</v>
      </c>
      <c r="E360" s="28" t="s">
        <v>46</v>
      </c>
      <c r="F360" s="29" t="s">
        <v>46</v>
      </c>
      <c r="G360" s="30" t="s">
        <v>46</v>
      </c>
      <c r="H360" s="25"/>
      <c r="I360" s="25" t="s">
        <v>47</v>
      </c>
      <c r="J360" s="31">
        <v>10</v>
      </c>
      <c r="K360" s="35">
        <f>648.4</f>
        <v>648.4</v>
      </c>
      <c r="L360" s="32" t="s">
        <v>48</v>
      </c>
      <c r="M360" s="35">
        <f>648.4</f>
        <v>648.4</v>
      </c>
      <c r="N360" s="32" t="s">
        <v>48</v>
      </c>
      <c r="O360" s="35">
        <f>639.4</f>
        <v>639.4</v>
      </c>
      <c r="P360" s="32" t="s">
        <v>206</v>
      </c>
      <c r="Q360" s="35">
        <f>641.7</f>
        <v>641.70000000000005</v>
      </c>
      <c r="R360" s="32" t="s">
        <v>50</v>
      </c>
      <c r="S360" s="34">
        <f>641.13</f>
        <v>641.13</v>
      </c>
      <c r="T360" s="31">
        <f>1396980</f>
        <v>1396980</v>
      </c>
      <c r="U360" s="31">
        <f>1284080</f>
        <v>1284080</v>
      </c>
      <c r="V360" s="31">
        <f>894284086</f>
        <v>894284086</v>
      </c>
      <c r="W360" s="31">
        <f>821972089</f>
        <v>821972089</v>
      </c>
      <c r="X360" s="33">
        <f>19</f>
        <v>19</v>
      </c>
    </row>
    <row r="361" spans="1:24">
      <c r="A361" s="27" t="s">
        <v>42</v>
      </c>
      <c r="B361" s="27" t="s">
        <v>1127</v>
      </c>
      <c r="C361" s="27" t="s">
        <v>1128</v>
      </c>
      <c r="D361" s="27" t="s">
        <v>1129</v>
      </c>
      <c r="E361" s="28" t="s">
        <v>46</v>
      </c>
      <c r="F361" s="29" t="s">
        <v>46</v>
      </c>
      <c r="G361" s="30" t="s">
        <v>46</v>
      </c>
      <c r="H361" s="25"/>
      <c r="I361" s="25" t="s">
        <v>47</v>
      </c>
      <c r="J361" s="31">
        <v>1</v>
      </c>
      <c r="K361" s="35">
        <f>1340</f>
        <v>1340</v>
      </c>
      <c r="L361" s="32" t="s">
        <v>48</v>
      </c>
      <c r="M361" s="35">
        <f>1390</f>
        <v>1390</v>
      </c>
      <c r="N361" s="32" t="s">
        <v>61</v>
      </c>
      <c r="O361" s="35">
        <f>1332</f>
        <v>1332</v>
      </c>
      <c r="P361" s="32" t="s">
        <v>206</v>
      </c>
      <c r="Q361" s="35">
        <f>1361</f>
        <v>1361</v>
      </c>
      <c r="R361" s="32" t="s">
        <v>50</v>
      </c>
      <c r="S361" s="34">
        <f>1360.11</f>
        <v>1360.11</v>
      </c>
      <c r="T361" s="31">
        <f>41593</f>
        <v>41593</v>
      </c>
      <c r="U361" s="31" t="str">
        <f>"－"</f>
        <v>－</v>
      </c>
      <c r="V361" s="31">
        <f>56527731</f>
        <v>56527731</v>
      </c>
      <c r="W361" s="31" t="str">
        <f>"－"</f>
        <v>－</v>
      </c>
      <c r="X361" s="33">
        <f>19</f>
        <v>19</v>
      </c>
    </row>
    <row r="362" spans="1:24">
      <c r="A362" s="27" t="s">
        <v>42</v>
      </c>
      <c r="B362" s="27" t="s">
        <v>1130</v>
      </c>
      <c r="C362" s="27" t="s">
        <v>1131</v>
      </c>
      <c r="D362" s="27" t="s">
        <v>1132</v>
      </c>
      <c r="E362" s="28" t="s">
        <v>46</v>
      </c>
      <c r="F362" s="29" t="s">
        <v>46</v>
      </c>
      <c r="G362" s="30" t="s">
        <v>46</v>
      </c>
      <c r="H362" s="25"/>
      <c r="I362" s="25" t="s">
        <v>47</v>
      </c>
      <c r="J362" s="31">
        <v>1</v>
      </c>
      <c r="K362" s="35">
        <f>2960</f>
        <v>2960</v>
      </c>
      <c r="L362" s="32" t="s">
        <v>48</v>
      </c>
      <c r="M362" s="35">
        <f>3067</f>
        <v>3067</v>
      </c>
      <c r="N362" s="32" t="s">
        <v>74</v>
      </c>
      <c r="O362" s="35">
        <f>2955</f>
        <v>2955</v>
      </c>
      <c r="P362" s="32" t="s">
        <v>48</v>
      </c>
      <c r="Q362" s="35">
        <f>2986</f>
        <v>2986</v>
      </c>
      <c r="R362" s="32" t="s">
        <v>50</v>
      </c>
      <c r="S362" s="34">
        <f>3005.95</f>
        <v>3005.95</v>
      </c>
      <c r="T362" s="31">
        <f>129338</f>
        <v>129338</v>
      </c>
      <c r="U362" s="31">
        <f>7121</f>
        <v>7121</v>
      </c>
      <c r="V362" s="31">
        <f>388040977</f>
        <v>388040977</v>
      </c>
      <c r="W362" s="31">
        <f>21290308</f>
        <v>21290308</v>
      </c>
      <c r="X362" s="33">
        <f>19</f>
        <v>19</v>
      </c>
    </row>
    <row r="363" spans="1:24">
      <c r="A363" s="27" t="s">
        <v>42</v>
      </c>
      <c r="B363" s="27" t="s">
        <v>1133</v>
      </c>
      <c r="C363" s="27" t="s">
        <v>1134</v>
      </c>
      <c r="D363" s="27" t="s">
        <v>1135</v>
      </c>
      <c r="E363" s="28" t="s">
        <v>46</v>
      </c>
      <c r="F363" s="29" t="s">
        <v>46</v>
      </c>
      <c r="G363" s="30" t="s">
        <v>46</v>
      </c>
      <c r="H363" s="25"/>
      <c r="I363" s="25" t="s">
        <v>47</v>
      </c>
      <c r="J363" s="31">
        <v>1</v>
      </c>
      <c r="K363" s="35">
        <f>3169</f>
        <v>3169</v>
      </c>
      <c r="L363" s="32" t="s">
        <v>48</v>
      </c>
      <c r="M363" s="35">
        <f>3300</f>
        <v>3300</v>
      </c>
      <c r="N363" s="32" t="s">
        <v>60</v>
      </c>
      <c r="O363" s="35">
        <f>3154</f>
        <v>3154</v>
      </c>
      <c r="P363" s="32" t="s">
        <v>50</v>
      </c>
      <c r="Q363" s="35">
        <f>3158</f>
        <v>3158</v>
      </c>
      <c r="R363" s="32" t="s">
        <v>50</v>
      </c>
      <c r="S363" s="34">
        <f>3232.37</f>
        <v>3232.37</v>
      </c>
      <c r="T363" s="31">
        <f>731207</f>
        <v>731207</v>
      </c>
      <c r="U363" s="31">
        <f>336382</f>
        <v>336382</v>
      </c>
      <c r="V363" s="31">
        <f>2359074920</f>
        <v>2359074920</v>
      </c>
      <c r="W363" s="31">
        <f>1077999760</f>
        <v>1077999760</v>
      </c>
      <c r="X363" s="33">
        <f>19</f>
        <v>19</v>
      </c>
    </row>
    <row r="364" spans="1:24">
      <c r="A364" s="27" t="s">
        <v>42</v>
      </c>
      <c r="B364" s="27" t="s">
        <v>1136</v>
      </c>
      <c r="C364" s="27" t="s">
        <v>1137</v>
      </c>
      <c r="D364" s="27" t="s">
        <v>1138</v>
      </c>
      <c r="E364" s="28" t="s">
        <v>46</v>
      </c>
      <c r="F364" s="29" t="s">
        <v>46</v>
      </c>
      <c r="G364" s="30" t="s">
        <v>46</v>
      </c>
      <c r="H364" s="25"/>
      <c r="I364" s="25" t="s">
        <v>47</v>
      </c>
      <c r="J364" s="31">
        <v>1</v>
      </c>
      <c r="K364" s="35">
        <f>6070</f>
        <v>6070</v>
      </c>
      <c r="L364" s="32" t="s">
        <v>48</v>
      </c>
      <c r="M364" s="35">
        <f>6356</f>
        <v>6356</v>
      </c>
      <c r="N364" s="32" t="s">
        <v>206</v>
      </c>
      <c r="O364" s="35">
        <f>5833</f>
        <v>5833</v>
      </c>
      <c r="P364" s="32" t="s">
        <v>61</v>
      </c>
      <c r="Q364" s="35">
        <f>5942</f>
        <v>5942</v>
      </c>
      <c r="R364" s="32" t="s">
        <v>50</v>
      </c>
      <c r="S364" s="34">
        <f>5914.74</f>
        <v>5914.74</v>
      </c>
      <c r="T364" s="31">
        <f>467525</f>
        <v>467525</v>
      </c>
      <c r="U364" s="31">
        <f>464160</f>
        <v>464160</v>
      </c>
      <c r="V364" s="31">
        <f>2769338637</f>
        <v>2769338637</v>
      </c>
      <c r="W364" s="31">
        <f>2749262672</f>
        <v>2749262672</v>
      </c>
      <c r="X364" s="33">
        <f>19</f>
        <v>19</v>
      </c>
    </row>
    <row r="365" spans="1:24">
      <c r="A365" s="27" t="s">
        <v>42</v>
      </c>
      <c r="B365" s="27" t="s">
        <v>1139</v>
      </c>
      <c r="C365" s="27" t="s">
        <v>1140</v>
      </c>
      <c r="D365" s="27" t="s">
        <v>1141</v>
      </c>
      <c r="E365" s="28" t="s">
        <v>46</v>
      </c>
      <c r="F365" s="29" t="s">
        <v>46</v>
      </c>
      <c r="G365" s="30" t="s">
        <v>46</v>
      </c>
      <c r="H365" s="25"/>
      <c r="I365" s="25" t="s">
        <v>47</v>
      </c>
      <c r="J365" s="31">
        <v>1</v>
      </c>
      <c r="K365" s="35">
        <f>4014</f>
        <v>4014</v>
      </c>
      <c r="L365" s="32" t="s">
        <v>48</v>
      </c>
      <c r="M365" s="35">
        <f>4061</f>
        <v>4061</v>
      </c>
      <c r="N365" s="32" t="s">
        <v>223</v>
      </c>
      <c r="O365" s="35">
        <f>4010</f>
        <v>4010</v>
      </c>
      <c r="P365" s="32" t="s">
        <v>48</v>
      </c>
      <c r="Q365" s="35">
        <f>4061</f>
        <v>4061</v>
      </c>
      <c r="R365" s="32" t="s">
        <v>223</v>
      </c>
      <c r="S365" s="34">
        <f>4030.13</f>
        <v>4030.13</v>
      </c>
      <c r="T365" s="31">
        <f>285</f>
        <v>285</v>
      </c>
      <c r="U365" s="31" t="str">
        <f>"－"</f>
        <v>－</v>
      </c>
      <c r="V365" s="31">
        <f>1148002</f>
        <v>1148002</v>
      </c>
      <c r="W365" s="31" t="str">
        <f>"－"</f>
        <v>－</v>
      </c>
      <c r="X365" s="33">
        <f>8</f>
        <v>8</v>
      </c>
    </row>
    <row r="366" spans="1:24">
      <c r="A366" s="27" t="s">
        <v>42</v>
      </c>
      <c r="B366" s="27" t="s">
        <v>1142</v>
      </c>
      <c r="C366" s="27" t="s">
        <v>1143</v>
      </c>
      <c r="D366" s="27" t="s">
        <v>1144</v>
      </c>
      <c r="E366" s="28" t="s">
        <v>46</v>
      </c>
      <c r="F366" s="29" t="s">
        <v>46</v>
      </c>
      <c r="G366" s="30" t="s">
        <v>46</v>
      </c>
      <c r="H366" s="25"/>
      <c r="I366" s="25" t="s">
        <v>47</v>
      </c>
      <c r="J366" s="31">
        <v>1</v>
      </c>
      <c r="K366" s="35">
        <f>1326</f>
        <v>1326</v>
      </c>
      <c r="L366" s="32" t="s">
        <v>48</v>
      </c>
      <c r="M366" s="35">
        <f>1383</f>
        <v>1383</v>
      </c>
      <c r="N366" s="32" t="s">
        <v>60</v>
      </c>
      <c r="O366" s="35">
        <f>1290</f>
        <v>1290</v>
      </c>
      <c r="P366" s="32" t="s">
        <v>61</v>
      </c>
      <c r="Q366" s="35">
        <f>1306</f>
        <v>1306</v>
      </c>
      <c r="R366" s="32" t="s">
        <v>50</v>
      </c>
      <c r="S366" s="34">
        <f>1323.11</f>
        <v>1323.11</v>
      </c>
      <c r="T366" s="31">
        <f>20316</f>
        <v>20316</v>
      </c>
      <c r="U366" s="31" t="str">
        <f>"－"</f>
        <v>－</v>
      </c>
      <c r="V366" s="31">
        <f>26566825</f>
        <v>26566825</v>
      </c>
      <c r="W366" s="31" t="str">
        <f>"－"</f>
        <v>－</v>
      </c>
      <c r="X366" s="33">
        <f>19</f>
        <v>19</v>
      </c>
    </row>
    <row r="367" spans="1:24">
      <c r="A367" s="27" t="s">
        <v>42</v>
      </c>
      <c r="B367" s="27" t="s">
        <v>1145</v>
      </c>
      <c r="C367" s="27" t="s">
        <v>1146</v>
      </c>
      <c r="D367" s="27" t="s">
        <v>1147</v>
      </c>
      <c r="E367" s="28" t="s">
        <v>46</v>
      </c>
      <c r="F367" s="29" t="s">
        <v>46</v>
      </c>
      <c r="G367" s="30" t="s">
        <v>46</v>
      </c>
      <c r="H367" s="25"/>
      <c r="I367" s="25" t="s">
        <v>47</v>
      </c>
      <c r="J367" s="31">
        <v>1</v>
      </c>
      <c r="K367" s="35">
        <f>1227</f>
        <v>1227</v>
      </c>
      <c r="L367" s="32" t="s">
        <v>48</v>
      </c>
      <c r="M367" s="35">
        <f>1248</f>
        <v>1248</v>
      </c>
      <c r="N367" s="32" t="s">
        <v>74</v>
      </c>
      <c r="O367" s="35">
        <f>1203</f>
        <v>1203</v>
      </c>
      <c r="P367" s="32" t="s">
        <v>61</v>
      </c>
      <c r="Q367" s="35">
        <f>1212</f>
        <v>1212</v>
      </c>
      <c r="R367" s="32" t="s">
        <v>50</v>
      </c>
      <c r="S367" s="34">
        <f>1228.79</f>
        <v>1228.79</v>
      </c>
      <c r="T367" s="31">
        <f>7872292</f>
        <v>7872292</v>
      </c>
      <c r="U367" s="31">
        <f>1647</f>
        <v>1647</v>
      </c>
      <c r="V367" s="31">
        <f>9657384128</f>
        <v>9657384128</v>
      </c>
      <c r="W367" s="31">
        <f>2053031</f>
        <v>2053031</v>
      </c>
      <c r="X367" s="33">
        <f>19</f>
        <v>19</v>
      </c>
    </row>
    <row r="368" spans="1:24">
      <c r="A368" s="27" t="s">
        <v>42</v>
      </c>
      <c r="B368" s="27" t="s">
        <v>1148</v>
      </c>
      <c r="C368" s="27" t="s">
        <v>1149</v>
      </c>
      <c r="D368" s="27" t="s">
        <v>1150</v>
      </c>
      <c r="E368" s="28" t="s">
        <v>46</v>
      </c>
      <c r="F368" s="29" t="s">
        <v>46</v>
      </c>
      <c r="G368" s="30" t="s">
        <v>46</v>
      </c>
      <c r="H368" s="25"/>
      <c r="I368" s="25" t="s">
        <v>47</v>
      </c>
      <c r="J368" s="31">
        <v>1</v>
      </c>
      <c r="K368" s="35">
        <f>1003</f>
        <v>1003</v>
      </c>
      <c r="L368" s="32" t="s">
        <v>48</v>
      </c>
      <c r="M368" s="35">
        <f>1047</f>
        <v>1047</v>
      </c>
      <c r="N368" s="32" t="s">
        <v>155</v>
      </c>
      <c r="O368" s="35">
        <f>1000</f>
        <v>1000</v>
      </c>
      <c r="P368" s="32" t="s">
        <v>50</v>
      </c>
      <c r="Q368" s="35">
        <f>1003</f>
        <v>1003</v>
      </c>
      <c r="R368" s="32" t="s">
        <v>50</v>
      </c>
      <c r="S368" s="34">
        <f>1023.74</f>
        <v>1023.74</v>
      </c>
      <c r="T368" s="31">
        <f>1084069</f>
        <v>1084069</v>
      </c>
      <c r="U368" s="31">
        <f>103</f>
        <v>103</v>
      </c>
      <c r="V368" s="31">
        <f>1109287287</f>
        <v>1109287287</v>
      </c>
      <c r="W368" s="31">
        <f>103515</f>
        <v>103515</v>
      </c>
      <c r="X368" s="33">
        <f>19</f>
        <v>19</v>
      </c>
    </row>
    <row r="369" spans="1:24">
      <c r="A369" s="27" t="s">
        <v>42</v>
      </c>
      <c r="B369" s="27" t="s">
        <v>1151</v>
      </c>
      <c r="C369" s="27" t="s">
        <v>1152</v>
      </c>
      <c r="D369" s="27" t="s">
        <v>1153</v>
      </c>
      <c r="E369" s="28" t="s">
        <v>46</v>
      </c>
      <c r="F369" s="29" t="s">
        <v>46</v>
      </c>
      <c r="G369" s="30" t="s">
        <v>46</v>
      </c>
      <c r="H369" s="25"/>
      <c r="I369" s="25" t="s">
        <v>47</v>
      </c>
      <c r="J369" s="31">
        <v>1</v>
      </c>
      <c r="K369" s="35">
        <f>1590</f>
        <v>1590</v>
      </c>
      <c r="L369" s="32" t="s">
        <v>48</v>
      </c>
      <c r="M369" s="35">
        <f>1739</f>
        <v>1739</v>
      </c>
      <c r="N369" s="32" t="s">
        <v>69</v>
      </c>
      <c r="O369" s="35">
        <f>1506</f>
        <v>1506</v>
      </c>
      <c r="P369" s="32" t="s">
        <v>48</v>
      </c>
      <c r="Q369" s="35">
        <f>1600</f>
        <v>1600</v>
      </c>
      <c r="R369" s="32" t="s">
        <v>50</v>
      </c>
      <c r="S369" s="34">
        <f>1603.32</f>
        <v>1603.32</v>
      </c>
      <c r="T369" s="31">
        <f>48729</f>
        <v>48729</v>
      </c>
      <c r="U369" s="31" t="str">
        <f>"－"</f>
        <v>－</v>
      </c>
      <c r="V369" s="31">
        <f>76534504</f>
        <v>76534504</v>
      </c>
      <c r="W369" s="31" t="str">
        <f>"－"</f>
        <v>－</v>
      </c>
      <c r="X369" s="33">
        <f>19</f>
        <v>19</v>
      </c>
    </row>
    <row r="370" spans="1:24">
      <c r="A370" s="27" t="s">
        <v>42</v>
      </c>
      <c r="B370" s="27" t="s">
        <v>1154</v>
      </c>
      <c r="C370" s="27" t="s">
        <v>1155</v>
      </c>
      <c r="D370" s="27" t="s">
        <v>1156</v>
      </c>
      <c r="E370" s="28" t="s">
        <v>46</v>
      </c>
      <c r="F370" s="29" t="s">
        <v>46</v>
      </c>
      <c r="G370" s="30" t="s">
        <v>46</v>
      </c>
      <c r="H370" s="25"/>
      <c r="I370" s="25" t="s">
        <v>47</v>
      </c>
      <c r="J370" s="31">
        <v>1</v>
      </c>
      <c r="K370" s="35">
        <f>1110</f>
        <v>1110</v>
      </c>
      <c r="L370" s="32" t="s">
        <v>48</v>
      </c>
      <c r="M370" s="35">
        <f>1127</f>
        <v>1127</v>
      </c>
      <c r="N370" s="32" t="s">
        <v>74</v>
      </c>
      <c r="O370" s="35">
        <f>1082</f>
        <v>1082</v>
      </c>
      <c r="P370" s="32" t="s">
        <v>61</v>
      </c>
      <c r="Q370" s="35">
        <f>1088</f>
        <v>1088</v>
      </c>
      <c r="R370" s="32" t="s">
        <v>50</v>
      </c>
      <c r="S370" s="34">
        <f>1108.42</f>
        <v>1108.42</v>
      </c>
      <c r="T370" s="31">
        <f>1918694</f>
        <v>1918694</v>
      </c>
      <c r="U370" s="31">
        <f>422</f>
        <v>422</v>
      </c>
      <c r="V370" s="31">
        <f>2124930597</f>
        <v>2124930597</v>
      </c>
      <c r="W370" s="31">
        <f>465487</f>
        <v>465487</v>
      </c>
      <c r="X370" s="33">
        <f>19</f>
        <v>19</v>
      </c>
    </row>
    <row r="371" spans="1:24">
      <c r="A371" s="27" t="s">
        <v>42</v>
      </c>
      <c r="B371" s="27" t="s">
        <v>1157</v>
      </c>
      <c r="C371" s="27" t="s">
        <v>1158</v>
      </c>
      <c r="D371" s="27" t="s">
        <v>1159</v>
      </c>
      <c r="E371" s="28" t="s">
        <v>46</v>
      </c>
      <c r="F371" s="29" t="s">
        <v>46</v>
      </c>
      <c r="G371" s="30" t="s">
        <v>46</v>
      </c>
      <c r="H371" s="25"/>
      <c r="I371" s="25" t="s">
        <v>47</v>
      </c>
      <c r="J371" s="31">
        <v>1</v>
      </c>
      <c r="K371" s="35">
        <f>59120</f>
        <v>59120</v>
      </c>
      <c r="L371" s="32" t="s">
        <v>48</v>
      </c>
      <c r="M371" s="35">
        <f>62670</f>
        <v>62670</v>
      </c>
      <c r="N371" s="32" t="s">
        <v>61</v>
      </c>
      <c r="O371" s="35">
        <f>57150</f>
        <v>57150</v>
      </c>
      <c r="P371" s="32" t="s">
        <v>213</v>
      </c>
      <c r="Q371" s="35">
        <f>60150</f>
        <v>60150</v>
      </c>
      <c r="R371" s="32" t="s">
        <v>50</v>
      </c>
      <c r="S371" s="34">
        <f>60054.74</f>
        <v>60054.74</v>
      </c>
      <c r="T371" s="31">
        <f>204506</f>
        <v>204506</v>
      </c>
      <c r="U371" s="31">
        <f>1167</f>
        <v>1167</v>
      </c>
      <c r="V371" s="31">
        <f>12260757455</f>
        <v>12260757455</v>
      </c>
      <c r="W371" s="31">
        <f>70066905</f>
        <v>70066905</v>
      </c>
      <c r="X371" s="33">
        <f>19</f>
        <v>19</v>
      </c>
    </row>
    <row r="372" spans="1:24">
      <c r="A372" s="27" t="s">
        <v>42</v>
      </c>
      <c r="B372" s="27" t="s">
        <v>1160</v>
      </c>
      <c r="C372" s="27" t="s">
        <v>1161</v>
      </c>
      <c r="D372" s="27" t="s">
        <v>1162</v>
      </c>
      <c r="E372" s="28" t="s">
        <v>46</v>
      </c>
      <c r="F372" s="29" t="s">
        <v>46</v>
      </c>
      <c r="G372" s="30" t="s">
        <v>46</v>
      </c>
      <c r="H372" s="25"/>
      <c r="I372" s="25" t="s">
        <v>47</v>
      </c>
      <c r="J372" s="31">
        <v>1</v>
      </c>
      <c r="K372" s="35">
        <f>10765</f>
        <v>10765</v>
      </c>
      <c r="L372" s="32" t="s">
        <v>48</v>
      </c>
      <c r="M372" s="35">
        <f>11030</f>
        <v>11030</v>
      </c>
      <c r="N372" s="32" t="s">
        <v>213</v>
      </c>
      <c r="O372" s="35">
        <f>10040</f>
        <v>10040</v>
      </c>
      <c r="P372" s="32" t="s">
        <v>61</v>
      </c>
      <c r="Q372" s="35">
        <f>10450</f>
        <v>10450</v>
      </c>
      <c r="R372" s="32" t="s">
        <v>50</v>
      </c>
      <c r="S372" s="34">
        <f>10555.79</f>
        <v>10555.79</v>
      </c>
      <c r="T372" s="31">
        <f>323446</f>
        <v>323446</v>
      </c>
      <c r="U372" s="31">
        <f>1433</f>
        <v>1433</v>
      </c>
      <c r="V372" s="31">
        <f>3388423188</f>
        <v>3388423188</v>
      </c>
      <c r="W372" s="31">
        <f>15286843</f>
        <v>15286843</v>
      </c>
      <c r="X372" s="33">
        <f>19</f>
        <v>19</v>
      </c>
    </row>
    <row r="373" spans="1:24">
      <c r="A373" s="27" t="s">
        <v>42</v>
      </c>
      <c r="B373" s="27" t="s">
        <v>1163</v>
      </c>
      <c r="C373" s="27" t="s">
        <v>1164</v>
      </c>
      <c r="D373" s="27" t="s">
        <v>1165</v>
      </c>
      <c r="E373" s="28" t="s">
        <v>46</v>
      </c>
      <c r="F373" s="29" t="s">
        <v>46</v>
      </c>
      <c r="G373" s="30" t="s">
        <v>46</v>
      </c>
      <c r="H373" s="25"/>
      <c r="I373" s="25" t="s">
        <v>47</v>
      </c>
      <c r="J373" s="31">
        <v>1</v>
      </c>
      <c r="K373" s="35">
        <f>2589</f>
        <v>2589</v>
      </c>
      <c r="L373" s="32" t="s">
        <v>48</v>
      </c>
      <c r="M373" s="35">
        <f>2677</f>
        <v>2677</v>
      </c>
      <c r="N373" s="32" t="s">
        <v>74</v>
      </c>
      <c r="O373" s="35">
        <f>2534</f>
        <v>2534</v>
      </c>
      <c r="P373" s="32" t="s">
        <v>61</v>
      </c>
      <c r="Q373" s="35">
        <f>2564</f>
        <v>2564</v>
      </c>
      <c r="R373" s="32" t="s">
        <v>50</v>
      </c>
      <c r="S373" s="34">
        <f>2600.94</f>
        <v>2600.94</v>
      </c>
      <c r="T373" s="31">
        <f>609</f>
        <v>609</v>
      </c>
      <c r="U373" s="31" t="str">
        <f>"－"</f>
        <v>－</v>
      </c>
      <c r="V373" s="31">
        <f>1582191</f>
        <v>1582191</v>
      </c>
      <c r="W373" s="31" t="str">
        <f>"－"</f>
        <v>－</v>
      </c>
      <c r="X373" s="33">
        <f>16</f>
        <v>16</v>
      </c>
    </row>
    <row r="374" spans="1:24">
      <c r="A374" s="27" t="s">
        <v>42</v>
      </c>
      <c r="B374" s="27" t="s">
        <v>1166</v>
      </c>
      <c r="C374" s="27" t="s">
        <v>1167</v>
      </c>
      <c r="D374" s="27" t="s">
        <v>1168</v>
      </c>
      <c r="E374" s="28" t="s">
        <v>46</v>
      </c>
      <c r="F374" s="29" t="s">
        <v>46</v>
      </c>
      <c r="G374" s="30" t="s">
        <v>46</v>
      </c>
      <c r="H374" s="25"/>
      <c r="I374" s="25" t="s">
        <v>47</v>
      </c>
      <c r="J374" s="31">
        <v>1</v>
      </c>
      <c r="K374" s="35">
        <f>9342</f>
        <v>9342</v>
      </c>
      <c r="L374" s="32" t="s">
        <v>48</v>
      </c>
      <c r="M374" s="35">
        <f>10300</f>
        <v>10300</v>
      </c>
      <c r="N374" s="32" t="s">
        <v>61</v>
      </c>
      <c r="O374" s="35">
        <f>9085</f>
        <v>9085</v>
      </c>
      <c r="P374" s="32" t="s">
        <v>48</v>
      </c>
      <c r="Q374" s="35">
        <f>10100</f>
        <v>10100</v>
      </c>
      <c r="R374" s="32" t="s">
        <v>50</v>
      </c>
      <c r="S374" s="34">
        <f>9838</f>
        <v>9838</v>
      </c>
      <c r="T374" s="31">
        <f>3262</f>
        <v>3262</v>
      </c>
      <c r="U374" s="31">
        <f>4</f>
        <v>4</v>
      </c>
      <c r="V374" s="31">
        <f>31840681</f>
        <v>31840681</v>
      </c>
      <c r="W374" s="31">
        <f>36920</f>
        <v>36920</v>
      </c>
      <c r="X374" s="33">
        <f>19</f>
        <v>19</v>
      </c>
    </row>
    <row r="375" spans="1:24">
      <c r="A375" s="27" t="s">
        <v>42</v>
      </c>
      <c r="B375" s="27" t="s">
        <v>1169</v>
      </c>
      <c r="C375" s="27" t="s">
        <v>1170</v>
      </c>
      <c r="D375" s="27" t="s">
        <v>1171</v>
      </c>
      <c r="E375" s="28" t="s">
        <v>46</v>
      </c>
      <c r="F375" s="29" t="s">
        <v>46</v>
      </c>
      <c r="G375" s="30" t="s">
        <v>46</v>
      </c>
      <c r="H375" s="25"/>
      <c r="I375" s="25" t="s">
        <v>47</v>
      </c>
      <c r="J375" s="31">
        <v>10</v>
      </c>
      <c r="K375" s="35">
        <f>241.5</f>
        <v>241.5</v>
      </c>
      <c r="L375" s="32" t="s">
        <v>48</v>
      </c>
      <c r="M375" s="35">
        <f>244.5</f>
        <v>244.5</v>
      </c>
      <c r="N375" s="32" t="s">
        <v>60</v>
      </c>
      <c r="O375" s="35">
        <f>232.1</f>
        <v>232.1</v>
      </c>
      <c r="P375" s="32" t="s">
        <v>273</v>
      </c>
      <c r="Q375" s="35">
        <f>232.2</f>
        <v>232.2</v>
      </c>
      <c r="R375" s="32" t="s">
        <v>50</v>
      </c>
      <c r="S375" s="34">
        <f>238.51</f>
        <v>238.51</v>
      </c>
      <c r="T375" s="31">
        <f>4248520</f>
        <v>4248520</v>
      </c>
      <c r="U375" s="31">
        <f>170</f>
        <v>170</v>
      </c>
      <c r="V375" s="31">
        <f>1008383134</f>
        <v>1008383134</v>
      </c>
      <c r="W375" s="31">
        <f>41395</f>
        <v>41395</v>
      </c>
      <c r="X375" s="33">
        <f>19</f>
        <v>19</v>
      </c>
    </row>
    <row r="376" spans="1:24">
      <c r="A376" s="27" t="s">
        <v>42</v>
      </c>
      <c r="B376" s="27" t="s">
        <v>1172</v>
      </c>
      <c r="C376" s="27" t="s">
        <v>1173</v>
      </c>
      <c r="D376" s="27" t="s">
        <v>1174</v>
      </c>
      <c r="E376" s="28" t="s">
        <v>46</v>
      </c>
      <c r="F376" s="29" t="s">
        <v>46</v>
      </c>
      <c r="G376" s="30" t="s">
        <v>46</v>
      </c>
      <c r="H376" s="25"/>
      <c r="I376" s="25" t="s">
        <v>47</v>
      </c>
      <c r="J376" s="31">
        <v>10</v>
      </c>
      <c r="K376" s="35">
        <f>325.8</f>
        <v>325.8</v>
      </c>
      <c r="L376" s="32" t="s">
        <v>48</v>
      </c>
      <c r="M376" s="35">
        <f>405.9</f>
        <v>405.9</v>
      </c>
      <c r="N376" s="32" t="s">
        <v>70</v>
      </c>
      <c r="O376" s="35">
        <f>325.6</f>
        <v>325.60000000000002</v>
      </c>
      <c r="P376" s="32" t="s">
        <v>48</v>
      </c>
      <c r="Q376" s="35">
        <f>376.6</f>
        <v>376.6</v>
      </c>
      <c r="R376" s="32" t="s">
        <v>50</v>
      </c>
      <c r="S376" s="34">
        <f>355.44</f>
        <v>355.44</v>
      </c>
      <c r="T376" s="31">
        <f>203931260</f>
        <v>203931260</v>
      </c>
      <c r="U376" s="31">
        <f>15369560</f>
        <v>15369560</v>
      </c>
      <c r="V376" s="31">
        <f>74149717044</f>
        <v>74149717044</v>
      </c>
      <c r="W376" s="31">
        <f>5475762308</f>
        <v>5475762308</v>
      </c>
      <c r="X376" s="33">
        <f>19</f>
        <v>19</v>
      </c>
    </row>
    <row r="377" spans="1:24">
      <c r="A377" s="27" t="s">
        <v>42</v>
      </c>
      <c r="B377" s="27" t="s">
        <v>1175</v>
      </c>
      <c r="C377" s="27" t="s">
        <v>1176</v>
      </c>
      <c r="D377" s="27" t="s">
        <v>1177</v>
      </c>
      <c r="E377" s="28" t="s">
        <v>46</v>
      </c>
      <c r="F377" s="29" t="s">
        <v>46</v>
      </c>
      <c r="G377" s="30" t="s">
        <v>46</v>
      </c>
      <c r="H377" s="25"/>
      <c r="I377" s="25" t="s">
        <v>47</v>
      </c>
      <c r="J377" s="31">
        <v>1</v>
      </c>
      <c r="K377" s="35">
        <f>1372</f>
        <v>1372</v>
      </c>
      <c r="L377" s="32" t="s">
        <v>48</v>
      </c>
      <c r="M377" s="35">
        <f>1616</f>
        <v>1616</v>
      </c>
      <c r="N377" s="32" t="s">
        <v>103</v>
      </c>
      <c r="O377" s="35">
        <f>1372</f>
        <v>1372</v>
      </c>
      <c r="P377" s="32" t="s">
        <v>48</v>
      </c>
      <c r="Q377" s="35">
        <f>1532</f>
        <v>1532</v>
      </c>
      <c r="R377" s="32" t="s">
        <v>50</v>
      </c>
      <c r="S377" s="34">
        <f>1497.79</f>
        <v>1497.79</v>
      </c>
      <c r="T377" s="31">
        <f>4292903</f>
        <v>4292903</v>
      </c>
      <c r="U377" s="31">
        <f>2465646</f>
        <v>2465646</v>
      </c>
      <c r="V377" s="31">
        <f>6534872650</f>
        <v>6534872650</v>
      </c>
      <c r="W377" s="31">
        <f>3774731178</f>
        <v>3774731178</v>
      </c>
      <c r="X377" s="33">
        <f>19</f>
        <v>19</v>
      </c>
    </row>
    <row r="378" spans="1:24">
      <c r="A378" s="27" t="s">
        <v>42</v>
      </c>
      <c r="B378" s="27" t="s">
        <v>1178</v>
      </c>
      <c r="C378" s="27" t="s">
        <v>1179</v>
      </c>
      <c r="D378" s="27" t="s">
        <v>1180</v>
      </c>
      <c r="E378" s="28" t="s">
        <v>46</v>
      </c>
      <c r="F378" s="29" t="s">
        <v>46</v>
      </c>
      <c r="G378" s="30" t="s">
        <v>46</v>
      </c>
      <c r="H378" s="25"/>
      <c r="I378" s="25" t="s">
        <v>47</v>
      </c>
      <c r="J378" s="31">
        <v>1</v>
      </c>
      <c r="K378" s="35">
        <f>2271</f>
        <v>2271</v>
      </c>
      <c r="L378" s="32" t="s">
        <v>48</v>
      </c>
      <c r="M378" s="35">
        <f>2332</f>
        <v>2332</v>
      </c>
      <c r="N378" s="32" t="s">
        <v>74</v>
      </c>
      <c r="O378" s="35">
        <f>2167</f>
        <v>2167</v>
      </c>
      <c r="P378" s="32" t="s">
        <v>50</v>
      </c>
      <c r="Q378" s="35">
        <f>2174</f>
        <v>2174</v>
      </c>
      <c r="R378" s="32" t="s">
        <v>50</v>
      </c>
      <c r="S378" s="34">
        <f>2252</f>
        <v>2252</v>
      </c>
      <c r="T378" s="31">
        <f>8343689</f>
        <v>8343689</v>
      </c>
      <c r="U378" s="31">
        <f>80509</f>
        <v>80509</v>
      </c>
      <c r="V378" s="31">
        <f>18787243346</f>
        <v>18787243346</v>
      </c>
      <c r="W378" s="31">
        <f>181823710</f>
        <v>181823710</v>
      </c>
      <c r="X378" s="33">
        <f>19</f>
        <v>19</v>
      </c>
    </row>
    <row r="379" spans="1:24">
      <c r="A379" s="27" t="s">
        <v>42</v>
      </c>
      <c r="B379" s="27" t="s">
        <v>1181</v>
      </c>
      <c r="C379" s="27" t="s">
        <v>1182</v>
      </c>
      <c r="D379" s="27" t="s">
        <v>1183</v>
      </c>
      <c r="E379" s="28" t="s">
        <v>46</v>
      </c>
      <c r="F379" s="29" t="s">
        <v>46</v>
      </c>
      <c r="G379" s="30" t="s">
        <v>46</v>
      </c>
      <c r="H379" s="25"/>
      <c r="I379" s="25" t="s">
        <v>47</v>
      </c>
      <c r="J379" s="31">
        <v>10</v>
      </c>
      <c r="K379" s="35">
        <f>520.4</f>
        <v>520.4</v>
      </c>
      <c r="L379" s="32" t="s">
        <v>48</v>
      </c>
      <c r="M379" s="35">
        <f>594.7</f>
        <v>594.70000000000005</v>
      </c>
      <c r="N379" s="32" t="s">
        <v>213</v>
      </c>
      <c r="O379" s="35">
        <f>515.3</f>
        <v>515.29999999999995</v>
      </c>
      <c r="P379" s="32" t="s">
        <v>206</v>
      </c>
      <c r="Q379" s="35">
        <f>558.5</f>
        <v>558.5</v>
      </c>
      <c r="R379" s="32" t="s">
        <v>50</v>
      </c>
      <c r="S379" s="34">
        <f>539.08</f>
        <v>539.08000000000004</v>
      </c>
      <c r="T379" s="31">
        <f>21204880</f>
        <v>21204880</v>
      </c>
      <c r="U379" s="31">
        <f>14660</f>
        <v>14660</v>
      </c>
      <c r="V379" s="31">
        <f>11478680060</f>
        <v>11478680060</v>
      </c>
      <c r="W379" s="31">
        <f>7822617</f>
        <v>7822617</v>
      </c>
      <c r="X379" s="33">
        <f>19</f>
        <v>19</v>
      </c>
    </row>
    <row r="380" spans="1:24">
      <c r="A380" s="27" t="s">
        <v>42</v>
      </c>
      <c r="B380" s="27" t="s">
        <v>1184</v>
      </c>
      <c r="C380" s="27" t="s">
        <v>1185</v>
      </c>
      <c r="D380" s="27" t="s">
        <v>1186</v>
      </c>
      <c r="E380" s="28" t="s">
        <v>46</v>
      </c>
      <c r="F380" s="29" t="s">
        <v>46</v>
      </c>
      <c r="G380" s="30" t="s">
        <v>46</v>
      </c>
      <c r="H380" s="25"/>
      <c r="I380" s="25" t="s">
        <v>47</v>
      </c>
      <c r="J380" s="31">
        <v>1</v>
      </c>
      <c r="K380" s="35">
        <f>1318</f>
        <v>1318</v>
      </c>
      <c r="L380" s="32" t="s">
        <v>48</v>
      </c>
      <c r="M380" s="35">
        <f>1345</f>
        <v>1345</v>
      </c>
      <c r="N380" s="32" t="s">
        <v>213</v>
      </c>
      <c r="O380" s="35">
        <f>1261</f>
        <v>1261</v>
      </c>
      <c r="P380" s="32" t="s">
        <v>70</v>
      </c>
      <c r="Q380" s="35">
        <f>1277</f>
        <v>1277</v>
      </c>
      <c r="R380" s="32" t="s">
        <v>50</v>
      </c>
      <c r="S380" s="34">
        <f>1298.11</f>
        <v>1298.1099999999999</v>
      </c>
      <c r="T380" s="31">
        <f>92888</f>
        <v>92888</v>
      </c>
      <c r="U380" s="31">
        <f>6</f>
        <v>6</v>
      </c>
      <c r="V380" s="31">
        <f>118801960</f>
        <v>118801960</v>
      </c>
      <c r="W380" s="31">
        <f>7707</f>
        <v>7707</v>
      </c>
      <c r="X380" s="33">
        <f>19</f>
        <v>19</v>
      </c>
    </row>
    <row r="381" spans="1:24">
      <c r="A381" s="27" t="s">
        <v>42</v>
      </c>
      <c r="B381" s="27" t="s">
        <v>1187</v>
      </c>
      <c r="C381" s="27" t="s">
        <v>1188</v>
      </c>
      <c r="D381" s="27" t="s">
        <v>1189</v>
      </c>
      <c r="E381" s="28" t="s">
        <v>46</v>
      </c>
      <c r="F381" s="29" t="s">
        <v>46</v>
      </c>
      <c r="G381" s="30" t="s">
        <v>46</v>
      </c>
      <c r="H381" s="25"/>
      <c r="I381" s="25" t="s">
        <v>415</v>
      </c>
      <c r="J381" s="31">
        <v>1</v>
      </c>
      <c r="K381" s="35">
        <f>13330</f>
        <v>13330</v>
      </c>
      <c r="L381" s="32" t="s">
        <v>48</v>
      </c>
      <c r="M381" s="35">
        <f>14230</f>
        <v>14230</v>
      </c>
      <c r="N381" s="32" t="s">
        <v>103</v>
      </c>
      <c r="O381" s="35">
        <f>13270</f>
        <v>13270</v>
      </c>
      <c r="P381" s="32" t="s">
        <v>48</v>
      </c>
      <c r="Q381" s="35">
        <f>13940</f>
        <v>13940</v>
      </c>
      <c r="R381" s="32" t="s">
        <v>50</v>
      </c>
      <c r="S381" s="34">
        <f>13891.84</f>
        <v>13891.84</v>
      </c>
      <c r="T381" s="31">
        <f>35426</f>
        <v>35426</v>
      </c>
      <c r="U381" s="31" t="str">
        <f>"－"</f>
        <v>－</v>
      </c>
      <c r="V381" s="31">
        <f>489981930</f>
        <v>489981930</v>
      </c>
      <c r="W381" s="31" t="str">
        <f>"－"</f>
        <v>－</v>
      </c>
      <c r="X381" s="33">
        <f>19</f>
        <v>19</v>
      </c>
    </row>
    <row r="382" spans="1:24">
      <c r="A382" s="27" t="s">
        <v>42</v>
      </c>
      <c r="B382" s="27" t="s">
        <v>1190</v>
      </c>
      <c r="C382" s="27" t="s">
        <v>1191</v>
      </c>
      <c r="D382" s="27" t="s">
        <v>1192</v>
      </c>
      <c r="E382" s="28" t="s">
        <v>46</v>
      </c>
      <c r="F382" s="29" t="s">
        <v>46</v>
      </c>
      <c r="G382" s="30" t="s">
        <v>46</v>
      </c>
      <c r="H382" s="25"/>
      <c r="I382" s="25" t="s">
        <v>47</v>
      </c>
      <c r="J382" s="31">
        <v>1</v>
      </c>
      <c r="K382" s="35">
        <f>3515</f>
        <v>3515</v>
      </c>
      <c r="L382" s="32" t="s">
        <v>48</v>
      </c>
      <c r="M382" s="35">
        <f>3652</f>
        <v>3652</v>
      </c>
      <c r="N382" s="32" t="s">
        <v>206</v>
      </c>
      <c r="O382" s="35">
        <f>3432</f>
        <v>3432</v>
      </c>
      <c r="P382" s="32" t="s">
        <v>257</v>
      </c>
      <c r="Q382" s="35">
        <f>3605</f>
        <v>3605</v>
      </c>
      <c r="R382" s="32" t="s">
        <v>50</v>
      </c>
      <c r="S382" s="34">
        <f>3568.53</f>
        <v>3568.53</v>
      </c>
      <c r="T382" s="31">
        <f>405622</f>
        <v>405622</v>
      </c>
      <c r="U382" s="31">
        <f>152</f>
        <v>152</v>
      </c>
      <c r="V382" s="31">
        <f>1443719439</f>
        <v>1443719439</v>
      </c>
      <c r="W382" s="31">
        <f>548116</f>
        <v>548116</v>
      </c>
      <c r="X382" s="33">
        <f>19</f>
        <v>19</v>
      </c>
    </row>
    <row r="383" spans="1:24">
      <c r="A383" s="27" t="s">
        <v>42</v>
      </c>
      <c r="B383" s="27" t="s">
        <v>1193</v>
      </c>
      <c r="C383" s="27" t="s">
        <v>1194</v>
      </c>
      <c r="D383" s="27" t="s">
        <v>1195</v>
      </c>
      <c r="E383" s="28" t="s">
        <v>46</v>
      </c>
      <c r="F383" s="29" t="s">
        <v>46</v>
      </c>
      <c r="G383" s="30" t="s">
        <v>46</v>
      </c>
      <c r="H383" s="25"/>
      <c r="I383" s="25" t="s">
        <v>47</v>
      </c>
      <c r="J383" s="31">
        <v>10</v>
      </c>
      <c r="K383" s="35">
        <f>252.5</f>
        <v>252.5</v>
      </c>
      <c r="L383" s="32" t="s">
        <v>48</v>
      </c>
      <c r="M383" s="35">
        <f>268</f>
        <v>268</v>
      </c>
      <c r="N383" s="32" t="s">
        <v>155</v>
      </c>
      <c r="O383" s="35">
        <f>250</f>
        <v>250</v>
      </c>
      <c r="P383" s="32" t="s">
        <v>48</v>
      </c>
      <c r="Q383" s="35">
        <f>262.2</f>
        <v>262.2</v>
      </c>
      <c r="R383" s="32" t="s">
        <v>50</v>
      </c>
      <c r="S383" s="34">
        <f>259.64</f>
        <v>259.64</v>
      </c>
      <c r="T383" s="31">
        <f>1127350</f>
        <v>1127350</v>
      </c>
      <c r="U383" s="31">
        <f>320</f>
        <v>320</v>
      </c>
      <c r="V383" s="31">
        <f>291788616</f>
        <v>291788616</v>
      </c>
      <c r="W383" s="31">
        <f>79370</f>
        <v>79370</v>
      </c>
      <c r="X383" s="33">
        <f>19</f>
        <v>19</v>
      </c>
    </row>
    <row r="384" spans="1:24">
      <c r="A384" s="27" t="s">
        <v>42</v>
      </c>
      <c r="B384" s="27" t="s">
        <v>1196</v>
      </c>
      <c r="C384" s="27" t="s">
        <v>1197</v>
      </c>
      <c r="D384" s="27" t="s">
        <v>1198</v>
      </c>
      <c r="E384" s="28" t="s">
        <v>46</v>
      </c>
      <c r="F384" s="29" t="s">
        <v>46</v>
      </c>
      <c r="G384" s="30" t="s">
        <v>46</v>
      </c>
      <c r="H384" s="25"/>
      <c r="I384" s="25" t="s">
        <v>47</v>
      </c>
      <c r="J384" s="31">
        <v>10</v>
      </c>
      <c r="K384" s="35">
        <f>662</f>
        <v>662</v>
      </c>
      <c r="L384" s="32" t="s">
        <v>48</v>
      </c>
      <c r="M384" s="35">
        <f>702.4</f>
        <v>702.4</v>
      </c>
      <c r="N384" s="32" t="s">
        <v>60</v>
      </c>
      <c r="O384" s="35">
        <f>643</f>
        <v>643</v>
      </c>
      <c r="P384" s="32" t="s">
        <v>75</v>
      </c>
      <c r="Q384" s="35">
        <f>687</f>
        <v>687</v>
      </c>
      <c r="R384" s="32" t="s">
        <v>50</v>
      </c>
      <c r="S384" s="34">
        <f>678.81</f>
        <v>678.81</v>
      </c>
      <c r="T384" s="31">
        <f>276840</f>
        <v>276840</v>
      </c>
      <c r="U384" s="31" t="str">
        <f>"－"</f>
        <v>－</v>
      </c>
      <c r="V384" s="31">
        <f>189290326</f>
        <v>189290326</v>
      </c>
      <c r="W384" s="31" t="str">
        <f>"－"</f>
        <v>－</v>
      </c>
      <c r="X384" s="33">
        <f>19</f>
        <v>19</v>
      </c>
    </row>
    <row r="385" spans="1:24">
      <c r="A385" s="27" t="s">
        <v>42</v>
      </c>
      <c r="B385" s="27" t="s">
        <v>1199</v>
      </c>
      <c r="C385" s="27" t="s">
        <v>1200</v>
      </c>
      <c r="D385" s="27" t="s">
        <v>1201</v>
      </c>
      <c r="E385" s="28" t="s">
        <v>46</v>
      </c>
      <c r="F385" s="29" t="s">
        <v>46</v>
      </c>
      <c r="G385" s="30" t="s">
        <v>46</v>
      </c>
      <c r="H385" s="25"/>
      <c r="I385" s="25" t="s">
        <v>47</v>
      </c>
      <c r="J385" s="31">
        <v>1</v>
      </c>
      <c r="K385" s="35">
        <f>2780</f>
        <v>2780</v>
      </c>
      <c r="L385" s="32" t="s">
        <v>48</v>
      </c>
      <c r="M385" s="35">
        <f>2940</f>
        <v>2940</v>
      </c>
      <c r="N385" s="32" t="s">
        <v>65</v>
      </c>
      <c r="O385" s="35">
        <f>2746</f>
        <v>2746</v>
      </c>
      <c r="P385" s="32" t="s">
        <v>48</v>
      </c>
      <c r="Q385" s="35">
        <f>2845</f>
        <v>2845</v>
      </c>
      <c r="R385" s="32" t="s">
        <v>50</v>
      </c>
      <c r="S385" s="34">
        <f>2850.58</f>
        <v>2850.58</v>
      </c>
      <c r="T385" s="31">
        <f>1155440</f>
        <v>1155440</v>
      </c>
      <c r="U385" s="31">
        <f>453714</f>
        <v>453714</v>
      </c>
      <c r="V385" s="31">
        <f>3268895770</f>
        <v>3268895770</v>
      </c>
      <c r="W385" s="31">
        <f>1285921278</f>
        <v>1285921278</v>
      </c>
      <c r="X385" s="33">
        <f>19</f>
        <v>19</v>
      </c>
    </row>
    <row r="386" spans="1:24">
      <c r="A386" s="27" t="s">
        <v>42</v>
      </c>
      <c r="B386" s="27" t="s">
        <v>1202</v>
      </c>
      <c r="C386" s="27" t="s">
        <v>1203</v>
      </c>
      <c r="D386" s="27" t="s">
        <v>1204</v>
      </c>
      <c r="E386" s="28" t="s">
        <v>46</v>
      </c>
      <c r="F386" s="29" t="s">
        <v>46</v>
      </c>
      <c r="G386" s="30" t="s">
        <v>46</v>
      </c>
      <c r="H386" s="25"/>
      <c r="I386" s="25" t="s">
        <v>47</v>
      </c>
      <c r="J386" s="31">
        <v>1</v>
      </c>
      <c r="K386" s="35">
        <f>1409</f>
        <v>1409</v>
      </c>
      <c r="L386" s="32" t="s">
        <v>48</v>
      </c>
      <c r="M386" s="35">
        <f>1434</f>
        <v>1434</v>
      </c>
      <c r="N386" s="32" t="s">
        <v>65</v>
      </c>
      <c r="O386" s="35">
        <f>1365</f>
        <v>1365</v>
      </c>
      <c r="P386" s="32" t="s">
        <v>273</v>
      </c>
      <c r="Q386" s="35">
        <f>1380</f>
        <v>1380</v>
      </c>
      <c r="R386" s="32" t="s">
        <v>50</v>
      </c>
      <c r="S386" s="34">
        <f>1402.79</f>
        <v>1402.79</v>
      </c>
      <c r="T386" s="31">
        <f>177234</f>
        <v>177234</v>
      </c>
      <c r="U386" s="31" t="str">
        <f>"－"</f>
        <v>－</v>
      </c>
      <c r="V386" s="31">
        <f>247552832</f>
        <v>247552832</v>
      </c>
      <c r="W386" s="31" t="str">
        <f>"－"</f>
        <v>－</v>
      </c>
      <c r="X386" s="33">
        <f>19</f>
        <v>19</v>
      </c>
    </row>
    <row r="387" spans="1:24">
      <c r="A387" s="27" t="s">
        <v>42</v>
      </c>
      <c r="B387" s="27" t="s">
        <v>1205</v>
      </c>
      <c r="C387" s="27" t="s">
        <v>1206</v>
      </c>
      <c r="D387" s="27" t="s">
        <v>1207</v>
      </c>
      <c r="E387" s="28" t="s">
        <v>46</v>
      </c>
      <c r="F387" s="29" t="s">
        <v>46</v>
      </c>
      <c r="G387" s="30" t="s">
        <v>46</v>
      </c>
      <c r="H387" s="25"/>
      <c r="I387" s="25" t="s">
        <v>47</v>
      </c>
      <c r="J387" s="31">
        <v>10</v>
      </c>
      <c r="K387" s="35">
        <f>1280</f>
        <v>1280</v>
      </c>
      <c r="L387" s="32" t="s">
        <v>48</v>
      </c>
      <c r="M387" s="35">
        <f>1280</f>
        <v>1280</v>
      </c>
      <c r="N387" s="32" t="s">
        <v>48</v>
      </c>
      <c r="O387" s="35">
        <f>1187</f>
        <v>1187</v>
      </c>
      <c r="P387" s="32" t="s">
        <v>70</v>
      </c>
      <c r="Q387" s="35">
        <f>1207</f>
        <v>1207</v>
      </c>
      <c r="R387" s="32" t="s">
        <v>50</v>
      </c>
      <c r="S387" s="34">
        <f>1220.83</f>
        <v>1220.83</v>
      </c>
      <c r="T387" s="31">
        <f>806230</f>
        <v>806230</v>
      </c>
      <c r="U387" s="31">
        <f>350000</f>
        <v>350000</v>
      </c>
      <c r="V387" s="31">
        <f>962706495</f>
        <v>962706495</v>
      </c>
      <c r="W387" s="31">
        <f>418215000</f>
        <v>418215000</v>
      </c>
      <c r="X387" s="33">
        <f>18</f>
        <v>18</v>
      </c>
    </row>
    <row r="388" spans="1:24">
      <c r="A388" s="27" t="s">
        <v>42</v>
      </c>
      <c r="B388" s="27" t="s">
        <v>1208</v>
      </c>
      <c r="C388" s="27" t="s">
        <v>1209</v>
      </c>
      <c r="D388" s="27" t="s">
        <v>1210</v>
      </c>
      <c r="E388" s="28" t="s">
        <v>46</v>
      </c>
      <c r="F388" s="29" t="s">
        <v>46</v>
      </c>
      <c r="G388" s="30" t="s">
        <v>46</v>
      </c>
      <c r="H388" s="25"/>
      <c r="I388" s="25" t="s">
        <v>47</v>
      </c>
      <c r="J388" s="31">
        <v>1</v>
      </c>
      <c r="K388" s="35">
        <f>2494</f>
        <v>2494</v>
      </c>
      <c r="L388" s="32" t="s">
        <v>48</v>
      </c>
      <c r="M388" s="35">
        <f>2608</f>
        <v>2608</v>
      </c>
      <c r="N388" s="32" t="s">
        <v>49</v>
      </c>
      <c r="O388" s="35">
        <f>2490</f>
        <v>2490</v>
      </c>
      <c r="P388" s="32" t="s">
        <v>75</v>
      </c>
      <c r="Q388" s="35">
        <f>2542</f>
        <v>2542</v>
      </c>
      <c r="R388" s="32" t="s">
        <v>50</v>
      </c>
      <c r="S388" s="34">
        <f>2540.26</f>
        <v>2540.2600000000002</v>
      </c>
      <c r="T388" s="31">
        <f>40137</f>
        <v>40137</v>
      </c>
      <c r="U388" s="31">
        <f>7829</f>
        <v>7829</v>
      </c>
      <c r="V388" s="31">
        <f>101827093</f>
        <v>101827093</v>
      </c>
      <c r="W388" s="31">
        <f>19999180</f>
        <v>19999180</v>
      </c>
      <c r="X388" s="33">
        <f>19</f>
        <v>19</v>
      </c>
    </row>
    <row r="389" spans="1:24">
      <c r="A389" s="27" t="s">
        <v>42</v>
      </c>
      <c r="B389" s="27" t="s">
        <v>1211</v>
      </c>
      <c r="C389" s="27" t="s">
        <v>1212</v>
      </c>
      <c r="D389" s="27" t="s">
        <v>1213</v>
      </c>
      <c r="E389" s="28" t="s">
        <v>46</v>
      </c>
      <c r="F389" s="29" t="s">
        <v>46</v>
      </c>
      <c r="G389" s="30" t="s">
        <v>46</v>
      </c>
      <c r="H389" s="25"/>
      <c r="I389" s="25" t="s">
        <v>47</v>
      </c>
      <c r="J389" s="31">
        <v>1</v>
      </c>
      <c r="K389" s="35">
        <f>2264</f>
        <v>2264</v>
      </c>
      <c r="L389" s="32" t="s">
        <v>48</v>
      </c>
      <c r="M389" s="35">
        <f>2414</f>
        <v>2414</v>
      </c>
      <c r="N389" s="32" t="s">
        <v>65</v>
      </c>
      <c r="O389" s="35">
        <f>2259</f>
        <v>2259</v>
      </c>
      <c r="P389" s="32" t="s">
        <v>48</v>
      </c>
      <c r="Q389" s="35">
        <f>2309</f>
        <v>2309</v>
      </c>
      <c r="R389" s="32" t="s">
        <v>50</v>
      </c>
      <c r="S389" s="34">
        <f>2342.26</f>
        <v>2342.2600000000002</v>
      </c>
      <c r="T389" s="31">
        <f>173509</f>
        <v>173509</v>
      </c>
      <c r="U389" s="31" t="str">
        <f t="shared" ref="U389:U395" si="6">"－"</f>
        <v>－</v>
      </c>
      <c r="V389" s="31">
        <f>403265498</f>
        <v>403265498</v>
      </c>
      <c r="W389" s="31" t="str">
        <f t="shared" ref="W389:W395" si="7">"－"</f>
        <v>－</v>
      </c>
      <c r="X389" s="33">
        <f>19</f>
        <v>19</v>
      </c>
    </row>
    <row r="390" spans="1:24">
      <c r="A390" s="27" t="s">
        <v>42</v>
      </c>
      <c r="B390" s="27" t="s">
        <v>1214</v>
      </c>
      <c r="C390" s="27" t="s">
        <v>1215</v>
      </c>
      <c r="D390" s="27" t="s">
        <v>1216</v>
      </c>
      <c r="E390" s="28" t="s">
        <v>46</v>
      </c>
      <c r="F390" s="29" t="s">
        <v>46</v>
      </c>
      <c r="G390" s="30" t="s">
        <v>46</v>
      </c>
      <c r="H390" s="25"/>
      <c r="I390" s="25" t="s">
        <v>47</v>
      </c>
      <c r="J390" s="31">
        <v>1</v>
      </c>
      <c r="K390" s="35">
        <f>5717</f>
        <v>5717</v>
      </c>
      <c r="L390" s="32" t="s">
        <v>48</v>
      </c>
      <c r="M390" s="35">
        <f>5817</f>
        <v>5817</v>
      </c>
      <c r="N390" s="32" t="s">
        <v>48</v>
      </c>
      <c r="O390" s="35">
        <f>5050</f>
        <v>5050</v>
      </c>
      <c r="P390" s="32" t="s">
        <v>50</v>
      </c>
      <c r="Q390" s="35">
        <f>5051</f>
        <v>5051</v>
      </c>
      <c r="R390" s="32" t="s">
        <v>50</v>
      </c>
      <c r="S390" s="34">
        <f>5092.55</f>
        <v>5092.55</v>
      </c>
      <c r="T390" s="31">
        <f>5112</f>
        <v>5112</v>
      </c>
      <c r="U390" s="31" t="str">
        <f t="shared" si="6"/>
        <v>－</v>
      </c>
      <c r="V390" s="31">
        <f>25937261</f>
        <v>25937261</v>
      </c>
      <c r="W390" s="31" t="str">
        <f t="shared" si="7"/>
        <v>－</v>
      </c>
      <c r="X390" s="33">
        <f>11</f>
        <v>11</v>
      </c>
    </row>
    <row r="391" spans="1:24">
      <c r="A391" s="27" t="s">
        <v>42</v>
      </c>
      <c r="B391" s="27" t="s">
        <v>1217</v>
      </c>
      <c r="C391" s="27" t="s">
        <v>1218</v>
      </c>
      <c r="D391" s="27" t="s">
        <v>1219</v>
      </c>
      <c r="E391" s="28" t="s">
        <v>46</v>
      </c>
      <c r="F391" s="29" t="s">
        <v>46</v>
      </c>
      <c r="G391" s="30" t="s">
        <v>46</v>
      </c>
      <c r="H391" s="25"/>
      <c r="I391" s="25" t="s">
        <v>47</v>
      </c>
      <c r="J391" s="31">
        <v>1</v>
      </c>
      <c r="K391" s="35">
        <f>1243</f>
        <v>1243</v>
      </c>
      <c r="L391" s="32" t="s">
        <v>48</v>
      </c>
      <c r="M391" s="35">
        <f>1300</f>
        <v>1300</v>
      </c>
      <c r="N391" s="32" t="s">
        <v>60</v>
      </c>
      <c r="O391" s="35">
        <f>1205</f>
        <v>1205</v>
      </c>
      <c r="P391" s="32" t="s">
        <v>50</v>
      </c>
      <c r="Q391" s="35">
        <f>1205</f>
        <v>1205</v>
      </c>
      <c r="R391" s="32" t="s">
        <v>50</v>
      </c>
      <c r="S391" s="34">
        <f>1244.21</f>
        <v>1244.21</v>
      </c>
      <c r="T391" s="31">
        <f>25376</f>
        <v>25376</v>
      </c>
      <c r="U391" s="31" t="str">
        <f t="shared" si="6"/>
        <v>－</v>
      </c>
      <c r="V391" s="31">
        <f>31432808</f>
        <v>31432808</v>
      </c>
      <c r="W391" s="31" t="str">
        <f t="shared" si="7"/>
        <v>－</v>
      </c>
      <c r="X391" s="33">
        <f>19</f>
        <v>19</v>
      </c>
    </row>
    <row r="392" spans="1:24">
      <c r="A392" s="27" t="s">
        <v>42</v>
      </c>
      <c r="B392" s="27" t="s">
        <v>1220</v>
      </c>
      <c r="C392" s="27" t="s">
        <v>1221</v>
      </c>
      <c r="D392" s="27" t="s">
        <v>1222</v>
      </c>
      <c r="E392" s="28" t="s">
        <v>46</v>
      </c>
      <c r="F392" s="29" t="s">
        <v>46</v>
      </c>
      <c r="G392" s="30" t="s">
        <v>46</v>
      </c>
      <c r="H392" s="25"/>
      <c r="I392" s="25" t="s">
        <v>47</v>
      </c>
      <c r="J392" s="31">
        <v>1</v>
      </c>
      <c r="K392" s="35">
        <f>1180</f>
        <v>1180</v>
      </c>
      <c r="L392" s="32" t="s">
        <v>48</v>
      </c>
      <c r="M392" s="35">
        <f>1265</f>
        <v>1265</v>
      </c>
      <c r="N392" s="32" t="s">
        <v>74</v>
      </c>
      <c r="O392" s="35">
        <f>1167</f>
        <v>1167</v>
      </c>
      <c r="P392" s="32" t="s">
        <v>273</v>
      </c>
      <c r="Q392" s="35">
        <f>1184</f>
        <v>1184</v>
      </c>
      <c r="R392" s="32" t="s">
        <v>50</v>
      </c>
      <c r="S392" s="34">
        <f>1208</f>
        <v>1208</v>
      </c>
      <c r="T392" s="31">
        <f>2318021</f>
        <v>2318021</v>
      </c>
      <c r="U392" s="31" t="str">
        <f t="shared" si="6"/>
        <v>－</v>
      </c>
      <c r="V392" s="31">
        <f>2822948961</f>
        <v>2822948961</v>
      </c>
      <c r="W392" s="31" t="str">
        <f t="shared" si="7"/>
        <v>－</v>
      </c>
      <c r="X392" s="33">
        <f>19</f>
        <v>19</v>
      </c>
    </row>
    <row r="393" spans="1:24">
      <c r="A393" s="27" t="s">
        <v>42</v>
      </c>
      <c r="B393" s="27" t="s">
        <v>1223</v>
      </c>
      <c r="C393" s="27" t="s">
        <v>1224</v>
      </c>
      <c r="D393" s="27" t="s">
        <v>1225</v>
      </c>
      <c r="E393" s="28" t="s">
        <v>46</v>
      </c>
      <c r="F393" s="29" t="s">
        <v>46</v>
      </c>
      <c r="G393" s="30" t="s">
        <v>46</v>
      </c>
      <c r="H393" s="25"/>
      <c r="I393" s="25" t="s">
        <v>47</v>
      </c>
      <c r="J393" s="31">
        <v>1</v>
      </c>
      <c r="K393" s="35">
        <f>2214</f>
        <v>2214</v>
      </c>
      <c r="L393" s="32" t="s">
        <v>48</v>
      </c>
      <c r="M393" s="35">
        <f>2250</f>
        <v>2250</v>
      </c>
      <c r="N393" s="32" t="s">
        <v>74</v>
      </c>
      <c r="O393" s="35">
        <f>2152</f>
        <v>2152</v>
      </c>
      <c r="P393" s="32" t="s">
        <v>61</v>
      </c>
      <c r="Q393" s="35">
        <f>2169</f>
        <v>2169</v>
      </c>
      <c r="R393" s="32" t="s">
        <v>50</v>
      </c>
      <c r="S393" s="34">
        <f>2208.56</f>
        <v>2208.56</v>
      </c>
      <c r="T393" s="31">
        <f>515124</f>
        <v>515124</v>
      </c>
      <c r="U393" s="31" t="str">
        <f t="shared" si="6"/>
        <v>－</v>
      </c>
      <c r="V393" s="31">
        <f>1131063829</f>
        <v>1131063829</v>
      </c>
      <c r="W393" s="31" t="str">
        <f t="shared" si="7"/>
        <v>－</v>
      </c>
      <c r="X393" s="33">
        <f>18</f>
        <v>18</v>
      </c>
    </row>
    <row r="394" spans="1:24">
      <c r="A394" s="27" t="s">
        <v>42</v>
      </c>
      <c r="B394" s="27" t="s">
        <v>1226</v>
      </c>
      <c r="C394" s="27" t="s">
        <v>1227</v>
      </c>
      <c r="D394" s="27" t="s">
        <v>1228</v>
      </c>
      <c r="E394" s="28" t="s">
        <v>46</v>
      </c>
      <c r="F394" s="29" t="s">
        <v>46</v>
      </c>
      <c r="G394" s="30" t="s">
        <v>46</v>
      </c>
      <c r="H394" s="25"/>
      <c r="I394" s="25" t="s">
        <v>47</v>
      </c>
      <c r="J394" s="31">
        <v>1</v>
      </c>
      <c r="K394" s="35">
        <f>2108</f>
        <v>2108</v>
      </c>
      <c r="L394" s="32" t="s">
        <v>48</v>
      </c>
      <c r="M394" s="35">
        <f>2108</f>
        <v>2108</v>
      </c>
      <c r="N394" s="32" t="s">
        <v>48</v>
      </c>
      <c r="O394" s="35">
        <f>1996</f>
        <v>1996</v>
      </c>
      <c r="P394" s="32" t="s">
        <v>213</v>
      </c>
      <c r="Q394" s="35">
        <f>1998</f>
        <v>1998</v>
      </c>
      <c r="R394" s="32" t="s">
        <v>50</v>
      </c>
      <c r="S394" s="34">
        <f>2001.21</f>
        <v>2001.21</v>
      </c>
      <c r="T394" s="31">
        <f>18161</f>
        <v>18161</v>
      </c>
      <c r="U394" s="31" t="str">
        <f t="shared" si="6"/>
        <v>－</v>
      </c>
      <c r="V394" s="31">
        <f>36350553</f>
        <v>36350553</v>
      </c>
      <c r="W394" s="31" t="str">
        <f t="shared" si="7"/>
        <v>－</v>
      </c>
      <c r="X394" s="33">
        <f>19</f>
        <v>19</v>
      </c>
    </row>
    <row r="395" spans="1:24">
      <c r="A395" s="27" t="s">
        <v>42</v>
      </c>
      <c r="B395" s="27" t="s">
        <v>1229</v>
      </c>
      <c r="C395" s="27" t="s">
        <v>1230</v>
      </c>
      <c r="D395" s="27" t="s">
        <v>1231</v>
      </c>
      <c r="E395" s="28" t="s">
        <v>46</v>
      </c>
      <c r="F395" s="29" t="s">
        <v>46</v>
      </c>
      <c r="G395" s="30" t="s">
        <v>46</v>
      </c>
      <c r="H395" s="25"/>
      <c r="I395" s="25" t="s">
        <v>47</v>
      </c>
      <c r="J395" s="31">
        <v>1</v>
      </c>
      <c r="K395" s="35">
        <f>2308</f>
        <v>2308</v>
      </c>
      <c r="L395" s="32" t="s">
        <v>48</v>
      </c>
      <c r="M395" s="35">
        <f>2423</f>
        <v>2423</v>
      </c>
      <c r="N395" s="32" t="s">
        <v>65</v>
      </c>
      <c r="O395" s="35">
        <f>2308</f>
        <v>2308</v>
      </c>
      <c r="P395" s="32" t="s">
        <v>48</v>
      </c>
      <c r="Q395" s="35">
        <f>2325</f>
        <v>2325</v>
      </c>
      <c r="R395" s="32" t="s">
        <v>50</v>
      </c>
      <c r="S395" s="34">
        <f>2373.32</f>
        <v>2373.3200000000002</v>
      </c>
      <c r="T395" s="31">
        <f>294428</f>
        <v>294428</v>
      </c>
      <c r="U395" s="31" t="str">
        <f t="shared" si="6"/>
        <v>－</v>
      </c>
      <c r="V395" s="31">
        <f>687642763</f>
        <v>687642763</v>
      </c>
      <c r="W395" s="31" t="str">
        <f t="shared" si="7"/>
        <v>－</v>
      </c>
      <c r="X395" s="33">
        <f>19</f>
        <v>19</v>
      </c>
    </row>
    <row r="396" spans="1:24">
      <c r="A396" s="27" t="s">
        <v>42</v>
      </c>
      <c r="B396" s="27" t="s">
        <v>1232</v>
      </c>
      <c r="C396" s="27" t="s">
        <v>1233</v>
      </c>
      <c r="D396" s="27" t="s">
        <v>1234</v>
      </c>
      <c r="E396" s="28" t="s">
        <v>46</v>
      </c>
      <c r="F396" s="29" t="s">
        <v>46</v>
      </c>
      <c r="G396" s="30" t="s">
        <v>46</v>
      </c>
      <c r="H396" s="25"/>
      <c r="I396" s="25" t="s">
        <v>415</v>
      </c>
      <c r="J396" s="31">
        <v>10</v>
      </c>
      <c r="K396" s="35">
        <f>233.7</f>
        <v>233.7</v>
      </c>
      <c r="L396" s="32" t="s">
        <v>48</v>
      </c>
      <c r="M396" s="35">
        <f>243</f>
        <v>243</v>
      </c>
      <c r="N396" s="32" t="s">
        <v>74</v>
      </c>
      <c r="O396" s="35">
        <f>230.3</f>
        <v>230.3</v>
      </c>
      <c r="P396" s="32" t="s">
        <v>273</v>
      </c>
      <c r="Q396" s="35">
        <f>233.5</f>
        <v>233.5</v>
      </c>
      <c r="R396" s="32" t="s">
        <v>50</v>
      </c>
      <c r="S396" s="34">
        <f>235.78</f>
        <v>235.78</v>
      </c>
      <c r="T396" s="31">
        <f>3027710</f>
        <v>3027710</v>
      </c>
      <c r="U396" s="31">
        <f>1270</f>
        <v>1270</v>
      </c>
      <c r="V396" s="31">
        <f>712141132</f>
        <v>712141132</v>
      </c>
      <c r="W396" s="31">
        <f>296013</f>
        <v>296013</v>
      </c>
      <c r="X396" s="33">
        <f>19</f>
        <v>19</v>
      </c>
    </row>
    <row r="397" spans="1:24">
      <c r="A397" s="27" t="s">
        <v>42</v>
      </c>
      <c r="B397" s="27" t="s">
        <v>1235</v>
      </c>
      <c r="C397" s="27" t="s">
        <v>1236</v>
      </c>
      <c r="D397" s="27" t="s">
        <v>1237</v>
      </c>
      <c r="E397" s="28" t="s">
        <v>46</v>
      </c>
      <c r="F397" s="29" t="s">
        <v>46</v>
      </c>
      <c r="G397" s="30" t="s">
        <v>46</v>
      </c>
      <c r="H397" s="25"/>
      <c r="I397" s="25" t="s">
        <v>415</v>
      </c>
      <c r="J397" s="31">
        <v>10</v>
      </c>
      <c r="K397" s="35">
        <f>558.1</f>
        <v>558.1</v>
      </c>
      <c r="L397" s="32" t="s">
        <v>48</v>
      </c>
      <c r="M397" s="35">
        <f>600.7</f>
        <v>600.70000000000005</v>
      </c>
      <c r="N397" s="32" t="s">
        <v>69</v>
      </c>
      <c r="O397" s="35">
        <f>558.1</f>
        <v>558.1</v>
      </c>
      <c r="P397" s="32" t="s">
        <v>48</v>
      </c>
      <c r="Q397" s="35">
        <f>568.3</f>
        <v>568.29999999999995</v>
      </c>
      <c r="R397" s="32" t="s">
        <v>50</v>
      </c>
      <c r="S397" s="34">
        <f>573.93</f>
        <v>573.92999999999995</v>
      </c>
      <c r="T397" s="31">
        <f>6130</f>
        <v>6130</v>
      </c>
      <c r="U397" s="31" t="str">
        <f>"－"</f>
        <v>－</v>
      </c>
      <c r="V397" s="31">
        <f>3514532</f>
        <v>3514532</v>
      </c>
      <c r="W397" s="31" t="str">
        <f>"－"</f>
        <v>－</v>
      </c>
      <c r="X397" s="33">
        <f>19</f>
        <v>19</v>
      </c>
    </row>
    <row r="398" spans="1:24">
      <c r="A398" s="27" t="s">
        <v>42</v>
      </c>
      <c r="B398" s="27" t="s">
        <v>1238</v>
      </c>
      <c r="C398" s="27" t="s">
        <v>1239</v>
      </c>
      <c r="D398" s="27" t="s">
        <v>1240</v>
      </c>
      <c r="E398" s="28" t="s">
        <v>46</v>
      </c>
      <c r="F398" s="29" t="s">
        <v>46</v>
      </c>
      <c r="G398" s="30" t="s">
        <v>46</v>
      </c>
      <c r="H398" s="25"/>
      <c r="I398" s="25" t="s">
        <v>415</v>
      </c>
      <c r="J398" s="31">
        <v>10</v>
      </c>
      <c r="K398" s="35">
        <f>697.2</f>
        <v>697.2</v>
      </c>
      <c r="L398" s="32" t="s">
        <v>48</v>
      </c>
      <c r="M398" s="35">
        <f>779.3</f>
        <v>779.3</v>
      </c>
      <c r="N398" s="32" t="s">
        <v>155</v>
      </c>
      <c r="O398" s="35">
        <f>693.3</f>
        <v>693.3</v>
      </c>
      <c r="P398" s="32" t="s">
        <v>48</v>
      </c>
      <c r="Q398" s="35">
        <f>771</f>
        <v>771</v>
      </c>
      <c r="R398" s="32" t="s">
        <v>50</v>
      </c>
      <c r="S398" s="34">
        <f>751.6</f>
        <v>751.6</v>
      </c>
      <c r="T398" s="31">
        <f>1739980</f>
        <v>1739980</v>
      </c>
      <c r="U398" s="31">
        <f>823190</f>
        <v>823190</v>
      </c>
      <c r="V398" s="31">
        <f>1309521090</f>
        <v>1309521090</v>
      </c>
      <c r="W398" s="31">
        <f>621691599</f>
        <v>621691599</v>
      </c>
      <c r="X398" s="33">
        <f>19</f>
        <v>19</v>
      </c>
    </row>
    <row r="399" spans="1:24">
      <c r="A399" s="27" t="s">
        <v>42</v>
      </c>
      <c r="B399" s="27" t="s">
        <v>1241</v>
      </c>
      <c r="C399" s="27" t="s">
        <v>1242</v>
      </c>
      <c r="D399" s="27" t="s">
        <v>1243</v>
      </c>
      <c r="E399" s="28" t="s">
        <v>46</v>
      </c>
      <c r="F399" s="29" t="s">
        <v>46</v>
      </c>
      <c r="G399" s="30" t="s">
        <v>46</v>
      </c>
      <c r="H399" s="25"/>
      <c r="I399" s="25" t="s">
        <v>415</v>
      </c>
      <c r="J399" s="31">
        <v>10</v>
      </c>
      <c r="K399" s="35">
        <f>540</f>
        <v>540</v>
      </c>
      <c r="L399" s="32" t="s">
        <v>48</v>
      </c>
      <c r="M399" s="35">
        <f>565</f>
        <v>565</v>
      </c>
      <c r="N399" s="32" t="s">
        <v>213</v>
      </c>
      <c r="O399" s="35">
        <f>540</f>
        <v>540</v>
      </c>
      <c r="P399" s="32" t="s">
        <v>48</v>
      </c>
      <c r="Q399" s="35">
        <f>545</f>
        <v>545</v>
      </c>
      <c r="R399" s="32" t="s">
        <v>50</v>
      </c>
      <c r="S399" s="34">
        <f>549.5</f>
        <v>549.5</v>
      </c>
      <c r="T399" s="31">
        <f>10460</f>
        <v>10460</v>
      </c>
      <c r="U399" s="31" t="str">
        <f>"－"</f>
        <v>－</v>
      </c>
      <c r="V399" s="31">
        <f>5769481</f>
        <v>5769481</v>
      </c>
      <c r="W399" s="31" t="str">
        <f>"－"</f>
        <v>－</v>
      </c>
      <c r="X399" s="33">
        <f>19</f>
        <v>19</v>
      </c>
    </row>
    <row r="400" spans="1:24">
      <c r="A400" s="27" t="s">
        <v>42</v>
      </c>
      <c r="B400" s="27" t="s">
        <v>1244</v>
      </c>
      <c r="C400" s="27" t="s">
        <v>1245</v>
      </c>
      <c r="D400" s="27" t="s">
        <v>1246</v>
      </c>
      <c r="E400" s="28" t="s">
        <v>46</v>
      </c>
      <c r="F400" s="29" t="s">
        <v>46</v>
      </c>
      <c r="G400" s="30" t="s">
        <v>46</v>
      </c>
      <c r="H400" s="25"/>
      <c r="I400" s="25" t="s">
        <v>415</v>
      </c>
      <c r="J400" s="31">
        <v>1</v>
      </c>
      <c r="K400" s="35">
        <f>1901</f>
        <v>1901</v>
      </c>
      <c r="L400" s="32" t="s">
        <v>48</v>
      </c>
      <c r="M400" s="35">
        <f>2080</f>
        <v>2080</v>
      </c>
      <c r="N400" s="32" t="s">
        <v>65</v>
      </c>
      <c r="O400" s="35">
        <f>1900</f>
        <v>1900</v>
      </c>
      <c r="P400" s="32" t="s">
        <v>48</v>
      </c>
      <c r="Q400" s="35">
        <f>2010</f>
        <v>2010</v>
      </c>
      <c r="R400" s="32" t="s">
        <v>50</v>
      </c>
      <c r="S400" s="34">
        <f>1996.68</f>
        <v>1996.68</v>
      </c>
      <c r="T400" s="31">
        <f>2275323</f>
        <v>2275323</v>
      </c>
      <c r="U400" s="31">
        <f>194654</f>
        <v>194654</v>
      </c>
      <c r="V400" s="31">
        <f>4528597261</f>
        <v>4528597261</v>
      </c>
      <c r="W400" s="31">
        <f>385899806</f>
        <v>385899806</v>
      </c>
      <c r="X400" s="33">
        <f>19</f>
        <v>19</v>
      </c>
    </row>
    <row r="401" spans="1:24">
      <c r="A401" s="27" t="s">
        <v>42</v>
      </c>
      <c r="B401" s="27" t="s">
        <v>1247</v>
      </c>
      <c r="C401" s="27" t="s">
        <v>1248</v>
      </c>
      <c r="D401" s="27" t="s">
        <v>1249</v>
      </c>
      <c r="E401" s="28" t="s">
        <v>46</v>
      </c>
      <c r="F401" s="29" t="s">
        <v>46</v>
      </c>
      <c r="G401" s="30" t="s">
        <v>46</v>
      </c>
      <c r="H401" s="25"/>
      <c r="I401" s="25" t="s">
        <v>415</v>
      </c>
      <c r="J401" s="31">
        <v>1</v>
      </c>
      <c r="K401" s="35">
        <f>1159</f>
        <v>1159</v>
      </c>
      <c r="L401" s="32" t="s">
        <v>48</v>
      </c>
      <c r="M401" s="35">
        <f>1221</f>
        <v>1221</v>
      </c>
      <c r="N401" s="32" t="s">
        <v>60</v>
      </c>
      <c r="O401" s="35">
        <f>1100</f>
        <v>1100</v>
      </c>
      <c r="P401" s="32" t="s">
        <v>223</v>
      </c>
      <c r="Q401" s="35">
        <f>1131</f>
        <v>1131</v>
      </c>
      <c r="R401" s="32" t="s">
        <v>50</v>
      </c>
      <c r="S401" s="34">
        <f>1167.42</f>
        <v>1167.42</v>
      </c>
      <c r="T401" s="31">
        <f>649884</f>
        <v>649884</v>
      </c>
      <c r="U401" s="31" t="str">
        <f>"－"</f>
        <v>－</v>
      </c>
      <c r="V401" s="31">
        <f>765379864</f>
        <v>765379864</v>
      </c>
      <c r="W401" s="31" t="str">
        <f>"－"</f>
        <v>－</v>
      </c>
      <c r="X401" s="33">
        <f>19</f>
        <v>19</v>
      </c>
    </row>
    <row r="402" spans="1:24">
      <c r="A402" s="27" t="s">
        <v>42</v>
      </c>
      <c r="B402" s="27" t="s">
        <v>1250</v>
      </c>
      <c r="C402" s="27" t="s">
        <v>1251</v>
      </c>
      <c r="D402" s="27" t="s">
        <v>1252</v>
      </c>
      <c r="E402" s="28" t="s">
        <v>46</v>
      </c>
      <c r="F402" s="29" t="s">
        <v>46</v>
      </c>
      <c r="G402" s="30" t="s">
        <v>46</v>
      </c>
      <c r="H402" s="25"/>
      <c r="I402" s="25" t="s">
        <v>415</v>
      </c>
      <c r="J402" s="31">
        <v>10</v>
      </c>
      <c r="K402" s="35">
        <f>222</f>
        <v>222</v>
      </c>
      <c r="L402" s="32" t="s">
        <v>48</v>
      </c>
      <c r="M402" s="35">
        <f>233.5</f>
        <v>233.5</v>
      </c>
      <c r="N402" s="32" t="s">
        <v>74</v>
      </c>
      <c r="O402" s="35">
        <f>219.4</f>
        <v>219.4</v>
      </c>
      <c r="P402" s="32" t="s">
        <v>257</v>
      </c>
      <c r="Q402" s="35">
        <f>224.9</f>
        <v>224.9</v>
      </c>
      <c r="R402" s="32" t="s">
        <v>50</v>
      </c>
      <c r="S402" s="34">
        <f>225.86</f>
        <v>225.86</v>
      </c>
      <c r="T402" s="31">
        <f>5076930</f>
        <v>5076930</v>
      </c>
      <c r="U402" s="31">
        <f>86190</f>
        <v>86190</v>
      </c>
      <c r="V402" s="31">
        <f>1145360536</f>
        <v>1145360536</v>
      </c>
      <c r="W402" s="31">
        <f>19586112</f>
        <v>19586112</v>
      </c>
      <c r="X402" s="33">
        <f>19</f>
        <v>19</v>
      </c>
    </row>
    <row r="403" spans="1:24">
      <c r="A403" s="27" t="s">
        <v>42</v>
      </c>
      <c r="B403" s="27" t="s">
        <v>1253</v>
      </c>
      <c r="C403" s="27" t="s">
        <v>1254</v>
      </c>
      <c r="D403" s="27" t="s">
        <v>1255</v>
      </c>
      <c r="E403" s="28" t="s">
        <v>46</v>
      </c>
      <c r="F403" s="29" t="s">
        <v>46</v>
      </c>
      <c r="G403" s="30" t="s">
        <v>46</v>
      </c>
      <c r="H403" s="25"/>
      <c r="I403" s="25" t="s">
        <v>415</v>
      </c>
      <c r="J403" s="31">
        <v>1</v>
      </c>
      <c r="K403" s="35">
        <f>2450</f>
        <v>2450</v>
      </c>
      <c r="L403" s="32" t="s">
        <v>48</v>
      </c>
      <c r="M403" s="35">
        <f>2850</f>
        <v>2850</v>
      </c>
      <c r="N403" s="32" t="s">
        <v>70</v>
      </c>
      <c r="O403" s="35">
        <f>2403</f>
        <v>2403</v>
      </c>
      <c r="P403" s="32" t="s">
        <v>48</v>
      </c>
      <c r="Q403" s="35">
        <f>2730</f>
        <v>2730</v>
      </c>
      <c r="R403" s="32" t="s">
        <v>50</v>
      </c>
      <c r="S403" s="34">
        <f>2657.11</f>
        <v>2657.11</v>
      </c>
      <c r="T403" s="31">
        <f>109101</f>
        <v>109101</v>
      </c>
      <c r="U403" s="31" t="str">
        <f>"－"</f>
        <v>－</v>
      </c>
      <c r="V403" s="31">
        <f>289044326</f>
        <v>289044326</v>
      </c>
      <c r="W403" s="31" t="str">
        <f>"－"</f>
        <v>－</v>
      </c>
      <c r="X403" s="33">
        <f>19</f>
        <v>19</v>
      </c>
    </row>
    <row r="404" spans="1:24">
      <c r="A404" s="27" t="s">
        <v>42</v>
      </c>
      <c r="B404" s="27" t="s">
        <v>1256</v>
      </c>
      <c r="C404" s="27" t="s">
        <v>1257</v>
      </c>
      <c r="D404" s="27" t="s">
        <v>1258</v>
      </c>
      <c r="E404" s="28" t="s">
        <v>46</v>
      </c>
      <c r="F404" s="29" t="s">
        <v>46</v>
      </c>
      <c r="G404" s="30" t="s">
        <v>46</v>
      </c>
      <c r="H404" s="25"/>
      <c r="I404" s="25" t="s">
        <v>415</v>
      </c>
      <c r="J404" s="31">
        <v>1</v>
      </c>
      <c r="K404" s="35">
        <f>2367</f>
        <v>2367</v>
      </c>
      <c r="L404" s="32" t="s">
        <v>48</v>
      </c>
      <c r="M404" s="35">
        <f>2639</f>
        <v>2639</v>
      </c>
      <c r="N404" s="32" t="s">
        <v>61</v>
      </c>
      <c r="O404" s="35">
        <f>2331</f>
        <v>2331</v>
      </c>
      <c r="P404" s="32" t="s">
        <v>48</v>
      </c>
      <c r="Q404" s="35">
        <f>2545</f>
        <v>2545</v>
      </c>
      <c r="R404" s="32" t="s">
        <v>50</v>
      </c>
      <c r="S404" s="34">
        <f>2542.95</f>
        <v>2542.9499999999998</v>
      </c>
      <c r="T404" s="31">
        <f>75877</f>
        <v>75877</v>
      </c>
      <c r="U404" s="31">
        <f>20</f>
        <v>20</v>
      </c>
      <c r="V404" s="31">
        <f>192687243</f>
        <v>192687243</v>
      </c>
      <c r="W404" s="31">
        <f>50600</f>
        <v>50600</v>
      </c>
      <c r="X404" s="33">
        <f>19</f>
        <v>19</v>
      </c>
    </row>
    <row r="405" spans="1:24">
      <c r="A405" s="27" t="s">
        <v>42</v>
      </c>
      <c r="B405" s="27" t="s">
        <v>1259</v>
      </c>
      <c r="C405" s="27" t="s">
        <v>1260</v>
      </c>
      <c r="D405" s="27" t="s">
        <v>1261</v>
      </c>
      <c r="E405" s="28" t="s">
        <v>46</v>
      </c>
      <c r="F405" s="29" t="s">
        <v>46</v>
      </c>
      <c r="G405" s="30" t="s">
        <v>46</v>
      </c>
      <c r="H405" s="25"/>
      <c r="I405" s="25" t="s">
        <v>415</v>
      </c>
      <c r="J405" s="31">
        <v>10</v>
      </c>
      <c r="K405" s="35">
        <f>344.7</f>
        <v>344.7</v>
      </c>
      <c r="L405" s="32" t="s">
        <v>48</v>
      </c>
      <c r="M405" s="35">
        <f>446.8</f>
        <v>446.8</v>
      </c>
      <c r="N405" s="32" t="s">
        <v>70</v>
      </c>
      <c r="O405" s="35">
        <f>344</f>
        <v>344</v>
      </c>
      <c r="P405" s="32" t="s">
        <v>48</v>
      </c>
      <c r="Q405" s="35">
        <f>408</f>
        <v>408</v>
      </c>
      <c r="R405" s="32" t="s">
        <v>50</v>
      </c>
      <c r="S405" s="34">
        <f>376.49</f>
        <v>376.49</v>
      </c>
      <c r="T405" s="31">
        <f>10120600</f>
        <v>10120600</v>
      </c>
      <c r="U405" s="31">
        <f>530</f>
        <v>530</v>
      </c>
      <c r="V405" s="31">
        <f>3964649764</f>
        <v>3964649764</v>
      </c>
      <c r="W405" s="31">
        <f>232639</f>
        <v>232639</v>
      </c>
      <c r="X405" s="33">
        <f>19</f>
        <v>19</v>
      </c>
    </row>
    <row r="406" spans="1:24">
      <c r="A406" s="27" t="s">
        <v>42</v>
      </c>
      <c r="B406" s="27" t="s">
        <v>1262</v>
      </c>
      <c r="C406" s="27" t="s">
        <v>1263</v>
      </c>
      <c r="D406" s="27" t="s">
        <v>1264</v>
      </c>
      <c r="E406" s="28" t="s">
        <v>46</v>
      </c>
      <c r="F406" s="29" t="s">
        <v>46</v>
      </c>
      <c r="G406" s="30" t="s">
        <v>46</v>
      </c>
      <c r="H406" s="25"/>
      <c r="I406" s="25" t="s">
        <v>415</v>
      </c>
      <c r="J406" s="31">
        <v>10</v>
      </c>
      <c r="K406" s="35">
        <f>368</f>
        <v>368</v>
      </c>
      <c r="L406" s="32" t="s">
        <v>48</v>
      </c>
      <c r="M406" s="35">
        <f>458.4</f>
        <v>458.4</v>
      </c>
      <c r="N406" s="32" t="s">
        <v>70</v>
      </c>
      <c r="O406" s="35">
        <f>366.5</f>
        <v>366.5</v>
      </c>
      <c r="P406" s="32" t="s">
        <v>48</v>
      </c>
      <c r="Q406" s="35">
        <f>428.7</f>
        <v>428.7</v>
      </c>
      <c r="R406" s="32" t="s">
        <v>50</v>
      </c>
      <c r="S406" s="34">
        <f>401.84</f>
        <v>401.84</v>
      </c>
      <c r="T406" s="31">
        <f>23930350</f>
        <v>23930350</v>
      </c>
      <c r="U406" s="31">
        <f>1637210</f>
        <v>1637210</v>
      </c>
      <c r="V406" s="31">
        <f>9787560349</f>
        <v>9787560349</v>
      </c>
      <c r="W406" s="31">
        <f>696663025</f>
        <v>696663025</v>
      </c>
      <c r="X406" s="33">
        <f>19</f>
        <v>19</v>
      </c>
    </row>
    <row r="407" spans="1:24">
      <c r="A407" s="27" t="s">
        <v>42</v>
      </c>
      <c r="B407" s="27" t="s">
        <v>1265</v>
      </c>
      <c r="C407" s="27" t="s">
        <v>1266</v>
      </c>
      <c r="D407" s="27" t="s">
        <v>1267</v>
      </c>
      <c r="E407" s="28" t="s">
        <v>46</v>
      </c>
      <c r="F407" s="29" t="s">
        <v>46</v>
      </c>
      <c r="G407" s="30" t="s">
        <v>46</v>
      </c>
      <c r="H407" s="25"/>
      <c r="I407" s="25" t="s">
        <v>415</v>
      </c>
      <c r="J407" s="31">
        <v>1</v>
      </c>
      <c r="K407" s="35">
        <f>1078</f>
        <v>1078</v>
      </c>
      <c r="L407" s="32" t="s">
        <v>48</v>
      </c>
      <c r="M407" s="35">
        <f>1148</f>
        <v>1148</v>
      </c>
      <c r="N407" s="32" t="s">
        <v>206</v>
      </c>
      <c r="O407" s="35">
        <f>1077</f>
        <v>1077</v>
      </c>
      <c r="P407" s="32" t="s">
        <v>70</v>
      </c>
      <c r="Q407" s="35">
        <f>1091</f>
        <v>1091</v>
      </c>
      <c r="R407" s="32" t="s">
        <v>50</v>
      </c>
      <c r="S407" s="34">
        <f>1108.16</f>
        <v>1108.1600000000001</v>
      </c>
      <c r="T407" s="31">
        <f>203273</f>
        <v>203273</v>
      </c>
      <c r="U407" s="31">
        <f>24</f>
        <v>24</v>
      </c>
      <c r="V407" s="31">
        <f>223689515</f>
        <v>223689515</v>
      </c>
      <c r="W407" s="31">
        <f>26921</f>
        <v>26921</v>
      </c>
      <c r="X407" s="33">
        <f>19</f>
        <v>19</v>
      </c>
    </row>
    <row r="408" spans="1:24">
      <c r="A408" s="27" t="s">
        <v>42</v>
      </c>
      <c r="B408" s="27" t="s">
        <v>1268</v>
      </c>
      <c r="C408" s="27" t="s">
        <v>1269</v>
      </c>
      <c r="D408" s="27" t="s">
        <v>1270</v>
      </c>
      <c r="E408" s="28" t="s">
        <v>46</v>
      </c>
      <c r="F408" s="29" t="s">
        <v>46</v>
      </c>
      <c r="G408" s="30" t="s">
        <v>46</v>
      </c>
      <c r="H408" s="25"/>
      <c r="I408" s="25" t="s">
        <v>415</v>
      </c>
      <c r="J408" s="31">
        <v>1</v>
      </c>
      <c r="K408" s="35">
        <f>2514</f>
        <v>2514</v>
      </c>
      <c r="L408" s="32" t="s">
        <v>48</v>
      </c>
      <c r="M408" s="35">
        <f>2530</f>
        <v>2530</v>
      </c>
      <c r="N408" s="32" t="s">
        <v>48</v>
      </c>
      <c r="O408" s="35">
        <f>2209</f>
        <v>2209</v>
      </c>
      <c r="P408" s="32" t="s">
        <v>70</v>
      </c>
      <c r="Q408" s="35">
        <f>2272</f>
        <v>2272</v>
      </c>
      <c r="R408" s="32" t="s">
        <v>50</v>
      </c>
      <c r="S408" s="34">
        <f>2281.74</f>
        <v>2281.7399999999998</v>
      </c>
      <c r="T408" s="31">
        <f>8121780</f>
        <v>8121780</v>
      </c>
      <c r="U408" s="31">
        <f>496814</f>
        <v>496814</v>
      </c>
      <c r="V408" s="31">
        <f>18490027522</f>
        <v>18490027522</v>
      </c>
      <c r="W408" s="31">
        <f>1126262537</f>
        <v>1126262537</v>
      </c>
      <c r="X408" s="33">
        <f>19</f>
        <v>19</v>
      </c>
    </row>
    <row r="409" spans="1:24">
      <c r="A409" s="27" t="s">
        <v>42</v>
      </c>
      <c r="B409" s="27" t="s">
        <v>1271</v>
      </c>
      <c r="C409" s="27" t="s">
        <v>1272</v>
      </c>
      <c r="D409" s="27" t="s">
        <v>1273</v>
      </c>
      <c r="E409" s="28" t="s">
        <v>46</v>
      </c>
      <c r="F409" s="29" t="s">
        <v>46</v>
      </c>
      <c r="G409" s="30" t="s">
        <v>46</v>
      </c>
      <c r="H409" s="25"/>
      <c r="I409" s="25" t="s">
        <v>415</v>
      </c>
      <c r="J409" s="31">
        <v>1</v>
      </c>
      <c r="K409" s="35">
        <f>2046</f>
        <v>2046</v>
      </c>
      <c r="L409" s="32" t="s">
        <v>48</v>
      </c>
      <c r="M409" s="35">
        <f>2130</f>
        <v>2130</v>
      </c>
      <c r="N409" s="32" t="s">
        <v>65</v>
      </c>
      <c r="O409" s="35">
        <f>2020</f>
        <v>2020</v>
      </c>
      <c r="P409" s="32" t="s">
        <v>70</v>
      </c>
      <c r="Q409" s="35">
        <f>2045</f>
        <v>2045</v>
      </c>
      <c r="R409" s="32" t="s">
        <v>50</v>
      </c>
      <c r="S409" s="34">
        <f>2076.05</f>
        <v>2076.0500000000002</v>
      </c>
      <c r="T409" s="31">
        <f>763530</f>
        <v>763530</v>
      </c>
      <c r="U409" s="31">
        <f>448782</f>
        <v>448782</v>
      </c>
      <c r="V409" s="31">
        <f>1577951665</f>
        <v>1577951665</v>
      </c>
      <c r="W409" s="31">
        <f>928719523</f>
        <v>928719523</v>
      </c>
      <c r="X409" s="33">
        <f>19</f>
        <v>19</v>
      </c>
    </row>
    <row r="410" spans="1:24">
      <c r="A410" s="27" t="s">
        <v>42</v>
      </c>
      <c r="B410" s="27" t="s">
        <v>1274</v>
      </c>
      <c r="C410" s="27" t="s">
        <v>1275</v>
      </c>
      <c r="D410" s="27" t="s">
        <v>1276</v>
      </c>
      <c r="E410" s="28" t="s">
        <v>46</v>
      </c>
      <c r="F410" s="29" t="s">
        <v>46</v>
      </c>
      <c r="G410" s="30" t="s">
        <v>46</v>
      </c>
      <c r="H410" s="25"/>
      <c r="I410" s="25" t="s">
        <v>415</v>
      </c>
      <c r="J410" s="31">
        <v>10</v>
      </c>
      <c r="K410" s="35">
        <f>277</f>
        <v>277</v>
      </c>
      <c r="L410" s="32" t="s">
        <v>48</v>
      </c>
      <c r="M410" s="35">
        <f>345.6</f>
        <v>345.6</v>
      </c>
      <c r="N410" s="32" t="s">
        <v>273</v>
      </c>
      <c r="O410" s="35">
        <f>273.3</f>
        <v>273.3</v>
      </c>
      <c r="P410" s="32" t="s">
        <v>48</v>
      </c>
      <c r="Q410" s="35">
        <f>330</f>
        <v>330</v>
      </c>
      <c r="R410" s="32" t="s">
        <v>50</v>
      </c>
      <c r="S410" s="34">
        <f>299.72</f>
        <v>299.72000000000003</v>
      </c>
      <c r="T410" s="31">
        <f>8091890</f>
        <v>8091890</v>
      </c>
      <c r="U410" s="31">
        <f>210</f>
        <v>210</v>
      </c>
      <c r="V410" s="31">
        <f>2485902757</f>
        <v>2485902757</v>
      </c>
      <c r="W410" s="31">
        <f>66820</f>
        <v>66820</v>
      </c>
      <c r="X410" s="33">
        <f>19</f>
        <v>19</v>
      </c>
    </row>
    <row r="411" spans="1:24">
      <c r="A411" s="27" t="s">
        <v>42</v>
      </c>
      <c r="B411" s="27" t="s">
        <v>1277</v>
      </c>
      <c r="C411" s="27" t="s">
        <v>1278</v>
      </c>
      <c r="D411" s="27" t="s">
        <v>1279</v>
      </c>
      <c r="E411" s="28" t="s">
        <v>46</v>
      </c>
      <c r="F411" s="29" t="s">
        <v>46</v>
      </c>
      <c r="G411" s="30" t="s">
        <v>46</v>
      </c>
      <c r="H411" s="25"/>
      <c r="I411" s="25" t="s">
        <v>415</v>
      </c>
      <c r="J411" s="31">
        <v>10</v>
      </c>
      <c r="K411" s="35">
        <f>270</f>
        <v>270</v>
      </c>
      <c r="L411" s="32" t="s">
        <v>48</v>
      </c>
      <c r="M411" s="35">
        <f>343</f>
        <v>343</v>
      </c>
      <c r="N411" s="32" t="s">
        <v>70</v>
      </c>
      <c r="O411" s="35">
        <f>270</f>
        <v>270</v>
      </c>
      <c r="P411" s="32" t="s">
        <v>48</v>
      </c>
      <c r="Q411" s="35">
        <f>318.6</f>
        <v>318.60000000000002</v>
      </c>
      <c r="R411" s="32" t="s">
        <v>50</v>
      </c>
      <c r="S411" s="34">
        <f>294.63</f>
        <v>294.63</v>
      </c>
      <c r="T411" s="31">
        <f>3700260</f>
        <v>3700260</v>
      </c>
      <c r="U411" s="31" t="str">
        <f>"－"</f>
        <v>－</v>
      </c>
      <c r="V411" s="31">
        <f>1162984223</f>
        <v>1162984223</v>
      </c>
      <c r="W411" s="31" t="str">
        <f>"－"</f>
        <v>－</v>
      </c>
      <c r="X411" s="33">
        <f>19</f>
        <v>19</v>
      </c>
    </row>
    <row r="412" spans="1:24">
      <c r="A412" s="27" t="s">
        <v>42</v>
      </c>
      <c r="B412" s="27" t="s">
        <v>1280</v>
      </c>
      <c r="C412" s="27" t="s">
        <v>1281</v>
      </c>
      <c r="D412" s="27" t="s">
        <v>1282</v>
      </c>
      <c r="E412" s="28" t="s">
        <v>46</v>
      </c>
      <c r="F412" s="29" t="s">
        <v>46</v>
      </c>
      <c r="G412" s="30" t="s">
        <v>46</v>
      </c>
      <c r="H412" s="25"/>
      <c r="I412" s="25" t="s">
        <v>415</v>
      </c>
      <c r="J412" s="31">
        <v>10</v>
      </c>
      <c r="K412" s="35">
        <f>732</f>
        <v>732</v>
      </c>
      <c r="L412" s="32" t="s">
        <v>48</v>
      </c>
      <c r="M412" s="35">
        <f>756</f>
        <v>756</v>
      </c>
      <c r="N412" s="32" t="s">
        <v>74</v>
      </c>
      <c r="O412" s="35">
        <f>718</f>
        <v>718</v>
      </c>
      <c r="P412" s="32" t="s">
        <v>273</v>
      </c>
      <c r="Q412" s="35">
        <f>720.7</f>
        <v>720.7</v>
      </c>
      <c r="R412" s="32" t="s">
        <v>50</v>
      </c>
      <c r="S412" s="34">
        <f>734.58</f>
        <v>734.58</v>
      </c>
      <c r="T412" s="31">
        <f>771520</f>
        <v>771520</v>
      </c>
      <c r="U412" s="31" t="str">
        <f>"－"</f>
        <v>－</v>
      </c>
      <c r="V412" s="31">
        <f>564400572</f>
        <v>564400572</v>
      </c>
      <c r="W412" s="31" t="str">
        <f>"－"</f>
        <v>－</v>
      </c>
      <c r="X412" s="33">
        <f>19</f>
        <v>19</v>
      </c>
    </row>
    <row r="413" spans="1:24">
      <c r="A413" s="27" t="s">
        <v>42</v>
      </c>
      <c r="B413" s="27" t="s">
        <v>1283</v>
      </c>
      <c r="C413" s="27" t="s">
        <v>1284</v>
      </c>
      <c r="D413" s="27" t="s">
        <v>1285</v>
      </c>
      <c r="E413" s="28" t="s">
        <v>46</v>
      </c>
      <c r="F413" s="29" t="s">
        <v>46</v>
      </c>
      <c r="G413" s="30" t="s">
        <v>46</v>
      </c>
      <c r="H413" s="25"/>
      <c r="I413" s="25" t="s">
        <v>415</v>
      </c>
      <c r="J413" s="31">
        <v>10</v>
      </c>
      <c r="K413" s="35">
        <f>718.3</f>
        <v>718.3</v>
      </c>
      <c r="L413" s="32" t="s">
        <v>48</v>
      </c>
      <c r="M413" s="35">
        <f>732</f>
        <v>732</v>
      </c>
      <c r="N413" s="32" t="s">
        <v>70</v>
      </c>
      <c r="O413" s="35">
        <f>710.1</f>
        <v>710.1</v>
      </c>
      <c r="P413" s="32" t="s">
        <v>213</v>
      </c>
      <c r="Q413" s="35">
        <f>723.7</f>
        <v>723.7</v>
      </c>
      <c r="R413" s="32" t="s">
        <v>50</v>
      </c>
      <c r="S413" s="34">
        <f>723.17</f>
        <v>723.17</v>
      </c>
      <c r="T413" s="31">
        <f>2805710</f>
        <v>2805710</v>
      </c>
      <c r="U413" s="31">
        <f>278500</f>
        <v>278500</v>
      </c>
      <c r="V413" s="31">
        <f>2014416521</f>
        <v>2014416521</v>
      </c>
      <c r="W413" s="31">
        <f>200569740</f>
        <v>200569740</v>
      </c>
      <c r="X413" s="33">
        <f>19</f>
        <v>19</v>
      </c>
    </row>
    <row r="414" spans="1:24">
      <c r="A414" s="27" t="s">
        <v>42</v>
      </c>
      <c r="B414" s="27" t="s">
        <v>1286</v>
      </c>
      <c r="C414" s="27" t="s">
        <v>1287</v>
      </c>
      <c r="D414" s="27" t="s">
        <v>1288</v>
      </c>
      <c r="E414" s="28" t="s">
        <v>46</v>
      </c>
      <c r="F414" s="29" t="s">
        <v>46</v>
      </c>
      <c r="G414" s="30" t="s">
        <v>46</v>
      </c>
      <c r="H414" s="25"/>
      <c r="I414" s="25" t="s">
        <v>415</v>
      </c>
      <c r="J414" s="31">
        <v>10</v>
      </c>
      <c r="K414" s="35">
        <f>262</f>
        <v>262</v>
      </c>
      <c r="L414" s="32" t="s">
        <v>48</v>
      </c>
      <c r="M414" s="35">
        <f>286.9</f>
        <v>286.89999999999998</v>
      </c>
      <c r="N414" s="32" t="s">
        <v>74</v>
      </c>
      <c r="O414" s="35">
        <f>259</f>
        <v>259</v>
      </c>
      <c r="P414" s="32" t="s">
        <v>70</v>
      </c>
      <c r="Q414" s="35">
        <f>261.4</f>
        <v>261.39999999999998</v>
      </c>
      <c r="R414" s="32" t="s">
        <v>50</v>
      </c>
      <c r="S414" s="34">
        <f>267.3</f>
        <v>267.3</v>
      </c>
      <c r="T414" s="31">
        <f>754610</f>
        <v>754610</v>
      </c>
      <c r="U414" s="31">
        <f>60</f>
        <v>60</v>
      </c>
      <c r="V414" s="31">
        <f>201087199</f>
        <v>201087199</v>
      </c>
      <c r="W414" s="31">
        <f>15437</f>
        <v>15437</v>
      </c>
      <c r="X414" s="33">
        <f>19</f>
        <v>19</v>
      </c>
    </row>
    <row r="415" spans="1:24">
      <c r="A415" s="27" t="s">
        <v>42</v>
      </c>
      <c r="B415" s="27" t="s">
        <v>1289</v>
      </c>
      <c r="C415" s="27" t="s">
        <v>1290</v>
      </c>
      <c r="D415" s="27" t="s">
        <v>1291</v>
      </c>
      <c r="E415" s="28" t="s">
        <v>46</v>
      </c>
      <c r="F415" s="29" t="s">
        <v>46</v>
      </c>
      <c r="G415" s="30" t="s">
        <v>46</v>
      </c>
      <c r="H415" s="25"/>
      <c r="I415" s="25" t="s">
        <v>415</v>
      </c>
      <c r="J415" s="31">
        <v>10</v>
      </c>
      <c r="K415" s="35">
        <f>826.1</f>
        <v>826.1</v>
      </c>
      <c r="L415" s="32" t="s">
        <v>48</v>
      </c>
      <c r="M415" s="35">
        <f>832.5</f>
        <v>832.5</v>
      </c>
      <c r="N415" s="32" t="s">
        <v>60</v>
      </c>
      <c r="O415" s="35">
        <f>790</f>
        <v>790</v>
      </c>
      <c r="P415" s="32" t="s">
        <v>273</v>
      </c>
      <c r="Q415" s="35">
        <f>798.5</f>
        <v>798.5</v>
      </c>
      <c r="R415" s="32" t="s">
        <v>50</v>
      </c>
      <c r="S415" s="34">
        <f>813.39</f>
        <v>813.39</v>
      </c>
      <c r="T415" s="31">
        <f>1603460</f>
        <v>1603460</v>
      </c>
      <c r="U415" s="31">
        <f>280</f>
        <v>280</v>
      </c>
      <c r="V415" s="31">
        <f>1302687888</f>
        <v>1302687888</v>
      </c>
      <c r="W415" s="31">
        <f>208320</f>
        <v>208320</v>
      </c>
      <c r="X415" s="33">
        <f>19</f>
        <v>19</v>
      </c>
    </row>
    <row r="416" spans="1:24">
      <c r="A416" s="27" t="s">
        <v>42</v>
      </c>
      <c r="B416" s="27" t="s">
        <v>1292</v>
      </c>
      <c r="C416" s="27" t="s">
        <v>1293</v>
      </c>
      <c r="D416" s="27" t="s">
        <v>1294</v>
      </c>
      <c r="E416" s="28" t="s">
        <v>46</v>
      </c>
      <c r="F416" s="29" t="s">
        <v>46</v>
      </c>
      <c r="G416" s="30" t="s">
        <v>46</v>
      </c>
      <c r="H416" s="25"/>
      <c r="I416" s="25" t="s">
        <v>415</v>
      </c>
      <c r="J416" s="31">
        <v>10</v>
      </c>
      <c r="K416" s="35">
        <f>806</f>
        <v>806</v>
      </c>
      <c r="L416" s="32" t="s">
        <v>48</v>
      </c>
      <c r="M416" s="35">
        <f>819</f>
        <v>819</v>
      </c>
      <c r="N416" s="32" t="s">
        <v>74</v>
      </c>
      <c r="O416" s="35">
        <f>776.6</f>
        <v>776.6</v>
      </c>
      <c r="P416" s="32" t="s">
        <v>70</v>
      </c>
      <c r="Q416" s="35">
        <f>780.9</f>
        <v>780.9</v>
      </c>
      <c r="R416" s="32" t="s">
        <v>50</v>
      </c>
      <c r="S416" s="34">
        <f>801.12</f>
        <v>801.12</v>
      </c>
      <c r="T416" s="31">
        <f>2051300</f>
        <v>2051300</v>
      </c>
      <c r="U416" s="31">
        <f>10</f>
        <v>10</v>
      </c>
      <c r="V416" s="31">
        <f>1628998008</f>
        <v>1628998008</v>
      </c>
      <c r="W416" s="31">
        <f>8129</f>
        <v>8129</v>
      </c>
      <c r="X416" s="33">
        <f>19</f>
        <v>19</v>
      </c>
    </row>
    <row r="417" spans="1:24">
      <c r="A417" s="27" t="s">
        <v>42</v>
      </c>
      <c r="B417" s="27" t="s">
        <v>1295</v>
      </c>
      <c r="C417" s="27" t="s">
        <v>1296</v>
      </c>
      <c r="D417" s="27" t="s">
        <v>1297</v>
      </c>
      <c r="E417" s="28" t="s">
        <v>46</v>
      </c>
      <c r="F417" s="29" t="s">
        <v>46</v>
      </c>
      <c r="G417" s="30" t="s">
        <v>46</v>
      </c>
      <c r="H417" s="25"/>
      <c r="I417" s="25" t="s">
        <v>415</v>
      </c>
      <c r="J417" s="31">
        <v>1</v>
      </c>
      <c r="K417" s="35">
        <f>11300</f>
        <v>11300</v>
      </c>
      <c r="L417" s="32" t="s">
        <v>48</v>
      </c>
      <c r="M417" s="35">
        <f>12000</f>
        <v>12000</v>
      </c>
      <c r="N417" s="32" t="s">
        <v>213</v>
      </c>
      <c r="O417" s="35">
        <f>11230</f>
        <v>11230</v>
      </c>
      <c r="P417" s="32" t="s">
        <v>195</v>
      </c>
      <c r="Q417" s="35">
        <f>11535</f>
        <v>11535</v>
      </c>
      <c r="R417" s="32" t="s">
        <v>50</v>
      </c>
      <c r="S417" s="34">
        <f>11631.05</f>
        <v>11631.05</v>
      </c>
      <c r="T417" s="31">
        <f>3633</f>
        <v>3633</v>
      </c>
      <c r="U417" s="31" t="str">
        <f>"－"</f>
        <v>－</v>
      </c>
      <c r="V417" s="31">
        <f>42082780</f>
        <v>42082780</v>
      </c>
      <c r="W417" s="31" t="str">
        <f>"－"</f>
        <v>－</v>
      </c>
      <c r="X417" s="33">
        <f>19</f>
        <v>19</v>
      </c>
    </row>
    <row r="418" spans="1:24">
      <c r="A418" s="27" t="s">
        <v>42</v>
      </c>
      <c r="B418" s="27" t="s">
        <v>1298</v>
      </c>
      <c r="C418" s="27" t="s">
        <v>1299</v>
      </c>
      <c r="D418" s="27" t="s">
        <v>1300</v>
      </c>
      <c r="E418" s="28" t="s">
        <v>46</v>
      </c>
      <c r="F418" s="29" t="s">
        <v>46</v>
      </c>
      <c r="G418" s="30" t="s">
        <v>46</v>
      </c>
      <c r="H418" s="25"/>
      <c r="I418" s="25" t="s">
        <v>415</v>
      </c>
      <c r="J418" s="31">
        <v>1</v>
      </c>
      <c r="K418" s="35">
        <f>2167</f>
        <v>2167</v>
      </c>
      <c r="L418" s="32" t="s">
        <v>48</v>
      </c>
      <c r="M418" s="35">
        <f>2379</f>
        <v>2379</v>
      </c>
      <c r="N418" s="32" t="s">
        <v>74</v>
      </c>
      <c r="O418" s="35">
        <f>2161</f>
        <v>2161</v>
      </c>
      <c r="P418" s="32" t="s">
        <v>48</v>
      </c>
      <c r="Q418" s="35">
        <f>2274</f>
        <v>2274</v>
      </c>
      <c r="R418" s="32" t="s">
        <v>50</v>
      </c>
      <c r="S418" s="34">
        <f>2262.05</f>
        <v>2262.0500000000002</v>
      </c>
      <c r="T418" s="31">
        <f>197373</f>
        <v>197373</v>
      </c>
      <c r="U418" s="31">
        <f>1772</f>
        <v>1772</v>
      </c>
      <c r="V418" s="31">
        <f>444275183</f>
        <v>444275183</v>
      </c>
      <c r="W418" s="31">
        <f>3999912</f>
        <v>3999912</v>
      </c>
      <c r="X418" s="33">
        <f>19</f>
        <v>19</v>
      </c>
    </row>
    <row r="419" spans="1:24">
      <c r="A419" s="27" t="s">
        <v>42</v>
      </c>
      <c r="B419" s="27" t="s">
        <v>1301</v>
      </c>
      <c r="C419" s="27" t="s">
        <v>1302</v>
      </c>
      <c r="D419" s="27" t="s">
        <v>1303</v>
      </c>
      <c r="E419" s="28" t="s">
        <v>46</v>
      </c>
      <c r="F419" s="29" t="s">
        <v>46</v>
      </c>
      <c r="G419" s="30" t="s">
        <v>46</v>
      </c>
      <c r="H419" s="25"/>
      <c r="I419" s="25" t="s">
        <v>415</v>
      </c>
      <c r="J419" s="31">
        <v>1</v>
      </c>
      <c r="K419" s="35">
        <f>1093</f>
        <v>1093</v>
      </c>
      <c r="L419" s="32" t="s">
        <v>48</v>
      </c>
      <c r="M419" s="35">
        <f>1194</f>
        <v>1194</v>
      </c>
      <c r="N419" s="32" t="s">
        <v>65</v>
      </c>
      <c r="O419" s="35">
        <f>1075</f>
        <v>1075</v>
      </c>
      <c r="P419" s="32" t="s">
        <v>48</v>
      </c>
      <c r="Q419" s="35">
        <f>1147</f>
        <v>1147</v>
      </c>
      <c r="R419" s="32" t="s">
        <v>50</v>
      </c>
      <c r="S419" s="34">
        <f>1126.95</f>
        <v>1126.95</v>
      </c>
      <c r="T419" s="31">
        <f>1686597</f>
        <v>1686597</v>
      </c>
      <c r="U419" s="31">
        <f>656051</f>
        <v>656051</v>
      </c>
      <c r="V419" s="31">
        <f>1891459949</f>
        <v>1891459949</v>
      </c>
      <c r="W419" s="31">
        <f>739379632</f>
        <v>739379632</v>
      </c>
      <c r="X419" s="33">
        <f>19</f>
        <v>19</v>
      </c>
    </row>
    <row r="420" spans="1:24">
      <c r="A420" s="27" t="s">
        <v>42</v>
      </c>
      <c r="B420" s="27" t="s">
        <v>1304</v>
      </c>
      <c r="C420" s="27" t="s">
        <v>1305</v>
      </c>
      <c r="D420" s="27" t="s">
        <v>1306</v>
      </c>
      <c r="E420" s="28" t="s">
        <v>46</v>
      </c>
      <c r="F420" s="29" t="s">
        <v>46</v>
      </c>
      <c r="G420" s="30" t="s">
        <v>46</v>
      </c>
      <c r="H420" s="25"/>
      <c r="I420" s="25" t="s">
        <v>415</v>
      </c>
      <c r="J420" s="31">
        <v>1</v>
      </c>
      <c r="K420" s="35">
        <f>1098</f>
        <v>1098</v>
      </c>
      <c r="L420" s="32" t="s">
        <v>48</v>
      </c>
      <c r="M420" s="35">
        <f>1341</f>
        <v>1341</v>
      </c>
      <c r="N420" s="32" t="s">
        <v>103</v>
      </c>
      <c r="O420" s="35">
        <f>1085</f>
        <v>1085</v>
      </c>
      <c r="P420" s="32" t="s">
        <v>48</v>
      </c>
      <c r="Q420" s="35">
        <f>1223</f>
        <v>1223</v>
      </c>
      <c r="R420" s="32" t="s">
        <v>50</v>
      </c>
      <c r="S420" s="34">
        <f>1250.84</f>
        <v>1250.8399999999999</v>
      </c>
      <c r="T420" s="31">
        <f>10082681</f>
        <v>10082681</v>
      </c>
      <c r="U420" s="31">
        <f>37842</f>
        <v>37842</v>
      </c>
      <c r="V420" s="31">
        <f>12711973731</f>
        <v>12711973731</v>
      </c>
      <c r="W420" s="31">
        <f>46297488</f>
        <v>46297488</v>
      </c>
      <c r="X420" s="33">
        <f>19</f>
        <v>19</v>
      </c>
    </row>
    <row r="421" spans="1:24">
      <c r="A421" s="27" t="s">
        <v>42</v>
      </c>
      <c r="B421" s="27" t="s">
        <v>1307</v>
      </c>
      <c r="C421" s="27" t="s">
        <v>1308</v>
      </c>
      <c r="D421" s="27" t="s">
        <v>1309</v>
      </c>
      <c r="E421" s="28" t="s">
        <v>46</v>
      </c>
      <c r="F421" s="29" t="s">
        <v>46</v>
      </c>
      <c r="G421" s="30" t="s">
        <v>46</v>
      </c>
      <c r="H421" s="25"/>
      <c r="I421" s="25" t="s">
        <v>415</v>
      </c>
      <c r="J421" s="31">
        <v>10</v>
      </c>
      <c r="K421" s="35">
        <f>307.8</f>
        <v>307.8</v>
      </c>
      <c r="L421" s="32" t="s">
        <v>48</v>
      </c>
      <c r="M421" s="35">
        <f>307.8</f>
        <v>307.8</v>
      </c>
      <c r="N421" s="32" t="s">
        <v>48</v>
      </c>
      <c r="O421" s="35">
        <f>293.9</f>
        <v>293.89999999999998</v>
      </c>
      <c r="P421" s="32" t="s">
        <v>48</v>
      </c>
      <c r="Q421" s="35">
        <f>298</f>
        <v>298</v>
      </c>
      <c r="R421" s="32" t="s">
        <v>50</v>
      </c>
      <c r="S421" s="34">
        <f>298.74</f>
        <v>298.74</v>
      </c>
      <c r="T421" s="31">
        <f>910240</f>
        <v>910240</v>
      </c>
      <c r="U421" s="31" t="str">
        <f>"－"</f>
        <v>－</v>
      </c>
      <c r="V421" s="31">
        <f>269973174</f>
        <v>269973174</v>
      </c>
      <c r="W421" s="31" t="str">
        <f>"－"</f>
        <v>－</v>
      </c>
      <c r="X421" s="33">
        <f>19</f>
        <v>19</v>
      </c>
    </row>
    <row r="422" spans="1:24">
      <c r="A422" s="27" t="s">
        <v>42</v>
      </c>
      <c r="B422" s="27" t="s">
        <v>1310</v>
      </c>
      <c r="C422" s="27" t="s">
        <v>1311</v>
      </c>
      <c r="D422" s="27" t="s">
        <v>1312</v>
      </c>
      <c r="E422" s="28" t="s">
        <v>46</v>
      </c>
      <c r="F422" s="29" t="s">
        <v>46</v>
      </c>
      <c r="G422" s="30" t="s">
        <v>46</v>
      </c>
      <c r="H422" s="25"/>
      <c r="I422" s="25" t="s">
        <v>415</v>
      </c>
      <c r="J422" s="31">
        <v>10</v>
      </c>
      <c r="K422" s="35">
        <f>300.5</f>
        <v>300.5</v>
      </c>
      <c r="L422" s="32" t="s">
        <v>48</v>
      </c>
      <c r="M422" s="35">
        <f>305.2</f>
        <v>305.2</v>
      </c>
      <c r="N422" s="32" t="s">
        <v>65</v>
      </c>
      <c r="O422" s="35">
        <f>291.3</f>
        <v>291.3</v>
      </c>
      <c r="P422" s="32" t="s">
        <v>61</v>
      </c>
      <c r="Q422" s="35">
        <f>293.3</f>
        <v>293.3</v>
      </c>
      <c r="R422" s="32" t="s">
        <v>50</v>
      </c>
      <c r="S422" s="34">
        <f>299.78</f>
        <v>299.77999999999997</v>
      </c>
      <c r="T422" s="31">
        <f>1430600</f>
        <v>1430600</v>
      </c>
      <c r="U422" s="31" t="str">
        <f>"－"</f>
        <v>－</v>
      </c>
      <c r="V422" s="31">
        <f>424858672</f>
        <v>424858672</v>
      </c>
      <c r="W422" s="31" t="str">
        <f>"－"</f>
        <v>－</v>
      </c>
      <c r="X422" s="33">
        <f>19</f>
        <v>19</v>
      </c>
    </row>
    <row r="423" spans="1:24">
      <c r="A423" s="27" t="s">
        <v>42</v>
      </c>
      <c r="B423" s="27" t="s">
        <v>1313</v>
      </c>
      <c r="C423" s="27" t="s">
        <v>1314</v>
      </c>
      <c r="D423" s="27" t="s">
        <v>1315</v>
      </c>
      <c r="E423" s="28" t="s">
        <v>46</v>
      </c>
      <c r="F423" s="29" t="s">
        <v>46</v>
      </c>
      <c r="G423" s="30" t="s">
        <v>46</v>
      </c>
      <c r="H423" s="25"/>
      <c r="I423" s="25" t="s">
        <v>415</v>
      </c>
      <c r="J423" s="31">
        <v>1</v>
      </c>
      <c r="K423" s="35">
        <f>1019</f>
        <v>1019</v>
      </c>
      <c r="L423" s="32" t="s">
        <v>48</v>
      </c>
      <c r="M423" s="35">
        <f>1093</f>
        <v>1093</v>
      </c>
      <c r="N423" s="32" t="s">
        <v>74</v>
      </c>
      <c r="O423" s="35">
        <f>1019</f>
        <v>1019</v>
      </c>
      <c r="P423" s="32" t="s">
        <v>48</v>
      </c>
      <c r="Q423" s="35">
        <f>1071</f>
        <v>1071</v>
      </c>
      <c r="R423" s="32" t="s">
        <v>50</v>
      </c>
      <c r="S423" s="34">
        <f>1065.37</f>
        <v>1065.3699999999999</v>
      </c>
      <c r="T423" s="31">
        <f>230138</f>
        <v>230138</v>
      </c>
      <c r="U423" s="31">
        <f>10</f>
        <v>10</v>
      </c>
      <c r="V423" s="31">
        <f>244733271</f>
        <v>244733271</v>
      </c>
      <c r="W423" s="31">
        <f>10630</f>
        <v>10630</v>
      </c>
      <c r="X423" s="33">
        <f>19</f>
        <v>19</v>
      </c>
    </row>
    <row r="424" spans="1:24">
      <c r="A424" s="27" t="s">
        <v>42</v>
      </c>
      <c r="B424" s="27" t="s">
        <v>1316</v>
      </c>
      <c r="C424" s="27" t="s">
        <v>1317</v>
      </c>
      <c r="D424" s="27" t="s">
        <v>1318</v>
      </c>
      <c r="E424" s="28" t="s">
        <v>46</v>
      </c>
      <c r="F424" s="29" t="s">
        <v>46</v>
      </c>
      <c r="G424" s="30" t="s">
        <v>46</v>
      </c>
      <c r="H424" s="25"/>
      <c r="I424" s="25" t="s">
        <v>415</v>
      </c>
      <c r="J424" s="31">
        <v>1</v>
      </c>
      <c r="K424" s="35">
        <f>2088</f>
        <v>2088</v>
      </c>
      <c r="L424" s="32" t="s">
        <v>48</v>
      </c>
      <c r="M424" s="35">
        <f>2168</f>
        <v>2168</v>
      </c>
      <c r="N424" s="32" t="s">
        <v>74</v>
      </c>
      <c r="O424" s="35">
        <f>2048</f>
        <v>2048</v>
      </c>
      <c r="P424" s="32" t="s">
        <v>48</v>
      </c>
      <c r="Q424" s="35">
        <f>2061</f>
        <v>2061</v>
      </c>
      <c r="R424" s="32" t="s">
        <v>50</v>
      </c>
      <c r="S424" s="34">
        <f>2087.79</f>
        <v>2087.79</v>
      </c>
      <c r="T424" s="31">
        <f>202128</f>
        <v>202128</v>
      </c>
      <c r="U424" s="31">
        <f>49</f>
        <v>49</v>
      </c>
      <c r="V424" s="31">
        <f>420089001</f>
        <v>420089001</v>
      </c>
      <c r="W424" s="31">
        <f>95269</f>
        <v>95269</v>
      </c>
      <c r="X424" s="33">
        <f>19</f>
        <v>19</v>
      </c>
    </row>
    <row r="425" spans="1:24">
      <c r="A425" s="27" t="s">
        <v>42</v>
      </c>
      <c r="B425" s="27" t="s">
        <v>1319</v>
      </c>
      <c r="C425" s="27" t="s">
        <v>1320</v>
      </c>
      <c r="D425" s="27" t="s">
        <v>1321</v>
      </c>
      <c r="E425" s="28" t="s">
        <v>46</v>
      </c>
      <c r="F425" s="29" t="s">
        <v>46</v>
      </c>
      <c r="G425" s="30" t="s">
        <v>46</v>
      </c>
      <c r="H425" s="25"/>
      <c r="I425" s="25" t="s">
        <v>415</v>
      </c>
      <c r="J425" s="31">
        <v>1</v>
      </c>
      <c r="K425" s="35">
        <f>2070</f>
        <v>2070</v>
      </c>
      <c r="L425" s="32" t="s">
        <v>48</v>
      </c>
      <c r="M425" s="35">
        <f>2179</f>
        <v>2179</v>
      </c>
      <c r="N425" s="32" t="s">
        <v>74</v>
      </c>
      <c r="O425" s="35">
        <f>2006</f>
        <v>2006</v>
      </c>
      <c r="P425" s="32" t="s">
        <v>50</v>
      </c>
      <c r="Q425" s="35">
        <f>2046</f>
        <v>2046</v>
      </c>
      <c r="R425" s="32" t="s">
        <v>50</v>
      </c>
      <c r="S425" s="34">
        <f>2076.84</f>
        <v>2076.84</v>
      </c>
      <c r="T425" s="31">
        <f>271764</f>
        <v>271764</v>
      </c>
      <c r="U425" s="31">
        <f>115000</f>
        <v>115000</v>
      </c>
      <c r="V425" s="31">
        <f>559909437</f>
        <v>559909437</v>
      </c>
      <c r="W425" s="31">
        <f>235570500</f>
        <v>235570500</v>
      </c>
      <c r="X425" s="33">
        <f>19</f>
        <v>19</v>
      </c>
    </row>
    <row r="426" spans="1:24">
      <c r="A426" s="27" t="s">
        <v>42</v>
      </c>
      <c r="B426" s="27" t="s">
        <v>1322</v>
      </c>
      <c r="C426" s="27" t="s">
        <v>1323</v>
      </c>
      <c r="D426" s="27" t="s">
        <v>1324</v>
      </c>
      <c r="E426" s="28" t="s">
        <v>46</v>
      </c>
      <c r="F426" s="29" t="s">
        <v>46</v>
      </c>
      <c r="G426" s="30" t="s">
        <v>46</v>
      </c>
      <c r="H426" s="25"/>
      <c r="I426" s="25" t="s">
        <v>415</v>
      </c>
      <c r="J426" s="31">
        <v>10</v>
      </c>
      <c r="K426" s="35">
        <f>795.1</f>
        <v>795.1</v>
      </c>
      <c r="L426" s="32" t="s">
        <v>48</v>
      </c>
      <c r="M426" s="35">
        <f>815</f>
        <v>815</v>
      </c>
      <c r="N426" s="32" t="s">
        <v>61</v>
      </c>
      <c r="O426" s="35">
        <f>780.4</f>
        <v>780.4</v>
      </c>
      <c r="P426" s="32" t="s">
        <v>74</v>
      </c>
      <c r="Q426" s="35">
        <f>806.1</f>
        <v>806.1</v>
      </c>
      <c r="R426" s="32" t="s">
        <v>50</v>
      </c>
      <c r="S426" s="34">
        <f>793.56</f>
        <v>793.56</v>
      </c>
      <c r="T426" s="31">
        <f>2029450</f>
        <v>2029450</v>
      </c>
      <c r="U426" s="31">
        <f>1235000</f>
        <v>1235000</v>
      </c>
      <c r="V426" s="31">
        <f>1637655858</f>
        <v>1637655858</v>
      </c>
      <c r="W426" s="31">
        <f>1004236000</f>
        <v>1004236000</v>
      </c>
      <c r="X426" s="33">
        <f>19</f>
        <v>19</v>
      </c>
    </row>
    <row r="427" spans="1:24">
      <c r="A427" s="27" t="s">
        <v>42</v>
      </c>
      <c r="B427" s="27" t="s">
        <v>1325</v>
      </c>
      <c r="C427" s="27" t="s">
        <v>1326</v>
      </c>
      <c r="D427" s="27" t="s">
        <v>1327</v>
      </c>
      <c r="E427" s="28" t="s">
        <v>46</v>
      </c>
      <c r="F427" s="29" t="s">
        <v>46</v>
      </c>
      <c r="G427" s="30" t="s">
        <v>46</v>
      </c>
      <c r="H427" s="25"/>
      <c r="I427" s="25" t="s">
        <v>415</v>
      </c>
      <c r="J427" s="31">
        <v>1</v>
      </c>
      <c r="K427" s="35">
        <f>1010</f>
        <v>1010</v>
      </c>
      <c r="L427" s="32" t="s">
        <v>48</v>
      </c>
      <c r="M427" s="35">
        <f>1019</f>
        <v>1019</v>
      </c>
      <c r="N427" s="32" t="s">
        <v>49</v>
      </c>
      <c r="O427" s="35">
        <f>949</f>
        <v>949</v>
      </c>
      <c r="P427" s="32" t="s">
        <v>61</v>
      </c>
      <c r="Q427" s="35">
        <f>958</f>
        <v>958</v>
      </c>
      <c r="R427" s="32" t="s">
        <v>50</v>
      </c>
      <c r="S427" s="34">
        <f>987.21</f>
        <v>987.21</v>
      </c>
      <c r="T427" s="31">
        <f>22338</f>
        <v>22338</v>
      </c>
      <c r="U427" s="31" t="str">
        <f>"－"</f>
        <v>－</v>
      </c>
      <c r="V427" s="31">
        <f>22201914</f>
        <v>22201914</v>
      </c>
      <c r="W427" s="31" t="str">
        <f>"－"</f>
        <v>－</v>
      </c>
      <c r="X427" s="33">
        <f>19</f>
        <v>19</v>
      </c>
    </row>
    <row r="428" spans="1:24">
      <c r="A428" s="27" t="s">
        <v>42</v>
      </c>
      <c r="B428" s="27" t="s">
        <v>1328</v>
      </c>
      <c r="C428" s="27" t="s">
        <v>1329</v>
      </c>
      <c r="D428" s="27" t="s">
        <v>1330</v>
      </c>
      <c r="E428" s="28" t="s">
        <v>1331</v>
      </c>
      <c r="F428" s="29" t="s">
        <v>1332</v>
      </c>
      <c r="G428" s="30" t="s">
        <v>1333</v>
      </c>
      <c r="H428" s="25"/>
      <c r="I428" s="25" t="s">
        <v>415</v>
      </c>
      <c r="J428" s="31">
        <v>10</v>
      </c>
      <c r="K428" s="35">
        <f>511</f>
        <v>511</v>
      </c>
      <c r="L428" s="32" t="s">
        <v>61</v>
      </c>
      <c r="M428" s="35">
        <f>525</f>
        <v>525</v>
      </c>
      <c r="N428" s="32" t="s">
        <v>70</v>
      </c>
      <c r="O428" s="35">
        <f>505.2</f>
        <v>505.2</v>
      </c>
      <c r="P428" s="32" t="s">
        <v>50</v>
      </c>
      <c r="Q428" s="35">
        <f>505.7</f>
        <v>505.7</v>
      </c>
      <c r="R428" s="32" t="s">
        <v>50</v>
      </c>
      <c r="S428" s="34">
        <f>510.17</f>
        <v>510.17</v>
      </c>
      <c r="T428" s="31">
        <f>21350</f>
        <v>21350</v>
      </c>
      <c r="U428" s="31" t="str">
        <f>"－"</f>
        <v>－</v>
      </c>
      <c r="V428" s="31">
        <f>10898879</f>
        <v>10898879</v>
      </c>
      <c r="W428" s="31" t="str">
        <f>"－"</f>
        <v>－</v>
      </c>
      <c r="X428" s="33">
        <f>3</f>
        <v>3</v>
      </c>
    </row>
    <row r="429" spans="1:24">
      <c r="A429" s="27" t="s">
        <v>42</v>
      </c>
      <c r="B429" s="27" t="s">
        <v>1334</v>
      </c>
      <c r="C429" s="27" t="s">
        <v>1335</v>
      </c>
      <c r="D429" s="27" t="s">
        <v>1336</v>
      </c>
      <c r="E429" s="28" t="s">
        <v>1331</v>
      </c>
      <c r="F429" s="29" t="s">
        <v>1332</v>
      </c>
      <c r="G429" s="30" t="s">
        <v>1337</v>
      </c>
      <c r="H429" s="25"/>
      <c r="I429" s="25" t="s">
        <v>415</v>
      </c>
      <c r="J429" s="31">
        <v>10</v>
      </c>
      <c r="K429" s="35">
        <f>1003</f>
        <v>1003</v>
      </c>
      <c r="L429" s="32" t="s">
        <v>202</v>
      </c>
      <c r="M429" s="35">
        <f>1015</f>
        <v>1015</v>
      </c>
      <c r="N429" s="32" t="s">
        <v>202</v>
      </c>
      <c r="O429" s="35">
        <f>989.4</f>
        <v>989.4</v>
      </c>
      <c r="P429" s="32" t="s">
        <v>213</v>
      </c>
      <c r="Q429" s="35">
        <f>999.5</f>
        <v>999.5</v>
      </c>
      <c r="R429" s="32" t="s">
        <v>50</v>
      </c>
      <c r="S429" s="34">
        <f>999.53</f>
        <v>999.53</v>
      </c>
      <c r="T429" s="31">
        <f>432770</f>
        <v>432770</v>
      </c>
      <c r="U429" s="31">
        <f>100000</f>
        <v>100000</v>
      </c>
      <c r="V429" s="31">
        <f>431452407</f>
        <v>431452407</v>
      </c>
      <c r="W429" s="31">
        <f>100000000</f>
        <v>100000000</v>
      </c>
      <c r="X429" s="33">
        <f>9</f>
        <v>9</v>
      </c>
    </row>
    <row r="430" spans="1:24">
      <c r="A430" s="27" t="s">
        <v>42</v>
      </c>
      <c r="B430" s="27" t="s">
        <v>1338</v>
      </c>
      <c r="C430" s="27" t="s">
        <v>1339</v>
      </c>
      <c r="D430" s="27" t="s">
        <v>1340</v>
      </c>
      <c r="E430" s="28" t="s">
        <v>1331</v>
      </c>
      <c r="F430" s="29" t="s">
        <v>1332</v>
      </c>
      <c r="G430" s="30" t="s">
        <v>1337</v>
      </c>
      <c r="H430" s="25"/>
      <c r="I430" s="25" t="s">
        <v>415</v>
      </c>
      <c r="J430" s="31">
        <v>10</v>
      </c>
      <c r="K430" s="35">
        <f>1003</f>
        <v>1003</v>
      </c>
      <c r="L430" s="32" t="s">
        <v>202</v>
      </c>
      <c r="M430" s="35">
        <f>1090.5</f>
        <v>1090.5</v>
      </c>
      <c r="N430" s="32" t="s">
        <v>273</v>
      </c>
      <c r="O430" s="35">
        <f>998</f>
        <v>998</v>
      </c>
      <c r="P430" s="32" t="s">
        <v>273</v>
      </c>
      <c r="Q430" s="35">
        <f>1000</f>
        <v>1000</v>
      </c>
      <c r="R430" s="32" t="s">
        <v>50</v>
      </c>
      <c r="S430" s="34">
        <f>1000.97</f>
        <v>1000.97</v>
      </c>
      <c r="T430" s="31">
        <f>138240</f>
        <v>138240</v>
      </c>
      <c r="U430" s="31">
        <f>100000</f>
        <v>100000</v>
      </c>
      <c r="V430" s="31">
        <f>138301646</f>
        <v>138301646</v>
      </c>
      <c r="W430" s="31">
        <f>100000000</f>
        <v>100000000</v>
      </c>
      <c r="X430" s="33">
        <f>9</f>
        <v>9</v>
      </c>
    </row>
    <row r="431" spans="1:24">
      <c r="A431" s="27" t="s">
        <v>42</v>
      </c>
      <c r="B431" s="27" t="s">
        <v>1341</v>
      </c>
      <c r="C431" s="27" t="s">
        <v>1342</v>
      </c>
      <c r="D431" s="27" t="s">
        <v>1343</v>
      </c>
      <c r="E431" s="28" t="s">
        <v>1331</v>
      </c>
      <c r="F431" s="29" t="s">
        <v>1332</v>
      </c>
      <c r="G431" s="30" t="s">
        <v>1337</v>
      </c>
      <c r="H431" s="25"/>
      <c r="I431" s="25" t="s">
        <v>415</v>
      </c>
      <c r="J431" s="31">
        <v>10</v>
      </c>
      <c r="K431" s="35">
        <f>1003</f>
        <v>1003</v>
      </c>
      <c r="L431" s="32" t="s">
        <v>202</v>
      </c>
      <c r="M431" s="35">
        <f>1003</f>
        <v>1003</v>
      </c>
      <c r="N431" s="32" t="s">
        <v>202</v>
      </c>
      <c r="O431" s="35">
        <f>997.8</f>
        <v>997.8</v>
      </c>
      <c r="P431" s="32" t="s">
        <v>155</v>
      </c>
      <c r="Q431" s="35">
        <f>1000</f>
        <v>1000</v>
      </c>
      <c r="R431" s="32" t="s">
        <v>273</v>
      </c>
      <c r="S431" s="34">
        <f>999.94</f>
        <v>999.94</v>
      </c>
      <c r="T431" s="31">
        <f>100950</f>
        <v>100950</v>
      </c>
      <c r="U431" s="31">
        <f>100000</f>
        <v>100000</v>
      </c>
      <c r="V431" s="31">
        <f>100950732</f>
        <v>100950732</v>
      </c>
      <c r="W431" s="31">
        <f>100000000</f>
        <v>100000000</v>
      </c>
      <c r="X431" s="33">
        <f>5</f>
        <v>5</v>
      </c>
    </row>
    <row r="432" spans="1:24">
      <c r="A432" s="27" t="s">
        <v>42</v>
      </c>
      <c r="B432" s="27" t="s">
        <v>1344</v>
      </c>
      <c r="C432" s="27" t="s">
        <v>1345</v>
      </c>
      <c r="D432" s="27" t="s">
        <v>1346</v>
      </c>
      <c r="E432" s="28" t="s">
        <v>1331</v>
      </c>
      <c r="F432" s="29" t="s">
        <v>1332</v>
      </c>
      <c r="G432" s="30" t="s">
        <v>1337</v>
      </c>
      <c r="H432" s="25"/>
      <c r="I432" s="25" t="s">
        <v>415</v>
      </c>
      <c r="J432" s="31">
        <v>10</v>
      </c>
      <c r="K432" s="35">
        <f>1003</f>
        <v>1003</v>
      </c>
      <c r="L432" s="32" t="s">
        <v>202</v>
      </c>
      <c r="M432" s="35">
        <f>1219.5</f>
        <v>1219.5</v>
      </c>
      <c r="N432" s="32" t="s">
        <v>273</v>
      </c>
      <c r="O432" s="35">
        <f>992.5</f>
        <v>992.5</v>
      </c>
      <c r="P432" s="32" t="s">
        <v>223</v>
      </c>
      <c r="Q432" s="35">
        <f>1000.5</f>
        <v>1000.5</v>
      </c>
      <c r="R432" s="32" t="s">
        <v>50</v>
      </c>
      <c r="S432" s="34">
        <f>998.88</f>
        <v>998.88</v>
      </c>
      <c r="T432" s="31">
        <f>125590</f>
        <v>125590</v>
      </c>
      <c r="U432" s="31">
        <f>100000</f>
        <v>100000</v>
      </c>
      <c r="V432" s="31">
        <f>125877254</f>
        <v>125877254</v>
      </c>
      <c r="W432" s="31">
        <f>100000000</f>
        <v>100000000</v>
      </c>
      <c r="X432" s="33">
        <f>8</f>
        <v>8</v>
      </c>
    </row>
    <row r="433" spans="1:24">
      <c r="A433" s="27" t="s">
        <v>42</v>
      </c>
      <c r="B433" s="27" t="s">
        <v>1347</v>
      </c>
      <c r="C433" s="27" t="s">
        <v>1348</v>
      </c>
      <c r="D433" s="27" t="s">
        <v>1349</v>
      </c>
      <c r="E433" s="28" t="s">
        <v>1331</v>
      </c>
      <c r="F433" s="29" t="s">
        <v>1332</v>
      </c>
      <c r="G433" s="30" t="s">
        <v>1337</v>
      </c>
      <c r="H433" s="25"/>
      <c r="I433" s="25" t="s">
        <v>415</v>
      </c>
      <c r="J433" s="31">
        <v>10</v>
      </c>
      <c r="K433" s="35">
        <f>1003</f>
        <v>1003</v>
      </c>
      <c r="L433" s="32" t="s">
        <v>202</v>
      </c>
      <c r="M433" s="35">
        <f>1012</f>
        <v>1012</v>
      </c>
      <c r="N433" s="32" t="s">
        <v>155</v>
      </c>
      <c r="O433" s="35">
        <f>980</f>
        <v>980</v>
      </c>
      <c r="P433" s="32" t="s">
        <v>213</v>
      </c>
      <c r="Q433" s="35">
        <f>1006</f>
        <v>1006</v>
      </c>
      <c r="R433" s="32" t="s">
        <v>50</v>
      </c>
      <c r="S433" s="34">
        <f>997.56</f>
        <v>997.56</v>
      </c>
      <c r="T433" s="31">
        <f>1768860</f>
        <v>1768860</v>
      </c>
      <c r="U433" s="31">
        <f>100000</f>
        <v>100000</v>
      </c>
      <c r="V433" s="31">
        <f>1764737909</f>
        <v>1764737909</v>
      </c>
      <c r="W433" s="31">
        <f>100000000</f>
        <v>100000000</v>
      </c>
      <c r="X433" s="33">
        <f>9</f>
        <v>9</v>
      </c>
    </row>
    <row r="434" spans="1:24">
      <c r="A434" s="27" t="s">
        <v>42</v>
      </c>
      <c r="B434" s="27" t="s">
        <v>1350</v>
      </c>
      <c r="C434" s="27" t="s">
        <v>1351</v>
      </c>
      <c r="D434" s="27" t="s">
        <v>1352</v>
      </c>
      <c r="E434" s="28" t="s">
        <v>1331</v>
      </c>
      <c r="F434" s="29" t="s">
        <v>1332</v>
      </c>
      <c r="G434" s="30" t="s">
        <v>1353</v>
      </c>
      <c r="H434" s="25"/>
      <c r="I434" s="25" t="s">
        <v>415</v>
      </c>
      <c r="J434" s="31">
        <v>1</v>
      </c>
      <c r="K434" s="35">
        <f>10140</f>
        <v>10140</v>
      </c>
      <c r="L434" s="32" t="s">
        <v>273</v>
      </c>
      <c r="M434" s="35">
        <f>10140</f>
        <v>10140</v>
      </c>
      <c r="N434" s="32" t="s">
        <v>273</v>
      </c>
      <c r="O434" s="35">
        <f>9660</f>
        <v>9660</v>
      </c>
      <c r="P434" s="32" t="s">
        <v>70</v>
      </c>
      <c r="Q434" s="35">
        <f>9808</f>
        <v>9808</v>
      </c>
      <c r="R434" s="32" t="s">
        <v>50</v>
      </c>
      <c r="S434" s="34">
        <f>9854.6</f>
        <v>9854.6</v>
      </c>
      <c r="T434" s="31">
        <f>11845</f>
        <v>11845</v>
      </c>
      <c r="U434" s="31" t="str">
        <f>"－"</f>
        <v>－</v>
      </c>
      <c r="V434" s="31">
        <f>116972158</f>
        <v>116972158</v>
      </c>
      <c r="W434" s="31" t="str">
        <f>"－"</f>
        <v>－</v>
      </c>
      <c r="X434" s="33">
        <f>5</f>
        <v>5</v>
      </c>
    </row>
    <row r="435" spans="1:24">
      <c r="A435" s="27" t="s">
        <v>42</v>
      </c>
      <c r="B435" s="27" t="s">
        <v>1354</v>
      </c>
      <c r="C435" s="27" t="s">
        <v>1355</v>
      </c>
      <c r="D435" s="27" t="s">
        <v>1356</v>
      </c>
      <c r="E435" s="28" t="s">
        <v>1331</v>
      </c>
      <c r="F435" s="29" t="s">
        <v>1332</v>
      </c>
      <c r="G435" s="30" t="s">
        <v>1353</v>
      </c>
      <c r="H435" s="25"/>
      <c r="I435" s="25" t="s">
        <v>415</v>
      </c>
      <c r="J435" s="31">
        <v>1</v>
      </c>
      <c r="K435" s="35">
        <f>10300</f>
        <v>10300</v>
      </c>
      <c r="L435" s="32" t="s">
        <v>273</v>
      </c>
      <c r="M435" s="35">
        <f>10300</f>
        <v>10300</v>
      </c>
      <c r="N435" s="32" t="s">
        <v>273</v>
      </c>
      <c r="O435" s="35">
        <f>9843</f>
        <v>9843</v>
      </c>
      <c r="P435" s="32" t="s">
        <v>223</v>
      </c>
      <c r="Q435" s="35">
        <f>9900</f>
        <v>9900</v>
      </c>
      <c r="R435" s="32" t="s">
        <v>50</v>
      </c>
      <c r="S435" s="34">
        <f>10055.8</f>
        <v>10055.799999999999</v>
      </c>
      <c r="T435" s="31">
        <f>33707</f>
        <v>33707</v>
      </c>
      <c r="U435" s="31" t="str">
        <f>"－"</f>
        <v>－</v>
      </c>
      <c r="V435" s="31">
        <f>339862692</f>
        <v>339862692</v>
      </c>
      <c r="W435" s="31" t="str">
        <f>"－"</f>
        <v>－</v>
      </c>
      <c r="X435" s="33">
        <f>5</f>
        <v>5</v>
      </c>
    </row>
    <row r="436" spans="1:24">
      <c r="A436" s="27" t="s">
        <v>42</v>
      </c>
      <c r="B436" s="27" t="s">
        <v>1357</v>
      </c>
      <c r="C436" s="27" t="s">
        <v>1358</v>
      </c>
      <c r="D436" s="27" t="s">
        <v>1359</v>
      </c>
      <c r="E436" s="28" t="s">
        <v>1331</v>
      </c>
      <c r="F436" s="29" t="s">
        <v>1332</v>
      </c>
      <c r="G436" s="30" t="s">
        <v>1353</v>
      </c>
      <c r="H436" s="25"/>
      <c r="I436" s="25" t="s">
        <v>415</v>
      </c>
      <c r="J436" s="31">
        <v>1</v>
      </c>
      <c r="K436" s="35">
        <f>9886</f>
        <v>9886</v>
      </c>
      <c r="L436" s="32" t="s">
        <v>273</v>
      </c>
      <c r="M436" s="35">
        <f>9886</f>
        <v>9886</v>
      </c>
      <c r="N436" s="32" t="s">
        <v>273</v>
      </c>
      <c r="O436" s="35">
        <f>9341</f>
        <v>9341</v>
      </c>
      <c r="P436" s="32" t="s">
        <v>70</v>
      </c>
      <c r="Q436" s="35">
        <f>9394</f>
        <v>9394</v>
      </c>
      <c r="R436" s="32" t="s">
        <v>50</v>
      </c>
      <c r="S436" s="34">
        <f>9626</f>
        <v>9626</v>
      </c>
      <c r="T436" s="31">
        <f>2425</f>
        <v>2425</v>
      </c>
      <c r="U436" s="31" t="str">
        <f>"－"</f>
        <v>－</v>
      </c>
      <c r="V436" s="31">
        <f>23704555</f>
        <v>23704555</v>
      </c>
      <c r="W436" s="31" t="str">
        <f>"－"</f>
        <v>－</v>
      </c>
      <c r="X436" s="33">
        <f>5</f>
        <v>5</v>
      </c>
    </row>
    <row r="437" spans="1:24">
      <c r="A437" s="27" t="s">
        <v>42</v>
      </c>
      <c r="B437" s="27" t="s">
        <v>1360</v>
      </c>
      <c r="C437" s="27" t="s">
        <v>1361</v>
      </c>
      <c r="D437" s="27" t="s">
        <v>1362</v>
      </c>
      <c r="E437" s="28" t="s">
        <v>1331</v>
      </c>
      <c r="F437" s="29" t="s">
        <v>1332</v>
      </c>
      <c r="G437" s="30" t="s">
        <v>1363</v>
      </c>
      <c r="H437" s="25"/>
      <c r="I437" s="25" t="s">
        <v>415</v>
      </c>
      <c r="J437" s="31">
        <v>10</v>
      </c>
      <c r="K437" s="35">
        <f>900</f>
        <v>900</v>
      </c>
      <c r="L437" s="32" t="s">
        <v>70</v>
      </c>
      <c r="M437" s="35">
        <f>900</f>
        <v>900</v>
      </c>
      <c r="N437" s="32" t="s">
        <v>70</v>
      </c>
      <c r="O437" s="35">
        <f>899.9</f>
        <v>899.9</v>
      </c>
      <c r="P437" s="32" t="s">
        <v>70</v>
      </c>
      <c r="Q437" s="35">
        <f>900</f>
        <v>900</v>
      </c>
      <c r="R437" s="32" t="s">
        <v>50</v>
      </c>
      <c r="S437" s="34">
        <f>900</f>
        <v>900</v>
      </c>
      <c r="T437" s="31">
        <f>42850</f>
        <v>42850</v>
      </c>
      <c r="U437" s="31" t="str">
        <f>"－"</f>
        <v>－</v>
      </c>
      <c r="V437" s="31">
        <f>38564532</f>
        <v>38564532</v>
      </c>
      <c r="W437" s="31" t="str">
        <f>"－"</f>
        <v>－</v>
      </c>
      <c r="X437" s="33">
        <f>2</f>
        <v>2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7" fitToHeight="0" orientation="landscape" r:id="rId1"/>
  <headerFooter>
    <oddFooter>&amp;C&amp;P/&amp;N&amp;RCopyright (c) Tokyo Stock Exchange, Inc. All Rights Reserved.</oddFooter>
  </headerFooter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2026.01</vt:lpstr>
      <vt:lpstr>'2026.01'!Print_Titles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Okawa, Tamami (大川 珠実)</cp:lastModifiedBy>
  <cp:lastPrinted>2018-08-15T07:59:38Z</cp:lastPrinted>
  <dcterms:created xsi:type="dcterms:W3CDTF">2018-08-07T09:37:32Z</dcterms:created>
  <dcterms:modified xsi:type="dcterms:W3CDTF">2026-02-05T06:12:16Z</dcterms:modified>
</cp:coreProperties>
</file>