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<sst xmlns="http://schemas.openxmlformats.org/spreadsheetml/2006/main" count="528" uniqueCount="129">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</sst>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DATE(2026,08,21)</f>
        <v>46255.0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DATE(2026,08,21)</f>
        <v>46255.0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791091.0</f>
        <v>791091.0</v>
      </c>
      <c r="E12" s="18" t="n">
        <f>44054.0</f>
        <v>44054.0</v>
      </c>
      <c r="F12" s="19" t="n">
        <f>1.0</f>
        <v>1.0</v>
      </c>
      <c r="G12" s="17" t="n">
        <f>5481642776800.0</f>
        <v>5.4816427768E12</v>
      </c>
      <c r="H12" s="18" t="n">
        <f>469680611600.0</f>
        <v>4.696806116E11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410433.0</f>
        <v>410433.0</v>
      </c>
      <c r="E13" s="22" t="n">
        <f>18445.0</f>
        <v>18445.0</v>
      </c>
      <c r="F13" s="23" t="n">
        <f>1.0</f>
        <v>1.0</v>
      </c>
      <c r="G13" s="21" t="n">
        <f>3698161520430.0</f>
        <v>3.69816152043E12</v>
      </c>
      <c r="H13" s="22" t="n">
        <f>290024227180.0</f>
        <v>2.9002422718E11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355593.0</f>
        <v>355593.0</v>
      </c>
      <c r="E14" s="22" t="n">
        <f>35856.0</f>
        <v>35856.0</v>
      </c>
      <c r="F14" s="23" t="n">
        <f>1.0</f>
        <v>1.0</v>
      </c>
      <c r="G14" s="21" t="n">
        <f>4127163580514.0</f>
        <v>4.127163580514E12</v>
      </c>
      <c r="H14" s="22" t="n">
        <f>1075965255964.0</f>
        <v>1.075965255964E12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1557117.0</f>
        <v>1557117.0</v>
      </c>
      <c r="E15" s="26" t="n">
        <f>98355.0</f>
        <v>98355.0</v>
      </c>
      <c r="F15" s="27" t="n">
        <f>1.0</f>
        <v>1.0</v>
      </c>
      <c r="G15" s="25" t="n">
        <f>13306967877744.0</f>
        <v>1.3306967877744E13</v>
      </c>
      <c r="H15" s="26" t="n">
        <f>1835670094744.0</f>
        <v>1.835670094744E12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13972.0</f>
        <v>13972.0</v>
      </c>
      <c r="E16" s="18" t="n">
        <f>286.0</f>
        <v>286.0</v>
      </c>
      <c r="F16" s="19" t="n">
        <f>0.018</f>
        <v>0.018</v>
      </c>
      <c r="G16" s="17" t="n">
        <f>1726828918750.0</f>
        <v>1.72682891875E12</v>
      </c>
      <c r="H16" s="18" t="n">
        <f>36253685000.0</f>
        <v>3.6253685E10</v>
      </c>
      <c r="I16" s="19" t="n">
        <f>0.315</f>
        <v>0.315</v>
      </c>
    </row>
    <row r="17" spans="1:9" ht="24.9" customHeight="1">
      <c r="A17" s="41"/>
      <c r="B17" s="39"/>
      <c r="C17" s="20" t="s">
        <v>16</v>
      </c>
      <c r="D17" s="21" t="n">
        <f>13857.0</f>
        <v>13857.0</v>
      </c>
      <c r="E17" s="22" t="n">
        <f>825.0</f>
        <v>825.0</v>
      </c>
      <c r="F17" s="23" t="n">
        <f>0.034</f>
        <v>0.034</v>
      </c>
      <c r="G17" s="21" t="n">
        <f>1316577611250.0</f>
        <v>1.31657761125E12</v>
      </c>
      <c r="H17" s="22" t="n">
        <f>104362340000.0</f>
        <v>1.0436234E11</v>
      </c>
      <c r="I17" s="23" t="n">
        <f>0.356</f>
        <v>0.356</v>
      </c>
    </row>
    <row r="18" spans="1:9" ht="24.9" customHeight="1">
      <c r="A18" s="41"/>
      <c r="B18" s="39"/>
      <c r="C18" s="20" t="s">
        <v>17</v>
      </c>
      <c r="D18" s="21" t="n">
        <f>10400.0</f>
        <v>10400.0</v>
      </c>
      <c r="E18" s="22" t="n">
        <f>1480.0</f>
        <v>1480.0</v>
      </c>
      <c r="F18" s="23" t="n">
        <f>0.029</f>
        <v>0.029</v>
      </c>
      <c r="G18" s="21" t="n">
        <f>1090533698750.0</f>
        <v>1.09053369875E12</v>
      </c>
      <c r="H18" s="22" t="n">
        <f>187171445000.0</f>
        <v>1.87171445E11</v>
      </c>
      <c r="I18" s="23" t="n">
        <f>0.264</f>
        <v>0.264</v>
      </c>
    </row>
    <row r="19" spans="1:9" ht="24.9" customHeight="1">
      <c r="A19" s="41"/>
      <c r="B19" s="39"/>
      <c r="C19" s="24" t="s">
        <v>18</v>
      </c>
      <c r="D19" s="25" t="n">
        <f>38229.0</f>
        <v>38229.0</v>
      </c>
      <c r="E19" s="26" t="n">
        <f>2591.0</f>
        <v>2591.0</v>
      </c>
      <c r="F19" s="27" t="n">
        <f>0.025</f>
        <v>0.025</v>
      </c>
      <c r="G19" s="25" t="n">
        <f>4133940228750.0</f>
        <v>4.13394022875E12</v>
      </c>
      <c r="H19" s="26" t="n">
        <f>327787470000.0</f>
        <v>3.2778747E11</v>
      </c>
      <c r="I19" s="27" t="n">
        <f>0.311</f>
        <v>0.311</v>
      </c>
    </row>
    <row r="20" spans="1:9" ht="24.9" customHeight="1">
      <c r="A20" s="41"/>
      <c r="B20" s="39" t="s">
        <v>21</v>
      </c>
      <c r="C20" s="16" t="s">
        <v>15</v>
      </c>
      <c r="D20" s="17" t="n">
        <f>755355.0</f>
        <v>755355.0</v>
      </c>
      <c r="E20" s="18" t="n">
        <f>43618.0</f>
        <v>43618.0</v>
      </c>
      <c r="F20" s="19" t="n">
        <f>0.955</f>
        <v>0.955</v>
      </c>
      <c r="G20" s="17" t="n">
        <f>3539617394500.0</f>
        <v>3.5396173945E12</v>
      </c>
      <c r="H20" s="18" t="n">
        <f>433333729800.0</f>
        <v>4.333337298E11</v>
      </c>
      <c r="I20" s="19" t="n">
        <f>0.646</f>
        <v>0.646</v>
      </c>
    </row>
    <row r="21" spans="1:9" ht="24.9" customHeight="1">
      <c r="A21" s="41"/>
      <c r="B21" s="39"/>
      <c r="C21" s="20" t="s">
        <v>16</v>
      </c>
      <c r="D21" s="21" t="n">
        <f>387509.0</f>
        <v>387509.0</v>
      </c>
      <c r="E21" s="22" t="n">
        <f>17619.0</f>
        <v>17619.0</v>
      </c>
      <c r="F21" s="23" t="n">
        <f>0.944</f>
        <v>0.944</v>
      </c>
      <c r="G21" s="21" t="n">
        <f>2286703229530.0</f>
        <v>2.28670322953E12</v>
      </c>
      <c r="H21" s="22" t="n">
        <f>185657357180.0</f>
        <v>1.8565735718E11</v>
      </c>
      <c r="I21" s="23" t="n">
        <f>0.618</f>
        <v>0.618</v>
      </c>
    </row>
    <row r="22" spans="1:9" ht="24.9" customHeight="1">
      <c r="A22" s="41"/>
      <c r="B22" s="39"/>
      <c r="C22" s="20" t="s">
        <v>17</v>
      </c>
      <c r="D22" s="21" t="n">
        <f>331864.0</f>
        <v>331864.0</v>
      </c>
      <c r="E22" s="22" t="n">
        <f>34373.0</f>
        <v>34373.0</v>
      </c>
      <c r="F22" s="23" t="n">
        <f>0.933</f>
        <v>0.933</v>
      </c>
      <c r="G22" s="21" t="n">
        <f>2895199778314.0</f>
        <v>2.895199778314E12</v>
      </c>
      <c r="H22" s="22" t="n">
        <f>888786627464.0</f>
        <v>8.88786627464E11</v>
      </c>
      <c r="I22" s="23" t="n">
        <f>0.701</f>
        <v>0.701</v>
      </c>
    </row>
    <row r="23" spans="1:9" ht="24.9" customHeight="1">
      <c r="A23" s="41"/>
      <c r="B23" s="39"/>
      <c r="C23" s="24" t="s">
        <v>18</v>
      </c>
      <c r="D23" s="25" t="n">
        <f>1474728.0</f>
        <v>1474728.0</v>
      </c>
      <c r="E23" s="26" t="n">
        <f>95610.0</f>
        <v>95610.0</v>
      </c>
      <c r="F23" s="27" t="n">
        <f>0.947</f>
        <v>0.947</v>
      </c>
      <c r="G23" s="25" t="n">
        <f>8721520402344.0</f>
        <v>8.721520402344E12</v>
      </c>
      <c r="H23" s="26" t="n">
        <f>1507777714444.0</f>
        <v>1.507777714444E12</v>
      </c>
      <c r="I23" s="27" t="n">
        <f>0.655</f>
        <v>0.655</v>
      </c>
    </row>
    <row r="24" spans="1:9" ht="24.9" customHeight="1">
      <c r="A24" s="41"/>
      <c r="B24" s="39" t="s">
        <v>22</v>
      </c>
      <c r="C24" s="16" t="s">
        <v>15</v>
      </c>
      <c r="D24" s="17" t="n">
        <f>21463.0</f>
        <v>21463.0</v>
      </c>
      <c r="E24" s="18" t="n">
        <f>0.0</f>
        <v>0.0</v>
      </c>
      <c r="F24" s="19" t="n">
        <f>0.027</f>
        <v>0.027</v>
      </c>
      <c r="G24" s="17" t="n">
        <f>214518128250.0</f>
        <v>2.1451812825E11</v>
      </c>
      <c r="H24" s="18" t="n">
        <f>0.0</f>
        <v>0.0</v>
      </c>
      <c r="I24" s="19" t="n">
        <f>0.039</f>
        <v>0.039</v>
      </c>
    </row>
    <row r="25" spans="1:9" ht="24.9" customHeight="1">
      <c r="A25" s="41"/>
      <c r="B25" s="39"/>
      <c r="C25" s="20" t="s">
        <v>16</v>
      </c>
      <c r="D25" s="21" t="n">
        <f>8915.0</f>
        <v>8915.0</v>
      </c>
      <c r="E25" s="22" t="n">
        <f>1.0</f>
        <v>1.0</v>
      </c>
      <c r="F25" s="23" t="n">
        <f>0.022</f>
        <v>0.022</v>
      </c>
      <c r="G25" s="21" t="n">
        <f>94296074150.0</f>
        <v>9.429607415E10</v>
      </c>
      <c r="H25" s="22" t="n">
        <f>4530000.0</f>
        <v>4530000.0</v>
      </c>
      <c r="I25" s="23" t="n">
        <f>0.025</f>
        <v>0.025</v>
      </c>
    </row>
    <row r="26" spans="1:9" ht="24.9" customHeight="1">
      <c r="A26" s="41"/>
      <c r="B26" s="39"/>
      <c r="C26" s="20" t="s">
        <v>17</v>
      </c>
      <c r="D26" s="21" t="n">
        <f>11863.0</f>
        <v>11863.0</v>
      </c>
      <c r="E26" s="22" t="n">
        <f>3.0</f>
        <v>3.0</v>
      </c>
      <c r="F26" s="23" t="n">
        <f>0.033</f>
        <v>0.033</v>
      </c>
      <c r="G26" s="21" t="n">
        <f>135698260450.0</f>
        <v>1.3569826045E11</v>
      </c>
      <c r="H26" s="22" t="n">
        <f>7183500.0</f>
        <v>7183500.0</v>
      </c>
      <c r="I26" s="23" t="n">
        <f>0.033</f>
        <v>0.033</v>
      </c>
    </row>
    <row r="27" spans="1:9" ht="24.9" customHeight="1">
      <c r="A27" s="42"/>
      <c r="B27" s="39"/>
      <c r="C27" s="24" t="s">
        <v>18</v>
      </c>
      <c r="D27" s="25" t="n">
        <f>42241.0</f>
        <v>42241.0</v>
      </c>
      <c r="E27" s="26" t="n">
        <f>4.0</f>
        <v>4.0</v>
      </c>
      <c r="F27" s="27" t="n">
        <f>0.027</f>
        <v>0.027</v>
      </c>
      <c r="G27" s="25" t="n">
        <f>444512462850.0</f>
        <v>4.4451246285E11</v>
      </c>
      <c r="H27" s="26" t="n">
        <f>11713500.0</f>
        <v>1.17135E7</v>
      </c>
      <c r="I27" s="27" t="n">
        <f>0.033</f>
        <v>0.033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301.0</f>
        <v>301.0</v>
      </c>
      <c r="E28" s="18" t="n">
        <f>150.0</f>
        <v>150.0</v>
      </c>
      <c r="F28" s="19" t="n">
        <f>0.0</f>
        <v>0.0</v>
      </c>
      <c r="G28" s="17" t="n">
        <f>678335300.0</f>
        <v>6.783353E8</v>
      </c>
      <c r="H28" s="18" t="n">
        <f>93196800.0</f>
        <v>9.31968E7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152.0</f>
        <v>152.0</v>
      </c>
      <c r="E29" s="22" t="n">
        <f>0.0</f>
        <v>0.0</v>
      </c>
      <c r="F29" s="23" t="n">
        <f>0.0</f>
        <v>0.0</v>
      </c>
      <c r="G29" s="21" t="n">
        <f>584605500.0</f>
        <v>5.846055E8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1466.0</f>
        <v>1466.0</v>
      </c>
      <c r="E30" s="22" t="n">
        <f>0.0</f>
        <v>0.0</v>
      </c>
      <c r="F30" s="23" t="n">
        <f>0.004</f>
        <v>0.004</v>
      </c>
      <c r="G30" s="21" t="n">
        <f>5731843000.0</f>
        <v>5.731843E9</v>
      </c>
      <c r="H30" s="22" t="n">
        <f>0.0</f>
        <v>0.0</v>
      </c>
      <c r="I30" s="23" t="n">
        <f>0.001</f>
        <v>0.001</v>
      </c>
    </row>
    <row r="31" spans="1:9" ht="24.9" customHeight="1">
      <c r="A31" s="38"/>
      <c r="B31" s="39"/>
      <c r="C31" s="24" t="s">
        <v>18</v>
      </c>
      <c r="D31" s="25" t="n">
        <f>1919.0</f>
        <v>1919.0</v>
      </c>
      <c r="E31" s="26" t="n">
        <f>150.0</f>
        <v>150.0</v>
      </c>
      <c r="F31" s="27" t="n">
        <f>0.001</f>
        <v>0.001</v>
      </c>
      <c r="G31" s="25" t="n">
        <f>6994783800.0</f>
        <v>6.9947838E9</v>
      </c>
      <c r="H31" s="26" t="n">
        <f>93196800.0</f>
        <v>9.31968E7</v>
      </c>
      <c r="I31" s="27" t="n">
        <f>0.001</f>
        <v>0.001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46255.0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46255.0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17905</f>
        <v>17905.0</v>
      </c>
      <c r="E11" s="18" t="n">
        <f>3110</f>
        <v>3110.0</v>
      </c>
      <c r="F11" s="19" t="n">
        <f>1</f>
        <v>1.0</v>
      </c>
      <c r="G11" s="17" t="n">
        <f>5153057680</f>
        <v>5.15305768E9</v>
      </c>
      <c r="H11" s="18" t="n">
        <f>3231494480</f>
        <v>3.23149448E9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18016</f>
        <v>18016.0</v>
      </c>
      <c r="E12" s="22" t="n">
        <f>2351</f>
        <v>2351.0</v>
      </c>
      <c r="F12" s="23" t="n">
        <f>1</f>
        <v>1.0</v>
      </c>
      <c r="G12" s="21" t="n">
        <f>3387336410</f>
        <v>3.38733641E9</v>
      </c>
      <c r="H12" s="22" t="n">
        <f>1778652060</f>
        <v>1.77865206E9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35781</f>
        <v>35781.0</v>
      </c>
      <c r="E13" s="22" t="n">
        <f>17489</f>
        <v>17489.0</v>
      </c>
      <c r="F13" s="23" t="n">
        <f>1</f>
        <v>1.0</v>
      </c>
      <c r="G13" s="21" t="n">
        <f>18671237581</f>
        <v>1.8671237581E10</v>
      </c>
      <c r="H13" s="22" t="n">
        <f>16274679900</f>
        <v>1.62746799E10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71702</f>
        <v>71702.0</v>
      </c>
      <c r="E14" s="26" t="n">
        <f>22950</f>
        <v>22950.0</v>
      </c>
      <c r="F14" s="27" t="n">
        <f>1</f>
        <v>1.0</v>
      </c>
      <c r="G14" s="25" t="n">
        <f>27211631671</f>
        <v>2.7211631671E10</v>
      </c>
      <c r="H14" s="26" t="n">
        <f>21284826440</f>
        <v>2.128482644E10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0</f>
        <v>0.0</v>
      </c>
      <c r="E15" s="18" t="n">
        <f>0</f>
        <v>0.0</v>
      </c>
      <c r="F15" s="19" t="n">
        <f>0</f>
        <v>0.0</v>
      </c>
      <c r="G15" s="17" t="n">
        <f>0</f>
        <v>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17</f>
        <v>17.0</v>
      </c>
      <c r="E16" s="22" t="n">
        <f>0</f>
        <v>0.0</v>
      </c>
      <c r="F16" s="23" t="n">
        <f>0.001</f>
        <v>0.001</v>
      </c>
      <c r="G16" s="21" t="n">
        <f>2460000</f>
        <v>2460000.0</v>
      </c>
      <c r="H16" s="22" t="n">
        <f>0</f>
        <v>0.0</v>
      </c>
      <c r="I16" s="23" t="n">
        <f>0.001</f>
        <v>0.001</v>
      </c>
    </row>
    <row r="17" spans="1:9" ht="24.9" customHeight="1">
      <c r="A17" s="41"/>
      <c r="B17" s="39"/>
      <c r="C17" s="20" t="s">
        <v>17</v>
      </c>
      <c r="D17" s="21" t="n">
        <f>40</f>
        <v>40.0</v>
      </c>
      <c r="E17" s="22" t="n">
        <f>0</f>
        <v>0.0</v>
      </c>
      <c r="F17" s="23" t="n">
        <f>0.001</f>
        <v>0.001</v>
      </c>
      <c r="G17" s="21" t="n">
        <f>4150000</f>
        <v>4150000.0</v>
      </c>
      <c r="H17" s="22" t="n">
        <f>0</f>
        <v>0.0</v>
      </c>
      <c r="I17" s="23" t="n">
        <f>0</f>
        <v>0.0</v>
      </c>
    </row>
    <row r="18" spans="1:9" ht="24.9" customHeight="1">
      <c r="A18" s="41"/>
      <c r="B18" s="39"/>
      <c r="C18" s="24" t="s">
        <v>18</v>
      </c>
      <c r="D18" s="25" t="n">
        <f>57</f>
        <v>57.0</v>
      </c>
      <c r="E18" s="26" t="n">
        <f>0</f>
        <v>0.0</v>
      </c>
      <c r="F18" s="27" t="n">
        <f>0.001</f>
        <v>0.001</v>
      </c>
      <c r="G18" s="25" t="n">
        <f>6610000</f>
        <v>6610000.0</v>
      </c>
      <c r="H18" s="26" t="n">
        <f>0</f>
        <v>0.0</v>
      </c>
      <c r="I18" s="27" t="n">
        <f>0</f>
        <v>0.0</v>
      </c>
    </row>
    <row r="19" spans="1:9" ht="24.9" customHeight="1">
      <c r="A19" s="41"/>
      <c r="B19" s="39" t="s">
        <v>31</v>
      </c>
      <c r="C19" s="16" t="s">
        <v>15</v>
      </c>
      <c r="D19" s="17" t="n">
        <f>17905</f>
        <v>17905.0</v>
      </c>
      <c r="E19" s="18" t="n">
        <f>3110</f>
        <v>3110.0</v>
      </c>
      <c r="F19" s="19" t="n">
        <f>1</f>
        <v>1.0</v>
      </c>
      <c r="G19" s="17" t="n">
        <f>5153057680</f>
        <v>5.15305768E9</v>
      </c>
      <c r="H19" s="18" t="n">
        <f>3231494480</f>
        <v>3.23149448E9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16132</f>
        <v>16132.0</v>
      </c>
      <c r="E20" s="22" t="n">
        <f>2351</f>
        <v>2351.0</v>
      </c>
      <c r="F20" s="23" t="n">
        <f>0.895</f>
        <v>0.895</v>
      </c>
      <c r="G20" s="21" t="n">
        <f>3338677160</f>
        <v>3.33867716E9</v>
      </c>
      <c r="H20" s="22" t="n">
        <f>1778652060</f>
        <v>1.77865206E9</v>
      </c>
      <c r="I20" s="23" t="n">
        <f>0.986</f>
        <v>0.986</v>
      </c>
    </row>
    <row r="21" spans="1:9" ht="24.9" customHeight="1">
      <c r="A21" s="41"/>
      <c r="B21" s="39"/>
      <c r="C21" s="20" t="s">
        <v>17</v>
      </c>
      <c r="D21" s="21" t="n">
        <f>33834</f>
        <v>33834.0</v>
      </c>
      <c r="E21" s="22" t="n">
        <f>17489</f>
        <v>17489.0</v>
      </c>
      <c r="F21" s="23" t="n">
        <f>0.946</f>
        <v>0.946</v>
      </c>
      <c r="G21" s="21" t="n">
        <f>18660509400</f>
        <v>1.86605094E10</v>
      </c>
      <c r="H21" s="22" t="n">
        <f>16274679900</f>
        <v>1.62746799E10</v>
      </c>
      <c r="I21" s="23" t="n">
        <f>0.999</f>
        <v>0.999</v>
      </c>
    </row>
    <row r="22" spans="1:9" ht="24.9" customHeight="1">
      <c r="A22" s="41"/>
      <c r="B22" s="39"/>
      <c r="C22" s="24" t="s">
        <v>18</v>
      </c>
      <c r="D22" s="25" t="n">
        <f>67871</f>
        <v>67871.0</v>
      </c>
      <c r="E22" s="26" t="n">
        <f>22950</f>
        <v>22950.0</v>
      </c>
      <c r="F22" s="27" t="n">
        <f>0.947</f>
        <v>0.947</v>
      </c>
      <c r="G22" s="25" t="n">
        <f>27152244240</f>
        <v>2.715224424E10</v>
      </c>
      <c r="H22" s="26" t="n">
        <f>21284826440</f>
        <v>2.128482644E10</v>
      </c>
      <c r="I22" s="27" t="n">
        <f>0.998</f>
        <v>0.998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1867</f>
        <v>1867.0</v>
      </c>
      <c r="E24" s="22" t="n">
        <f>0</f>
        <v>0.0</v>
      </c>
      <c r="F24" s="23" t="n">
        <f>0.104</f>
        <v>0.104</v>
      </c>
      <c r="G24" s="21" t="n">
        <f>46199250</f>
        <v>4.619925E7</v>
      </c>
      <c r="H24" s="22" t="n">
        <f>0</f>
        <v>0.0</v>
      </c>
      <c r="I24" s="23" t="n">
        <f>0.014</f>
        <v>0.014</v>
      </c>
    </row>
    <row r="25" spans="1:9" ht="24.9" customHeight="1">
      <c r="A25" s="41"/>
      <c r="B25" s="39"/>
      <c r="C25" s="20" t="s">
        <v>17</v>
      </c>
      <c r="D25" s="21" t="n">
        <f>1907</f>
        <v>1907.0</v>
      </c>
      <c r="E25" s="22" t="n">
        <f>0</f>
        <v>0.0</v>
      </c>
      <c r="F25" s="23" t="n">
        <f>0.053</f>
        <v>0.053</v>
      </c>
      <c r="G25" s="21" t="n">
        <f>6578181</f>
        <v>6578181.0</v>
      </c>
      <c r="H25" s="22" t="n">
        <f>0</f>
        <v>0.0</v>
      </c>
      <c r="I25" s="23" t="n">
        <f>0</f>
        <v>0.0</v>
      </c>
    </row>
    <row r="26" spans="1:9" ht="24.9" customHeight="1">
      <c r="A26" s="41"/>
      <c r="B26" s="39"/>
      <c r="C26" s="24" t="s">
        <v>18</v>
      </c>
      <c r="D26" s="25" t="n">
        <f>3774</f>
        <v>3774.0</v>
      </c>
      <c r="E26" s="26" t="n">
        <f>0</f>
        <v>0.0</v>
      </c>
      <c r="F26" s="27" t="n">
        <f>0.053</f>
        <v>0.053</v>
      </c>
      <c r="G26" s="25" t="n">
        <f>52777431</f>
        <v>5.2777431E7</v>
      </c>
      <c r="H26" s="26" t="n">
        <f>0</f>
        <v>0.0</v>
      </c>
      <c r="I26" s="27" t="n">
        <f>0.002</f>
        <v>0.002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46255.0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46255.0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13073.0</v>
      </c>
      <c r="F12" s="18" t="n">
        <f>2399</f>
        <v>2399.0</v>
      </c>
      <c r="G12" s="17" t="n">
        <v>8.573030521E11</v>
      </c>
      <c r="H12" s="18" t="n">
        <f>157807840100</f>
        <v>1.578078401E11</v>
      </c>
    </row>
    <row r="13" spans="1:8" ht="24.9" customHeight="1">
      <c r="A13" s="51"/>
      <c r="B13" s="57"/>
      <c r="C13" s="39"/>
      <c r="D13" s="20" t="s">
        <v>16</v>
      </c>
      <c r="E13" s="21" t="n">
        <v>8871.0</v>
      </c>
      <c r="F13" s="22" t="n">
        <f>1158</f>
        <v>1158.0</v>
      </c>
      <c r="G13" s="21" t="n">
        <v>5.8165192598E11</v>
      </c>
      <c r="H13" s="22" t="n">
        <f>75834623980</f>
        <v>7.583462398E10</v>
      </c>
    </row>
    <row r="14" spans="1:8" ht="24.9" customHeight="1">
      <c r="A14" s="51"/>
      <c r="B14" s="57"/>
      <c r="C14" s="39"/>
      <c r="D14" s="20" t="s">
        <v>17</v>
      </c>
      <c r="E14" s="21" t="n">
        <v>10729.0</v>
      </c>
      <c r="F14" s="22" t="n">
        <f>3546</f>
        <v>3546.0</v>
      </c>
      <c r="G14" s="21" t="n">
        <v>7.07060432298E11</v>
      </c>
      <c r="H14" s="22" t="n">
        <f>233245890298</f>
        <v>2.33245890298E11</v>
      </c>
    </row>
    <row r="15" spans="1:8" ht="24.9" customHeight="1">
      <c r="A15" s="51"/>
      <c r="B15" s="57"/>
      <c r="C15" s="39"/>
      <c r="D15" s="24" t="s">
        <v>18</v>
      </c>
      <c r="E15" s="25" t="n">
        <v>32673.0</v>
      </c>
      <c r="F15" s="26" t="n">
        <f>7103</f>
        <v>7103.0</v>
      </c>
      <c r="G15" s="25" t="n">
        <v>2.146015410378E12</v>
      </c>
      <c r="H15" s="26" t="n">
        <f>466888354378</f>
        <v>4.66888354378E11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284541.0</v>
      </c>
      <c r="F16" s="18" t="n">
        <f>40409</f>
        <v>40409.0</v>
      </c>
      <c r="G16" s="17" t="n">
        <v>1.86541057456E12</v>
      </c>
      <c r="H16" s="18" t="n">
        <f>264895349060</f>
        <v>2.6489534906E11</v>
      </c>
    </row>
    <row r="17" spans="1:8" ht="24.9" customHeight="1">
      <c r="A17" s="51"/>
      <c r="B17" s="57"/>
      <c r="C17" s="39"/>
      <c r="D17" s="20" t="s">
        <v>16</v>
      </c>
      <c r="E17" s="21" t="n">
        <v>155495.0</v>
      </c>
      <c r="F17" s="22" t="n">
        <f>16160</f>
        <v>16160.0</v>
      </c>
      <c r="G17" s="21" t="n">
        <v>1.02004162791E12</v>
      </c>
      <c r="H17" s="22" t="n">
        <f>106007513510</f>
        <v>1.0600751351E11</v>
      </c>
    </row>
    <row r="18" spans="1:8" ht="24.9" customHeight="1">
      <c r="A18" s="51"/>
      <c r="B18" s="57"/>
      <c r="C18" s="39"/>
      <c r="D18" s="20" t="s">
        <v>17</v>
      </c>
      <c r="E18" s="21" t="n">
        <v>131697.0</v>
      </c>
      <c r="F18" s="22" t="n">
        <f>16837</f>
        <v>16837.0</v>
      </c>
      <c r="G18" s="21" t="n">
        <v>8.68512962906E11</v>
      </c>
      <c r="H18" s="22" t="n">
        <f>110993064906</f>
        <v>1.10993064906E11</v>
      </c>
    </row>
    <row r="19" spans="1:8" ht="24.9" customHeight="1">
      <c r="A19" s="51"/>
      <c r="B19" s="57"/>
      <c r="C19" s="39"/>
      <c r="D19" s="24" t="s">
        <v>18</v>
      </c>
      <c r="E19" s="25" t="n">
        <v>571733.0</v>
      </c>
      <c r="F19" s="26" t="n">
        <f>73406</f>
        <v>73406.0</v>
      </c>
      <c r="G19" s="25" t="n">
        <v>3.753965165376E12</v>
      </c>
      <c r="H19" s="26" t="n">
        <f>481895927476</f>
        <v>4.81895927476E11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435749.0</v>
      </c>
      <c r="F20" s="18" t="str">
        <f>"－"</f>
        <v>－</v>
      </c>
      <c r="G20" s="17" t="n">
        <v>2.857300874E11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202172.0</v>
      </c>
      <c r="F21" s="22" t="str">
        <f>"－"</f>
        <v>－</v>
      </c>
      <c r="G21" s="21" t="n">
        <v>1.3259507585E11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153467.0</v>
      </c>
      <c r="F22" s="22" t="str">
        <f>"－"</f>
        <v>－</v>
      </c>
      <c r="G22" s="21" t="n">
        <v>1.0119849225E11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791388.0</v>
      </c>
      <c r="F23" s="26" t="str">
        <f>"－"</f>
        <v>－</v>
      </c>
      <c r="G23" s="25" t="n">
        <v>5.195236555E11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12279.0</v>
      </c>
      <c r="F24" s="18" t="n">
        <f>186</f>
        <v>186.0</v>
      </c>
      <c r="G24" s="17" t="n">
        <v>4.964371354E11</v>
      </c>
      <c r="H24" s="18" t="n">
        <f>7539864400</f>
        <v>7.5398644E9</v>
      </c>
    </row>
    <row r="25" spans="1:8" ht="24.9" customHeight="1">
      <c r="A25" s="51"/>
      <c r="B25" s="57"/>
      <c r="C25" s="39"/>
      <c r="D25" s="20" t="s">
        <v>16</v>
      </c>
      <c r="E25" s="21" t="n">
        <v>12952.0</v>
      </c>
      <c r="F25" s="22" t="n">
        <f>72</f>
        <v>72.0</v>
      </c>
      <c r="G25" s="21" t="n">
        <v>5.24261234E11</v>
      </c>
      <c r="H25" s="22" t="n">
        <f>2915139000</f>
        <v>2.915139E9</v>
      </c>
    </row>
    <row r="26" spans="1:8" ht="24.9" customHeight="1">
      <c r="A26" s="51"/>
      <c r="B26" s="57"/>
      <c r="C26" s="39"/>
      <c r="D26" s="20" t="s">
        <v>17</v>
      </c>
      <c r="E26" s="21" t="n">
        <v>29405.0</v>
      </c>
      <c r="F26" s="22" t="n">
        <f>13347</f>
        <v>13347.0</v>
      </c>
      <c r="G26" s="21" t="n">
        <v>1.1961487697E12</v>
      </c>
      <c r="H26" s="22" t="n">
        <f>543235999700</f>
        <v>5.432359997E11</v>
      </c>
    </row>
    <row r="27" spans="1:8" ht="24.9" customHeight="1">
      <c r="A27" s="51"/>
      <c r="B27" s="57"/>
      <c r="C27" s="39"/>
      <c r="D27" s="24" t="s">
        <v>18</v>
      </c>
      <c r="E27" s="25" t="n">
        <v>54636.0</v>
      </c>
      <c r="F27" s="26" t="n">
        <f>13605</f>
        <v>13605.0</v>
      </c>
      <c r="G27" s="25" t="n">
        <v>2.2168471391E12</v>
      </c>
      <c r="H27" s="26" t="n">
        <f>553691003100</f>
        <v>5.536910031E11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7005.0</v>
      </c>
      <c r="F28" s="18" t="n">
        <f>360</f>
        <v>360.0</v>
      </c>
      <c r="G28" s="17" t="n">
        <v>2.831193835E10</v>
      </c>
      <c r="H28" s="18" t="n">
        <f>1453412850</f>
        <v>1.45341285E9</v>
      </c>
    </row>
    <row r="29" spans="1:8" ht="24.9" customHeight="1">
      <c r="A29" s="51"/>
      <c r="B29" s="57"/>
      <c r="C29" s="39"/>
      <c r="D29" s="20" t="s">
        <v>16</v>
      </c>
      <c r="E29" s="21" t="n">
        <v>6439.0</v>
      </c>
      <c r="F29" s="22" t="n">
        <f>217</f>
        <v>217.0</v>
      </c>
      <c r="G29" s="21" t="n">
        <v>2.60548492E10</v>
      </c>
      <c r="H29" s="22" t="n">
        <f>877722700</f>
        <v>8.777227E8</v>
      </c>
    </row>
    <row r="30" spans="1:8" ht="24.9" customHeight="1">
      <c r="A30" s="51"/>
      <c r="B30" s="57"/>
      <c r="C30" s="39"/>
      <c r="D30" s="20" t="s">
        <v>17</v>
      </c>
      <c r="E30" s="21" t="n">
        <v>4526.0</v>
      </c>
      <c r="F30" s="22" t="n">
        <f>197</f>
        <v>197.0</v>
      </c>
      <c r="G30" s="21" t="n">
        <v>1.84039299E10</v>
      </c>
      <c r="H30" s="22" t="n">
        <f>801027400</f>
        <v>8.010274E8</v>
      </c>
    </row>
    <row r="31" spans="1:8" ht="24.9" customHeight="1">
      <c r="A31" s="51"/>
      <c r="B31" s="57"/>
      <c r="C31" s="39"/>
      <c r="D31" s="24" t="s">
        <v>18</v>
      </c>
      <c r="E31" s="25" t="n">
        <v>17970.0</v>
      </c>
      <c r="F31" s="26" t="n">
        <f>774</f>
        <v>774.0</v>
      </c>
      <c r="G31" s="25" t="n">
        <v>7.277071745E10</v>
      </c>
      <c r="H31" s="26" t="n">
        <f>3132162950</f>
        <v>3.13216295E9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632.0</v>
      </c>
      <c r="F36" s="18" t="n">
        <f>0</f>
        <v>0.0</v>
      </c>
      <c r="G36" s="17" t="n">
        <v>2.3066285E9</v>
      </c>
      <c r="H36" s="18" t="n">
        <f>0</f>
        <v>0.0</v>
      </c>
    </row>
    <row r="37" spans="1:8" ht="24.9" customHeight="1">
      <c r="A37" s="51"/>
      <c r="B37" s="57"/>
      <c r="C37" s="39"/>
      <c r="D37" s="20" t="s">
        <v>16</v>
      </c>
      <c r="E37" s="21" t="n">
        <v>262.0</v>
      </c>
      <c r="F37" s="22" t="n">
        <f>3</f>
        <v>3.0</v>
      </c>
      <c r="G37" s="21" t="n">
        <v>9.56701E8</v>
      </c>
      <c r="H37" s="22" t="n">
        <f>10956000</f>
        <v>1.0956E7</v>
      </c>
    </row>
    <row r="38" spans="1:8" ht="24.9" customHeight="1">
      <c r="A38" s="51"/>
      <c r="B38" s="57"/>
      <c r="C38" s="39"/>
      <c r="D38" s="20" t="s">
        <v>17</v>
      </c>
      <c r="E38" s="21" t="n">
        <v>657.0</v>
      </c>
      <c r="F38" s="22" t="n">
        <f>19</f>
        <v>19.0</v>
      </c>
      <c r="G38" s="21" t="n">
        <v>2.4074225E9</v>
      </c>
      <c r="H38" s="22" t="n">
        <f>69639500</f>
        <v>6.96395E7</v>
      </c>
    </row>
    <row r="39" spans="1:8" ht="24.9" customHeight="1">
      <c r="A39" s="51"/>
      <c r="B39" s="57"/>
      <c r="C39" s="39"/>
      <c r="D39" s="24" t="s">
        <v>18</v>
      </c>
      <c r="E39" s="25" t="n">
        <v>1551.0</v>
      </c>
      <c r="F39" s="26" t="n">
        <f>22</f>
        <v>22.0</v>
      </c>
      <c r="G39" s="25" t="n">
        <v>5.670752E9</v>
      </c>
      <c r="H39" s="26" t="n">
        <f>80595500</f>
        <v>8.05955E7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220.0</v>
      </c>
      <c r="F44" s="18" t="n">
        <f>220</f>
        <v>220.0</v>
      </c>
      <c r="G44" s="17" t="n">
        <v>1.59016E9</v>
      </c>
      <c r="H44" s="18" t="n">
        <f>1590160000</f>
        <v>1.59016E9</v>
      </c>
    </row>
    <row r="45" spans="1:8" ht="24.9" customHeight="1">
      <c r="A45" s="51"/>
      <c r="B45" s="57"/>
      <c r="C45" s="39"/>
      <c r="D45" s="20" t="s">
        <v>16</v>
      </c>
      <c r="E45" s="21" t="n">
        <v>0.0</v>
      </c>
      <c r="F45" s="22" t="n">
        <f>0</f>
        <v>0.0</v>
      </c>
      <c r="G45" s="21" t="n">
        <v>0.0</v>
      </c>
      <c r="H45" s="22" t="n">
        <f>0</f>
        <v>0.0</v>
      </c>
    </row>
    <row r="46" spans="1:8" ht="24.9" customHeight="1">
      <c r="A46" s="51"/>
      <c r="B46" s="57"/>
      <c r="C46" s="39"/>
      <c r="D46" s="20" t="s">
        <v>17</v>
      </c>
      <c r="E46" s="21" t="n">
        <v>0.0</v>
      </c>
      <c r="F46" s="22" t="n">
        <f>0</f>
        <v>0.0</v>
      </c>
      <c r="G46" s="21" t="n">
        <v>0.0</v>
      </c>
      <c r="H46" s="22" t="n">
        <f>0</f>
        <v>0.0</v>
      </c>
    </row>
    <row r="47" spans="1:8" ht="24.9" customHeight="1">
      <c r="A47" s="51"/>
      <c r="B47" s="57"/>
      <c r="C47" s="39"/>
      <c r="D47" s="24" t="s">
        <v>18</v>
      </c>
      <c r="E47" s="25" t="n">
        <v>220.0</v>
      </c>
      <c r="F47" s="26" t="n">
        <f>220</f>
        <v>220.0</v>
      </c>
      <c r="G47" s="25" t="n">
        <v>1.59016E9</v>
      </c>
      <c r="H47" s="26" t="n">
        <f>1590160000</f>
        <v>1.59016E9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0.0</v>
      </c>
      <c r="F48" s="18" t="n">
        <f>0</f>
        <v>0.0</v>
      </c>
      <c r="G48" s="17" t="n">
        <v>0.0</v>
      </c>
      <c r="H48" s="18" t="n">
        <f>0</f>
        <v>0.0</v>
      </c>
    </row>
    <row r="49" spans="1:8" ht="24.9" customHeight="1">
      <c r="A49" s="51"/>
      <c r="B49" s="57"/>
      <c r="C49" s="39"/>
      <c r="D49" s="20" t="s">
        <v>16</v>
      </c>
      <c r="E49" s="21" t="n">
        <v>73.0</v>
      </c>
      <c r="F49" s="22" t="n">
        <f>0</f>
        <v>0.0</v>
      </c>
      <c r="G49" s="21" t="n">
        <v>1.310085E8</v>
      </c>
      <c r="H49" s="22" t="n">
        <f>0</f>
        <v>0.0</v>
      </c>
    </row>
    <row r="50" spans="1:8" ht="24.9" customHeight="1">
      <c r="A50" s="51"/>
      <c r="B50" s="57"/>
      <c r="C50" s="39"/>
      <c r="D50" s="20" t="s">
        <v>17</v>
      </c>
      <c r="E50" s="21" t="n">
        <v>189.0</v>
      </c>
      <c r="F50" s="22" t="n">
        <f>107</f>
        <v>107.0</v>
      </c>
      <c r="G50" s="21" t="n">
        <v>3.3804609E8</v>
      </c>
      <c r="H50" s="22" t="n">
        <f>191211090</f>
        <v>1.9121109E8</v>
      </c>
    </row>
    <row r="51" spans="1:8" ht="24.9" customHeight="1">
      <c r="A51" s="51"/>
      <c r="B51" s="57"/>
      <c r="C51" s="39"/>
      <c r="D51" s="24" t="s">
        <v>18</v>
      </c>
      <c r="E51" s="25" t="n">
        <v>262.0</v>
      </c>
      <c r="F51" s="26" t="n">
        <f>107</f>
        <v>107.0</v>
      </c>
      <c r="G51" s="25" t="n">
        <v>4.6905459E8</v>
      </c>
      <c r="H51" s="26" t="n">
        <f>191211090</f>
        <v>1.9121109E8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1398.0</v>
      </c>
      <c r="F56" s="18" t="n">
        <f>41</f>
        <v>41.0</v>
      </c>
      <c r="G56" s="17" t="n">
        <v>1.0625711E9</v>
      </c>
      <c r="H56" s="18" t="n">
        <f>31213100</f>
        <v>3.12131E7</v>
      </c>
    </row>
    <row r="57" spans="1:8" ht="24.9" customHeight="1">
      <c r="A57" s="51"/>
      <c r="B57" s="57"/>
      <c r="C57" s="39"/>
      <c r="D57" s="20" t="s">
        <v>16</v>
      </c>
      <c r="E57" s="21" t="n">
        <v>1220.0</v>
      </c>
      <c r="F57" s="22" t="n">
        <f>8</f>
        <v>8.0</v>
      </c>
      <c r="G57" s="21" t="n">
        <v>9.25892E8</v>
      </c>
      <c r="H57" s="22" t="n">
        <f>6113000</f>
        <v>6113000.0</v>
      </c>
    </row>
    <row r="58" spans="1:8" ht="24.9" customHeight="1">
      <c r="A58" s="51"/>
      <c r="B58" s="57"/>
      <c r="C58" s="39"/>
      <c r="D58" s="20" t="s">
        <v>17</v>
      </c>
      <c r="E58" s="21" t="n">
        <v>1137.0</v>
      </c>
      <c r="F58" s="22" t="n">
        <f>319</f>
        <v>319.0</v>
      </c>
      <c r="G58" s="21" t="n">
        <v>8.6671057E8</v>
      </c>
      <c r="H58" s="22" t="n">
        <f>244509570</f>
        <v>2.4450957E8</v>
      </c>
    </row>
    <row r="59" spans="1:8" ht="24.9" customHeight="1">
      <c r="A59" s="51"/>
      <c r="B59" s="57"/>
      <c r="C59" s="39"/>
      <c r="D59" s="24" t="s">
        <v>18</v>
      </c>
      <c r="E59" s="25" t="n">
        <v>3755.0</v>
      </c>
      <c r="F59" s="26" t="n">
        <f>368</f>
        <v>368.0</v>
      </c>
      <c r="G59" s="25" t="n">
        <v>2.85517367E9</v>
      </c>
      <c r="H59" s="26" t="n">
        <f>281835670</f>
        <v>2.8183567E8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195.0</v>
      </c>
      <c r="F60" s="18" t="n">
        <f>3</f>
        <v>3.0</v>
      </c>
      <c r="G60" s="17" t="n">
        <v>1.03638719E9</v>
      </c>
      <c r="H60" s="18" t="n">
        <f>15890290</f>
        <v>1.589029E7</v>
      </c>
    </row>
    <row r="61" spans="1:8" ht="24.9" customHeight="1">
      <c r="A61" s="51"/>
      <c r="B61" s="57"/>
      <c r="C61" s="39"/>
      <c r="D61" s="20" t="s">
        <v>16</v>
      </c>
      <c r="E61" s="21" t="n">
        <v>15.0</v>
      </c>
      <c r="F61" s="22" t="n">
        <f>1</f>
        <v>1.0</v>
      </c>
      <c r="G61" s="21" t="n">
        <v>7.938709E7</v>
      </c>
      <c r="H61" s="22" t="n">
        <f>5288990</f>
        <v>5288990.0</v>
      </c>
    </row>
    <row r="62" spans="1:8" ht="24.9" customHeight="1">
      <c r="A62" s="51"/>
      <c r="B62" s="57"/>
      <c r="C62" s="39"/>
      <c r="D62" s="20" t="s">
        <v>17</v>
      </c>
      <c r="E62" s="21" t="n">
        <v>48.0</v>
      </c>
      <c r="F62" s="22" t="n">
        <f>1</f>
        <v>1.0</v>
      </c>
      <c r="G62" s="21" t="n">
        <v>2.537007E8</v>
      </c>
      <c r="H62" s="22" t="n">
        <f>5285000</f>
        <v>5285000.0</v>
      </c>
    </row>
    <row r="63" spans="1:8" ht="24.9" customHeight="1">
      <c r="A63" s="51"/>
      <c r="B63" s="57"/>
      <c r="C63" s="39"/>
      <c r="D63" s="24" t="s">
        <v>18</v>
      </c>
      <c r="E63" s="25" t="n">
        <v>258.0</v>
      </c>
      <c r="F63" s="26" t="n">
        <f>5</f>
        <v>5.0</v>
      </c>
      <c r="G63" s="25" t="n">
        <v>1.36947498E9</v>
      </c>
      <c r="H63" s="26" t="n">
        <f>26464280</f>
        <v>2.646428E7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9.0</v>
      </c>
      <c r="F77" s="22" t="n">
        <f>0</f>
        <v>0.0</v>
      </c>
      <c r="G77" s="21" t="n">
        <v>3164000.0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4.0</v>
      </c>
      <c r="F78" s="22" t="n">
        <f>0</f>
        <v>0.0</v>
      </c>
      <c r="G78" s="21" t="n">
        <v>1378500.0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13.0</v>
      </c>
      <c r="F79" s="26" t="n">
        <f>0</f>
        <v>0.0</v>
      </c>
      <c r="G79" s="25" t="n">
        <v>4542500.0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234.0</v>
      </c>
      <c r="F92" s="18" t="n">
        <f>0</f>
        <v>0.0</v>
      </c>
      <c r="G92" s="17" t="n">
        <v>3.70577E8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0.0</v>
      </c>
      <c r="F93" s="22" t="n">
        <f>0</f>
        <v>0.0</v>
      </c>
      <c r="G93" s="21" t="n">
        <v>0.0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5.0</v>
      </c>
      <c r="F94" s="22" t="n">
        <f>0</f>
        <v>0.0</v>
      </c>
      <c r="G94" s="21" t="n">
        <v>7932900.0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239.0</v>
      </c>
      <c r="F95" s="26" t="n">
        <f>0</f>
        <v>0.0</v>
      </c>
      <c r="G95" s="25" t="n">
        <v>3.785099E8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9.0</v>
      </c>
      <c r="F96" s="18" t="n">
        <f>0</f>
        <v>0.0</v>
      </c>
      <c r="G96" s="17" t="n">
        <v>2.12309E7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1.0</v>
      </c>
      <c r="F97" s="22" t="n">
        <f>0</f>
        <v>0.0</v>
      </c>
      <c r="G97" s="21" t="n">
        <v>2364000.0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0.0</v>
      </c>
      <c r="F98" s="22" t="n">
        <f>0</f>
        <v>0.0</v>
      </c>
      <c r="G98" s="21" t="n">
        <v>0.0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10.0</v>
      </c>
      <c r="F99" s="26" t="n">
        <f>0</f>
        <v>0.0</v>
      </c>
      <c r="G99" s="25" t="n">
        <v>2.35949E7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20.0</v>
      </c>
      <c r="F100" s="18" t="n">
        <f>0</f>
        <v>0.0</v>
      </c>
      <c r="G100" s="17" t="n">
        <v>3.7052E7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0.0</v>
      </c>
      <c r="F101" s="22" t="n">
        <f>0</f>
        <v>0.0</v>
      </c>
      <c r="G101" s="21" t="n">
        <v>0.0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0.0</v>
      </c>
      <c r="F102" s="22" t="n">
        <f>0</f>
        <v>0.0</v>
      </c>
      <c r="G102" s="21" t="n">
        <v>0.0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20.0</v>
      </c>
      <c r="F103" s="26" t="n">
        <f>0</f>
        <v>0.0</v>
      </c>
      <c r="G103" s="25" t="n">
        <v>3.7052E7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13573.0</v>
      </c>
      <c r="F108" s="18" t="n">
        <f>286</f>
        <v>286.0</v>
      </c>
      <c r="G108" s="17" t="n">
        <v>1.716993755E12</v>
      </c>
      <c r="H108" s="18" t="n">
        <f>36253685000</f>
        <v>3.6253685E10</v>
      </c>
    </row>
    <row r="109" spans="1:8" ht="24.9" customHeight="1">
      <c r="A109" s="51"/>
      <c r="B109" s="57"/>
      <c r="C109" s="39"/>
      <c r="D109" s="20" t="s">
        <v>16</v>
      </c>
      <c r="E109" s="21" t="n">
        <v>9711.0</v>
      </c>
      <c r="F109" s="22" t="n">
        <f>825</f>
        <v>825.0</v>
      </c>
      <c r="G109" s="21" t="n">
        <v>1.22831793E12</v>
      </c>
      <c r="H109" s="22" t="n">
        <f>104362340000</f>
        <v>1.0436234E11</v>
      </c>
    </row>
    <row r="110" spans="1:8" ht="24.9" customHeight="1">
      <c r="A110" s="51"/>
      <c r="B110" s="57"/>
      <c r="C110" s="39"/>
      <c r="D110" s="20" t="s">
        <v>17</v>
      </c>
      <c r="E110" s="21" t="n">
        <v>8455.0</v>
      </c>
      <c r="F110" s="22" t="n">
        <f>1480</f>
        <v>1480.0</v>
      </c>
      <c r="G110" s="21" t="n">
        <v>1.069567655E12</v>
      </c>
      <c r="H110" s="22" t="n">
        <f>187171445000</f>
        <v>1.87171445E11</v>
      </c>
    </row>
    <row r="111" spans="1:8" ht="24.9" customHeight="1">
      <c r="A111" s="51"/>
      <c r="B111" s="57"/>
      <c r="C111" s="39"/>
      <c r="D111" s="24" t="s">
        <v>18</v>
      </c>
      <c r="E111" s="25" t="n">
        <v>31739.0</v>
      </c>
      <c r="F111" s="26" t="n">
        <f>2591</f>
        <v>2591.0</v>
      </c>
      <c r="G111" s="25" t="n">
        <v>4.01487934E12</v>
      </c>
      <c r="H111" s="26" t="n">
        <f>327787470000</f>
        <v>3.2778747E11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1133.0</v>
      </c>
      <c r="F113" s="22" t="n">
        <f>0</f>
        <v>0.0</v>
      </c>
      <c r="G113" s="21" t="n">
        <v>1.4331535E10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876.0</v>
      </c>
      <c r="F114" s="22" t="n">
        <f>0</f>
        <v>0.0</v>
      </c>
      <c r="G114" s="21" t="n">
        <v>1.1081202E10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2009.0</v>
      </c>
      <c r="F115" s="26" t="n">
        <f>0</f>
        <v>0.0</v>
      </c>
      <c r="G115" s="25" t="n">
        <v>2.5412737E10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10.0</v>
      </c>
      <c r="F117" s="22" t="n">
        <f>0</f>
        <v>0.0</v>
      </c>
      <c r="G117" s="21" t="n">
        <v>8.983E7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1051.0</v>
      </c>
      <c r="F118" s="22" t="n">
        <f>0</f>
        <v>0.0</v>
      </c>
      <c r="G118" s="21" t="n">
        <v>9.441163E9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1061.0</v>
      </c>
      <c r="F119" s="26" t="n">
        <f>0</f>
        <v>0.0</v>
      </c>
      <c r="G119" s="25" t="n">
        <v>9.530993E9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399.0</v>
      </c>
      <c r="F120" s="18" t="n">
        <f>0</f>
        <v>0.0</v>
      </c>
      <c r="G120" s="17" t="n">
        <v>9.83516375E9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3003.0</v>
      </c>
      <c r="F121" s="22" t="n">
        <f>0</f>
        <v>0.0</v>
      </c>
      <c r="G121" s="21" t="n">
        <v>7.383831625E10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18.0</v>
      </c>
      <c r="F122" s="22" t="n">
        <f>0</f>
        <v>0.0</v>
      </c>
      <c r="G122" s="21" t="n">
        <v>4.4367875E8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3420.0</v>
      </c>
      <c r="F123" s="26" t="n">
        <f>0</f>
        <v>0.0</v>
      </c>
      <c r="G123" s="25" t="n">
        <v>8.411715875E10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7669.0</v>
      </c>
      <c r="F124" s="18" t="n">
        <f>0</f>
        <v>0.0</v>
      </c>
      <c r="G124" s="17" t="n">
        <v>1.80351369E11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3312.0</v>
      </c>
      <c r="F125" s="22" t="n">
        <f>0</f>
        <v>0.0</v>
      </c>
      <c r="G125" s="21" t="n">
        <v>7.8370703E10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4909.0</v>
      </c>
      <c r="F126" s="22" t="n">
        <f>0</f>
        <v>0.0</v>
      </c>
      <c r="G126" s="21" t="n">
        <v>1.16650834E11</v>
      </c>
      <c r="H126" s="22" t="n">
        <f>0</f>
        <v>0.0</v>
      </c>
    </row>
    <row r="127" spans="1:8" ht="24.9" customHeight="1">
      <c r="A127" s="51"/>
      <c r="B127" s="57"/>
      <c r="C127" s="39"/>
      <c r="D127" s="24" t="s">
        <v>18</v>
      </c>
      <c r="E127" s="25" t="n">
        <v>15890.0</v>
      </c>
      <c r="F127" s="26" t="n">
        <f>0</f>
        <v>0.0</v>
      </c>
      <c r="G127" s="25" t="n">
        <v>3.75372906E11</v>
      </c>
      <c r="H127" s="26" t="n">
        <f>0</f>
        <v>0.0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192.0</v>
      </c>
      <c r="F128" s="18" t="n">
        <f>0</f>
        <v>0.0</v>
      </c>
      <c r="G128" s="17" t="n">
        <v>4.482242E8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210.0</v>
      </c>
      <c r="F129" s="22" t="n">
        <f>0</f>
        <v>0.0</v>
      </c>
      <c r="G129" s="21" t="n">
        <v>4.939495E8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319.0</v>
      </c>
      <c r="F130" s="22" t="n">
        <f>0</f>
        <v>0.0</v>
      </c>
      <c r="G130" s="21" t="n">
        <v>7.534382E8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721.0</v>
      </c>
      <c r="F131" s="26" t="n">
        <f>0</f>
        <v>0.0</v>
      </c>
      <c r="G131" s="25" t="n">
        <v>1.6956119E9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11283.0</v>
      </c>
      <c r="F132" s="18" t="n">
        <f>0</f>
        <v>0.0</v>
      </c>
      <c r="G132" s="17" t="n">
        <v>2.659811675E10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2869.0</v>
      </c>
      <c r="F133" s="22" t="n">
        <f>0</f>
        <v>0.0</v>
      </c>
      <c r="G133" s="21" t="n">
        <v>6.8172756E9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4173.0</v>
      </c>
      <c r="F134" s="22" t="n">
        <f>0</f>
        <v>0.0</v>
      </c>
      <c r="G134" s="21" t="n">
        <v>9.9595118E9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18325.0</v>
      </c>
      <c r="F135" s="26" t="n">
        <f>0</f>
        <v>0.0</v>
      </c>
      <c r="G135" s="25" t="n">
        <v>4.337490415E10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254.0</v>
      </c>
      <c r="F136" s="18" t="n">
        <f>0</f>
        <v>0.0</v>
      </c>
      <c r="G136" s="17" t="n">
        <v>5.857834E8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61.0</v>
      </c>
      <c r="F137" s="22" t="n">
        <f>0</f>
        <v>0.0</v>
      </c>
      <c r="G137" s="21" t="n">
        <v>1.423283E8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71.0</v>
      </c>
      <c r="F138" s="22" t="n">
        <f>0</f>
        <v>0.0</v>
      </c>
      <c r="G138" s="21" t="n">
        <v>1.663837E8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386.0</v>
      </c>
      <c r="F139" s="26" t="n">
        <f>0</f>
        <v>0.0</v>
      </c>
      <c r="G139" s="25" t="n">
        <v>8.944954E8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0.0</v>
      </c>
      <c r="F143" s="26" t="n">
        <f>0</f>
        <v>0.0</v>
      </c>
      <c r="G143" s="25" t="n">
        <v>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1215.0</v>
      </c>
      <c r="F144" s="18" t="n">
        <f>0</f>
        <v>0.0</v>
      </c>
      <c r="G144" s="17" t="n">
        <v>5.5552385E9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1430.0</v>
      </c>
      <c r="F145" s="22" t="n">
        <f>1</f>
        <v>1.0</v>
      </c>
      <c r="G145" s="21" t="n">
        <v>6.703654E9</v>
      </c>
      <c r="H145" s="22" t="n">
        <f>4530000</f>
        <v>4530000.0</v>
      </c>
    </row>
    <row r="146" spans="1:8" ht="24.9" customHeight="1">
      <c r="A146" s="51"/>
      <c r="B146" s="57"/>
      <c r="C146" s="39"/>
      <c r="D146" s="20" t="s">
        <v>17</v>
      </c>
      <c r="E146" s="21" t="n">
        <v>1375.0</v>
      </c>
      <c r="F146" s="22" t="n">
        <f>0</f>
        <v>0.0</v>
      </c>
      <c r="G146" s="21" t="n">
        <v>6.522083E9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4020.0</v>
      </c>
      <c r="F147" s="26" t="n">
        <f>1</f>
        <v>1.0</v>
      </c>
      <c r="G147" s="25" t="n">
        <v>1.87809755E10</v>
      </c>
      <c r="H147" s="26" t="n">
        <f>4530000</f>
        <v>4530000.0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54.0</v>
      </c>
      <c r="F148" s="18" t="n">
        <f>0</f>
        <v>0.0</v>
      </c>
      <c r="G148" s="17" t="n">
        <v>5.01708E7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90.0</v>
      </c>
      <c r="F149" s="22" t="n">
        <f>0</f>
        <v>0.0</v>
      </c>
      <c r="G149" s="21" t="n">
        <v>8.59039E7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81.0</v>
      </c>
      <c r="F150" s="22" t="n">
        <f>0</f>
        <v>0.0</v>
      </c>
      <c r="G150" s="21" t="n">
        <v>7.80627E7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225.0</v>
      </c>
      <c r="F151" s="26" t="n">
        <f>0</f>
        <v>0.0</v>
      </c>
      <c r="G151" s="25" t="n">
        <v>2.141374E8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575.0</v>
      </c>
      <c r="F152" s="18" t="n">
        <f>0</f>
        <v>0.0</v>
      </c>
      <c r="G152" s="17" t="n">
        <v>5.256775E8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219.0</v>
      </c>
      <c r="F153" s="22" t="n">
        <f>0</f>
        <v>0.0</v>
      </c>
      <c r="G153" s="21" t="n">
        <v>2.0442735E8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351.0</v>
      </c>
      <c r="F154" s="22" t="n">
        <f>0</f>
        <v>0.0</v>
      </c>
      <c r="G154" s="21" t="n">
        <v>3.3234735E8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1145.0</v>
      </c>
      <c r="F155" s="26" t="n">
        <f>0</f>
        <v>0.0</v>
      </c>
      <c r="G155" s="25" t="n">
        <v>1.0624522E9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60.0</v>
      </c>
      <c r="F156" s="18" t="n">
        <f>0</f>
        <v>0.0</v>
      </c>
      <c r="G156" s="17" t="n">
        <v>5.47401E7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85.0</v>
      </c>
      <c r="F157" s="22" t="n">
        <f>0</f>
        <v>0.0</v>
      </c>
      <c r="G157" s="21" t="n">
        <v>7.9263E7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34.0</v>
      </c>
      <c r="F158" s="22" t="n">
        <f>0</f>
        <v>0.0</v>
      </c>
      <c r="G158" s="21" t="n">
        <v>3.21342E7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179.0</v>
      </c>
      <c r="F159" s="26" t="n">
        <f>0</f>
        <v>0.0</v>
      </c>
      <c r="G159" s="25" t="n">
        <v>1.661373E8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153.0</v>
      </c>
      <c r="F168" s="18" t="n">
        <f>0</f>
        <v>0.0</v>
      </c>
      <c r="G168" s="17" t="n">
        <v>3.34418E8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639.0</v>
      </c>
      <c r="F169" s="22" t="n">
        <f>0</f>
        <v>0.0</v>
      </c>
      <c r="G169" s="21" t="n">
        <v>1.3985695E9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550.0</v>
      </c>
      <c r="F170" s="22" t="n">
        <f>3</f>
        <v>3.0</v>
      </c>
      <c r="G170" s="21" t="n">
        <v>1.2034655E9</v>
      </c>
      <c r="H170" s="22" t="n">
        <f>7183500</f>
        <v>7183500.0</v>
      </c>
    </row>
    <row r="171" spans="1:8" ht="24.9" customHeight="1">
      <c r="A171" s="51"/>
      <c r="B171" s="57"/>
      <c r="C171" s="39"/>
      <c r="D171" s="24" t="s">
        <v>18</v>
      </c>
      <c r="E171" s="25" t="n">
        <v>1342.0</v>
      </c>
      <c r="F171" s="26" t="n">
        <f>3</f>
        <v>3.0</v>
      </c>
      <c r="G171" s="25" t="n">
        <v>2.936453E9</v>
      </c>
      <c r="H171" s="26" t="n">
        <f>7183500</f>
        <v>7183500.0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8.0</v>
      </c>
      <c r="F176" s="18" t="n">
        <f>0</f>
        <v>0.0</v>
      </c>
      <c r="G176" s="17" t="n">
        <v>1.439E7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0.0</v>
      </c>
      <c r="F178" s="22" t="n">
        <f>0</f>
        <v>0.0</v>
      </c>
      <c r="G178" s="21" t="n">
        <v>0.0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8.0</v>
      </c>
      <c r="F179" s="26" t="n">
        <f>0</f>
        <v>0.0</v>
      </c>
      <c r="G179" s="25" t="n">
        <v>1.439E7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151.0</v>
      </c>
      <c r="F204" s="18" t="n">
        <f>0</f>
        <v>0.0</v>
      </c>
      <c r="G204" s="17" t="n">
        <v>5.851385E8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152.0</v>
      </c>
      <c r="F205" s="22" t="n">
        <f>0</f>
        <v>0.0</v>
      </c>
      <c r="G205" s="21" t="n">
        <v>5.846055E8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1466.0</v>
      </c>
      <c r="F206" s="22" t="n">
        <f>0</f>
        <v>0.0</v>
      </c>
      <c r="G206" s="21" t="n">
        <v>5.731843E9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1769.0</v>
      </c>
      <c r="F207" s="26" t="n">
        <f>0</f>
        <v>0.0</v>
      </c>
      <c r="G207" s="25" t="n">
        <v>6.901587E9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0.0</v>
      </c>
      <c r="F208" s="18" t="n">
        <f>0</f>
        <v>0.0</v>
      </c>
      <c r="G208" s="17" t="n">
        <v>0.0</v>
      </c>
      <c r="H208" s="18" t="n">
        <f>0</f>
        <v>0.0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0.0</v>
      </c>
      <c r="F211" s="26" t="n">
        <f>0</f>
        <v>0.0</v>
      </c>
      <c r="G211" s="25" t="n">
        <v>0.0</v>
      </c>
      <c r="H211" s="26" t="n">
        <f>0</f>
        <v>0.0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30.0</v>
      </c>
      <c r="F212" s="18" t="n">
        <f>30</f>
        <v>30.0</v>
      </c>
      <c r="G212" s="17" t="n">
        <v>3.76992E7</v>
      </c>
      <c r="H212" s="18" t="n">
        <f>37699200</f>
        <v>3.76992E7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30.0</v>
      </c>
      <c r="F215" s="26" t="n">
        <f>30</f>
        <v>30.0</v>
      </c>
      <c r="G215" s="25" t="n">
        <v>3.76992E7</v>
      </c>
      <c r="H215" s="26" t="n">
        <f>37699200</f>
        <v>3.76992E7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120.0</v>
      </c>
      <c r="F224" s="18" t="n">
        <f>120</f>
        <v>120.0</v>
      </c>
      <c r="G224" s="17" t="n">
        <v>5.54976E7</v>
      </c>
      <c r="H224" s="18" t="n">
        <f>55497600</f>
        <v>5.54976E7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120.0</v>
      </c>
      <c r="F227" s="26" t="n">
        <f>120</f>
        <v>120.0</v>
      </c>
      <c r="G227" s="25" t="n">
        <v>5.54976E7</v>
      </c>
      <c r="H227" s="26" t="n">
        <f>55497600</f>
        <v>5.54976E7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0.0</v>
      </c>
      <c r="F238" s="22" t="n">
        <f>0</f>
        <v>0.0</v>
      </c>
      <c r="G238" s="21" t="n">
        <v>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0.0</v>
      </c>
      <c r="F239" s="26" t="n">
        <f>0</f>
        <v>0.0</v>
      </c>
      <c r="G239" s="25" t="n">
        <v>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46255.0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46255.0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2695</f>
        <v>2695.0</v>
      </c>
      <c r="E12" s="35" t="n">
        <f>1281</f>
        <v>1281.0</v>
      </c>
      <c r="F12" s="17" t="n">
        <f>2654</f>
        <v>2654.0</v>
      </c>
      <c r="G12" s="35" t="n">
        <f>1049</f>
        <v>1049.0</v>
      </c>
      <c r="H12" s="17" t="n">
        <f>5349</f>
        <v>5349.0</v>
      </c>
      <c r="I12" s="35" t="n">
        <f>2330</f>
        <v>2330.0</v>
      </c>
      <c r="J12" s="17" t="n">
        <f>1281312510</f>
        <v>1.28131251E9</v>
      </c>
      <c r="K12" s="35" t="n">
        <f>564141510</f>
        <v>5.6414151E8</v>
      </c>
      <c r="L12" s="17" t="n">
        <f>2543108300</f>
        <v>2.5431083E9</v>
      </c>
      <c r="M12" s="35" t="n">
        <f>2050031300</f>
        <v>2.0500313E9</v>
      </c>
      <c r="N12" s="17" t="n">
        <f>3824420810</f>
        <v>3.82442081E9</v>
      </c>
      <c r="O12" s="35" t="n">
        <f>2614172810</f>
        <v>2.61417281E9</v>
      </c>
    </row>
    <row r="13" spans="1:15" ht="24.9" customHeight="1">
      <c r="A13" s="38"/>
      <c r="B13" s="62"/>
      <c r="C13" s="20" t="s">
        <v>16</v>
      </c>
      <c r="D13" s="21" t="n">
        <f>2903</f>
        <v>2903.0</v>
      </c>
      <c r="E13" s="36" t="n">
        <f>1510</f>
        <v>1510.0</v>
      </c>
      <c r="F13" s="21" t="n">
        <f>2710</f>
        <v>2710.0</v>
      </c>
      <c r="G13" s="36" t="n">
        <f>601</f>
        <v>601.0</v>
      </c>
      <c r="H13" s="21" t="n">
        <f>5613</f>
        <v>5613.0</v>
      </c>
      <c r="I13" s="36" t="n">
        <f>2111</f>
        <v>2111.0</v>
      </c>
      <c r="J13" s="21" t="n">
        <f>2037464090</f>
        <v>2.03746409E9</v>
      </c>
      <c r="K13" s="36" t="n">
        <f>1402244090</f>
        <v>1.40224409E9</v>
      </c>
      <c r="L13" s="21" t="n">
        <f>791140250</f>
        <v>7.9114025E8</v>
      </c>
      <c r="M13" s="36" t="n">
        <f>370214250</f>
        <v>3.7021425E8</v>
      </c>
      <c r="N13" s="21" t="n">
        <f>2828604340</f>
        <v>2.82860434E9</v>
      </c>
      <c r="O13" s="36" t="n">
        <f>1772458340</f>
        <v>1.77245834E9</v>
      </c>
    </row>
    <row r="14" spans="1:15" ht="24.9" customHeight="1">
      <c r="A14" s="38"/>
      <c r="B14" s="62"/>
      <c r="C14" s="20" t="s">
        <v>17</v>
      </c>
      <c r="D14" s="21" t="n">
        <f>10038</f>
        <v>10038.0</v>
      </c>
      <c r="E14" s="36" t="n">
        <f>7567</f>
        <v>7567.0</v>
      </c>
      <c r="F14" s="21" t="n">
        <f>5937</f>
        <v>5937.0</v>
      </c>
      <c r="G14" s="36" t="n">
        <f>4432</f>
        <v>4432.0</v>
      </c>
      <c r="H14" s="21" t="n">
        <f>15975</f>
        <v>15975.0</v>
      </c>
      <c r="I14" s="36" t="n">
        <f>11999</f>
        <v>11999.0</v>
      </c>
      <c r="J14" s="21" t="n">
        <f>11895749260</f>
        <v>1.189574926E10</v>
      </c>
      <c r="K14" s="36" t="n">
        <f>10551041260</f>
        <v>1.055104126E10</v>
      </c>
      <c r="L14" s="21" t="n">
        <f>4934368410</f>
        <v>4.93436841E9</v>
      </c>
      <c r="M14" s="36" t="n">
        <f>4468773410</f>
        <v>4.46877341E9</v>
      </c>
      <c r="N14" s="21" t="n">
        <f>16830117670</f>
        <v>1.683011767E10</v>
      </c>
      <c r="O14" s="36" t="n">
        <f>15019814670</f>
        <v>1.501981467E10</v>
      </c>
    </row>
    <row r="15" spans="1:15" ht="24.9" customHeight="1">
      <c r="A15" s="38"/>
      <c r="B15" s="62"/>
      <c r="C15" s="24" t="s">
        <v>18</v>
      </c>
      <c r="D15" s="25" t="n">
        <f>15636</f>
        <v>15636.0</v>
      </c>
      <c r="E15" s="37" t="n">
        <f>10358</f>
        <v>10358.0</v>
      </c>
      <c r="F15" s="25" t="n">
        <f>11301</f>
        <v>11301.0</v>
      </c>
      <c r="G15" s="37" t="n">
        <f>6082</f>
        <v>6082.0</v>
      </c>
      <c r="H15" s="25" t="n">
        <f>26937</f>
        <v>26937.0</v>
      </c>
      <c r="I15" s="37" t="n">
        <f>16440</f>
        <v>16440.0</v>
      </c>
      <c r="J15" s="25" t="n">
        <f>15214525860</f>
        <v>1.521452586E10</v>
      </c>
      <c r="K15" s="37" t="n">
        <f>12517426860</f>
        <v>1.251742686E10</v>
      </c>
      <c r="L15" s="25" t="n">
        <f>8268616960</f>
        <v>8.26861696E9</v>
      </c>
      <c r="M15" s="37" t="n">
        <f>6889018960</f>
        <v>6.88901896E9</v>
      </c>
      <c r="N15" s="25" t="n">
        <f>23483142820</f>
        <v>2.348314282E10</v>
      </c>
      <c r="O15" s="37" t="n">
        <f>19406445820</f>
        <v>1.940644582E10</v>
      </c>
    </row>
    <row r="16" spans="1:15" ht="24.9" customHeight="1">
      <c r="A16" s="38"/>
      <c r="B16" s="61" t="s">
        <v>105</v>
      </c>
      <c r="C16" s="16" t="s">
        <v>15</v>
      </c>
      <c r="D16" s="17" t="n">
        <f>5895</f>
        <v>5895.0</v>
      </c>
      <c r="E16" s="35" t="n">
        <f>230</f>
        <v>230.0</v>
      </c>
      <c r="F16" s="17" t="n">
        <f>6451</f>
        <v>6451.0</v>
      </c>
      <c r="G16" s="35" t="n">
        <f>340</f>
        <v>340.0</v>
      </c>
      <c r="H16" s="17" t="n">
        <f>12346</f>
        <v>12346.0</v>
      </c>
      <c r="I16" s="35" t="n">
        <f>570</f>
        <v>570.0</v>
      </c>
      <c r="J16" s="17" t="n">
        <f>447163170</f>
        <v>4.4716317E8</v>
      </c>
      <c r="K16" s="35" t="n">
        <f>9069670</f>
        <v>9069670.0</v>
      </c>
      <c r="L16" s="17" t="n">
        <f>283183700</f>
        <v>2.831837E8</v>
      </c>
      <c r="M16" s="35" t="n">
        <f>9962000</f>
        <v>9962000.0</v>
      </c>
      <c r="N16" s="17" t="n">
        <f>730346870</f>
        <v>7.3034687E8</v>
      </c>
      <c r="O16" s="35" t="n">
        <f>19031670</f>
        <v>1.903167E7</v>
      </c>
    </row>
    <row r="17" spans="1:15" ht="24.9" customHeight="1">
      <c r="A17" s="38"/>
      <c r="B17" s="62"/>
      <c r="C17" s="20" t="s">
        <v>16</v>
      </c>
      <c r="D17" s="21" t="n">
        <f>4888</f>
        <v>4888.0</v>
      </c>
      <c r="E17" s="36" t="n">
        <f>190</f>
        <v>190.0</v>
      </c>
      <c r="F17" s="21" t="n">
        <f>5631</f>
        <v>5631.0</v>
      </c>
      <c r="G17" s="36" t="n">
        <f>50</f>
        <v>50.0</v>
      </c>
      <c r="H17" s="21" t="n">
        <f>10519</f>
        <v>10519.0</v>
      </c>
      <c r="I17" s="36" t="n">
        <f>240</f>
        <v>240.0</v>
      </c>
      <c r="J17" s="21" t="n">
        <f>358498540</f>
        <v>3.5849854E8</v>
      </c>
      <c r="K17" s="36" t="n">
        <f>3358040</f>
        <v>3358040.0</v>
      </c>
      <c r="L17" s="21" t="n">
        <f>151574280</f>
        <v>1.5157428E8</v>
      </c>
      <c r="M17" s="36" t="n">
        <f>2835680</f>
        <v>2835680.0</v>
      </c>
      <c r="N17" s="21" t="n">
        <f>510072820</f>
        <v>5.1007282E8</v>
      </c>
      <c r="O17" s="36" t="n">
        <f>6193720</f>
        <v>6193720.0</v>
      </c>
    </row>
    <row r="18" spans="1:15" ht="24.9" customHeight="1">
      <c r="A18" s="38"/>
      <c r="B18" s="62"/>
      <c r="C18" s="20" t="s">
        <v>17</v>
      </c>
      <c r="D18" s="21" t="n">
        <f>10015</f>
        <v>10015.0</v>
      </c>
      <c r="E18" s="36" t="n">
        <f>4080</f>
        <v>4080.0</v>
      </c>
      <c r="F18" s="21" t="n">
        <f>6644</f>
        <v>6644.0</v>
      </c>
      <c r="G18" s="36" t="n">
        <f>210</f>
        <v>210.0</v>
      </c>
      <c r="H18" s="21" t="n">
        <f>16659</f>
        <v>16659.0</v>
      </c>
      <c r="I18" s="36" t="n">
        <f>4290</f>
        <v>4290.0</v>
      </c>
      <c r="J18" s="21" t="n">
        <f>403278820</f>
        <v>4.0327882E8</v>
      </c>
      <c r="K18" s="36" t="n">
        <f>113907520</f>
        <v>1.1390752E8</v>
      </c>
      <c r="L18" s="21" t="n">
        <f>292150910</f>
        <v>2.9215091E8</v>
      </c>
      <c r="M18" s="36" t="n">
        <f>5995710</f>
        <v>5995710.0</v>
      </c>
      <c r="N18" s="21" t="n">
        <f>695429730</f>
        <v>6.9542973E8</v>
      </c>
      <c r="O18" s="36" t="n">
        <f>119903230</f>
        <v>1.1990323E8</v>
      </c>
    </row>
    <row r="19" spans="1:15" ht="24.9" customHeight="1">
      <c r="A19" s="38"/>
      <c r="B19" s="62"/>
      <c r="C19" s="24" t="s">
        <v>18</v>
      </c>
      <c r="D19" s="25" t="n">
        <f>20798</f>
        <v>20798.0</v>
      </c>
      <c r="E19" s="37" t="n">
        <f>4500</f>
        <v>4500.0</v>
      </c>
      <c r="F19" s="25" t="n">
        <f>18726</f>
        <v>18726.0</v>
      </c>
      <c r="G19" s="37" t="n">
        <f>600</f>
        <v>600.0</v>
      </c>
      <c r="H19" s="25" t="n">
        <f>39524</f>
        <v>39524.0</v>
      </c>
      <c r="I19" s="37" t="n">
        <f>5100</f>
        <v>5100.0</v>
      </c>
      <c r="J19" s="25" t="n">
        <f>1208940530</f>
        <v>1.20894053E9</v>
      </c>
      <c r="K19" s="37" t="n">
        <f>126335230</f>
        <v>1.2633523E8</v>
      </c>
      <c r="L19" s="25" t="n">
        <f>726908890</f>
        <v>7.2690889E8</v>
      </c>
      <c r="M19" s="37" t="n">
        <f>18793390</f>
        <v>1.879339E7</v>
      </c>
      <c r="N19" s="25" t="n">
        <f>1935849420</f>
        <v>1.93584942E9</v>
      </c>
      <c r="O19" s="37" t="n">
        <f>145128620</f>
        <v>1.4512862E8</v>
      </c>
    </row>
    <row r="20" spans="1:15" ht="24.9" customHeight="1">
      <c r="A20" s="38"/>
      <c r="B20" s="61" t="s">
        <v>106</v>
      </c>
      <c r="C20" s="16" t="s">
        <v>15</v>
      </c>
      <c r="D20" s="17" t="n">
        <f>105</f>
        <v>105.0</v>
      </c>
      <c r="E20" s="35" t="n">
        <f>105</f>
        <v>105.0</v>
      </c>
      <c r="F20" s="17" t="n">
        <f>105</f>
        <v>105.0</v>
      </c>
      <c r="G20" s="35" t="n">
        <f>105</f>
        <v>105.0</v>
      </c>
      <c r="H20" s="17" t="n">
        <f>210</f>
        <v>210.0</v>
      </c>
      <c r="I20" s="35" t="n">
        <f>210</f>
        <v>210.0</v>
      </c>
      <c r="J20" s="17" t="n">
        <f>338940000</f>
        <v>3.3894E8</v>
      </c>
      <c r="K20" s="35" t="n">
        <f>338940000</f>
        <v>3.3894E8</v>
      </c>
      <c r="L20" s="17" t="n">
        <f>259350000</f>
        <v>2.5935E8</v>
      </c>
      <c r="M20" s="35" t="n">
        <f>259350000</f>
        <v>2.5935E8</v>
      </c>
      <c r="N20" s="17" t="n">
        <f>598290000</f>
        <v>5.9829E8</v>
      </c>
      <c r="O20" s="35" t="n">
        <f>598290000</f>
        <v>5.9829E8</v>
      </c>
    </row>
    <row r="21" spans="1:15" ht="24.9" customHeight="1">
      <c r="A21" s="38"/>
      <c r="B21" s="62"/>
      <c r="C21" s="20" t="s">
        <v>16</v>
      </c>
      <c r="D21" s="21" t="n">
        <f>0</f>
        <v>0.0</v>
      </c>
      <c r="E21" s="36" t="n">
        <f>0</f>
        <v>0.0</v>
      </c>
      <c r="F21" s="21" t="n">
        <f>0</f>
        <v>0.0</v>
      </c>
      <c r="G21" s="36" t="n">
        <f>0</f>
        <v>0.0</v>
      </c>
      <c r="H21" s="21" t="n">
        <f>0</f>
        <v>0.0</v>
      </c>
      <c r="I21" s="36" t="n">
        <f>0</f>
        <v>0.0</v>
      </c>
      <c r="J21" s="21" t="n">
        <f>0</f>
        <v>0.0</v>
      </c>
      <c r="K21" s="36" t="n">
        <f>0</f>
        <v>0.0</v>
      </c>
      <c r="L21" s="21" t="n">
        <f>0</f>
        <v>0.0</v>
      </c>
      <c r="M21" s="36" t="n">
        <f>0</f>
        <v>0.0</v>
      </c>
      <c r="N21" s="21" t="n">
        <f>0</f>
        <v>0.0</v>
      </c>
      <c r="O21" s="36" t="n">
        <f>0</f>
        <v>0.0</v>
      </c>
    </row>
    <row r="22" spans="1:15" ht="24.9" customHeight="1">
      <c r="A22" s="38"/>
      <c r="B22" s="62"/>
      <c r="C22" s="20" t="s">
        <v>17</v>
      </c>
      <c r="D22" s="21" t="n">
        <f>700</f>
        <v>700.0</v>
      </c>
      <c r="E22" s="36" t="n">
        <f>700</f>
        <v>700.0</v>
      </c>
      <c r="F22" s="21" t="n">
        <f>500</f>
        <v>500.0</v>
      </c>
      <c r="G22" s="36" t="n">
        <f>500</f>
        <v>500.0</v>
      </c>
      <c r="H22" s="21" t="n">
        <f>1200</f>
        <v>1200.0</v>
      </c>
      <c r="I22" s="36" t="n">
        <f>1200</f>
        <v>1200.0</v>
      </c>
      <c r="J22" s="21" t="n">
        <f>668989000</f>
        <v>6.68989E8</v>
      </c>
      <c r="K22" s="36" t="n">
        <f>668989000</f>
        <v>6.68989E8</v>
      </c>
      <c r="L22" s="21" t="n">
        <f>465973000</f>
        <v>4.65973E8</v>
      </c>
      <c r="M22" s="36" t="n">
        <f>465973000</f>
        <v>4.65973E8</v>
      </c>
      <c r="N22" s="21" t="n">
        <f>1134962000</f>
        <v>1.134962E9</v>
      </c>
      <c r="O22" s="36" t="n">
        <f>1134962000</f>
        <v>1.134962E9</v>
      </c>
    </row>
    <row r="23" spans="1:15" ht="24.9" customHeight="1">
      <c r="A23" s="38"/>
      <c r="B23" s="62"/>
      <c r="C23" s="24" t="s">
        <v>18</v>
      </c>
      <c r="D23" s="25" t="n">
        <f>805</f>
        <v>805.0</v>
      </c>
      <c r="E23" s="37" t="n">
        <f>805</f>
        <v>805.0</v>
      </c>
      <c r="F23" s="25" t="n">
        <f>605</f>
        <v>605.0</v>
      </c>
      <c r="G23" s="37" t="n">
        <f>605</f>
        <v>605.0</v>
      </c>
      <c r="H23" s="25" t="n">
        <f>1410</f>
        <v>1410.0</v>
      </c>
      <c r="I23" s="37" t="n">
        <f>1410</f>
        <v>1410.0</v>
      </c>
      <c r="J23" s="25" t="n">
        <f>1007929000</f>
        <v>1.007929E9</v>
      </c>
      <c r="K23" s="37" t="n">
        <f>1007929000</f>
        <v>1.007929E9</v>
      </c>
      <c r="L23" s="25" t="n">
        <f>725323000</f>
        <v>7.25323E8</v>
      </c>
      <c r="M23" s="37" t="n">
        <f>725323000</f>
        <v>7.25323E8</v>
      </c>
      <c r="N23" s="25" t="n">
        <f>1733252000</f>
        <v>1.733252E9</v>
      </c>
      <c r="O23" s="37" t="n">
        <f>1733252000</f>
        <v>1.733252E9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0</f>
        <v>0.0</v>
      </c>
      <c r="E36" s="18" t="n">
        <f>0</f>
        <v>0.0</v>
      </c>
      <c r="F36" s="17" t="n">
        <f>0</f>
        <v>0.0</v>
      </c>
      <c r="G36" s="18" t="n">
        <f>0</f>
        <v>0.0</v>
      </c>
      <c r="H36" s="17" t="n">
        <f>0</f>
        <v>0.0</v>
      </c>
      <c r="I36" s="18" t="n">
        <f>0</f>
        <v>0.0</v>
      </c>
      <c r="J36" s="17" t="n">
        <f>0</f>
        <v>0.0</v>
      </c>
      <c r="K36" s="18" t="n">
        <f>0</f>
        <v>0.0</v>
      </c>
      <c r="L36" s="17" t="n">
        <f>0</f>
        <v>0.0</v>
      </c>
      <c r="M36" s="18" t="n">
        <f>0</f>
        <v>0.0</v>
      </c>
      <c r="N36" s="17" t="n">
        <f>0</f>
        <v>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15</f>
        <v>15.0</v>
      </c>
      <c r="E37" s="22" t="n">
        <f>0</f>
        <v>0.0</v>
      </c>
      <c r="F37" s="21" t="n">
        <f>2</f>
        <v>2.0</v>
      </c>
      <c r="G37" s="22" t="n">
        <f>0</f>
        <v>0.0</v>
      </c>
      <c r="H37" s="21" t="n">
        <f>17</f>
        <v>17.0</v>
      </c>
      <c r="I37" s="22" t="n">
        <f>0</f>
        <v>0.0</v>
      </c>
      <c r="J37" s="21" t="n">
        <f>2400000</f>
        <v>2400000.0</v>
      </c>
      <c r="K37" s="22" t="n">
        <f>0</f>
        <v>0.0</v>
      </c>
      <c r="L37" s="21" t="n">
        <f>60000</f>
        <v>60000.0</v>
      </c>
      <c r="M37" s="22" t="n">
        <f>0</f>
        <v>0.0</v>
      </c>
      <c r="N37" s="21" t="n">
        <f>2460000</f>
        <v>2460000.0</v>
      </c>
      <c r="O37" s="22" t="n">
        <f>0</f>
        <v>0.0</v>
      </c>
    </row>
    <row r="38" spans="1:15" ht="24.9" customHeight="1">
      <c r="A38" s="38"/>
      <c r="B38" s="62"/>
      <c r="C38" s="20" t="s">
        <v>17</v>
      </c>
      <c r="D38" s="21" t="n">
        <f>40</f>
        <v>40.0</v>
      </c>
      <c r="E38" s="36" t="n">
        <f>0</f>
        <v>0.0</v>
      </c>
      <c r="F38" s="21" t="n">
        <f>0</f>
        <v>0.0</v>
      </c>
      <c r="G38" s="36" t="n">
        <f>0</f>
        <v>0.0</v>
      </c>
      <c r="H38" s="21" t="n">
        <f>40</f>
        <v>40.0</v>
      </c>
      <c r="I38" s="36" t="n">
        <f>0</f>
        <v>0.0</v>
      </c>
      <c r="J38" s="21" t="n">
        <f>4150000</f>
        <v>4150000.0</v>
      </c>
      <c r="K38" s="36" t="n">
        <f>0</f>
        <v>0.0</v>
      </c>
      <c r="L38" s="21" t="n">
        <f>0</f>
        <v>0.0</v>
      </c>
      <c r="M38" s="36" t="n">
        <f>0</f>
        <v>0.0</v>
      </c>
      <c r="N38" s="21" t="n">
        <f>4150000</f>
        <v>4150000.0</v>
      </c>
      <c r="O38" s="36" t="n">
        <f>0</f>
        <v>0.0</v>
      </c>
    </row>
    <row r="39" spans="1:15" ht="24.9" customHeight="1">
      <c r="A39" s="38"/>
      <c r="B39" s="62"/>
      <c r="C39" s="24" t="s">
        <v>18</v>
      </c>
      <c r="D39" s="25" t="n">
        <f>55</f>
        <v>55.0</v>
      </c>
      <c r="E39" s="37" t="n">
        <f>0</f>
        <v>0.0</v>
      </c>
      <c r="F39" s="25" t="n">
        <f>2</f>
        <v>2.0</v>
      </c>
      <c r="G39" s="37" t="n">
        <f>0</f>
        <v>0.0</v>
      </c>
      <c r="H39" s="25" t="n">
        <f>57</f>
        <v>57.0</v>
      </c>
      <c r="I39" s="37" t="n">
        <f>0</f>
        <v>0.0</v>
      </c>
      <c r="J39" s="25" t="n">
        <f>6550000</f>
        <v>6550000.0</v>
      </c>
      <c r="K39" s="37" t="n">
        <f>0</f>
        <v>0.0</v>
      </c>
      <c r="L39" s="25" t="n">
        <f>60000</f>
        <v>60000.0</v>
      </c>
      <c r="M39" s="37" t="n">
        <f>0</f>
        <v>0.0</v>
      </c>
      <c r="N39" s="25" t="n">
        <f>6610000</f>
        <v>6610000.0</v>
      </c>
      <c r="O39" s="37" t="n">
        <f>0</f>
        <v>0.0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440</f>
        <v>440.0</v>
      </c>
      <c r="E41" s="36" t="n">
        <f>0</f>
        <v>0.0</v>
      </c>
      <c r="F41" s="21" t="n">
        <f>1427</f>
        <v>1427.0</v>
      </c>
      <c r="G41" s="36" t="n">
        <f>0</f>
        <v>0.0</v>
      </c>
      <c r="H41" s="21" t="n">
        <f>1867</f>
        <v>1867.0</v>
      </c>
      <c r="I41" s="36" t="n">
        <f>0</f>
        <v>0.0</v>
      </c>
      <c r="J41" s="21" t="n">
        <f>13201470</f>
        <v>1.320147E7</v>
      </c>
      <c r="K41" s="36" t="n">
        <f>0</f>
        <v>0.0</v>
      </c>
      <c r="L41" s="21" t="n">
        <f>32997780</f>
        <v>3.299778E7</v>
      </c>
      <c r="M41" s="36" t="n">
        <f>0</f>
        <v>0.0</v>
      </c>
      <c r="N41" s="21" t="n">
        <f>46199250</f>
        <v>4.619925E7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621</f>
        <v>621.0</v>
      </c>
      <c r="E42" s="36" t="n">
        <f>0</f>
        <v>0.0</v>
      </c>
      <c r="F42" s="21" t="n">
        <f>1286</f>
        <v>1286.0</v>
      </c>
      <c r="G42" s="36" t="n">
        <f>0</f>
        <v>0.0</v>
      </c>
      <c r="H42" s="21" t="n">
        <f>1907</f>
        <v>1907.0</v>
      </c>
      <c r="I42" s="36" t="n">
        <f>0</f>
        <v>0.0</v>
      </c>
      <c r="J42" s="21" t="n">
        <f>6241342</f>
        <v>6241342.0</v>
      </c>
      <c r="K42" s="36" t="n">
        <f>0</f>
        <v>0.0</v>
      </c>
      <c r="L42" s="21" t="n">
        <f>336839</f>
        <v>336839.0</v>
      </c>
      <c r="M42" s="36" t="n">
        <f>0</f>
        <v>0.0</v>
      </c>
      <c r="N42" s="21" t="n">
        <f>6578181</f>
        <v>6578181.0</v>
      </c>
      <c r="O42" s="36" t="n">
        <f>0</f>
        <v>0.0</v>
      </c>
    </row>
    <row r="43" spans="1:15" ht="24.9" customHeight="1">
      <c r="A43" s="38"/>
      <c r="B43" s="62"/>
      <c r="C43" s="24" t="s">
        <v>18</v>
      </c>
      <c r="D43" s="25" t="n">
        <f>1061</f>
        <v>1061.0</v>
      </c>
      <c r="E43" s="37" t="n">
        <f>0</f>
        <v>0.0</v>
      </c>
      <c r="F43" s="25" t="n">
        <f>2713</f>
        <v>2713.0</v>
      </c>
      <c r="G43" s="37" t="n">
        <f>0</f>
        <v>0.0</v>
      </c>
      <c r="H43" s="25" t="n">
        <f>3774</f>
        <v>3774.0</v>
      </c>
      <c r="I43" s="37" t="n">
        <f>0</f>
        <v>0.0</v>
      </c>
      <c r="J43" s="25" t="n">
        <f>19442812</f>
        <v>1.9442812E7</v>
      </c>
      <c r="K43" s="37" t="n">
        <f>0</f>
        <v>0.0</v>
      </c>
      <c r="L43" s="25" t="n">
        <f>33334619</f>
        <v>3.3334619E7</v>
      </c>
      <c r="M43" s="37" t="n">
        <f>0</f>
        <v>0.0</v>
      </c>
      <c r="N43" s="25" t="n">
        <f>52777431</f>
        <v>5.2777431E7</v>
      </c>
      <c r="O43" s="37" t="n">
        <f>0</f>
        <v>0.0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