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37B8FE0A-9A21-4A6A-855C-21DB5B675FCD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<sst xmlns="http://schemas.openxmlformats.org/spreadsheetml/2006/main" count="3179" uniqueCount="604">
  <si>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</si>
  <si>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</si>
  <si>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</si>
  <si>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</si>
  <si>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</si>
  <si>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</si>
  <si>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</si>
  <si>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</si>
  <si>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</si>
  <si>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</si>
  <si>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</si>
  <si>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</si>
  <si>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</si>
  <si>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</si>
  <si>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</si>
  <si>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</si>
  <si>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</si>
  <si>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</si>
  <si>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</si>
  <si>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</si>
  <si>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</si>
  <si>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</si>
  <si>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</si>
  <si>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</si>
  <si>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</si>
  <si>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</si>
  <si>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</si>
  <si>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</si>
  <si>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</si>
  <si>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</si>
  <si>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</si>
  <si>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</si>
  <si>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</si>
  <si>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</si>
  <si>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</si>
  <si>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</si>
  <si>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</si>
  <si>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</si>
  <si>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</si>
  <si>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</si>
  <si>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</si>
  <si>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</si>
  <si>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</si>
  <si>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</si>
  <si>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</si>
  <si>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</si>
  <si>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2023/01</t>
  </si>
  <si>
    <t>金標準先物</t>
  </si>
  <si>
    <t>Gold Standard Futures</t>
  </si>
  <si>
    <t>2023/02</t>
  </si>
  <si>
    <t>2022/02/24</t>
  </si>
  <si>
    <t>2023/02/22</t>
  </si>
  <si>
    <t>04</t>
  </si>
  <si>
    <t>7,727</t>
  </si>
  <si>
    <t>25</t>
  </si>
  <si>
    <t>8,109</t>
  </si>
  <si>
    <t>7,655</t>
  </si>
  <si>
    <t>31</t>
  </si>
  <si>
    <t>7,993</t>
  </si>
  <si>
    <t>2023/04</t>
  </si>
  <si>
    <t>2022/04/26</t>
  </si>
  <si>
    <t>2023/04/25</t>
  </si>
  <si>
    <t>7,721</t>
  </si>
  <si>
    <t>8,114</t>
  </si>
  <si>
    <t>7,674</t>
  </si>
  <si>
    <t>8,011</t>
  </si>
  <si>
    <t>2023/06</t>
  </si>
  <si>
    <t>2022/06/28</t>
  </si>
  <si>
    <t>2023/06/27</t>
  </si>
  <si>
    <t>7,742</t>
  </si>
  <si>
    <t>8,103</t>
  </si>
  <si>
    <t>8,000</t>
  </si>
  <si>
    <t>2023/08</t>
  </si>
  <si>
    <t>2022/08/29</t>
  </si>
  <si>
    <t>2023/08/28</t>
  </si>
  <si>
    <t>7,733</t>
  </si>
  <si>
    <t>8,101</t>
  </si>
  <si>
    <t>7,648</t>
  </si>
  <si>
    <t>7,999</t>
  </si>
  <si>
    <t>2023/10</t>
  </si>
  <si>
    <t>2022/10/27</t>
  </si>
  <si>
    <t>2023/10/26</t>
  </si>
  <si>
    <t>7,745</t>
  </si>
  <si>
    <t>26</t>
  </si>
  <si>
    <t>8,021.0000</t>
  </si>
  <si>
    <t>7,640</t>
  </si>
  <si>
    <t>7,742.0000</t>
  </si>
  <si>
    <t>7,996</t>
  </si>
  <si>
    <t>2023/12</t>
  </si>
  <si>
    <t>2022/12/26</t>
  </si>
  <si>
    <t>2023/12/25</t>
  </si>
  <si>
    <t>8,098</t>
  </si>
  <si>
    <t>24</t>
  </si>
  <si>
    <t>8,085.0000</t>
  </si>
  <si>
    <t>7,641</t>
  </si>
  <si>
    <t>05</t>
  </si>
  <si>
    <t>7,770.0000</t>
  </si>
  <si>
    <t>7,994</t>
  </si>
  <si>
    <t>金ミニ先物</t>
  </si>
  <si>
    <t>Gold Mini Futures</t>
  </si>
  <si>
    <t>2023/02/21</t>
  </si>
  <si>
    <t>7,704.0</t>
  </si>
  <si>
    <t>8,105.0</t>
  </si>
  <si>
    <t>20</t>
  </si>
  <si>
    <t>7,992.0000</t>
  </si>
  <si>
    <t>7,648.0</t>
  </si>
  <si>
    <t>8,009.0</t>
  </si>
  <si>
    <t>2023/04/24</t>
  </si>
  <si>
    <t>7,716.0</t>
  </si>
  <si>
    <t>8,111.5</t>
  </si>
  <si>
    <t>7,705.5</t>
  </si>
  <si>
    <t>8,025.0</t>
  </si>
  <si>
    <t>2023/06/26</t>
  </si>
  <si>
    <t>7,730.0</t>
  </si>
  <si>
    <t>8,124.0</t>
  </si>
  <si>
    <t>8,030.0</t>
  </si>
  <si>
    <t>2023/08/25</t>
  </si>
  <si>
    <t>7,720.0</t>
  </si>
  <si>
    <t>8,093.0</t>
  </si>
  <si>
    <t>7,649.0</t>
  </si>
  <si>
    <t>8,027.5</t>
  </si>
  <si>
    <t>2023/10/25</t>
  </si>
  <si>
    <t>7,742.5</t>
  </si>
  <si>
    <t>8,100.0</t>
  </si>
  <si>
    <t>16</t>
  </si>
  <si>
    <t>7,875.0000</t>
  </si>
  <si>
    <t>7,645.0</t>
  </si>
  <si>
    <t>7,997.0</t>
  </si>
  <si>
    <t>2023/12/22</t>
  </si>
  <si>
    <t>7,747.5</t>
  </si>
  <si>
    <t>8,097.0</t>
  </si>
  <si>
    <t>7,640.0</t>
  </si>
  <si>
    <t>7,995.5</t>
  </si>
  <si>
    <t>金限日先物</t>
  </si>
  <si>
    <t>Gold Rolling-Spot Futures</t>
  </si>
  <si>
    <t>－</t>
  </si>
  <si>
    <t>7,769</t>
  </si>
  <si>
    <t>8,120</t>
  </si>
  <si>
    <t>7,672</t>
  </si>
  <si>
    <t>8,013</t>
  </si>
  <si>
    <t>銀先物</t>
  </si>
  <si>
    <t>Silver Futures</t>
  </si>
  <si>
    <t>12</t>
  </si>
  <si>
    <t>93.4</t>
  </si>
  <si>
    <t>93.9</t>
  </si>
  <si>
    <t>89.0</t>
  </si>
  <si>
    <t>10</t>
  </si>
  <si>
    <t>93.7</t>
  </si>
  <si>
    <t>11</t>
  </si>
  <si>
    <t>92.1</t>
  </si>
  <si>
    <t>92.4</t>
  </si>
  <si>
    <t>30</t>
  </si>
  <si>
    <t>90.6</t>
  </si>
  <si>
    <t>93.0</t>
  </si>
  <si>
    <t>93.8</t>
  </si>
  <si>
    <t>19</t>
  </si>
  <si>
    <t>89.2</t>
  </si>
  <si>
    <t>91.1</t>
  </si>
  <si>
    <t>97.3</t>
  </si>
  <si>
    <t>98.7</t>
  </si>
  <si>
    <t>95.9</t>
  </si>
  <si>
    <t>99.5</t>
  </si>
  <si>
    <t>100.9</t>
  </si>
  <si>
    <t>94.6</t>
  </si>
  <si>
    <t>白金標準先物</t>
  </si>
  <si>
    <t>Platinum Standard Futures</t>
  </si>
  <si>
    <t>4,455</t>
  </si>
  <si>
    <t>4,661</t>
  </si>
  <si>
    <t>4,171</t>
  </si>
  <si>
    <t>4,437</t>
  </si>
  <si>
    <t>4,644</t>
  </si>
  <si>
    <t>4,170</t>
  </si>
  <si>
    <t>4,176</t>
  </si>
  <si>
    <t>4,383</t>
  </si>
  <si>
    <t>4,601</t>
  </si>
  <si>
    <t>4,154</t>
  </si>
  <si>
    <t>4,165</t>
  </si>
  <si>
    <t>4,380</t>
  </si>
  <si>
    <t>4,574</t>
  </si>
  <si>
    <t>4,160</t>
  </si>
  <si>
    <t>4,169</t>
  </si>
  <si>
    <t>4,376</t>
  </si>
  <si>
    <t>4,566</t>
  </si>
  <si>
    <t>4,438.0000</t>
  </si>
  <si>
    <t>27</t>
  </si>
  <si>
    <t>4,226.0000</t>
  </si>
  <si>
    <t>4,172</t>
  </si>
  <si>
    <t>4,558</t>
  </si>
  <si>
    <t>4,280.0000</t>
  </si>
  <si>
    <t>4,167</t>
  </si>
  <si>
    <t>4,210.0000</t>
  </si>
  <si>
    <t>4,178</t>
  </si>
  <si>
    <t>白金ミニ先物</t>
  </si>
  <si>
    <t>Platinum Mini Futures</t>
  </si>
  <si>
    <t>4,455.0</t>
  </si>
  <si>
    <t>4,600.5</t>
  </si>
  <si>
    <t>4,190.0</t>
  </si>
  <si>
    <t>4,460.0</t>
  </si>
  <si>
    <t>4,555.0</t>
  </si>
  <si>
    <t>4,171.0</t>
  </si>
  <si>
    <t>4,184.0</t>
  </si>
  <si>
    <t>4,390.0</t>
  </si>
  <si>
    <t>4,506.5</t>
  </si>
  <si>
    <t>4,169.0</t>
  </si>
  <si>
    <t>4,175.0</t>
  </si>
  <si>
    <t>4,352.5</t>
  </si>
  <si>
    <t>4,554.0</t>
  </si>
  <si>
    <t>4,180.0</t>
  </si>
  <si>
    <t>4,196.5</t>
  </si>
  <si>
    <t>4,360.0</t>
  </si>
  <si>
    <t>4,545.0</t>
  </si>
  <si>
    <t>4,167.0</t>
  </si>
  <si>
    <t>4,185.0</t>
  </si>
  <si>
    <t>4,373.0</t>
  </si>
  <si>
    <t>4,554.5</t>
  </si>
  <si>
    <t>4,166.5</t>
  </si>
  <si>
    <t>4,172.0</t>
  </si>
  <si>
    <t>白金限日先物</t>
  </si>
  <si>
    <t>Platinum Rolling-Spot Futures</t>
  </si>
  <si>
    <t>4,470</t>
  </si>
  <si>
    <t>4,618</t>
  </si>
  <si>
    <t>4,248</t>
  </si>
  <si>
    <t>4,251</t>
  </si>
  <si>
    <t>パラジウム先物</t>
  </si>
  <si>
    <t>Palladium Futures</t>
  </si>
  <si>
    <t>CME原油等指数先物</t>
  </si>
  <si>
    <t>CME Petroleum Index Futures</t>
  </si>
  <si>
    <t>2022/07/04</t>
  </si>
  <si>
    <t>2023/01/04</t>
  </si>
  <si>
    <t>*</t>
  </si>
  <si>
    <t>2022/08/02</t>
  </si>
  <si>
    <t>2023/02/01</t>
  </si>
  <si>
    <t>2023/03</t>
  </si>
  <si>
    <t>2022/09/02</t>
  </si>
  <si>
    <t>2023/03/01</t>
  </si>
  <si>
    <t>2022/10/04</t>
  </si>
  <si>
    <t>2023/04/03</t>
  </si>
  <si>
    <t>2023/05</t>
  </si>
  <si>
    <t>2022/11/02</t>
  </si>
  <si>
    <t>2023/05/01</t>
  </si>
  <si>
    <t>2022/12/02</t>
  </si>
  <si>
    <t>2023/06/01</t>
  </si>
  <si>
    <t>2023/07</t>
  </si>
  <si>
    <t>2023/01/05</t>
  </si>
  <si>
    <t>2023/07/03</t>
  </si>
  <si>
    <t>ゴム（RSS3）先物</t>
  </si>
  <si>
    <t>RSS3 Rubber Futures</t>
  </si>
  <si>
    <t>2022/01/26</t>
  </si>
  <si>
    <t>2023/01/25</t>
  </si>
  <si>
    <t>209.5</t>
  </si>
  <si>
    <t>220.0</t>
  </si>
  <si>
    <t>218.3000</t>
  </si>
  <si>
    <t>202.0</t>
  </si>
  <si>
    <t>216.6000</t>
  </si>
  <si>
    <t>217.0</t>
  </si>
  <si>
    <t>2022/02/22</t>
  </si>
  <si>
    <t>203.7</t>
  </si>
  <si>
    <t>219.0</t>
  </si>
  <si>
    <t>06</t>
  </si>
  <si>
    <t>208.9000</t>
  </si>
  <si>
    <t>202.8</t>
  </si>
  <si>
    <t>217.9</t>
  </si>
  <si>
    <t>2022/03/28</t>
  </si>
  <si>
    <t>2023/03/27</t>
  </si>
  <si>
    <t>208.1</t>
  </si>
  <si>
    <t>222.5</t>
  </si>
  <si>
    <t>207.9</t>
  </si>
  <si>
    <t>219.3</t>
  </si>
  <si>
    <t>2022/04/25</t>
  </si>
  <si>
    <t>213.5</t>
  </si>
  <si>
    <t>226.5</t>
  </si>
  <si>
    <t>212.7</t>
  </si>
  <si>
    <t>223.7</t>
  </si>
  <si>
    <t>2022/05/26</t>
  </si>
  <si>
    <t>2023/05/25</t>
  </si>
  <si>
    <t>232.5</t>
  </si>
  <si>
    <t>216.3</t>
  </si>
  <si>
    <t>227.7</t>
  </si>
  <si>
    <t>2022/06/27</t>
  </si>
  <si>
    <t>218.9</t>
  </si>
  <si>
    <t>236.4</t>
  </si>
  <si>
    <t>217.1</t>
  </si>
  <si>
    <t>230.6</t>
  </si>
  <si>
    <t>2022/07/26</t>
  </si>
  <si>
    <t>2023/07/25</t>
  </si>
  <si>
    <t>221.0</t>
  </si>
  <si>
    <t>238.3</t>
  </si>
  <si>
    <t>232.3</t>
  </si>
  <si>
    <t>2022/08/26</t>
  </si>
  <si>
    <t>236.7</t>
  </si>
  <si>
    <t>238.9</t>
  </si>
  <si>
    <t>236.6</t>
  </si>
  <si>
    <t>2023/09</t>
  </si>
  <si>
    <t>2022/09/27</t>
  </si>
  <si>
    <t>2023/09/25</t>
  </si>
  <si>
    <t>2022/10/26</t>
  </si>
  <si>
    <t>2023/11</t>
  </si>
  <si>
    <t>2022/11/25</t>
  </si>
  <si>
    <t>2023/11/24</t>
  </si>
  <si>
    <t>230.0</t>
  </si>
  <si>
    <t>240.0</t>
  </si>
  <si>
    <t>2022/12/23</t>
  </si>
  <si>
    <t>214.8</t>
  </si>
  <si>
    <t>2024/01</t>
  </si>
  <si>
    <t>2023/01/26</t>
  </si>
  <si>
    <t>2024/01/25</t>
  </si>
  <si>
    <t>235.0</t>
  </si>
  <si>
    <t>220.8</t>
  </si>
  <si>
    <t>ゴム（TSR20）先物</t>
  </si>
  <si>
    <t>TSR20 Rubber Futures</t>
  </si>
  <si>
    <t>2022/02/01</t>
  </si>
  <si>
    <t>2023/01/31</t>
  </si>
  <si>
    <t>2022/03/01</t>
  </si>
  <si>
    <t>2023/02/28</t>
  </si>
  <si>
    <t>2022/04/01</t>
  </si>
  <si>
    <t>2023/03/31</t>
  </si>
  <si>
    <t>2022/05/02</t>
  </si>
  <si>
    <t>2023/04/28</t>
  </si>
  <si>
    <t>2022/06/01</t>
  </si>
  <si>
    <t>2023/05/31</t>
  </si>
  <si>
    <t>2022/07/01</t>
  </si>
  <si>
    <t>2023/06/30</t>
  </si>
  <si>
    <t>2022/08/01</t>
  </si>
  <si>
    <t>2023/07/31</t>
  </si>
  <si>
    <t>2022/09/01</t>
  </si>
  <si>
    <t>2023/08/31</t>
  </si>
  <si>
    <t>2022/10/03</t>
  </si>
  <si>
    <t>2023/09/29</t>
  </si>
  <si>
    <t>2022/11/01</t>
  </si>
  <si>
    <t>2023/10/31</t>
  </si>
  <si>
    <t>2022/12/01</t>
  </si>
  <si>
    <t>2023/11/30</t>
  </si>
  <si>
    <t>2023/12/29</t>
  </si>
  <si>
    <t>とうもろこし先物</t>
  </si>
  <si>
    <t>Corn Futures</t>
  </si>
  <si>
    <t>2022/02/16</t>
  </si>
  <si>
    <t>2023/02/15</t>
  </si>
  <si>
    <t>46,270</t>
  </si>
  <si>
    <t>23</t>
  </si>
  <si>
    <t>46,330</t>
  </si>
  <si>
    <t>43,800</t>
  </si>
  <si>
    <t>2022/04/18</t>
  </si>
  <si>
    <t>2023/04/14</t>
  </si>
  <si>
    <t>46,490</t>
  </si>
  <si>
    <t>44,850</t>
  </si>
  <si>
    <t>46,250</t>
  </si>
  <si>
    <t>2022/06/16</t>
  </si>
  <si>
    <t>2023/06/15</t>
  </si>
  <si>
    <t>46,260</t>
  </si>
  <si>
    <t>46,500</t>
  </si>
  <si>
    <t>45,500</t>
  </si>
  <si>
    <t>2022/08/16</t>
  </si>
  <si>
    <t>2023/08/15</t>
  </si>
  <si>
    <t>46,210</t>
  </si>
  <si>
    <t>13</t>
  </si>
  <si>
    <t>45,000</t>
  </si>
  <si>
    <t>45,320</t>
  </si>
  <si>
    <t>2022/10/17</t>
  </si>
  <si>
    <t>2023/10/13</t>
  </si>
  <si>
    <t>46,140</t>
  </si>
  <si>
    <t>44,360</t>
  </si>
  <si>
    <t>44,560</t>
  </si>
  <si>
    <t>2022/12/16</t>
  </si>
  <si>
    <t>2023/12/15</t>
  </si>
  <si>
    <t>45,290</t>
  </si>
  <si>
    <t>43,260</t>
  </si>
  <si>
    <t>43,740</t>
  </si>
  <si>
    <t>一般大豆先物</t>
  </si>
  <si>
    <t>Soybean Futures</t>
  </si>
  <si>
    <t>小豆先物</t>
  </si>
  <si>
    <t>Azuki (Red Bean) Futures</t>
  </si>
  <si>
    <t>2022/07/27</t>
  </si>
  <si>
    <t>2022/09/28</t>
  </si>
  <si>
    <t>2023/03/28</t>
  </si>
  <si>
    <t>2022/11/28</t>
  </si>
  <si>
    <t>2023/05/26</t>
  </si>
  <si>
    <t>2022/12/22</t>
  </si>
  <si>
    <t>2023/01/27</t>
  </si>
  <si>
    <t>2023/07/26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</si>
  <si>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</si>
  <si>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</si>
  <si>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</si>
  <si>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</si>
  <si>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</si>
  <si>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</si>
  <si>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</si>
  <si>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</si>
  <si>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</si>
  <si>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</si>
  <si>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</si>
  <si>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</si>
  <si>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</si>
  <si>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</si>
  <si>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</si>
  <si>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</si>
  <si>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</si>
  <si>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</si>
  <si>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</si>
  <si>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</si>
  <si>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</si>
  <si>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</si>
  <si>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</si>
  <si>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75,000</t>
  </si>
  <si>
    <t>2023/02/24</t>
  </si>
  <si>
    <t>2022/09/26</t>
  </si>
  <si>
    <t>2023/03/24</t>
  </si>
  <si>
    <t>2023/06/23</t>
  </si>
  <si>
    <t>バージ灯油先物</t>
  </si>
  <si>
    <t>Kerosene Futures</t>
  </si>
  <si>
    <t>77,000.0000</t>
  </si>
  <si>
    <t>バージ軽油先物</t>
  </si>
  <si>
    <t>Gas Oil Futures</t>
  </si>
  <si>
    <t>プラッツドバイ原油先物</t>
  </si>
  <si>
    <t>Platts Dubai Crude Oil Futures</t>
  </si>
  <si>
    <t>2021/11/01</t>
  </si>
  <si>
    <t>65,520</t>
  </si>
  <si>
    <t>66,760</t>
  </si>
  <si>
    <t>68,700.0000</t>
  </si>
  <si>
    <t>62,700</t>
  </si>
  <si>
    <t>62,850.0000</t>
  </si>
  <si>
    <t>65,840</t>
  </si>
  <si>
    <t>2021/12/01</t>
  </si>
  <si>
    <t>64,990</t>
  </si>
  <si>
    <t>69,500</t>
  </si>
  <si>
    <t>67,520.0000</t>
  </si>
  <si>
    <t>61,160</t>
  </si>
  <si>
    <t>61,530.0000</t>
  </si>
  <si>
    <t>66,320</t>
  </si>
  <si>
    <t>2022/01/04</t>
  </si>
  <si>
    <t>63,520</t>
  </si>
  <si>
    <t>69,000</t>
  </si>
  <si>
    <t>68,300.0000</t>
  </si>
  <si>
    <t>60,580</t>
  </si>
  <si>
    <t>61,350.0000</t>
  </si>
  <si>
    <t>65,200</t>
  </si>
  <si>
    <t>63,800</t>
  </si>
  <si>
    <t>68,420</t>
  </si>
  <si>
    <t>67,570.0000</t>
  </si>
  <si>
    <t>60,120</t>
  </si>
  <si>
    <t>59,500.0000</t>
  </si>
  <si>
    <t>64,630</t>
  </si>
  <si>
    <t>63,210</t>
  </si>
  <si>
    <t>67,680</t>
  </si>
  <si>
    <t>67,080.0000</t>
  </si>
  <si>
    <t>59,570</t>
  </si>
  <si>
    <t>63,720</t>
  </si>
  <si>
    <t>62,560</t>
  </si>
  <si>
    <t>67,000</t>
  </si>
  <si>
    <t>66,300.0000</t>
  </si>
  <si>
    <t>59,070</t>
  </si>
  <si>
    <t>63,050</t>
  </si>
  <si>
    <t>59,990</t>
  </si>
  <si>
    <t>64,345.0000</t>
  </si>
  <si>
    <t>59,980</t>
  </si>
  <si>
    <t>62,550</t>
  </si>
  <si>
    <t>60,890</t>
  </si>
  <si>
    <t>63,280</t>
  </si>
  <si>
    <t>63,070</t>
  </si>
  <si>
    <t>63,600.0000</t>
  </si>
  <si>
    <t>61,800</t>
  </si>
  <si>
    <t>2024/01/31</t>
  </si>
  <si>
    <t>2024/02</t>
  </si>
  <si>
    <t>2024/02/29</t>
  </si>
  <si>
    <t>56,780</t>
  </si>
  <si>
    <t>18</t>
  </si>
  <si>
    <t>60,000</t>
  </si>
  <si>
    <t>2024/03</t>
  </si>
  <si>
    <t>2024/03/29</t>
  </si>
  <si>
    <t>57,780</t>
  </si>
  <si>
    <t>60,330</t>
  </si>
  <si>
    <t>57,426.0000</t>
  </si>
  <si>
    <t>58,480</t>
  </si>
  <si>
    <t>東エリア・ベースロード電力先物</t>
  </si>
  <si>
    <t>East Area Baseload Electricity Futures</t>
  </si>
  <si>
    <t>2023/01/30</t>
  </si>
  <si>
    <t>2021/11/30</t>
  </si>
  <si>
    <t>2023/02/27</t>
  </si>
  <si>
    <t>23.00</t>
  </si>
  <si>
    <t>21.2500</t>
  </si>
  <si>
    <t>21.50</t>
  </si>
  <si>
    <t>2023/03/30</t>
  </si>
  <si>
    <t>17</t>
  </si>
  <si>
    <t>18.2500</t>
  </si>
  <si>
    <t>18.00</t>
  </si>
  <si>
    <t>2022/01/31</t>
  </si>
  <si>
    <t>25.0000</t>
  </si>
  <si>
    <t>17.2500</t>
  </si>
  <si>
    <t>2022/02/28</t>
  </si>
  <si>
    <t>2023/05/30</t>
  </si>
  <si>
    <t>18.3600</t>
  </si>
  <si>
    <t>2022/03/31</t>
  </si>
  <si>
    <t>2023/06/29</t>
  </si>
  <si>
    <t>21.5700</t>
  </si>
  <si>
    <t>2022/04/04</t>
  </si>
  <si>
    <t>2023/07/28</t>
  </si>
  <si>
    <t>28.2100</t>
  </si>
  <si>
    <t>23.0000</t>
  </si>
  <si>
    <t>2023/08/30</t>
  </si>
  <si>
    <t>31.0700</t>
  </si>
  <si>
    <t>28.0000</t>
  </si>
  <si>
    <t>22.9200</t>
  </si>
  <si>
    <t>2023/10/30</t>
  </si>
  <si>
    <t>26.0000</t>
  </si>
  <si>
    <t>22.8300</t>
  </si>
  <si>
    <t>2023/11/29</t>
  </si>
  <si>
    <t>27.3300</t>
  </si>
  <si>
    <t>2024/01/30</t>
  </si>
  <si>
    <t>30.3700</t>
  </si>
  <si>
    <t>2024/02/28</t>
  </si>
  <si>
    <t>29.5300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</si>
  <si>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</si>
  <si>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</si>
  <si>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</si>
  <si>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</si>
  <si>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</si>
  <si>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</si>
  <si>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</si>
  <si>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</si>
  <si>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2024/07</t>
  </si>
  <si>
    <t>2024/07/30</t>
  </si>
  <si>
    <t>2024/08</t>
  </si>
  <si>
    <t>2022/08/31</t>
  </si>
  <si>
    <t>2024/08/30</t>
  </si>
  <si>
    <t>2024/09</t>
  </si>
  <si>
    <t>2022/09/30</t>
  </si>
  <si>
    <t>2024/09/27</t>
  </si>
  <si>
    <t>2024/10</t>
  </si>
  <si>
    <t>2022/10/31</t>
  </si>
  <si>
    <t>2024/10/30</t>
  </si>
  <si>
    <t>2024/11</t>
  </si>
  <si>
    <t>2022/11/30</t>
  </si>
  <si>
    <t>2024/11/29</t>
  </si>
  <si>
    <t>2024/12</t>
  </si>
  <si>
    <t>2024/12/30</t>
  </si>
  <si>
    <t>2025/01</t>
  </si>
  <si>
    <t>2025/01/30</t>
  </si>
  <si>
    <t>西エリア・ベースロード電力先物</t>
  </si>
  <si>
    <t>West Area Baseload Electricity Futures</t>
  </si>
  <si>
    <t>17.00</t>
  </si>
  <si>
    <t>17.3100</t>
  </si>
  <si>
    <t>16.7300</t>
  </si>
  <si>
    <t>18.1100</t>
  </si>
  <si>
    <t>24.4500</t>
  </si>
  <si>
    <t>25.8200</t>
  </si>
  <si>
    <t>21.9000</t>
  </si>
  <si>
    <t>19.4000</t>
  </si>
  <si>
    <t>20.6100</t>
  </si>
  <si>
    <t>24.5300</t>
  </si>
  <si>
    <t>25.2900</t>
  </si>
  <si>
    <t>24.3400</t>
  </si>
  <si>
    <t>17.6600</t>
  </si>
  <si>
    <t>東エリア・日中ロード電力先物</t>
  </si>
  <si>
    <t>East Area Peakload Electricity Futures</t>
  </si>
  <si>
    <t>2021/10/29</t>
  </si>
  <si>
    <t>22.50</t>
  </si>
  <si>
    <t>24.50</t>
  </si>
  <si>
    <t>22.5000</t>
  </si>
  <si>
    <t>2021/12/29</t>
  </si>
  <si>
    <t>2023/04/27</t>
  </si>
  <si>
    <t>19.6000</t>
  </si>
  <si>
    <t>2023/09/28</t>
  </si>
  <si>
    <t>2023/12/28</t>
  </si>
  <si>
    <t>2024/03/28</t>
  </si>
  <si>
    <t>2022/04/28</t>
  </si>
  <si>
    <t>2024/06/27</t>
  </si>
  <si>
    <t>2022/07/29</t>
  </si>
  <si>
    <t>2024/08/29</t>
  </si>
  <si>
    <t>2024/11/28</t>
  </si>
  <si>
    <t>2022/12/29</t>
  </si>
  <si>
    <t>2024/12/26</t>
  </si>
  <si>
    <t>西エリア・日中ロード電力先物</t>
  </si>
  <si>
    <t>West Area Peakload Electricity Futures</t>
  </si>
  <si>
    <t>LNG（プラッツJKM）先物</t>
  </si>
  <si>
    <t>LNG（Platts JKM）Futures</t>
  </si>
  <si>
    <t>2023/01/13</t>
  </si>
  <si>
    <t>2023/03/15</t>
  </si>
  <si>
    <t>2023/05/15</t>
  </si>
  <si>
    <t>2023/07/14</t>
  </si>
  <si>
    <t>2022/05/16</t>
  </si>
  <si>
    <t>2023/09/15</t>
  </si>
  <si>
    <t>2022/07/19</t>
  </si>
  <si>
    <t>2023/11/15</t>
  </si>
  <si>
    <t>2022/09/16</t>
  </si>
  <si>
    <t>2024/01/15</t>
  </si>
  <si>
    <t>2022/11/16</t>
  </si>
  <si>
    <t>2024/02/15</t>
  </si>
  <si>
    <t>2024/03/15</t>
  </si>
  <si>
    <t>2023/01/16</t>
  </si>
  <si>
    <t>2024/04/15</t>
  </si>
  <si>
    <t>中京ローリーガソリン先物</t>
  </si>
  <si>
    <t>Chukyo Gasoline Futures</t>
  </si>
  <si>
    <t>73,900</t>
  </si>
  <si>
    <t>77,000</t>
  </si>
  <si>
    <t>71,960.0000</t>
  </si>
  <si>
    <t>71,900</t>
  </si>
  <si>
    <t>71,700.0000</t>
  </si>
  <si>
    <t>72,000</t>
  </si>
  <si>
    <t>中京ローリー灯油先物</t>
  </si>
  <si>
    <t>Chukyo Kerosene Futures</t>
  </si>
  <si>
    <t>78,000</t>
  </si>
  <si>
    <t>80,000</t>
  </si>
  <si>
    <t>80,300.0000</t>
  </si>
  <si>
    <t>77,500</t>
  </si>
  <si>
    <t>77,500.0000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</si>
</sst>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46DC93-CFA2-4713-B448-0ADCE1BABBEC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/>
      <c r="L7" s="6"/>
      <c r="M7" s="3" t="s">
        <v>52</v>
      </c>
      <c r="N7" s="6" t="s">
        <v>56</v>
      </c>
      <c r="O7" s="3"/>
      <c r="P7" s="6"/>
      <c r="Q7" s="3" t="s">
        <v>57</v>
      </c>
      <c r="R7" s="6" t="s">
        <v>58</v>
      </c>
      <c r="S7" s="5">
        <f>7958.58</f>
        <v>7958.58</v>
      </c>
      <c r="T7" s="4">
        <f>2119</f>
        <v>2119</v>
      </c>
      <c r="U7" s="4"/>
      <c r="V7" s="4">
        <v>62</v>
      </c>
      <c r="W7" s="4">
        <f>16902168000</f>
        <v>16902168000</v>
      </c>
      <c r="X7" s="4"/>
      <c r="Y7" s="4">
        <v>497313000</v>
      </c>
      <c r="Z7" s="3"/>
      <c r="AA7" s="2">
        <f>1575</f>
        <v>1575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52</v>
      </c>
      <c r="H8" s="6" t="s">
        <v>62</v>
      </c>
      <c r="I8" s="3" t="s">
        <v>54</v>
      </c>
      <c r="J8" s="6" t="s">
        <v>63</v>
      </c>
      <c r="K8" s="3"/>
      <c r="L8" s="6"/>
      <c r="M8" s="3" t="s">
        <v>52</v>
      </c>
      <c r="N8" s="6" t="s">
        <v>64</v>
      </c>
      <c r="O8" s="3"/>
      <c r="P8" s="6"/>
      <c r="Q8" s="3" t="s">
        <v>57</v>
      </c>
      <c r="R8" s="6" t="s">
        <v>65</v>
      </c>
      <c r="S8" s="5">
        <f>7964.32</f>
        <v>7964.32</v>
      </c>
      <c r="T8" s="4">
        <f>3250</f>
        <v>3250</v>
      </c>
      <c r="U8" s="4"/>
      <c r="V8" s="4">
        <v>307</v>
      </c>
      <c r="W8" s="4">
        <f>25837318000</f>
        <v>25837318000</v>
      </c>
      <c r="X8" s="4"/>
      <c r="Y8" s="4">
        <v>2446572000</v>
      </c>
      <c r="Z8" s="3"/>
      <c r="AA8" s="2">
        <f>1293</f>
        <v>1293</v>
      </c>
      <c r="AB8" s="2" t="str">
        <f t="shared" si="0"/>
        <v>－</v>
      </c>
      <c r="AC8" s="1">
        <f>19</f>
        <v>19</v>
      </c>
    </row>
    <row r="9" spans="1:29">
      <c r="A9" s="9" t="s">
        <v>46</v>
      </c>
      <c r="B9" s="8" t="s">
        <v>47</v>
      </c>
      <c r="C9" s="8" t="s">
        <v>48</v>
      </c>
      <c r="D9" s="8" t="s">
        <v>66</v>
      </c>
      <c r="E9" s="7" t="s">
        <v>67</v>
      </c>
      <c r="F9" s="7" t="s">
        <v>68</v>
      </c>
      <c r="G9" s="3" t="s">
        <v>52</v>
      </c>
      <c r="H9" s="6" t="s">
        <v>69</v>
      </c>
      <c r="I9" s="3" t="s">
        <v>54</v>
      </c>
      <c r="J9" s="6" t="s">
        <v>70</v>
      </c>
      <c r="K9" s="3"/>
      <c r="L9" s="6"/>
      <c r="M9" s="3" t="s">
        <v>52</v>
      </c>
      <c r="N9" s="6" t="s">
        <v>56</v>
      </c>
      <c r="O9" s="3"/>
      <c r="P9" s="6"/>
      <c r="Q9" s="3" t="s">
        <v>57</v>
      </c>
      <c r="R9" s="6" t="s">
        <v>71</v>
      </c>
      <c r="S9" s="5">
        <f>7956.16</f>
        <v>7956.16</v>
      </c>
      <c r="T9" s="4">
        <f>3223</f>
        <v>3223</v>
      </c>
      <c r="U9" s="4"/>
      <c r="V9" s="4">
        <v>762</v>
      </c>
      <c r="W9" s="4">
        <f>25518524000</f>
        <v>25518524000</v>
      </c>
      <c r="X9" s="4"/>
      <c r="Y9" s="4">
        <v>6024750000</v>
      </c>
      <c r="Z9" s="3"/>
      <c r="AA9" s="2">
        <f>1969</f>
        <v>1969</v>
      </c>
      <c r="AB9" s="2" t="str">
        <f t="shared" si="0"/>
        <v>－</v>
      </c>
      <c r="AC9" s="1">
        <f>19</f>
        <v>19</v>
      </c>
    </row>
    <row r="10" spans="1:29">
      <c r="A10" s="9" t="s">
        <v>46</v>
      </c>
      <c r="B10" s="8" t="s">
        <v>47</v>
      </c>
      <c r="C10" s="8" t="s">
        <v>48</v>
      </c>
      <c r="D10" s="8" t="s">
        <v>72</v>
      </c>
      <c r="E10" s="7" t="s">
        <v>73</v>
      </c>
      <c r="F10" s="7" t="s">
        <v>74</v>
      </c>
      <c r="G10" s="3" t="s">
        <v>52</v>
      </c>
      <c r="H10" s="6" t="s">
        <v>75</v>
      </c>
      <c r="I10" s="3" t="s">
        <v>54</v>
      </c>
      <c r="J10" s="6" t="s">
        <v>76</v>
      </c>
      <c r="K10" s="3"/>
      <c r="L10" s="6"/>
      <c r="M10" s="3" t="s">
        <v>52</v>
      </c>
      <c r="N10" s="6" t="s">
        <v>77</v>
      </c>
      <c r="O10" s="3"/>
      <c r="P10" s="6"/>
      <c r="Q10" s="3" t="s">
        <v>57</v>
      </c>
      <c r="R10" s="6" t="s">
        <v>78</v>
      </c>
      <c r="S10" s="5">
        <f>7953.37</f>
        <v>7953.37</v>
      </c>
      <c r="T10" s="4">
        <f>9814</f>
        <v>9814</v>
      </c>
      <c r="U10" s="4"/>
      <c r="V10" s="4">
        <v>3058</v>
      </c>
      <c r="W10" s="4">
        <f>77700691000</f>
        <v>77700691000</v>
      </c>
      <c r="X10" s="4"/>
      <c r="Y10" s="4">
        <v>24151495000</v>
      </c>
      <c r="Z10" s="3"/>
      <c r="AA10" s="2">
        <f>3037</f>
        <v>3037</v>
      </c>
      <c r="AB10" s="2" t="str">
        <f t="shared" si="0"/>
        <v>－</v>
      </c>
      <c r="AC10" s="1">
        <f>19</f>
        <v>19</v>
      </c>
    </row>
    <row r="11" spans="1:29">
      <c r="A11" s="9" t="s">
        <v>46</v>
      </c>
      <c r="B11" s="8" t="s">
        <v>47</v>
      </c>
      <c r="C11" s="8" t="s">
        <v>48</v>
      </c>
      <c r="D11" s="8" t="s">
        <v>79</v>
      </c>
      <c r="E11" s="7" t="s">
        <v>80</v>
      </c>
      <c r="F11" s="7" t="s">
        <v>81</v>
      </c>
      <c r="G11" s="3" t="s">
        <v>52</v>
      </c>
      <c r="H11" s="6" t="s">
        <v>82</v>
      </c>
      <c r="I11" s="3" t="s">
        <v>54</v>
      </c>
      <c r="J11" s="6" t="s">
        <v>70</v>
      </c>
      <c r="K11" s="3" t="s">
        <v>83</v>
      </c>
      <c r="L11" s="6" t="s">
        <v>84</v>
      </c>
      <c r="M11" s="3" t="s">
        <v>52</v>
      </c>
      <c r="N11" s="6" t="s">
        <v>85</v>
      </c>
      <c r="O11" s="3" t="s">
        <v>52</v>
      </c>
      <c r="P11" s="6" t="s">
        <v>86</v>
      </c>
      <c r="Q11" s="3" t="s">
        <v>57</v>
      </c>
      <c r="R11" s="6" t="s">
        <v>87</v>
      </c>
      <c r="S11" s="5">
        <f>7951.79</f>
        <v>7951.79</v>
      </c>
      <c r="T11" s="4">
        <f>76250</f>
        <v>76250</v>
      </c>
      <c r="U11" s="4">
        <v>354</v>
      </c>
      <c r="V11" s="4">
        <v>12601</v>
      </c>
      <c r="W11" s="4">
        <f>603921277000</f>
        <v>603921277000</v>
      </c>
      <c r="X11" s="4">
        <v>2793027000</v>
      </c>
      <c r="Y11" s="4">
        <v>99793817000</v>
      </c>
      <c r="Z11" s="3"/>
      <c r="AA11" s="2">
        <f>8707</f>
        <v>8707</v>
      </c>
      <c r="AB11" s="2" t="str">
        <f t="shared" si="0"/>
        <v>－</v>
      </c>
      <c r="AC11" s="1">
        <f>19</f>
        <v>19</v>
      </c>
    </row>
    <row r="12" spans="1:29">
      <c r="A12" s="9" t="s">
        <v>46</v>
      </c>
      <c r="B12" s="8" t="s">
        <v>47</v>
      </c>
      <c r="C12" s="8" t="s">
        <v>48</v>
      </c>
      <c r="D12" s="8" t="s">
        <v>88</v>
      </c>
      <c r="E12" s="7" t="s">
        <v>89</v>
      </c>
      <c r="F12" s="7" t="s">
        <v>90</v>
      </c>
      <c r="G12" s="3" t="s">
        <v>52</v>
      </c>
      <c r="H12" s="6" t="s">
        <v>82</v>
      </c>
      <c r="I12" s="3" t="s">
        <v>54</v>
      </c>
      <c r="J12" s="6" t="s">
        <v>91</v>
      </c>
      <c r="K12" s="3" t="s">
        <v>92</v>
      </c>
      <c r="L12" s="6" t="s">
        <v>93</v>
      </c>
      <c r="M12" s="3" t="s">
        <v>52</v>
      </c>
      <c r="N12" s="6" t="s">
        <v>94</v>
      </c>
      <c r="O12" s="3" t="s">
        <v>95</v>
      </c>
      <c r="P12" s="6" t="s">
        <v>96</v>
      </c>
      <c r="Q12" s="3" t="s">
        <v>57</v>
      </c>
      <c r="R12" s="6" t="s">
        <v>97</v>
      </c>
      <c r="S12" s="5">
        <f>7949.74</f>
        <v>7949.74</v>
      </c>
      <c r="T12" s="4">
        <f>502941</f>
        <v>502941</v>
      </c>
      <c r="U12" s="4">
        <v>31</v>
      </c>
      <c r="V12" s="4">
        <v>10506</v>
      </c>
      <c r="W12" s="4">
        <f>3990307362000</f>
        <v>3990307362000</v>
      </c>
      <c r="X12" s="4">
        <v>246885000</v>
      </c>
      <c r="Y12" s="4">
        <v>83185500000</v>
      </c>
      <c r="Z12" s="3"/>
      <c r="AA12" s="2">
        <f>22226</f>
        <v>22226</v>
      </c>
      <c r="AB12" s="2" t="str">
        <f t="shared" si="0"/>
        <v>－</v>
      </c>
      <c r="AC12" s="1">
        <f>19</f>
        <v>19</v>
      </c>
    </row>
    <row r="13" spans="1:29">
      <c r="A13" s="9" t="s">
        <v>46</v>
      </c>
      <c r="B13" s="8" t="s">
        <v>98</v>
      </c>
      <c r="C13" s="8" t="s">
        <v>99</v>
      </c>
      <c r="D13" s="8" t="s">
        <v>49</v>
      </c>
      <c r="E13" s="7" t="s">
        <v>50</v>
      </c>
      <c r="F13" s="7" t="s">
        <v>100</v>
      </c>
      <c r="G13" s="3" t="s">
        <v>52</v>
      </c>
      <c r="H13" s="6" t="s">
        <v>101</v>
      </c>
      <c r="I13" s="3" t="s">
        <v>54</v>
      </c>
      <c r="J13" s="6" t="s">
        <v>102</v>
      </c>
      <c r="K13" s="3" t="s">
        <v>103</v>
      </c>
      <c r="L13" s="6" t="s">
        <v>104</v>
      </c>
      <c r="M13" s="3" t="s">
        <v>52</v>
      </c>
      <c r="N13" s="6" t="s">
        <v>105</v>
      </c>
      <c r="O13" s="3" t="s">
        <v>103</v>
      </c>
      <c r="P13" s="6" t="s">
        <v>104</v>
      </c>
      <c r="Q13" s="3" t="s">
        <v>57</v>
      </c>
      <c r="R13" s="6" t="s">
        <v>106</v>
      </c>
      <c r="S13" s="5">
        <f>7958.58</f>
        <v>7958.58</v>
      </c>
      <c r="T13" s="4">
        <f>378</f>
        <v>378</v>
      </c>
      <c r="U13" s="4">
        <v>5</v>
      </c>
      <c r="V13" s="4"/>
      <c r="W13" s="4">
        <f>300555950</f>
        <v>300555950</v>
      </c>
      <c r="X13" s="4">
        <v>3996000</v>
      </c>
      <c r="Y13" s="4"/>
      <c r="Z13" s="3"/>
      <c r="AA13" s="2">
        <f>370</f>
        <v>370</v>
      </c>
      <c r="AB13" s="2" t="str">
        <f t="shared" si="0"/>
        <v>－</v>
      </c>
      <c r="AC13" s="1">
        <f>19</f>
        <v>19</v>
      </c>
    </row>
    <row r="14" spans="1:29">
      <c r="A14" s="9" t="s">
        <v>46</v>
      </c>
      <c r="B14" s="8" t="s">
        <v>98</v>
      </c>
      <c r="C14" s="8" t="s">
        <v>99</v>
      </c>
      <c r="D14" s="8" t="s">
        <v>59</v>
      </c>
      <c r="E14" s="7" t="s">
        <v>60</v>
      </c>
      <c r="F14" s="7" t="s">
        <v>107</v>
      </c>
      <c r="G14" s="3" t="s">
        <v>52</v>
      </c>
      <c r="H14" s="6" t="s">
        <v>108</v>
      </c>
      <c r="I14" s="3" t="s">
        <v>92</v>
      </c>
      <c r="J14" s="6" t="s">
        <v>109</v>
      </c>
      <c r="K14" s="3"/>
      <c r="L14" s="6"/>
      <c r="M14" s="3" t="s">
        <v>52</v>
      </c>
      <c r="N14" s="6" t="s">
        <v>110</v>
      </c>
      <c r="O14" s="3"/>
      <c r="P14" s="6"/>
      <c r="Q14" s="3" t="s">
        <v>57</v>
      </c>
      <c r="R14" s="6" t="s">
        <v>111</v>
      </c>
      <c r="S14" s="5">
        <f>7964.32</f>
        <v>7964.32</v>
      </c>
      <c r="T14" s="4">
        <f>403</f>
        <v>403</v>
      </c>
      <c r="U14" s="4"/>
      <c r="V14" s="4"/>
      <c r="W14" s="4">
        <f>321163050</f>
        <v>321163050</v>
      </c>
      <c r="X14" s="4"/>
      <c r="Y14" s="4"/>
      <c r="Z14" s="3"/>
      <c r="AA14" s="2">
        <f>1041</f>
        <v>1041</v>
      </c>
      <c r="AB14" s="2" t="str">
        <f t="shared" si="0"/>
        <v>－</v>
      </c>
      <c r="AC14" s="1">
        <f>19</f>
        <v>19</v>
      </c>
    </row>
    <row r="15" spans="1:29">
      <c r="A15" s="9" t="s">
        <v>46</v>
      </c>
      <c r="B15" s="8" t="s">
        <v>98</v>
      </c>
      <c r="C15" s="8" t="s">
        <v>99</v>
      </c>
      <c r="D15" s="8" t="s">
        <v>66</v>
      </c>
      <c r="E15" s="7" t="s">
        <v>67</v>
      </c>
      <c r="F15" s="7" t="s">
        <v>112</v>
      </c>
      <c r="G15" s="3" t="s">
        <v>52</v>
      </c>
      <c r="H15" s="6" t="s">
        <v>113</v>
      </c>
      <c r="I15" s="3" t="s">
        <v>92</v>
      </c>
      <c r="J15" s="6" t="s">
        <v>114</v>
      </c>
      <c r="K15" s="3"/>
      <c r="L15" s="6"/>
      <c r="M15" s="3" t="s">
        <v>52</v>
      </c>
      <c r="N15" s="6" t="s">
        <v>113</v>
      </c>
      <c r="O15" s="3"/>
      <c r="P15" s="6"/>
      <c r="Q15" s="3" t="s">
        <v>57</v>
      </c>
      <c r="R15" s="6" t="s">
        <v>115</v>
      </c>
      <c r="S15" s="5">
        <f>7956.16</f>
        <v>7956.16</v>
      </c>
      <c r="T15" s="4">
        <f>546</f>
        <v>546</v>
      </c>
      <c r="U15" s="4"/>
      <c r="V15" s="4"/>
      <c r="W15" s="4">
        <f>432891100</f>
        <v>432891100</v>
      </c>
      <c r="X15" s="4"/>
      <c r="Y15" s="4"/>
      <c r="Z15" s="3"/>
      <c r="AA15" s="2">
        <f>1340</f>
        <v>1340</v>
      </c>
      <c r="AB15" s="2" t="str">
        <f t="shared" si="0"/>
        <v>－</v>
      </c>
      <c r="AC15" s="1">
        <f>19</f>
        <v>19</v>
      </c>
    </row>
    <row r="16" spans="1:29">
      <c r="A16" s="9" t="s">
        <v>46</v>
      </c>
      <c r="B16" s="8" t="s">
        <v>98</v>
      </c>
      <c r="C16" s="8" t="s">
        <v>99</v>
      </c>
      <c r="D16" s="8" t="s">
        <v>72</v>
      </c>
      <c r="E16" s="7" t="s">
        <v>73</v>
      </c>
      <c r="F16" s="7" t="s">
        <v>116</v>
      </c>
      <c r="G16" s="3" t="s">
        <v>52</v>
      </c>
      <c r="H16" s="6" t="s">
        <v>117</v>
      </c>
      <c r="I16" s="3" t="s">
        <v>54</v>
      </c>
      <c r="J16" s="6" t="s">
        <v>118</v>
      </c>
      <c r="K16" s="3"/>
      <c r="L16" s="6"/>
      <c r="M16" s="3" t="s">
        <v>52</v>
      </c>
      <c r="N16" s="6" t="s">
        <v>119</v>
      </c>
      <c r="O16" s="3"/>
      <c r="P16" s="6"/>
      <c r="Q16" s="3" t="s">
        <v>57</v>
      </c>
      <c r="R16" s="6" t="s">
        <v>120</v>
      </c>
      <c r="S16" s="5">
        <f>7953.37</f>
        <v>7953.37</v>
      </c>
      <c r="T16" s="4">
        <f>470</f>
        <v>470</v>
      </c>
      <c r="U16" s="4"/>
      <c r="V16" s="4"/>
      <c r="W16" s="4">
        <f>372783100</f>
        <v>372783100</v>
      </c>
      <c r="X16" s="4"/>
      <c r="Y16" s="4"/>
      <c r="Z16" s="3"/>
      <c r="AA16" s="2">
        <f>552</f>
        <v>552</v>
      </c>
      <c r="AB16" s="2" t="str">
        <f t="shared" si="0"/>
        <v>－</v>
      </c>
      <c r="AC16" s="1">
        <f>19</f>
        <v>19</v>
      </c>
    </row>
    <row r="17" spans="1:29">
      <c r="A17" s="9" t="s">
        <v>46</v>
      </c>
      <c r="B17" s="8" t="s">
        <v>98</v>
      </c>
      <c r="C17" s="8" t="s">
        <v>99</v>
      </c>
      <c r="D17" s="8" t="s">
        <v>79</v>
      </c>
      <c r="E17" s="7" t="s">
        <v>80</v>
      </c>
      <c r="F17" s="7" t="s">
        <v>121</v>
      </c>
      <c r="G17" s="3" t="s">
        <v>52</v>
      </c>
      <c r="H17" s="6" t="s">
        <v>122</v>
      </c>
      <c r="I17" s="3" t="s">
        <v>54</v>
      </c>
      <c r="J17" s="6" t="s">
        <v>123</v>
      </c>
      <c r="K17" s="3" t="s">
        <v>124</v>
      </c>
      <c r="L17" s="6" t="s">
        <v>125</v>
      </c>
      <c r="M17" s="3" t="s">
        <v>52</v>
      </c>
      <c r="N17" s="6" t="s">
        <v>126</v>
      </c>
      <c r="O17" s="3" t="s">
        <v>124</v>
      </c>
      <c r="P17" s="6" t="s">
        <v>125</v>
      </c>
      <c r="Q17" s="3" t="s">
        <v>57</v>
      </c>
      <c r="R17" s="6" t="s">
        <v>127</v>
      </c>
      <c r="S17" s="5">
        <f>7951.79</f>
        <v>7951.79</v>
      </c>
      <c r="T17" s="4">
        <f>12860</f>
        <v>12860</v>
      </c>
      <c r="U17" s="4">
        <v>1</v>
      </c>
      <c r="V17" s="4"/>
      <c r="W17" s="4">
        <f>10188775850</f>
        <v>10188775850</v>
      </c>
      <c r="X17" s="4">
        <v>787500</v>
      </c>
      <c r="Y17" s="4"/>
      <c r="Z17" s="3"/>
      <c r="AA17" s="2">
        <f>3272</f>
        <v>3272</v>
      </c>
      <c r="AB17" s="2" t="str">
        <f t="shared" si="0"/>
        <v>－</v>
      </c>
      <c r="AC17" s="1">
        <f>19</f>
        <v>19</v>
      </c>
    </row>
    <row r="18" spans="1:29">
      <c r="A18" s="9" t="s">
        <v>46</v>
      </c>
      <c r="B18" s="8" t="s">
        <v>98</v>
      </c>
      <c r="C18" s="8" t="s">
        <v>99</v>
      </c>
      <c r="D18" s="8" t="s">
        <v>88</v>
      </c>
      <c r="E18" s="7" t="s">
        <v>89</v>
      </c>
      <c r="F18" s="7" t="s">
        <v>128</v>
      </c>
      <c r="G18" s="3" t="s">
        <v>52</v>
      </c>
      <c r="H18" s="6" t="s">
        <v>129</v>
      </c>
      <c r="I18" s="3" t="s">
        <v>54</v>
      </c>
      <c r="J18" s="6" t="s">
        <v>130</v>
      </c>
      <c r="K18" s="3"/>
      <c r="L18" s="6"/>
      <c r="M18" s="3" t="s">
        <v>52</v>
      </c>
      <c r="N18" s="6" t="s">
        <v>131</v>
      </c>
      <c r="O18" s="3"/>
      <c r="P18" s="6"/>
      <c r="Q18" s="3" t="s">
        <v>57</v>
      </c>
      <c r="R18" s="6" t="s">
        <v>132</v>
      </c>
      <c r="S18" s="5">
        <f>7949.74</f>
        <v>7949.74</v>
      </c>
      <c r="T18" s="4">
        <f>87088</f>
        <v>87088</v>
      </c>
      <c r="U18" s="4"/>
      <c r="V18" s="4"/>
      <c r="W18" s="4">
        <f>69079696250</f>
        <v>69079696250</v>
      </c>
      <c r="X18" s="4"/>
      <c r="Y18" s="4"/>
      <c r="Z18" s="3"/>
      <c r="AA18" s="2">
        <f>4604</f>
        <v>4604</v>
      </c>
      <c r="AB18" s="2" t="str">
        <f t="shared" si="0"/>
        <v>－</v>
      </c>
      <c r="AC18" s="1">
        <f>19</f>
        <v>19</v>
      </c>
    </row>
    <row r="19" spans="1:29">
      <c r="A19" s="9" t="s">
        <v>46</v>
      </c>
      <c r="B19" s="8" t="s">
        <v>133</v>
      </c>
      <c r="C19" s="8" t="s">
        <v>134</v>
      </c>
      <c r="D19" s="8" t="s">
        <v>135</v>
      </c>
      <c r="E19" s="7" t="s">
        <v>135</v>
      </c>
      <c r="F19" s="7" t="s">
        <v>135</v>
      </c>
      <c r="G19" s="3" t="s">
        <v>52</v>
      </c>
      <c r="H19" s="6" t="s">
        <v>136</v>
      </c>
      <c r="I19" s="3" t="s">
        <v>54</v>
      </c>
      <c r="J19" s="6" t="s">
        <v>137</v>
      </c>
      <c r="K19" s="3"/>
      <c r="L19" s="6"/>
      <c r="M19" s="3" t="s">
        <v>52</v>
      </c>
      <c r="N19" s="6" t="s">
        <v>138</v>
      </c>
      <c r="O19" s="3"/>
      <c r="P19" s="6"/>
      <c r="Q19" s="3" t="s">
        <v>57</v>
      </c>
      <c r="R19" s="6" t="s">
        <v>139</v>
      </c>
      <c r="S19" s="5">
        <f>7970.05</f>
        <v>7970.05</v>
      </c>
      <c r="T19" s="4">
        <f>154851</f>
        <v>154851</v>
      </c>
      <c r="U19" s="4"/>
      <c r="V19" s="4"/>
      <c r="W19" s="4">
        <f>123347951600</f>
        <v>123347951600</v>
      </c>
      <c r="X19" s="4"/>
      <c r="Y19" s="4"/>
      <c r="Z19" s="3"/>
      <c r="AA19" s="2">
        <f>73028</f>
        <v>73028</v>
      </c>
      <c r="AB19" s="2" t="str">
        <f t="shared" si="0"/>
        <v>－</v>
      </c>
      <c r="AC19" s="1">
        <f>19</f>
        <v>19</v>
      </c>
    </row>
    <row r="20" spans="1:29">
      <c r="A20" s="9" t="s">
        <v>46</v>
      </c>
      <c r="B20" s="8" t="s">
        <v>140</v>
      </c>
      <c r="C20" s="8" t="s">
        <v>141</v>
      </c>
      <c r="D20" s="8" t="s">
        <v>49</v>
      </c>
      <c r="E20" s="7" t="s">
        <v>50</v>
      </c>
      <c r="F20" s="7" t="s">
        <v>51</v>
      </c>
      <c r="G20" s="3" t="s">
        <v>142</v>
      </c>
      <c r="H20" s="6" t="s">
        <v>143</v>
      </c>
      <c r="I20" s="3" t="s">
        <v>124</v>
      </c>
      <c r="J20" s="6" t="s">
        <v>144</v>
      </c>
      <c r="K20" s="3"/>
      <c r="L20" s="6"/>
      <c r="M20" s="3" t="s">
        <v>92</v>
      </c>
      <c r="N20" s="6" t="s">
        <v>145</v>
      </c>
      <c r="O20" s="3"/>
      <c r="P20" s="6"/>
      <c r="Q20" s="3" t="s">
        <v>57</v>
      </c>
      <c r="R20" s="6" t="s">
        <v>145</v>
      </c>
      <c r="S20" s="5">
        <f>92.25</f>
        <v>92.25</v>
      </c>
      <c r="T20" s="4">
        <f>26</f>
        <v>26</v>
      </c>
      <c r="U20" s="4"/>
      <c r="V20" s="4"/>
      <c r="W20" s="4">
        <f>23345000</f>
        <v>23345000</v>
      </c>
      <c r="X20" s="4"/>
      <c r="Y20" s="4"/>
      <c r="Z20" s="3"/>
      <c r="AA20" s="2">
        <f>294</f>
        <v>294</v>
      </c>
      <c r="AB20" s="2" t="str">
        <f t="shared" si="0"/>
        <v>－</v>
      </c>
      <c r="AC20" s="1">
        <f>7</f>
        <v>7</v>
      </c>
    </row>
    <row r="21" spans="1:29">
      <c r="A21" s="9" t="s">
        <v>46</v>
      </c>
      <c r="B21" s="8" t="s">
        <v>140</v>
      </c>
      <c r="C21" s="8" t="s">
        <v>141</v>
      </c>
      <c r="D21" s="8" t="s">
        <v>59</v>
      </c>
      <c r="E21" s="7" t="s">
        <v>60</v>
      </c>
      <c r="F21" s="7" t="s">
        <v>61</v>
      </c>
      <c r="G21" s="3" t="s">
        <v>146</v>
      </c>
      <c r="H21" s="6" t="s">
        <v>147</v>
      </c>
      <c r="I21" s="3" t="s">
        <v>148</v>
      </c>
      <c r="J21" s="6" t="s">
        <v>144</v>
      </c>
      <c r="K21" s="3"/>
      <c r="L21" s="6"/>
      <c r="M21" s="3" t="s">
        <v>57</v>
      </c>
      <c r="N21" s="6" t="s">
        <v>145</v>
      </c>
      <c r="O21" s="3"/>
      <c r="P21" s="6"/>
      <c r="Q21" s="3" t="s">
        <v>57</v>
      </c>
      <c r="R21" s="6" t="s">
        <v>145</v>
      </c>
      <c r="S21" s="5">
        <f>92.51</f>
        <v>92.51</v>
      </c>
      <c r="T21" s="4">
        <f>19</f>
        <v>19</v>
      </c>
      <c r="U21" s="4"/>
      <c r="V21" s="4"/>
      <c r="W21" s="4">
        <f>17580000</f>
        <v>17580000</v>
      </c>
      <c r="X21" s="4"/>
      <c r="Y21" s="4"/>
      <c r="Z21" s="3"/>
      <c r="AA21" s="2">
        <f>224</f>
        <v>224</v>
      </c>
      <c r="AB21" s="2" t="str">
        <f t="shared" si="0"/>
        <v>－</v>
      </c>
      <c r="AC21" s="1">
        <f>6</f>
        <v>6</v>
      </c>
    </row>
    <row r="22" spans="1:29">
      <c r="A22" s="9" t="s">
        <v>46</v>
      </c>
      <c r="B22" s="8" t="s">
        <v>140</v>
      </c>
      <c r="C22" s="8" t="s">
        <v>141</v>
      </c>
      <c r="D22" s="8" t="s">
        <v>66</v>
      </c>
      <c r="E22" s="7" t="s">
        <v>67</v>
      </c>
      <c r="F22" s="7" t="s">
        <v>68</v>
      </c>
      <c r="G22" s="3" t="s">
        <v>142</v>
      </c>
      <c r="H22" s="6" t="s">
        <v>149</v>
      </c>
      <c r="I22" s="3" t="s">
        <v>83</v>
      </c>
      <c r="J22" s="6" t="s">
        <v>150</v>
      </c>
      <c r="K22" s="3"/>
      <c r="L22" s="6"/>
      <c r="M22" s="3" t="s">
        <v>151</v>
      </c>
      <c r="N22" s="6" t="s">
        <v>152</v>
      </c>
      <c r="O22" s="3"/>
      <c r="P22" s="6"/>
      <c r="Q22" s="3" t="s">
        <v>151</v>
      </c>
      <c r="R22" s="6" t="s">
        <v>152</v>
      </c>
      <c r="S22" s="5">
        <f>92.57</f>
        <v>92.57</v>
      </c>
      <c r="T22" s="4">
        <f>10</f>
        <v>10</v>
      </c>
      <c r="U22" s="4"/>
      <c r="V22" s="4"/>
      <c r="W22" s="4">
        <f>9198000</f>
        <v>9198000</v>
      </c>
      <c r="X22" s="4"/>
      <c r="Y22" s="4"/>
      <c r="Z22" s="3"/>
      <c r="AA22" s="2">
        <f>152</f>
        <v>152</v>
      </c>
      <c r="AB22" s="2" t="str">
        <f t="shared" si="0"/>
        <v>－</v>
      </c>
      <c r="AC22" s="1">
        <f>5</f>
        <v>5</v>
      </c>
    </row>
    <row r="23" spans="1:29">
      <c r="A23" s="9" t="s">
        <v>46</v>
      </c>
      <c r="B23" s="8" t="s">
        <v>140</v>
      </c>
      <c r="C23" s="8" t="s">
        <v>141</v>
      </c>
      <c r="D23" s="8" t="s">
        <v>72</v>
      </c>
      <c r="E23" s="7" t="s">
        <v>73</v>
      </c>
      <c r="F23" s="7" t="s">
        <v>74</v>
      </c>
      <c r="G23" s="3" t="s">
        <v>52</v>
      </c>
      <c r="H23" s="6" t="s">
        <v>153</v>
      </c>
      <c r="I23" s="3" t="s">
        <v>95</v>
      </c>
      <c r="J23" s="6" t="s">
        <v>154</v>
      </c>
      <c r="K23" s="3"/>
      <c r="L23" s="6"/>
      <c r="M23" s="3" t="s">
        <v>155</v>
      </c>
      <c r="N23" s="6" t="s">
        <v>156</v>
      </c>
      <c r="O23" s="3"/>
      <c r="P23" s="6"/>
      <c r="Q23" s="3" t="s">
        <v>83</v>
      </c>
      <c r="R23" s="6" t="s">
        <v>157</v>
      </c>
      <c r="S23" s="5">
        <f>91.84</f>
        <v>91.84</v>
      </c>
      <c r="T23" s="4">
        <f>150</f>
        <v>150</v>
      </c>
      <c r="U23" s="4"/>
      <c r="V23" s="4"/>
      <c r="W23" s="4">
        <f>137382000</f>
        <v>137382000</v>
      </c>
      <c r="X23" s="4"/>
      <c r="Y23" s="4"/>
      <c r="Z23" s="3"/>
      <c r="AA23" s="2">
        <f>288</f>
        <v>288</v>
      </c>
      <c r="AB23" s="2" t="str">
        <f t="shared" si="0"/>
        <v>－</v>
      </c>
      <c r="AC23" s="1">
        <f>13</f>
        <v>13</v>
      </c>
    </row>
    <row r="24" spans="1:29">
      <c r="A24" s="9" t="s">
        <v>46</v>
      </c>
      <c r="B24" s="8" t="s">
        <v>140</v>
      </c>
      <c r="C24" s="8" t="s">
        <v>141</v>
      </c>
      <c r="D24" s="8" t="s">
        <v>79</v>
      </c>
      <c r="E24" s="7" t="s">
        <v>80</v>
      </c>
      <c r="F24" s="7" t="s">
        <v>81</v>
      </c>
      <c r="G24" s="3" t="s">
        <v>52</v>
      </c>
      <c r="H24" s="6" t="s">
        <v>158</v>
      </c>
      <c r="I24" s="3" t="s">
        <v>52</v>
      </c>
      <c r="J24" s="6" t="s">
        <v>159</v>
      </c>
      <c r="K24" s="3"/>
      <c r="L24" s="6"/>
      <c r="M24" s="3" t="s">
        <v>155</v>
      </c>
      <c r="N24" s="6" t="s">
        <v>147</v>
      </c>
      <c r="O24" s="3"/>
      <c r="P24" s="6"/>
      <c r="Q24" s="3" t="s">
        <v>57</v>
      </c>
      <c r="R24" s="6" t="s">
        <v>160</v>
      </c>
      <c r="S24" s="5">
        <f>95.59</f>
        <v>95.59</v>
      </c>
      <c r="T24" s="4">
        <f>197</f>
        <v>197</v>
      </c>
      <c r="U24" s="4"/>
      <c r="V24" s="4"/>
      <c r="W24" s="4">
        <f>188992000</f>
        <v>188992000</v>
      </c>
      <c r="X24" s="4"/>
      <c r="Y24" s="4"/>
      <c r="Z24" s="3"/>
      <c r="AA24" s="2">
        <f>179</f>
        <v>179</v>
      </c>
      <c r="AB24" s="2" t="str">
        <f t="shared" si="0"/>
        <v>－</v>
      </c>
      <c r="AC24" s="1">
        <f>17</f>
        <v>17</v>
      </c>
    </row>
    <row r="25" spans="1:29">
      <c r="A25" s="9" t="s">
        <v>46</v>
      </c>
      <c r="B25" s="8" t="s">
        <v>140</v>
      </c>
      <c r="C25" s="8" t="s">
        <v>141</v>
      </c>
      <c r="D25" s="8" t="s">
        <v>88</v>
      </c>
      <c r="E25" s="7" t="s">
        <v>89</v>
      </c>
      <c r="F25" s="7" t="s">
        <v>90</v>
      </c>
      <c r="G25" s="3" t="s">
        <v>52</v>
      </c>
      <c r="H25" s="6" t="s">
        <v>161</v>
      </c>
      <c r="I25" s="3" t="s">
        <v>52</v>
      </c>
      <c r="J25" s="6" t="s">
        <v>162</v>
      </c>
      <c r="K25" s="3"/>
      <c r="L25" s="6"/>
      <c r="M25" s="3" t="s">
        <v>103</v>
      </c>
      <c r="N25" s="6" t="s">
        <v>163</v>
      </c>
      <c r="O25" s="3"/>
      <c r="P25" s="6"/>
      <c r="Q25" s="3" t="s">
        <v>57</v>
      </c>
      <c r="R25" s="6" t="s">
        <v>158</v>
      </c>
      <c r="S25" s="5">
        <f>98.08</f>
        <v>98.08</v>
      </c>
      <c r="T25" s="4">
        <f>730</f>
        <v>730</v>
      </c>
      <c r="U25" s="4"/>
      <c r="V25" s="4"/>
      <c r="W25" s="4">
        <f>715818000</f>
        <v>715818000</v>
      </c>
      <c r="X25" s="4"/>
      <c r="Y25" s="4"/>
      <c r="Z25" s="3"/>
      <c r="AA25" s="2">
        <f>179</f>
        <v>179</v>
      </c>
      <c r="AB25" s="2" t="str">
        <f t="shared" si="0"/>
        <v>－</v>
      </c>
      <c r="AC25" s="1">
        <f>19</f>
        <v>19</v>
      </c>
    </row>
    <row r="26" spans="1:29">
      <c r="A26" s="9" t="s">
        <v>46</v>
      </c>
      <c r="B26" s="8" t="s">
        <v>164</v>
      </c>
      <c r="C26" s="8" t="s">
        <v>165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166</v>
      </c>
      <c r="I26" s="3" t="s">
        <v>142</v>
      </c>
      <c r="J26" s="6" t="s">
        <v>167</v>
      </c>
      <c r="K26" s="3"/>
      <c r="L26" s="6"/>
      <c r="M26" s="3" t="s">
        <v>151</v>
      </c>
      <c r="N26" s="6" t="s">
        <v>168</v>
      </c>
      <c r="O26" s="3"/>
      <c r="P26" s="6"/>
      <c r="Q26" s="3" t="s">
        <v>57</v>
      </c>
      <c r="R26" s="6" t="s">
        <v>168</v>
      </c>
      <c r="S26" s="5">
        <f>4381.95</f>
        <v>4381.95</v>
      </c>
      <c r="T26" s="4">
        <f>928</f>
        <v>928</v>
      </c>
      <c r="U26" s="4"/>
      <c r="V26" s="4">
        <v>9</v>
      </c>
      <c r="W26" s="4">
        <f>2057333500</f>
        <v>2057333500</v>
      </c>
      <c r="X26" s="4"/>
      <c r="Y26" s="4">
        <v>19521500</v>
      </c>
      <c r="Z26" s="3"/>
      <c r="AA26" s="2">
        <f>493</f>
        <v>493</v>
      </c>
      <c r="AB26" s="2" t="str">
        <f t="shared" si="0"/>
        <v>－</v>
      </c>
      <c r="AC26" s="1">
        <f>19</f>
        <v>19</v>
      </c>
    </row>
    <row r="27" spans="1:29">
      <c r="A27" s="9" t="s">
        <v>46</v>
      </c>
      <c r="B27" s="8" t="s">
        <v>164</v>
      </c>
      <c r="C27" s="8" t="s">
        <v>165</v>
      </c>
      <c r="D27" s="8" t="s">
        <v>59</v>
      </c>
      <c r="E27" s="7" t="s">
        <v>60</v>
      </c>
      <c r="F27" s="7" t="s">
        <v>61</v>
      </c>
      <c r="G27" s="3" t="s">
        <v>52</v>
      </c>
      <c r="H27" s="6" t="s">
        <v>169</v>
      </c>
      <c r="I27" s="3" t="s">
        <v>142</v>
      </c>
      <c r="J27" s="6" t="s">
        <v>170</v>
      </c>
      <c r="K27" s="3"/>
      <c r="L27" s="6"/>
      <c r="M27" s="3" t="s">
        <v>103</v>
      </c>
      <c r="N27" s="6" t="s">
        <v>171</v>
      </c>
      <c r="O27" s="3"/>
      <c r="P27" s="6"/>
      <c r="Q27" s="3" t="s">
        <v>57</v>
      </c>
      <c r="R27" s="6" t="s">
        <v>172</v>
      </c>
      <c r="S27" s="5">
        <f>4367.53</f>
        <v>4367.53</v>
      </c>
      <c r="T27" s="4">
        <f>844</f>
        <v>844</v>
      </c>
      <c r="U27" s="4"/>
      <c r="V27" s="4">
        <v>51</v>
      </c>
      <c r="W27" s="4">
        <f>1843696500</f>
        <v>1843696500</v>
      </c>
      <c r="X27" s="4"/>
      <c r="Y27" s="4">
        <v>109611000</v>
      </c>
      <c r="Z27" s="3"/>
      <c r="AA27" s="2">
        <f>734</f>
        <v>734</v>
      </c>
      <c r="AB27" s="2" t="str">
        <f t="shared" si="0"/>
        <v>－</v>
      </c>
      <c r="AC27" s="1">
        <f>19</f>
        <v>19</v>
      </c>
    </row>
    <row r="28" spans="1:29">
      <c r="A28" s="9" t="s">
        <v>46</v>
      </c>
      <c r="B28" s="8" t="s">
        <v>164</v>
      </c>
      <c r="C28" s="8" t="s">
        <v>165</v>
      </c>
      <c r="D28" s="8" t="s">
        <v>66</v>
      </c>
      <c r="E28" s="7" t="s">
        <v>67</v>
      </c>
      <c r="F28" s="7" t="s">
        <v>68</v>
      </c>
      <c r="G28" s="3" t="s">
        <v>52</v>
      </c>
      <c r="H28" s="6" t="s">
        <v>173</v>
      </c>
      <c r="I28" s="3" t="s">
        <v>142</v>
      </c>
      <c r="J28" s="6" t="s">
        <v>174</v>
      </c>
      <c r="K28" s="3"/>
      <c r="L28" s="6"/>
      <c r="M28" s="3" t="s">
        <v>103</v>
      </c>
      <c r="N28" s="6" t="s">
        <v>175</v>
      </c>
      <c r="O28" s="3"/>
      <c r="P28" s="6"/>
      <c r="Q28" s="3" t="s">
        <v>57</v>
      </c>
      <c r="R28" s="6" t="s">
        <v>176</v>
      </c>
      <c r="S28" s="5">
        <f>4345.42</f>
        <v>4345.42</v>
      </c>
      <c r="T28" s="4">
        <f>2165</f>
        <v>2165</v>
      </c>
      <c r="U28" s="4"/>
      <c r="V28" s="4">
        <v>374</v>
      </c>
      <c r="W28" s="4">
        <f>4724759000</f>
        <v>4724759000</v>
      </c>
      <c r="X28" s="4"/>
      <c r="Y28" s="4">
        <v>824500500</v>
      </c>
      <c r="Z28" s="3"/>
      <c r="AA28" s="2">
        <f>1550</f>
        <v>1550</v>
      </c>
      <c r="AB28" s="2" t="str">
        <f t="shared" si="0"/>
        <v>－</v>
      </c>
      <c r="AC28" s="1">
        <f>19</f>
        <v>19</v>
      </c>
    </row>
    <row r="29" spans="1:29">
      <c r="A29" s="9" t="s">
        <v>46</v>
      </c>
      <c r="B29" s="8" t="s">
        <v>164</v>
      </c>
      <c r="C29" s="8" t="s">
        <v>165</v>
      </c>
      <c r="D29" s="8" t="s">
        <v>72</v>
      </c>
      <c r="E29" s="7" t="s">
        <v>73</v>
      </c>
      <c r="F29" s="7" t="s">
        <v>74</v>
      </c>
      <c r="G29" s="3" t="s">
        <v>52</v>
      </c>
      <c r="H29" s="6" t="s">
        <v>177</v>
      </c>
      <c r="I29" s="3" t="s">
        <v>142</v>
      </c>
      <c r="J29" s="6" t="s">
        <v>178</v>
      </c>
      <c r="K29" s="3"/>
      <c r="L29" s="6"/>
      <c r="M29" s="3" t="s">
        <v>151</v>
      </c>
      <c r="N29" s="6" t="s">
        <v>179</v>
      </c>
      <c r="O29" s="3"/>
      <c r="P29" s="6"/>
      <c r="Q29" s="3" t="s">
        <v>57</v>
      </c>
      <c r="R29" s="6" t="s">
        <v>180</v>
      </c>
      <c r="S29" s="5">
        <f>4333.68</f>
        <v>4333.68</v>
      </c>
      <c r="T29" s="4">
        <f>8286</f>
        <v>8286</v>
      </c>
      <c r="U29" s="4"/>
      <c r="V29" s="4">
        <v>2023</v>
      </c>
      <c r="W29" s="4">
        <f>18080402000</f>
        <v>18080402000</v>
      </c>
      <c r="X29" s="4"/>
      <c r="Y29" s="4">
        <v>4433186000</v>
      </c>
      <c r="Z29" s="3"/>
      <c r="AA29" s="2">
        <f>6018</f>
        <v>6018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164</v>
      </c>
      <c r="C30" s="8" t="s">
        <v>165</v>
      </c>
      <c r="D30" s="8" t="s">
        <v>79</v>
      </c>
      <c r="E30" s="7" t="s">
        <v>80</v>
      </c>
      <c r="F30" s="7" t="s">
        <v>81</v>
      </c>
      <c r="G30" s="3" t="s">
        <v>52</v>
      </c>
      <c r="H30" s="6" t="s">
        <v>181</v>
      </c>
      <c r="I30" s="3" t="s">
        <v>142</v>
      </c>
      <c r="J30" s="6" t="s">
        <v>182</v>
      </c>
      <c r="K30" s="3" t="s">
        <v>52</v>
      </c>
      <c r="L30" s="6" t="s">
        <v>183</v>
      </c>
      <c r="M30" s="3" t="s">
        <v>151</v>
      </c>
      <c r="N30" s="6" t="s">
        <v>176</v>
      </c>
      <c r="O30" s="3" t="s">
        <v>184</v>
      </c>
      <c r="P30" s="6" t="s">
        <v>185</v>
      </c>
      <c r="Q30" s="3" t="s">
        <v>57</v>
      </c>
      <c r="R30" s="6" t="s">
        <v>186</v>
      </c>
      <c r="S30" s="5">
        <f>4334.32</f>
        <v>4334.32</v>
      </c>
      <c r="T30" s="4">
        <f>33902</f>
        <v>33902</v>
      </c>
      <c r="U30" s="4">
        <v>18</v>
      </c>
      <c r="V30" s="4">
        <v>7380</v>
      </c>
      <c r="W30" s="4">
        <f>73963729000</f>
        <v>73963729000</v>
      </c>
      <c r="X30" s="4">
        <v>38997000</v>
      </c>
      <c r="Y30" s="4">
        <v>16057589500</v>
      </c>
      <c r="Z30" s="3"/>
      <c r="AA30" s="2">
        <f>9482</f>
        <v>9482</v>
      </c>
      <c r="AB30" s="2" t="str">
        <f t="shared" si="0"/>
        <v>－</v>
      </c>
      <c r="AC30" s="1">
        <f>19</f>
        <v>19</v>
      </c>
    </row>
    <row r="31" spans="1:29">
      <c r="A31" s="9" t="s">
        <v>46</v>
      </c>
      <c r="B31" s="8" t="s">
        <v>164</v>
      </c>
      <c r="C31" s="8" t="s">
        <v>165</v>
      </c>
      <c r="D31" s="8" t="s">
        <v>88</v>
      </c>
      <c r="E31" s="7" t="s">
        <v>89</v>
      </c>
      <c r="F31" s="7" t="s">
        <v>90</v>
      </c>
      <c r="G31" s="3" t="s">
        <v>52</v>
      </c>
      <c r="H31" s="6" t="s">
        <v>181</v>
      </c>
      <c r="I31" s="3" t="s">
        <v>142</v>
      </c>
      <c r="J31" s="6" t="s">
        <v>187</v>
      </c>
      <c r="K31" s="3" t="s">
        <v>103</v>
      </c>
      <c r="L31" s="6" t="s">
        <v>188</v>
      </c>
      <c r="M31" s="3" t="s">
        <v>151</v>
      </c>
      <c r="N31" s="6" t="s">
        <v>189</v>
      </c>
      <c r="O31" s="3" t="s">
        <v>184</v>
      </c>
      <c r="P31" s="6" t="s">
        <v>190</v>
      </c>
      <c r="Q31" s="3" t="s">
        <v>57</v>
      </c>
      <c r="R31" s="6" t="s">
        <v>191</v>
      </c>
      <c r="S31" s="5">
        <f>4332.37</f>
        <v>4332.37</v>
      </c>
      <c r="T31" s="4">
        <f>151673</f>
        <v>151673</v>
      </c>
      <c r="U31" s="4">
        <v>20</v>
      </c>
      <c r="V31" s="4">
        <v>5699</v>
      </c>
      <c r="W31" s="4">
        <f>328432640000</f>
        <v>328432640000</v>
      </c>
      <c r="X31" s="4">
        <v>42625000</v>
      </c>
      <c r="Y31" s="4">
        <v>12375320000</v>
      </c>
      <c r="Z31" s="3"/>
      <c r="AA31" s="2">
        <f>19346</f>
        <v>19346</v>
      </c>
      <c r="AB31" s="2" t="str">
        <f t="shared" si="0"/>
        <v>－</v>
      </c>
      <c r="AC31" s="1">
        <f>19</f>
        <v>19</v>
      </c>
    </row>
    <row r="32" spans="1:29">
      <c r="A32" s="9" t="s">
        <v>46</v>
      </c>
      <c r="B32" s="8" t="s">
        <v>192</v>
      </c>
      <c r="C32" s="8" t="s">
        <v>193</v>
      </c>
      <c r="D32" s="8" t="s">
        <v>49</v>
      </c>
      <c r="E32" s="7" t="s">
        <v>50</v>
      </c>
      <c r="F32" s="7" t="s">
        <v>100</v>
      </c>
      <c r="G32" s="3" t="s">
        <v>52</v>
      </c>
      <c r="H32" s="6" t="s">
        <v>194</v>
      </c>
      <c r="I32" s="3" t="s">
        <v>142</v>
      </c>
      <c r="J32" s="6" t="s">
        <v>195</v>
      </c>
      <c r="K32" s="3"/>
      <c r="L32" s="6"/>
      <c r="M32" s="3" t="s">
        <v>57</v>
      </c>
      <c r="N32" s="6" t="s">
        <v>196</v>
      </c>
      <c r="O32" s="3"/>
      <c r="P32" s="6"/>
      <c r="Q32" s="3" t="s">
        <v>57</v>
      </c>
      <c r="R32" s="6" t="s">
        <v>196</v>
      </c>
      <c r="S32" s="5">
        <f>4381.95</f>
        <v>4381.95</v>
      </c>
      <c r="T32" s="4">
        <f>127</f>
        <v>127</v>
      </c>
      <c r="U32" s="4"/>
      <c r="V32" s="4"/>
      <c r="W32" s="4">
        <f>55859450</f>
        <v>55859450</v>
      </c>
      <c r="X32" s="4"/>
      <c r="Y32" s="4"/>
      <c r="Z32" s="3"/>
      <c r="AA32" s="2">
        <f>216</f>
        <v>216</v>
      </c>
      <c r="AB32" s="2" t="str">
        <f t="shared" si="0"/>
        <v>－</v>
      </c>
      <c r="AC32" s="1">
        <f>16</f>
        <v>16</v>
      </c>
    </row>
    <row r="33" spans="1:29">
      <c r="A33" s="9" t="s">
        <v>46</v>
      </c>
      <c r="B33" s="8" t="s">
        <v>192</v>
      </c>
      <c r="C33" s="8" t="s">
        <v>193</v>
      </c>
      <c r="D33" s="8" t="s">
        <v>59</v>
      </c>
      <c r="E33" s="7" t="s">
        <v>60</v>
      </c>
      <c r="F33" s="7" t="s">
        <v>107</v>
      </c>
      <c r="G33" s="3" t="s">
        <v>52</v>
      </c>
      <c r="H33" s="6" t="s">
        <v>197</v>
      </c>
      <c r="I33" s="3" t="s">
        <v>146</v>
      </c>
      <c r="J33" s="6" t="s">
        <v>198</v>
      </c>
      <c r="K33" s="3"/>
      <c r="L33" s="6"/>
      <c r="M33" s="3" t="s">
        <v>103</v>
      </c>
      <c r="N33" s="6" t="s">
        <v>199</v>
      </c>
      <c r="O33" s="3"/>
      <c r="P33" s="6"/>
      <c r="Q33" s="3" t="s">
        <v>57</v>
      </c>
      <c r="R33" s="6" t="s">
        <v>200</v>
      </c>
      <c r="S33" s="5">
        <f>4367.53</f>
        <v>4367.53</v>
      </c>
      <c r="T33" s="4">
        <f>277</f>
        <v>277</v>
      </c>
      <c r="U33" s="4"/>
      <c r="V33" s="4"/>
      <c r="W33" s="4">
        <f>123502700</f>
        <v>123502700</v>
      </c>
      <c r="X33" s="4"/>
      <c r="Y33" s="4"/>
      <c r="Z33" s="3"/>
      <c r="AA33" s="2">
        <f>196</f>
        <v>196</v>
      </c>
      <c r="AB33" s="2" t="str">
        <f t="shared" si="0"/>
        <v>－</v>
      </c>
      <c r="AC33" s="1">
        <f>15</f>
        <v>15</v>
      </c>
    </row>
    <row r="34" spans="1:29">
      <c r="A34" s="9" t="s">
        <v>46</v>
      </c>
      <c r="B34" s="8" t="s">
        <v>192</v>
      </c>
      <c r="C34" s="8" t="s">
        <v>193</v>
      </c>
      <c r="D34" s="8" t="s">
        <v>66</v>
      </c>
      <c r="E34" s="7" t="s">
        <v>67</v>
      </c>
      <c r="F34" s="7" t="s">
        <v>112</v>
      </c>
      <c r="G34" s="3" t="s">
        <v>52</v>
      </c>
      <c r="H34" s="6" t="s">
        <v>201</v>
      </c>
      <c r="I34" s="3" t="s">
        <v>95</v>
      </c>
      <c r="J34" s="6" t="s">
        <v>202</v>
      </c>
      <c r="K34" s="3"/>
      <c r="L34" s="6"/>
      <c r="M34" s="3" t="s">
        <v>103</v>
      </c>
      <c r="N34" s="6" t="s">
        <v>203</v>
      </c>
      <c r="O34" s="3"/>
      <c r="P34" s="6"/>
      <c r="Q34" s="3" t="s">
        <v>151</v>
      </c>
      <c r="R34" s="6" t="s">
        <v>204</v>
      </c>
      <c r="S34" s="5">
        <f>4345.42</f>
        <v>4345.42</v>
      </c>
      <c r="T34" s="4">
        <f>180</f>
        <v>180</v>
      </c>
      <c r="U34" s="4"/>
      <c r="V34" s="4"/>
      <c r="W34" s="4">
        <f>77859250</f>
        <v>77859250</v>
      </c>
      <c r="X34" s="4"/>
      <c r="Y34" s="4"/>
      <c r="Z34" s="3"/>
      <c r="AA34" s="2">
        <f>186</f>
        <v>186</v>
      </c>
      <c r="AB34" s="2" t="str">
        <f t="shared" si="0"/>
        <v>－</v>
      </c>
      <c r="AC34" s="1">
        <f>16</f>
        <v>16</v>
      </c>
    </row>
    <row r="35" spans="1:29">
      <c r="A35" s="9" t="s">
        <v>46</v>
      </c>
      <c r="B35" s="8" t="s">
        <v>192</v>
      </c>
      <c r="C35" s="8" t="s">
        <v>193</v>
      </c>
      <c r="D35" s="8" t="s">
        <v>72</v>
      </c>
      <c r="E35" s="7" t="s">
        <v>73</v>
      </c>
      <c r="F35" s="7" t="s">
        <v>116</v>
      </c>
      <c r="G35" s="3" t="s">
        <v>52</v>
      </c>
      <c r="H35" s="6" t="s">
        <v>205</v>
      </c>
      <c r="I35" s="3" t="s">
        <v>142</v>
      </c>
      <c r="J35" s="6" t="s">
        <v>206</v>
      </c>
      <c r="K35" s="3"/>
      <c r="L35" s="6"/>
      <c r="M35" s="3" t="s">
        <v>151</v>
      </c>
      <c r="N35" s="6" t="s">
        <v>207</v>
      </c>
      <c r="O35" s="3"/>
      <c r="P35" s="6"/>
      <c r="Q35" s="3" t="s">
        <v>57</v>
      </c>
      <c r="R35" s="6" t="s">
        <v>208</v>
      </c>
      <c r="S35" s="5">
        <f>4333.68</f>
        <v>4333.68</v>
      </c>
      <c r="T35" s="4">
        <f>322</f>
        <v>322</v>
      </c>
      <c r="U35" s="4"/>
      <c r="V35" s="4"/>
      <c r="W35" s="4">
        <f>140050150</f>
        <v>140050150</v>
      </c>
      <c r="X35" s="4"/>
      <c r="Y35" s="4"/>
      <c r="Z35" s="3"/>
      <c r="AA35" s="2">
        <f>508</f>
        <v>508</v>
      </c>
      <c r="AB35" s="2" t="str">
        <f t="shared" si="0"/>
        <v>－</v>
      </c>
      <c r="AC35" s="1">
        <f>18</f>
        <v>18</v>
      </c>
    </row>
    <row r="36" spans="1:29">
      <c r="A36" s="9" t="s">
        <v>46</v>
      </c>
      <c r="B36" s="8" t="s">
        <v>192</v>
      </c>
      <c r="C36" s="8" t="s">
        <v>193</v>
      </c>
      <c r="D36" s="8" t="s">
        <v>79</v>
      </c>
      <c r="E36" s="7" t="s">
        <v>80</v>
      </c>
      <c r="F36" s="7" t="s">
        <v>121</v>
      </c>
      <c r="G36" s="3" t="s">
        <v>52</v>
      </c>
      <c r="H36" s="6" t="s">
        <v>209</v>
      </c>
      <c r="I36" s="3" t="s">
        <v>142</v>
      </c>
      <c r="J36" s="6" t="s">
        <v>210</v>
      </c>
      <c r="K36" s="3"/>
      <c r="L36" s="6"/>
      <c r="M36" s="3" t="s">
        <v>151</v>
      </c>
      <c r="N36" s="6" t="s">
        <v>211</v>
      </c>
      <c r="O36" s="3"/>
      <c r="P36" s="6"/>
      <c r="Q36" s="3" t="s">
        <v>57</v>
      </c>
      <c r="R36" s="6" t="s">
        <v>212</v>
      </c>
      <c r="S36" s="5">
        <f>4334.32</f>
        <v>4334.32</v>
      </c>
      <c r="T36" s="4">
        <f>1678</f>
        <v>1678</v>
      </c>
      <c r="U36" s="4"/>
      <c r="V36" s="4">
        <v>1</v>
      </c>
      <c r="W36" s="4">
        <f>735165700</f>
        <v>735165700</v>
      </c>
      <c r="X36" s="4"/>
      <c r="Y36" s="4">
        <v>428950</v>
      </c>
      <c r="Z36" s="3"/>
      <c r="AA36" s="2">
        <f>779</f>
        <v>779</v>
      </c>
      <c r="AB36" s="2" t="str">
        <f t="shared" si="0"/>
        <v>－</v>
      </c>
      <c r="AC36" s="1">
        <f>19</f>
        <v>19</v>
      </c>
    </row>
    <row r="37" spans="1:29">
      <c r="A37" s="9" t="s">
        <v>46</v>
      </c>
      <c r="B37" s="8" t="s">
        <v>192</v>
      </c>
      <c r="C37" s="8" t="s">
        <v>193</v>
      </c>
      <c r="D37" s="8" t="s">
        <v>88</v>
      </c>
      <c r="E37" s="7" t="s">
        <v>89</v>
      </c>
      <c r="F37" s="7" t="s">
        <v>128</v>
      </c>
      <c r="G37" s="3" t="s">
        <v>52</v>
      </c>
      <c r="H37" s="6" t="s">
        <v>213</v>
      </c>
      <c r="I37" s="3" t="s">
        <v>142</v>
      </c>
      <c r="J37" s="6" t="s">
        <v>214</v>
      </c>
      <c r="K37" s="3"/>
      <c r="L37" s="6"/>
      <c r="M37" s="3" t="s">
        <v>151</v>
      </c>
      <c r="N37" s="6" t="s">
        <v>215</v>
      </c>
      <c r="O37" s="3"/>
      <c r="P37" s="6"/>
      <c r="Q37" s="3" t="s">
        <v>57</v>
      </c>
      <c r="R37" s="6" t="s">
        <v>216</v>
      </c>
      <c r="S37" s="5">
        <f>4332.37</f>
        <v>4332.37</v>
      </c>
      <c r="T37" s="4">
        <f>20164</f>
        <v>20164</v>
      </c>
      <c r="U37" s="4"/>
      <c r="V37" s="4">
        <v>1</v>
      </c>
      <c r="W37" s="4">
        <f>8751675500</f>
        <v>8751675500</v>
      </c>
      <c r="X37" s="4"/>
      <c r="Y37" s="4">
        <v>428950</v>
      </c>
      <c r="Z37" s="3"/>
      <c r="AA37" s="2">
        <f>1458</f>
        <v>1458</v>
      </c>
      <c r="AB37" s="2" t="str">
        <f t="shared" si="0"/>
        <v>－</v>
      </c>
      <c r="AC37" s="1">
        <f>19</f>
        <v>19</v>
      </c>
    </row>
    <row r="38" spans="1:29">
      <c r="A38" s="9" t="s">
        <v>46</v>
      </c>
      <c r="B38" s="8" t="s">
        <v>217</v>
      </c>
      <c r="C38" s="8" t="s">
        <v>218</v>
      </c>
      <c r="D38" s="8" t="s">
        <v>135</v>
      </c>
      <c r="E38" s="7" t="s">
        <v>135</v>
      </c>
      <c r="F38" s="7" t="s">
        <v>135</v>
      </c>
      <c r="G38" s="3" t="s">
        <v>52</v>
      </c>
      <c r="H38" s="6" t="s">
        <v>219</v>
      </c>
      <c r="I38" s="3" t="s">
        <v>142</v>
      </c>
      <c r="J38" s="6" t="s">
        <v>220</v>
      </c>
      <c r="K38" s="3"/>
      <c r="L38" s="6"/>
      <c r="M38" s="3" t="s">
        <v>103</v>
      </c>
      <c r="N38" s="6" t="s">
        <v>221</v>
      </c>
      <c r="O38" s="3"/>
      <c r="P38" s="6"/>
      <c r="Q38" s="3" t="s">
        <v>57</v>
      </c>
      <c r="R38" s="6" t="s">
        <v>222</v>
      </c>
      <c r="S38" s="5">
        <f>4382.58</f>
        <v>4382.58</v>
      </c>
      <c r="T38" s="4">
        <f>32423</f>
        <v>32423</v>
      </c>
      <c r="U38" s="4"/>
      <c r="V38" s="4"/>
      <c r="W38" s="4">
        <f>14294548400</f>
        <v>14294548400</v>
      </c>
      <c r="X38" s="4"/>
      <c r="Y38" s="4"/>
      <c r="Z38" s="3"/>
      <c r="AA38" s="2">
        <f>23252</f>
        <v>23252</v>
      </c>
      <c r="AB38" s="2" t="str">
        <f t="shared" si="0"/>
        <v>－</v>
      </c>
      <c r="AC38" s="1">
        <f>19</f>
        <v>19</v>
      </c>
    </row>
    <row r="39" spans="1:29">
      <c r="A39" s="9" t="s">
        <v>46</v>
      </c>
      <c r="B39" s="8" t="s">
        <v>223</v>
      </c>
      <c r="C39" s="8" t="s">
        <v>224</v>
      </c>
      <c r="D39" s="8" t="s">
        <v>49</v>
      </c>
      <c r="E39" s="7" t="s">
        <v>50</v>
      </c>
      <c r="F39" s="7" t="s">
        <v>51</v>
      </c>
      <c r="G39" s="3"/>
      <c r="H39" s="6" t="s">
        <v>135</v>
      </c>
      <c r="I39" s="3"/>
      <c r="J39" s="6" t="s">
        <v>135</v>
      </c>
      <c r="K39" s="3"/>
      <c r="L39" s="6"/>
      <c r="M39" s="3"/>
      <c r="N39" s="6" t="s">
        <v>135</v>
      </c>
      <c r="O39" s="3"/>
      <c r="P39" s="6"/>
      <c r="Q39" s="3"/>
      <c r="R39" s="6" t="s">
        <v>135</v>
      </c>
      <c r="S39" s="5">
        <f t="shared" ref="S39:S44" si="1">7542.11</f>
        <v>7542.11</v>
      </c>
      <c r="T39" s="4" t="str">
        <f t="shared" ref="T39:T51" si="2">"－"</f>
        <v>－</v>
      </c>
      <c r="U39" s="4"/>
      <c r="V39" s="4"/>
      <c r="W39" s="4" t="str">
        <f t="shared" ref="W39:W51" si="3">"－"</f>
        <v>－</v>
      </c>
      <c r="X39" s="4"/>
      <c r="Y39" s="4"/>
      <c r="Z39" s="3"/>
      <c r="AA39" s="2">
        <f>6</f>
        <v>6</v>
      </c>
      <c r="AB39" s="2" t="str">
        <f t="shared" ref="AB39:AB70" si="4">"－"</f>
        <v>－</v>
      </c>
      <c r="AC39" s="1" t="str">
        <f t="shared" ref="AC39:AC51" si="5">"－"</f>
        <v>－</v>
      </c>
    </row>
    <row r="40" spans="1:29">
      <c r="A40" s="9" t="s">
        <v>46</v>
      </c>
      <c r="B40" s="8" t="s">
        <v>223</v>
      </c>
      <c r="C40" s="8" t="s">
        <v>224</v>
      </c>
      <c r="D40" s="8" t="s">
        <v>59</v>
      </c>
      <c r="E40" s="7" t="s">
        <v>60</v>
      </c>
      <c r="F40" s="7" t="s">
        <v>61</v>
      </c>
      <c r="G40" s="3"/>
      <c r="H40" s="6" t="s">
        <v>135</v>
      </c>
      <c r="I40" s="3"/>
      <c r="J40" s="6" t="s">
        <v>135</v>
      </c>
      <c r="K40" s="3"/>
      <c r="L40" s="6"/>
      <c r="M40" s="3"/>
      <c r="N40" s="6" t="s">
        <v>135</v>
      </c>
      <c r="O40" s="3"/>
      <c r="P40" s="6"/>
      <c r="Q40" s="3"/>
      <c r="R40" s="6" t="s">
        <v>135</v>
      </c>
      <c r="S40" s="5">
        <f t="shared" si="1"/>
        <v>7542.11</v>
      </c>
      <c r="T40" s="4" t="str">
        <f t="shared" si="2"/>
        <v>－</v>
      </c>
      <c r="U40" s="4"/>
      <c r="V40" s="4"/>
      <c r="W40" s="4" t="str">
        <f t="shared" si="3"/>
        <v>－</v>
      </c>
      <c r="X40" s="4"/>
      <c r="Y40" s="4"/>
      <c r="Z40" s="3"/>
      <c r="AA40" s="2" t="str">
        <f>"－"</f>
        <v>－</v>
      </c>
      <c r="AB40" s="2" t="str">
        <f t="shared" si="4"/>
        <v>－</v>
      </c>
      <c r="AC40" s="1" t="str">
        <f t="shared" si="5"/>
        <v>－</v>
      </c>
    </row>
    <row r="41" spans="1:29">
      <c r="A41" s="9" t="s">
        <v>46</v>
      </c>
      <c r="B41" s="8" t="s">
        <v>223</v>
      </c>
      <c r="C41" s="8" t="s">
        <v>224</v>
      </c>
      <c r="D41" s="8" t="s">
        <v>66</v>
      </c>
      <c r="E41" s="7" t="s">
        <v>67</v>
      </c>
      <c r="F41" s="7" t="s">
        <v>68</v>
      </c>
      <c r="G41" s="3"/>
      <c r="H41" s="6" t="s">
        <v>135</v>
      </c>
      <c r="I41" s="3"/>
      <c r="J41" s="6" t="s">
        <v>135</v>
      </c>
      <c r="K41" s="3"/>
      <c r="L41" s="6"/>
      <c r="M41" s="3"/>
      <c r="N41" s="6" t="s">
        <v>135</v>
      </c>
      <c r="O41" s="3"/>
      <c r="P41" s="6"/>
      <c r="Q41" s="3"/>
      <c r="R41" s="6" t="s">
        <v>135</v>
      </c>
      <c r="S41" s="5">
        <f t="shared" si="1"/>
        <v>7542.11</v>
      </c>
      <c r="T41" s="4" t="str">
        <f t="shared" si="2"/>
        <v>－</v>
      </c>
      <c r="U41" s="4"/>
      <c r="V41" s="4"/>
      <c r="W41" s="4" t="str">
        <f t="shared" si="3"/>
        <v>－</v>
      </c>
      <c r="X41" s="4"/>
      <c r="Y41" s="4"/>
      <c r="Z41" s="3"/>
      <c r="AA41" s="2" t="str">
        <f>"－"</f>
        <v>－</v>
      </c>
      <c r="AB41" s="2" t="str">
        <f t="shared" si="4"/>
        <v>－</v>
      </c>
      <c r="AC41" s="1" t="str">
        <f t="shared" si="5"/>
        <v>－</v>
      </c>
    </row>
    <row r="42" spans="1:29">
      <c r="A42" s="9" t="s">
        <v>46</v>
      </c>
      <c r="B42" s="8" t="s">
        <v>223</v>
      </c>
      <c r="C42" s="8" t="s">
        <v>224</v>
      </c>
      <c r="D42" s="8" t="s">
        <v>72</v>
      </c>
      <c r="E42" s="7" t="s">
        <v>73</v>
      </c>
      <c r="F42" s="7" t="s">
        <v>74</v>
      </c>
      <c r="G42" s="3"/>
      <c r="H42" s="6" t="s">
        <v>135</v>
      </c>
      <c r="I42" s="3"/>
      <c r="J42" s="6" t="s">
        <v>135</v>
      </c>
      <c r="K42" s="3"/>
      <c r="L42" s="6"/>
      <c r="M42" s="3"/>
      <c r="N42" s="6" t="s">
        <v>135</v>
      </c>
      <c r="O42" s="3"/>
      <c r="P42" s="6"/>
      <c r="Q42" s="3"/>
      <c r="R42" s="6" t="s">
        <v>135</v>
      </c>
      <c r="S42" s="5">
        <f t="shared" si="1"/>
        <v>7542.11</v>
      </c>
      <c r="T42" s="4" t="str">
        <f t="shared" si="2"/>
        <v>－</v>
      </c>
      <c r="U42" s="4"/>
      <c r="V42" s="4"/>
      <c r="W42" s="4" t="str">
        <f t="shared" si="3"/>
        <v>－</v>
      </c>
      <c r="X42" s="4"/>
      <c r="Y42" s="4"/>
      <c r="Z42" s="3"/>
      <c r="AA42" s="2" t="str">
        <f>"－"</f>
        <v>－</v>
      </c>
      <c r="AB42" s="2" t="str">
        <f t="shared" si="4"/>
        <v>－</v>
      </c>
      <c r="AC42" s="1" t="str">
        <f t="shared" si="5"/>
        <v>－</v>
      </c>
    </row>
    <row r="43" spans="1:29">
      <c r="A43" s="9" t="s">
        <v>46</v>
      </c>
      <c r="B43" s="8" t="s">
        <v>223</v>
      </c>
      <c r="C43" s="8" t="s">
        <v>224</v>
      </c>
      <c r="D43" s="8" t="s">
        <v>79</v>
      </c>
      <c r="E43" s="7" t="s">
        <v>80</v>
      </c>
      <c r="F43" s="7" t="s">
        <v>81</v>
      </c>
      <c r="G43" s="3"/>
      <c r="H43" s="6" t="s">
        <v>135</v>
      </c>
      <c r="I43" s="3"/>
      <c r="J43" s="6" t="s">
        <v>135</v>
      </c>
      <c r="K43" s="3"/>
      <c r="L43" s="6"/>
      <c r="M43" s="3"/>
      <c r="N43" s="6" t="s">
        <v>135</v>
      </c>
      <c r="O43" s="3"/>
      <c r="P43" s="6"/>
      <c r="Q43" s="3"/>
      <c r="R43" s="6" t="s">
        <v>135</v>
      </c>
      <c r="S43" s="5">
        <f t="shared" si="1"/>
        <v>7542.11</v>
      </c>
      <c r="T43" s="4" t="str">
        <f t="shared" si="2"/>
        <v>－</v>
      </c>
      <c r="U43" s="4"/>
      <c r="V43" s="4"/>
      <c r="W43" s="4" t="str">
        <f t="shared" si="3"/>
        <v>－</v>
      </c>
      <c r="X43" s="4"/>
      <c r="Y43" s="4"/>
      <c r="Z43" s="3"/>
      <c r="AA43" s="2">
        <f>3</f>
        <v>3</v>
      </c>
      <c r="AB43" s="2" t="str">
        <f t="shared" si="4"/>
        <v>－</v>
      </c>
      <c r="AC43" s="1" t="str">
        <f t="shared" si="5"/>
        <v>－</v>
      </c>
    </row>
    <row r="44" spans="1:29">
      <c r="A44" s="9" t="s">
        <v>46</v>
      </c>
      <c r="B44" s="8" t="s">
        <v>223</v>
      </c>
      <c r="C44" s="8" t="s">
        <v>224</v>
      </c>
      <c r="D44" s="8" t="s">
        <v>88</v>
      </c>
      <c r="E44" s="7" t="s">
        <v>89</v>
      </c>
      <c r="F44" s="7" t="s">
        <v>90</v>
      </c>
      <c r="G44" s="3"/>
      <c r="H44" s="6" t="s">
        <v>135</v>
      </c>
      <c r="I44" s="3"/>
      <c r="J44" s="6" t="s">
        <v>135</v>
      </c>
      <c r="K44" s="3"/>
      <c r="L44" s="6"/>
      <c r="M44" s="3"/>
      <c r="N44" s="6" t="s">
        <v>135</v>
      </c>
      <c r="O44" s="3"/>
      <c r="P44" s="6"/>
      <c r="Q44" s="3"/>
      <c r="R44" s="6" t="s">
        <v>135</v>
      </c>
      <c r="S44" s="5">
        <f t="shared" si="1"/>
        <v>7542.11</v>
      </c>
      <c r="T44" s="4" t="str">
        <f t="shared" si="2"/>
        <v>－</v>
      </c>
      <c r="U44" s="4"/>
      <c r="V44" s="4"/>
      <c r="W44" s="4" t="str">
        <f t="shared" si="3"/>
        <v>－</v>
      </c>
      <c r="X44" s="4"/>
      <c r="Y44" s="4"/>
      <c r="Z44" s="3"/>
      <c r="AA44" s="2" t="str">
        <f>"－"</f>
        <v>－</v>
      </c>
      <c r="AB44" s="2" t="str">
        <f t="shared" si="4"/>
        <v>－</v>
      </c>
      <c r="AC44" s="1" t="str">
        <f t="shared" si="5"/>
        <v>－</v>
      </c>
    </row>
    <row r="45" spans="1:29">
      <c r="A45" s="9" t="s">
        <v>46</v>
      </c>
      <c r="B45" s="8" t="s">
        <v>225</v>
      </c>
      <c r="C45" s="8" t="s">
        <v>226</v>
      </c>
      <c r="D45" s="8" t="s">
        <v>46</v>
      </c>
      <c r="E45" s="7" t="s">
        <v>227</v>
      </c>
      <c r="F45" s="7" t="s">
        <v>228</v>
      </c>
      <c r="G45" s="3"/>
      <c r="H45" s="6" t="s">
        <v>135</v>
      </c>
      <c r="I45" s="3"/>
      <c r="J45" s="6" t="s">
        <v>135</v>
      </c>
      <c r="K45" s="3"/>
      <c r="L45" s="6"/>
      <c r="M45" s="3"/>
      <c r="N45" s="6" t="s">
        <v>135</v>
      </c>
      <c r="O45" s="3"/>
      <c r="P45" s="6"/>
      <c r="Q45" s="3"/>
      <c r="R45" s="6" t="s">
        <v>135</v>
      </c>
      <c r="S45" s="5">
        <f>195.8</f>
        <v>195.8</v>
      </c>
      <c r="T45" s="4" t="str">
        <f t="shared" si="2"/>
        <v>－</v>
      </c>
      <c r="U45" s="4"/>
      <c r="V45" s="4"/>
      <c r="W45" s="4" t="str">
        <f t="shared" si="3"/>
        <v>－</v>
      </c>
      <c r="X45" s="4"/>
      <c r="Y45" s="4"/>
      <c r="Z45" s="3" t="s">
        <v>229</v>
      </c>
      <c r="AA45" s="2">
        <f>1</f>
        <v>1</v>
      </c>
      <c r="AB45" s="2" t="str">
        <f t="shared" si="4"/>
        <v>－</v>
      </c>
      <c r="AC45" s="1" t="str">
        <f t="shared" si="5"/>
        <v>－</v>
      </c>
    </row>
    <row r="46" spans="1:29">
      <c r="A46" s="9" t="s">
        <v>46</v>
      </c>
      <c r="B46" s="8" t="s">
        <v>225</v>
      </c>
      <c r="C46" s="8" t="s">
        <v>226</v>
      </c>
      <c r="D46" s="8" t="s">
        <v>49</v>
      </c>
      <c r="E46" s="7" t="s">
        <v>230</v>
      </c>
      <c r="F46" s="7" t="s">
        <v>231</v>
      </c>
      <c r="G46" s="3"/>
      <c r="H46" s="6" t="s">
        <v>135</v>
      </c>
      <c r="I46" s="3"/>
      <c r="J46" s="6" t="s">
        <v>135</v>
      </c>
      <c r="K46" s="3"/>
      <c r="L46" s="6"/>
      <c r="M46" s="3"/>
      <c r="N46" s="6" t="s">
        <v>135</v>
      </c>
      <c r="O46" s="3"/>
      <c r="P46" s="6"/>
      <c r="Q46" s="3"/>
      <c r="R46" s="6" t="s">
        <v>135</v>
      </c>
      <c r="S46" s="5">
        <f>202.68</f>
        <v>202.68</v>
      </c>
      <c r="T46" s="4" t="str">
        <f t="shared" si="2"/>
        <v>－</v>
      </c>
      <c r="U46" s="4"/>
      <c r="V46" s="4"/>
      <c r="W46" s="4" t="str">
        <f t="shared" si="3"/>
        <v>－</v>
      </c>
      <c r="X46" s="4"/>
      <c r="Y46" s="4"/>
      <c r="Z46" s="3"/>
      <c r="AA46" s="2" t="str">
        <f t="shared" ref="AA46:AA51" si="6">"－"</f>
        <v>－</v>
      </c>
      <c r="AB46" s="2" t="str">
        <f t="shared" si="4"/>
        <v>－</v>
      </c>
      <c r="AC46" s="1" t="str">
        <f t="shared" si="5"/>
        <v>－</v>
      </c>
    </row>
    <row r="47" spans="1:29">
      <c r="A47" s="9" t="s">
        <v>46</v>
      </c>
      <c r="B47" s="8" t="s">
        <v>225</v>
      </c>
      <c r="C47" s="8" t="s">
        <v>226</v>
      </c>
      <c r="D47" s="8" t="s">
        <v>232</v>
      </c>
      <c r="E47" s="7" t="s">
        <v>233</v>
      </c>
      <c r="F47" s="7" t="s">
        <v>234</v>
      </c>
      <c r="G47" s="3"/>
      <c r="H47" s="6" t="s">
        <v>135</v>
      </c>
      <c r="I47" s="3"/>
      <c r="J47" s="6" t="s">
        <v>135</v>
      </c>
      <c r="K47" s="3"/>
      <c r="L47" s="6"/>
      <c r="M47" s="3"/>
      <c r="N47" s="6" t="s">
        <v>135</v>
      </c>
      <c r="O47" s="3"/>
      <c r="P47" s="6"/>
      <c r="Q47" s="3"/>
      <c r="R47" s="6" t="s">
        <v>135</v>
      </c>
      <c r="S47" s="5">
        <f>203.01</f>
        <v>203.01</v>
      </c>
      <c r="T47" s="4" t="str">
        <f t="shared" si="2"/>
        <v>－</v>
      </c>
      <c r="U47" s="4"/>
      <c r="V47" s="4"/>
      <c r="W47" s="4" t="str">
        <f t="shared" si="3"/>
        <v>－</v>
      </c>
      <c r="X47" s="4"/>
      <c r="Y47" s="4"/>
      <c r="Z47" s="3"/>
      <c r="AA47" s="2" t="str">
        <f t="shared" si="6"/>
        <v>－</v>
      </c>
      <c r="AB47" s="2" t="str">
        <f t="shared" si="4"/>
        <v>－</v>
      </c>
      <c r="AC47" s="1" t="str">
        <f t="shared" si="5"/>
        <v>－</v>
      </c>
    </row>
    <row r="48" spans="1:29">
      <c r="A48" s="9" t="s">
        <v>46</v>
      </c>
      <c r="B48" s="8" t="s">
        <v>225</v>
      </c>
      <c r="C48" s="8" t="s">
        <v>226</v>
      </c>
      <c r="D48" s="8" t="s">
        <v>59</v>
      </c>
      <c r="E48" s="7" t="s">
        <v>235</v>
      </c>
      <c r="F48" s="7" t="s">
        <v>236</v>
      </c>
      <c r="G48" s="3"/>
      <c r="H48" s="6" t="s">
        <v>135</v>
      </c>
      <c r="I48" s="3"/>
      <c r="J48" s="6" t="s">
        <v>135</v>
      </c>
      <c r="K48" s="3"/>
      <c r="L48" s="6"/>
      <c r="M48" s="3"/>
      <c r="N48" s="6" t="s">
        <v>135</v>
      </c>
      <c r="O48" s="3"/>
      <c r="P48" s="6"/>
      <c r="Q48" s="3"/>
      <c r="R48" s="6" t="s">
        <v>135</v>
      </c>
      <c r="S48" s="5">
        <f>201.88</f>
        <v>201.88</v>
      </c>
      <c r="T48" s="4" t="str">
        <f t="shared" si="2"/>
        <v>－</v>
      </c>
      <c r="U48" s="4"/>
      <c r="V48" s="4"/>
      <c r="W48" s="4" t="str">
        <f t="shared" si="3"/>
        <v>－</v>
      </c>
      <c r="X48" s="4"/>
      <c r="Y48" s="4"/>
      <c r="Z48" s="3"/>
      <c r="AA48" s="2" t="str">
        <f t="shared" si="6"/>
        <v>－</v>
      </c>
      <c r="AB48" s="2" t="str">
        <f t="shared" si="4"/>
        <v>－</v>
      </c>
      <c r="AC48" s="1" t="str">
        <f t="shared" si="5"/>
        <v>－</v>
      </c>
    </row>
    <row r="49" spans="1:29">
      <c r="A49" s="9" t="s">
        <v>46</v>
      </c>
      <c r="B49" s="8" t="s">
        <v>225</v>
      </c>
      <c r="C49" s="8" t="s">
        <v>226</v>
      </c>
      <c r="D49" s="8" t="s">
        <v>237</v>
      </c>
      <c r="E49" s="7" t="s">
        <v>238</v>
      </c>
      <c r="F49" s="7" t="s">
        <v>239</v>
      </c>
      <c r="G49" s="3"/>
      <c r="H49" s="6" t="s">
        <v>135</v>
      </c>
      <c r="I49" s="3"/>
      <c r="J49" s="6" t="s">
        <v>135</v>
      </c>
      <c r="K49" s="3"/>
      <c r="L49" s="6"/>
      <c r="M49" s="3"/>
      <c r="N49" s="6" t="s">
        <v>135</v>
      </c>
      <c r="O49" s="3"/>
      <c r="P49" s="6"/>
      <c r="Q49" s="3"/>
      <c r="R49" s="6" t="s">
        <v>135</v>
      </c>
      <c r="S49" s="5">
        <f>200.72</f>
        <v>200.72</v>
      </c>
      <c r="T49" s="4" t="str">
        <f t="shared" si="2"/>
        <v>－</v>
      </c>
      <c r="U49" s="4"/>
      <c r="V49" s="4"/>
      <c r="W49" s="4" t="str">
        <f t="shared" si="3"/>
        <v>－</v>
      </c>
      <c r="X49" s="4"/>
      <c r="Y49" s="4"/>
      <c r="Z49" s="3"/>
      <c r="AA49" s="2" t="str">
        <f t="shared" si="6"/>
        <v>－</v>
      </c>
      <c r="AB49" s="2" t="str">
        <f t="shared" si="4"/>
        <v>－</v>
      </c>
      <c r="AC49" s="1" t="str">
        <f t="shared" si="5"/>
        <v>－</v>
      </c>
    </row>
    <row r="50" spans="1:29">
      <c r="A50" s="9" t="s">
        <v>46</v>
      </c>
      <c r="B50" s="8" t="s">
        <v>225</v>
      </c>
      <c r="C50" s="8" t="s">
        <v>226</v>
      </c>
      <c r="D50" s="8" t="s">
        <v>66</v>
      </c>
      <c r="E50" s="7" t="s">
        <v>240</v>
      </c>
      <c r="F50" s="7" t="s">
        <v>241</v>
      </c>
      <c r="G50" s="3"/>
      <c r="H50" s="6" t="s">
        <v>135</v>
      </c>
      <c r="I50" s="3"/>
      <c r="J50" s="6" t="s">
        <v>135</v>
      </c>
      <c r="K50" s="3"/>
      <c r="L50" s="6"/>
      <c r="M50" s="3"/>
      <c r="N50" s="6" t="s">
        <v>135</v>
      </c>
      <c r="O50" s="3"/>
      <c r="P50" s="6"/>
      <c r="Q50" s="3"/>
      <c r="R50" s="6" t="s">
        <v>135</v>
      </c>
      <c r="S50" s="5">
        <f>199.58</f>
        <v>199.58</v>
      </c>
      <c r="T50" s="4" t="str">
        <f t="shared" si="2"/>
        <v>－</v>
      </c>
      <c r="U50" s="4"/>
      <c r="V50" s="4"/>
      <c r="W50" s="4" t="str">
        <f t="shared" si="3"/>
        <v>－</v>
      </c>
      <c r="X50" s="4"/>
      <c r="Y50" s="4"/>
      <c r="Z50" s="3"/>
      <c r="AA50" s="2" t="str">
        <f t="shared" si="6"/>
        <v>－</v>
      </c>
      <c r="AB50" s="2" t="str">
        <f t="shared" si="4"/>
        <v>－</v>
      </c>
      <c r="AC50" s="1" t="str">
        <f t="shared" si="5"/>
        <v>－</v>
      </c>
    </row>
    <row r="51" spans="1:29">
      <c r="A51" s="9" t="s">
        <v>46</v>
      </c>
      <c r="B51" s="8" t="s">
        <v>225</v>
      </c>
      <c r="C51" s="8" t="s">
        <v>226</v>
      </c>
      <c r="D51" s="8" t="s">
        <v>242</v>
      </c>
      <c r="E51" s="7" t="s">
        <v>243</v>
      </c>
      <c r="F51" s="7" t="s">
        <v>244</v>
      </c>
      <c r="G51" s="3"/>
      <c r="H51" s="6" t="s">
        <v>135</v>
      </c>
      <c r="I51" s="3"/>
      <c r="J51" s="6" t="s">
        <v>135</v>
      </c>
      <c r="K51" s="3"/>
      <c r="L51" s="6"/>
      <c r="M51" s="3"/>
      <c r="N51" s="6" t="s">
        <v>135</v>
      </c>
      <c r="O51" s="3"/>
      <c r="P51" s="6"/>
      <c r="Q51" s="3"/>
      <c r="R51" s="6" t="s">
        <v>135</v>
      </c>
      <c r="S51" s="5">
        <f>198.62</f>
        <v>198.62</v>
      </c>
      <c r="T51" s="4" t="str">
        <f t="shared" si="2"/>
        <v>－</v>
      </c>
      <c r="U51" s="4"/>
      <c r="V51" s="4"/>
      <c r="W51" s="4" t="str">
        <f t="shared" si="3"/>
        <v>－</v>
      </c>
      <c r="X51" s="4"/>
      <c r="Y51" s="4"/>
      <c r="Z51" s="3"/>
      <c r="AA51" s="2" t="str">
        <f t="shared" si="6"/>
        <v>－</v>
      </c>
      <c r="AB51" s="2" t="str">
        <f t="shared" si="4"/>
        <v>－</v>
      </c>
      <c r="AC51" s="1" t="str">
        <f t="shared" si="5"/>
        <v>－</v>
      </c>
    </row>
    <row r="52" spans="1:29">
      <c r="A52" s="9" t="s">
        <v>46</v>
      </c>
      <c r="B52" s="8" t="s">
        <v>245</v>
      </c>
      <c r="C52" s="8" t="s">
        <v>246</v>
      </c>
      <c r="D52" s="8" t="s">
        <v>46</v>
      </c>
      <c r="E52" s="7" t="s">
        <v>247</v>
      </c>
      <c r="F52" s="7" t="s">
        <v>248</v>
      </c>
      <c r="G52" s="3" t="s">
        <v>52</v>
      </c>
      <c r="H52" s="6" t="s">
        <v>249</v>
      </c>
      <c r="I52" s="3" t="s">
        <v>54</v>
      </c>
      <c r="J52" s="6" t="s">
        <v>250</v>
      </c>
      <c r="K52" s="3" t="s">
        <v>54</v>
      </c>
      <c r="L52" s="6" t="s">
        <v>251</v>
      </c>
      <c r="M52" s="3" t="s">
        <v>124</v>
      </c>
      <c r="N52" s="6" t="s">
        <v>252</v>
      </c>
      <c r="O52" s="3" t="s">
        <v>155</v>
      </c>
      <c r="P52" s="6" t="s">
        <v>253</v>
      </c>
      <c r="Q52" s="3" t="s">
        <v>54</v>
      </c>
      <c r="R52" s="6" t="s">
        <v>254</v>
      </c>
      <c r="S52" s="5">
        <f>212.41</f>
        <v>212.41</v>
      </c>
      <c r="T52" s="4">
        <f>500</f>
        <v>500</v>
      </c>
      <c r="U52" s="4">
        <v>3</v>
      </c>
      <c r="V52" s="4">
        <v>24</v>
      </c>
      <c r="W52" s="4">
        <f>518015000</f>
        <v>518015000</v>
      </c>
      <c r="X52" s="4">
        <v>3266000</v>
      </c>
      <c r="Y52" s="4">
        <v>24921500</v>
      </c>
      <c r="Z52" s="3" t="s">
        <v>229</v>
      </c>
      <c r="AA52" s="2">
        <f>62</f>
        <v>62</v>
      </c>
      <c r="AB52" s="2" t="str">
        <f t="shared" si="4"/>
        <v>－</v>
      </c>
      <c r="AC52" s="1">
        <f>15</f>
        <v>15</v>
      </c>
    </row>
    <row r="53" spans="1:29">
      <c r="A53" s="9" t="s">
        <v>46</v>
      </c>
      <c r="B53" s="8" t="s">
        <v>245</v>
      </c>
      <c r="C53" s="8" t="s">
        <v>246</v>
      </c>
      <c r="D53" s="8" t="s">
        <v>49</v>
      </c>
      <c r="E53" s="7" t="s">
        <v>255</v>
      </c>
      <c r="F53" s="7" t="s">
        <v>100</v>
      </c>
      <c r="G53" s="3" t="s">
        <v>52</v>
      </c>
      <c r="H53" s="6" t="s">
        <v>256</v>
      </c>
      <c r="I53" s="3" t="s">
        <v>184</v>
      </c>
      <c r="J53" s="6" t="s">
        <v>257</v>
      </c>
      <c r="K53" s="3" t="s">
        <v>258</v>
      </c>
      <c r="L53" s="6" t="s">
        <v>259</v>
      </c>
      <c r="M53" s="3" t="s">
        <v>52</v>
      </c>
      <c r="N53" s="6" t="s">
        <v>260</v>
      </c>
      <c r="O53" s="3" t="s">
        <v>258</v>
      </c>
      <c r="P53" s="6" t="s">
        <v>259</v>
      </c>
      <c r="Q53" s="3" t="s">
        <v>57</v>
      </c>
      <c r="R53" s="6" t="s">
        <v>261</v>
      </c>
      <c r="S53" s="5">
        <f>213.21</f>
        <v>213.21</v>
      </c>
      <c r="T53" s="4">
        <f>403</f>
        <v>403</v>
      </c>
      <c r="U53" s="4">
        <v>1</v>
      </c>
      <c r="V53" s="4">
        <v>34</v>
      </c>
      <c r="W53" s="4">
        <f>424482500</f>
        <v>424482500</v>
      </c>
      <c r="X53" s="4">
        <v>1044500</v>
      </c>
      <c r="Y53" s="4">
        <v>35759500</v>
      </c>
      <c r="Z53" s="3"/>
      <c r="AA53" s="2">
        <f>577</f>
        <v>577</v>
      </c>
      <c r="AB53" s="2" t="str">
        <f t="shared" si="4"/>
        <v>－</v>
      </c>
      <c r="AC53" s="1">
        <f>19</f>
        <v>19</v>
      </c>
    </row>
    <row r="54" spans="1:29">
      <c r="A54" s="9" t="s">
        <v>46</v>
      </c>
      <c r="B54" s="8" t="s">
        <v>245</v>
      </c>
      <c r="C54" s="8" t="s">
        <v>246</v>
      </c>
      <c r="D54" s="8" t="s">
        <v>232</v>
      </c>
      <c r="E54" s="7" t="s">
        <v>262</v>
      </c>
      <c r="F54" s="7" t="s">
        <v>263</v>
      </c>
      <c r="G54" s="3" t="s">
        <v>52</v>
      </c>
      <c r="H54" s="6" t="s">
        <v>264</v>
      </c>
      <c r="I54" s="3" t="s">
        <v>184</v>
      </c>
      <c r="J54" s="6" t="s">
        <v>265</v>
      </c>
      <c r="K54" s="3"/>
      <c r="L54" s="6"/>
      <c r="M54" s="3" t="s">
        <v>52</v>
      </c>
      <c r="N54" s="6" t="s">
        <v>266</v>
      </c>
      <c r="O54" s="3"/>
      <c r="P54" s="6"/>
      <c r="Q54" s="3" t="s">
        <v>57</v>
      </c>
      <c r="R54" s="6" t="s">
        <v>267</v>
      </c>
      <c r="S54" s="5">
        <f>217.25</f>
        <v>217.25</v>
      </c>
      <c r="T54" s="4">
        <f>647</f>
        <v>647</v>
      </c>
      <c r="U54" s="4"/>
      <c r="V54" s="4">
        <v>102</v>
      </c>
      <c r="W54" s="4">
        <f>703620500</f>
        <v>703620500</v>
      </c>
      <c r="X54" s="4"/>
      <c r="Y54" s="4">
        <v>110910000</v>
      </c>
      <c r="Z54" s="3"/>
      <c r="AA54" s="2">
        <f>1016</f>
        <v>1016</v>
      </c>
      <c r="AB54" s="2" t="str">
        <f t="shared" si="4"/>
        <v>－</v>
      </c>
      <c r="AC54" s="1">
        <f>19</f>
        <v>19</v>
      </c>
    </row>
    <row r="55" spans="1:29">
      <c r="A55" s="9" t="s">
        <v>46</v>
      </c>
      <c r="B55" s="8" t="s">
        <v>245</v>
      </c>
      <c r="C55" s="8" t="s">
        <v>246</v>
      </c>
      <c r="D55" s="8" t="s">
        <v>59</v>
      </c>
      <c r="E55" s="7" t="s">
        <v>268</v>
      </c>
      <c r="F55" s="7" t="s">
        <v>107</v>
      </c>
      <c r="G55" s="3" t="s">
        <v>52</v>
      </c>
      <c r="H55" s="6" t="s">
        <v>269</v>
      </c>
      <c r="I55" s="3" t="s">
        <v>184</v>
      </c>
      <c r="J55" s="6" t="s">
        <v>270</v>
      </c>
      <c r="K55" s="3"/>
      <c r="L55" s="6"/>
      <c r="M55" s="3" t="s">
        <v>52</v>
      </c>
      <c r="N55" s="6" t="s">
        <v>271</v>
      </c>
      <c r="O55" s="3"/>
      <c r="P55" s="6"/>
      <c r="Q55" s="3" t="s">
        <v>57</v>
      </c>
      <c r="R55" s="6" t="s">
        <v>272</v>
      </c>
      <c r="S55" s="5">
        <f>222.01</f>
        <v>222.01</v>
      </c>
      <c r="T55" s="4">
        <f>2425</f>
        <v>2425</v>
      </c>
      <c r="U55" s="4"/>
      <c r="V55" s="4">
        <v>547</v>
      </c>
      <c r="W55" s="4">
        <f>2688617500</f>
        <v>2688617500</v>
      </c>
      <c r="X55" s="4"/>
      <c r="Y55" s="4">
        <v>606763500</v>
      </c>
      <c r="Z55" s="3"/>
      <c r="AA55" s="2">
        <f>793</f>
        <v>793</v>
      </c>
      <c r="AB55" s="2" t="str">
        <f t="shared" si="4"/>
        <v>－</v>
      </c>
      <c r="AC55" s="1">
        <f>19</f>
        <v>19</v>
      </c>
    </row>
    <row r="56" spans="1:29">
      <c r="A56" s="9" t="s">
        <v>46</v>
      </c>
      <c r="B56" s="8" t="s">
        <v>245</v>
      </c>
      <c r="C56" s="8" t="s">
        <v>246</v>
      </c>
      <c r="D56" s="8" t="s">
        <v>237</v>
      </c>
      <c r="E56" s="7" t="s">
        <v>273</v>
      </c>
      <c r="F56" s="7" t="s">
        <v>274</v>
      </c>
      <c r="G56" s="3" t="s">
        <v>52</v>
      </c>
      <c r="H56" s="6" t="s">
        <v>261</v>
      </c>
      <c r="I56" s="3" t="s">
        <v>184</v>
      </c>
      <c r="J56" s="6" t="s">
        <v>275</v>
      </c>
      <c r="K56" s="3"/>
      <c r="L56" s="6"/>
      <c r="M56" s="3" t="s">
        <v>52</v>
      </c>
      <c r="N56" s="6" t="s">
        <v>276</v>
      </c>
      <c r="O56" s="3"/>
      <c r="P56" s="6"/>
      <c r="Q56" s="3" t="s">
        <v>57</v>
      </c>
      <c r="R56" s="6" t="s">
        <v>277</v>
      </c>
      <c r="S56" s="5">
        <f>225.94</f>
        <v>225.94</v>
      </c>
      <c r="T56" s="4">
        <f>12350</f>
        <v>12350</v>
      </c>
      <c r="U56" s="4"/>
      <c r="V56" s="4">
        <v>4236</v>
      </c>
      <c r="W56" s="4">
        <f>13931425500</f>
        <v>13931425500</v>
      </c>
      <c r="X56" s="4"/>
      <c r="Y56" s="4">
        <v>4775560000</v>
      </c>
      <c r="Z56" s="3"/>
      <c r="AA56" s="2">
        <f>2717</f>
        <v>2717</v>
      </c>
      <c r="AB56" s="2" t="str">
        <f t="shared" si="4"/>
        <v>－</v>
      </c>
      <c r="AC56" s="1">
        <f>19</f>
        <v>19</v>
      </c>
    </row>
    <row r="57" spans="1:29">
      <c r="A57" s="9" t="s">
        <v>46</v>
      </c>
      <c r="B57" s="8" t="s">
        <v>245</v>
      </c>
      <c r="C57" s="8" t="s">
        <v>246</v>
      </c>
      <c r="D57" s="8" t="s">
        <v>66</v>
      </c>
      <c r="E57" s="7" t="s">
        <v>278</v>
      </c>
      <c r="F57" s="7" t="s">
        <v>112</v>
      </c>
      <c r="G57" s="3" t="s">
        <v>52</v>
      </c>
      <c r="H57" s="6" t="s">
        <v>279</v>
      </c>
      <c r="I57" s="3" t="s">
        <v>184</v>
      </c>
      <c r="J57" s="6" t="s">
        <v>280</v>
      </c>
      <c r="K57" s="3"/>
      <c r="L57" s="6"/>
      <c r="M57" s="3" t="s">
        <v>52</v>
      </c>
      <c r="N57" s="6" t="s">
        <v>281</v>
      </c>
      <c r="O57" s="3"/>
      <c r="P57" s="6"/>
      <c r="Q57" s="3" t="s">
        <v>57</v>
      </c>
      <c r="R57" s="6" t="s">
        <v>282</v>
      </c>
      <c r="S57" s="5">
        <f>227.35</f>
        <v>227.35</v>
      </c>
      <c r="T57" s="4">
        <f>21856</f>
        <v>21856</v>
      </c>
      <c r="U57" s="4"/>
      <c r="V57" s="4">
        <v>5817</v>
      </c>
      <c r="W57" s="4">
        <f>24866475500</f>
        <v>24866475500</v>
      </c>
      <c r="X57" s="4"/>
      <c r="Y57" s="4">
        <v>6642993000</v>
      </c>
      <c r="Z57" s="3"/>
      <c r="AA57" s="2">
        <f>4611</f>
        <v>4611</v>
      </c>
      <c r="AB57" s="2" t="str">
        <f t="shared" si="4"/>
        <v>－</v>
      </c>
      <c r="AC57" s="1">
        <f>19</f>
        <v>19</v>
      </c>
    </row>
    <row r="58" spans="1:29">
      <c r="A58" s="9" t="s">
        <v>46</v>
      </c>
      <c r="B58" s="8" t="s">
        <v>245</v>
      </c>
      <c r="C58" s="8" t="s">
        <v>246</v>
      </c>
      <c r="D58" s="8" t="s">
        <v>242</v>
      </c>
      <c r="E58" s="7" t="s">
        <v>283</v>
      </c>
      <c r="F58" s="7" t="s">
        <v>284</v>
      </c>
      <c r="G58" s="3" t="s">
        <v>258</v>
      </c>
      <c r="H58" s="6" t="s">
        <v>285</v>
      </c>
      <c r="I58" s="3" t="s">
        <v>184</v>
      </c>
      <c r="J58" s="6" t="s">
        <v>286</v>
      </c>
      <c r="K58" s="3"/>
      <c r="L58" s="6"/>
      <c r="M58" s="3" t="s">
        <v>258</v>
      </c>
      <c r="N58" s="6" t="s">
        <v>285</v>
      </c>
      <c r="O58" s="3"/>
      <c r="P58" s="6"/>
      <c r="Q58" s="3" t="s">
        <v>57</v>
      </c>
      <c r="R58" s="6" t="s">
        <v>287</v>
      </c>
      <c r="S58" s="5">
        <f>228.11</f>
        <v>228.11</v>
      </c>
      <c r="T58" s="4">
        <f>3446</f>
        <v>3446</v>
      </c>
      <c r="U58" s="4"/>
      <c r="V58" s="4">
        <v>2099</v>
      </c>
      <c r="W58" s="4">
        <f>4024134000</f>
        <v>4024134000</v>
      </c>
      <c r="X58" s="4"/>
      <c r="Y58" s="4">
        <v>2452023500</v>
      </c>
      <c r="Z58" s="3"/>
      <c r="AA58" s="2">
        <f>2114</f>
        <v>2114</v>
      </c>
      <c r="AB58" s="2" t="str">
        <f t="shared" si="4"/>
        <v>－</v>
      </c>
      <c r="AC58" s="1">
        <f>16</f>
        <v>16</v>
      </c>
    </row>
    <row r="59" spans="1:29">
      <c r="A59" s="9" t="s">
        <v>46</v>
      </c>
      <c r="B59" s="8" t="s">
        <v>245</v>
      </c>
      <c r="C59" s="8" t="s">
        <v>246</v>
      </c>
      <c r="D59" s="8" t="s">
        <v>72</v>
      </c>
      <c r="E59" s="7" t="s">
        <v>288</v>
      </c>
      <c r="F59" s="7" t="s">
        <v>116</v>
      </c>
      <c r="G59" s="3" t="s">
        <v>184</v>
      </c>
      <c r="H59" s="6" t="s">
        <v>289</v>
      </c>
      <c r="I59" s="3" t="s">
        <v>184</v>
      </c>
      <c r="J59" s="6" t="s">
        <v>290</v>
      </c>
      <c r="K59" s="3"/>
      <c r="L59" s="6"/>
      <c r="M59" s="3" t="s">
        <v>151</v>
      </c>
      <c r="N59" s="6" t="s">
        <v>291</v>
      </c>
      <c r="O59" s="3"/>
      <c r="P59" s="6"/>
      <c r="Q59" s="3" t="s">
        <v>151</v>
      </c>
      <c r="R59" s="6" t="s">
        <v>291</v>
      </c>
      <c r="S59" s="5">
        <f>228.31</f>
        <v>228.31</v>
      </c>
      <c r="T59" s="4">
        <f>4</f>
        <v>4</v>
      </c>
      <c r="U59" s="4"/>
      <c r="V59" s="4">
        <v>1</v>
      </c>
      <c r="W59" s="4">
        <f>4743500</f>
        <v>4743500</v>
      </c>
      <c r="X59" s="4"/>
      <c r="Y59" s="4">
        <v>1182500</v>
      </c>
      <c r="Z59" s="3"/>
      <c r="AA59" s="2">
        <f>7</f>
        <v>7</v>
      </c>
      <c r="AB59" s="2" t="str">
        <f t="shared" si="4"/>
        <v>－</v>
      </c>
      <c r="AC59" s="1">
        <f>2</f>
        <v>2</v>
      </c>
    </row>
    <row r="60" spans="1:29">
      <c r="A60" s="9" t="s">
        <v>46</v>
      </c>
      <c r="B60" s="8" t="s">
        <v>245</v>
      </c>
      <c r="C60" s="8" t="s">
        <v>246</v>
      </c>
      <c r="D60" s="8" t="s">
        <v>292</v>
      </c>
      <c r="E60" s="7" t="s">
        <v>293</v>
      </c>
      <c r="F60" s="7" t="s">
        <v>294</v>
      </c>
      <c r="G60" s="3"/>
      <c r="H60" s="6" t="s">
        <v>135</v>
      </c>
      <c r="I60" s="3"/>
      <c r="J60" s="6" t="s">
        <v>135</v>
      </c>
      <c r="K60" s="3"/>
      <c r="L60" s="6"/>
      <c r="M60" s="3"/>
      <c r="N60" s="6" t="s">
        <v>135</v>
      </c>
      <c r="O60" s="3"/>
      <c r="P60" s="6"/>
      <c r="Q60" s="3"/>
      <c r="R60" s="6" t="s">
        <v>135</v>
      </c>
      <c r="S60" s="5">
        <f>228.79</f>
        <v>228.79</v>
      </c>
      <c r="T60" s="4" t="str">
        <f>"－"</f>
        <v>－</v>
      </c>
      <c r="U60" s="4"/>
      <c r="V60" s="4"/>
      <c r="W60" s="4" t="str">
        <f>"－"</f>
        <v>－</v>
      </c>
      <c r="X60" s="4"/>
      <c r="Y60" s="4"/>
      <c r="Z60" s="3"/>
      <c r="AA60" s="2">
        <f>16</f>
        <v>16</v>
      </c>
      <c r="AB60" s="2" t="str">
        <f t="shared" si="4"/>
        <v>－</v>
      </c>
      <c r="AC60" s="1" t="str">
        <f>"－"</f>
        <v>－</v>
      </c>
    </row>
    <row r="61" spans="1:29">
      <c r="A61" s="9" t="s">
        <v>46</v>
      </c>
      <c r="B61" s="8" t="s">
        <v>245</v>
      </c>
      <c r="C61" s="8" t="s">
        <v>246</v>
      </c>
      <c r="D61" s="8" t="s">
        <v>79</v>
      </c>
      <c r="E61" s="7" t="s">
        <v>295</v>
      </c>
      <c r="F61" s="7" t="s">
        <v>121</v>
      </c>
      <c r="G61" s="3"/>
      <c r="H61" s="6" t="s">
        <v>135</v>
      </c>
      <c r="I61" s="3"/>
      <c r="J61" s="6" t="s">
        <v>135</v>
      </c>
      <c r="K61" s="3"/>
      <c r="L61" s="6"/>
      <c r="M61" s="3"/>
      <c r="N61" s="6" t="s">
        <v>135</v>
      </c>
      <c r="O61" s="3"/>
      <c r="P61" s="6"/>
      <c r="Q61" s="3"/>
      <c r="R61" s="6" t="s">
        <v>135</v>
      </c>
      <c r="S61" s="5">
        <f>230.16</f>
        <v>230.16</v>
      </c>
      <c r="T61" s="4" t="str">
        <f>"－"</f>
        <v>－</v>
      </c>
      <c r="U61" s="4"/>
      <c r="V61" s="4"/>
      <c r="W61" s="4" t="str">
        <f>"－"</f>
        <v>－</v>
      </c>
      <c r="X61" s="4"/>
      <c r="Y61" s="4"/>
      <c r="Z61" s="3"/>
      <c r="AA61" s="2">
        <f>1</f>
        <v>1</v>
      </c>
      <c r="AB61" s="2" t="str">
        <f t="shared" si="4"/>
        <v>－</v>
      </c>
      <c r="AC61" s="1" t="str">
        <f>"－"</f>
        <v>－</v>
      </c>
    </row>
    <row r="62" spans="1:29">
      <c r="A62" s="9" t="s">
        <v>46</v>
      </c>
      <c r="B62" s="8" t="s">
        <v>245</v>
      </c>
      <c r="C62" s="8" t="s">
        <v>246</v>
      </c>
      <c r="D62" s="8" t="s">
        <v>296</v>
      </c>
      <c r="E62" s="7" t="s">
        <v>297</v>
      </c>
      <c r="F62" s="7" t="s">
        <v>298</v>
      </c>
      <c r="G62" s="3" t="s">
        <v>92</v>
      </c>
      <c r="H62" s="6" t="s">
        <v>299</v>
      </c>
      <c r="I62" s="3" t="s">
        <v>184</v>
      </c>
      <c r="J62" s="6" t="s">
        <v>300</v>
      </c>
      <c r="K62" s="3"/>
      <c r="L62" s="6"/>
      <c r="M62" s="3" t="s">
        <v>92</v>
      </c>
      <c r="N62" s="6" t="s">
        <v>299</v>
      </c>
      <c r="O62" s="3"/>
      <c r="P62" s="6"/>
      <c r="Q62" s="3" t="s">
        <v>184</v>
      </c>
      <c r="R62" s="6" t="s">
        <v>300</v>
      </c>
      <c r="S62" s="5">
        <f>231.13</f>
        <v>231.13</v>
      </c>
      <c r="T62" s="4">
        <f>4</f>
        <v>4</v>
      </c>
      <c r="U62" s="4"/>
      <c r="V62" s="4"/>
      <c r="W62" s="4">
        <f>4700000</f>
        <v>4700000</v>
      </c>
      <c r="X62" s="4"/>
      <c r="Y62" s="4"/>
      <c r="Z62" s="3"/>
      <c r="AA62" s="2">
        <f>8</f>
        <v>8</v>
      </c>
      <c r="AB62" s="2" t="str">
        <f t="shared" si="4"/>
        <v>－</v>
      </c>
      <c r="AC62" s="1">
        <f>2</f>
        <v>2</v>
      </c>
    </row>
    <row r="63" spans="1:29">
      <c r="A63" s="9" t="s">
        <v>46</v>
      </c>
      <c r="B63" s="8" t="s">
        <v>245</v>
      </c>
      <c r="C63" s="8" t="s">
        <v>246</v>
      </c>
      <c r="D63" s="8" t="s">
        <v>88</v>
      </c>
      <c r="E63" s="7" t="s">
        <v>301</v>
      </c>
      <c r="F63" s="7" t="s">
        <v>128</v>
      </c>
      <c r="G63" s="3" t="s">
        <v>52</v>
      </c>
      <c r="H63" s="6" t="s">
        <v>302</v>
      </c>
      <c r="I63" s="3" t="s">
        <v>151</v>
      </c>
      <c r="J63" s="6" t="s">
        <v>289</v>
      </c>
      <c r="K63" s="3"/>
      <c r="L63" s="6"/>
      <c r="M63" s="3" t="s">
        <v>52</v>
      </c>
      <c r="N63" s="6" t="s">
        <v>302</v>
      </c>
      <c r="O63" s="3"/>
      <c r="P63" s="6"/>
      <c r="Q63" s="3" t="s">
        <v>151</v>
      </c>
      <c r="R63" s="6" t="s">
        <v>289</v>
      </c>
      <c r="S63" s="5">
        <f>228.26</f>
        <v>228.26</v>
      </c>
      <c r="T63" s="4">
        <f>18</f>
        <v>18</v>
      </c>
      <c r="U63" s="4"/>
      <c r="V63" s="4"/>
      <c r="W63" s="4">
        <f>20736500</f>
        <v>20736500</v>
      </c>
      <c r="X63" s="4"/>
      <c r="Y63" s="4"/>
      <c r="Z63" s="3"/>
      <c r="AA63" s="2">
        <f>5</f>
        <v>5</v>
      </c>
      <c r="AB63" s="2" t="str">
        <f t="shared" si="4"/>
        <v>－</v>
      </c>
      <c r="AC63" s="1">
        <f>6</f>
        <v>6</v>
      </c>
    </row>
    <row r="64" spans="1:29">
      <c r="A64" s="9" t="s">
        <v>46</v>
      </c>
      <c r="B64" s="8" t="s">
        <v>245</v>
      </c>
      <c r="C64" s="8" t="s">
        <v>246</v>
      </c>
      <c r="D64" s="8" t="s">
        <v>303</v>
      </c>
      <c r="E64" s="7" t="s">
        <v>304</v>
      </c>
      <c r="F64" s="7" t="s">
        <v>305</v>
      </c>
      <c r="G64" s="3" t="s">
        <v>184</v>
      </c>
      <c r="H64" s="6" t="s">
        <v>306</v>
      </c>
      <c r="I64" s="3" t="s">
        <v>184</v>
      </c>
      <c r="J64" s="6" t="s">
        <v>306</v>
      </c>
      <c r="K64" s="3"/>
      <c r="L64" s="6"/>
      <c r="M64" s="3" t="s">
        <v>151</v>
      </c>
      <c r="N64" s="6" t="s">
        <v>307</v>
      </c>
      <c r="O64" s="3"/>
      <c r="P64" s="6"/>
      <c r="Q64" s="3" t="s">
        <v>151</v>
      </c>
      <c r="R64" s="6" t="s">
        <v>282</v>
      </c>
      <c r="S64" s="5">
        <f>232.8</f>
        <v>232.8</v>
      </c>
      <c r="T64" s="4">
        <f>17</f>
        <v>17</v>
      </c>
      <c r="U64" s="4"/>
      <c r="V64" s="4"/>
      <c r="W64" s="4">
        <f>19400000</f>
        <v>19400000</v>
      </c>
      <c r="X64" s="4"/>
      <c r="Y64" s="4"/>
      <c r="Z64" s="3"/>
      <c r="AA64" s="2">
        <f>10</f>
        <v>10</v>
      </c>
      <c r="AB64" s="2" t="str">
        <f t="shared" si="4"/>
        <v>－</v>
      </c>
      <c r="AC64" s="1">
        <f>2</f>
        <v>2</v>
      </c>
    </row>
    <row r="65" spans="1:29">
      <c r="A65" s="9" t="s">
        <v>46</v>
      </c>
      <c r="B65" s="8" t="s">
        <v>308</v>
      </c>
      <c r="C65" s="8" t="s">
        <v>309</v>
      </c>
      <c r="D65" s="8" t="s">
        <v>49</v>
      </c>
      <c r="E65" s="7" t="s">
        <v>310</v>
      </c>
      <c r="F65" s="7" t="s">
        <v>311</v>
      </c>
      <c r="G65" s="3"/>
      <c r="H65" s="6" t="s">
        <v>135</v>
      </c>
      <c r="I65" s="3"/>
      <c r="J65" s="6" t="s">
        <v>135</v>
      </c>
      <c r="K65" s="3"/>
      <c r="L65" s="6"/>
      <c r="M65" s="3"/>
      <c r="N65" s="6" t="s">
        <v>135</v>
      </c>
      <c r="O65" s="3"/>
      <c r="P65" s="6"/>
      <c r="Q65" s="3"/>
      <c r="R65" s="6" t="s">
        <v>135</v>
      </c>
      <c r="S65" s="5">
        <f>183.79</f>
        <v>183.79</v>
      </c>
      <c r="T65" s="4" t="str">
        <f t="shared" ref="T65:T76" si="7">"－"</f>
        <v>－</v>
      </c>
      <c r="U65" s="4"/>
      <c r="V65" s="4"/>
      <c r="W65" s="4" t="str">
        <f t="shared" ref="W65:W76" si="8">"－"</f>
        <v>－</v>
      </c>
      <c r="X65" s="4"/>
      <c r="Y65" s="4"/>
      <c r="Z65" s="3" t="s">
        <v>229</v>
      </c>
      <c r="AA65" s="2" t="str">
        <f t="shared" ref="AA65:AA76" si="9">"－"</f>
        <v>－</v>
      </c>
      <c r="AB65" s="2" t="str">
        <f t="shared" si="4"/>
        <v>－</v>
      </c>
      <c r="AC65" s="1" t="str">
        <f t="shared" ref="AC65:AC76" si="10">"－"</f>
        <v>－</v>
      </c>
    </row>
    <row r="66" spans="1:29">
      <c r="A66" s="9" t="s">
        <v>46</v>
      </c>
      <c r="B66" s="8" t="s">
        <v>308</v>
      </c>
      <c r="C66" s="8" t="s">
        <v>309</v>
      </c>
      <c r="D66" s="8" t="s">
        <v>232</v>
      </c>
      <c r="E66" s="7" t="s">
        <v>312</v>
      </c>
      <c r="F66" s="7" t="s">
        <v>313</v>
      </c>
      <c r="G66" s="3"/>
      <c r="H66" s="6" t="s">
        <v>135</v>
      </c>
      <c r="I66" s="3"/>
      <c r="J66" s="6" t="s">
        <v>135</v>
      </c>
      <c r="K66" s="3"/>
      <c r="L66" s="6"/>
      <c r="M66" s="3"/>
      <c r="N66" s="6" t="s">
        <v>135</v>
      </c>
      <c r="O66" s="3"/>
      <c r="P66" s="6"/>
      <c r="Q66" s="3"/>
      <c r="R66" s="6" t="s">
        <v>135</v>
      </c>
      <c r="S66" s="5">
        <f>183.79</f>
        <v>183.79</v>
      </c>
      <c r="T66" s="4" t="str">
        <f t="shared" si="7"/>
        <v>－</v>
      </c>
      <c r="U66" s="4"/>
      <c r="V66" s="4"/>
      <c r="W66" s="4" t="str">
        <f t="shared" si="8"/>
        <v>－</v>
      </c>
      <c r="X66" s="4"/>
      <c r="Y66" s="4"/>
      <c r="Z66" s="3"/>
      <c r="AA66" s="2" t="str">
        <f t="shared" si="9"/>
        <v>－</v>
      </c>
      <c r="AB66" s="2" t="str">
        <f t="shared" si="4"/>
        <v>－</v>
      </c>
      <c r="AC66" s="1" t="str">
        <f t="shared" si="10"/>
        <v>－</v>
      </c>
    </row>
    <row r="67" spans="1:29">
      <c r="A67" s="9" t="s">
        <v>46</v>
      </c>
      <c r="B67" s="8" t="s">
        <v>308</v>
      </c>
      <c r="C67" s="8" t="s">
        <v>309</v>
      </c>
      <c r="D67" s="8" t="s">
        <v>59</v>
      </c>
      <c r="E67" s="7" t="s">
        <v>314</v>
      </c>
      <c r="F67" s="7" t="s">
        <v>315</v>
      </c>
      <c r="G67" s="3"/>
      <c r="H67" s="6" t="s">
        <v>135</v>
      </c>
      <c r="I67" s="3"/>
      <c r="J67" s="6" t="s">
        <v>135</v>
      </c>
      <c r="K67" s="3"/>
      <c r="L67" s="6"/>
      <c r="M67" s="3"/>
      <c r="N67" s="6" t="s">
        <v>135</v>
      </c>
      <c r="O67" s="3"/>
      <c r="P67" s="6"/>
      <c r="Q67" s="3"/>
      <c r="R67" s="6" t="s">
        <v>135</v>
      </c>
      <c r="S67" s="5">
        <f>184.58</f>
        <v>184.58</v>
      </c>
      <c r="T67" s="4" t="str">
        <f t="shared" si="7"/>
        <v>－</v>
      </c>
      <c r="U67" s="4"/>
      <c r="V67" s="4"/>
      <c r="W67" s="4" t="str">
        <f t="shared" si="8"/>
        <v>－</v>
      </c>
      <c r="X67" s="4"/>
      <c r="Y67" s="4"/>
      <c r="Z67" s="3"/>
      <c r="AA67" s="2" t="str">
        <f t="shared" si="9"/>
        <v>－</v>
      </c>
      <c r="AB67" s="2" t="str">
        <f t="shared" si="4"/>
        <v>－</v>
      </c>
      <c r="AC67" s="1" t="str">
        <f t="shared" si="10"/>
        <v>－</v>
      </c>
    </row>
    <row r="68" spans="1:29">
      <c r="A68" s="9" t="s">
        <v>46</v>
      </c>
      <c r="B68" s="8" t="s">
        <v>308</v>
      </c>
      <c r="C68" s="8" t="s">
        <v>309</v>
      </c>
      <c r="D68" s="8" t="s">
        <v>237</v>
      </c>
      <c r="E68" s="7" t="s">
        <v>316</v>
      </c>
      <c r="F68" s="7" t="s">
        <v>317</v>
      </c>
      <c r="G68" s="3"/>
      <c r="H68" s="6" t="s">
        <v>135</v>
      </c>
      <c r="I68" s="3"/>
      <c r="J68" s="6" t="s">
        <v>135</v>
      </c>
      <c r="K68" s="3"/>
      <c r="L68" s="6"/>
      <c r="M68" s="3"/>
      <c r="N68" s="6" t="s">
        <v>135</v>
      </c>
      <c r="O68" s="3"/>
      <c r="P68" s="6"/>
      <c r="Q68" s="3"/>
      <c r="R68" s="6" t="s">
        <v>135</v>
      </c>
      <c r="S68" s="5">
        <f>184.79</f>
        <v>184.79</v>
      </c>
      <c r="T68" s="4" t="str">
        <f t="shared" si="7"/>
        <v>－</v>
      </c>
      <c r="U68" s="4"/>
      <c r="V68" s="4"/>
      <c r="W68" s="4" t="str">
        <f t="shared" si="8"/>
        <v>－</v>
      </c>
      <c r="X68" s="4"/>
      <c r="Y68" s="4"/>
      <c r="Z68" s="3"/>
      <c r="AA68" s="2" t="str">
        <f t="shared" si="9"/>
        <v>－</v>
      </c>
      <c r="AB68" s="2" t="str">
        <f t="shared" si="4"/>
        <v>－</v>
      </c>
      <c r="AC68" s="1" t="str">
        <f t="shared" si="10"/>
        <v>－</v>
      </c>
    </row>
    <row r="69" spans="1:29">
      <c r="A69" s="9" t="s">
        <v>46</v>
      </c>
      <c r="B69" s="8" t="s">
        <v>308</v>
      </c>
      <c r="C69" s="8" t="s">
        <v>309</v>
      </c>
      <c r="D69" s="8" t="s">
        <v>66</v>
      </c>
      <c r="E69" s="7" t="s">
        <v>318</v>
      </c>
      <c r="F69" s="7" t="s">
        <v>319</v>
      </c>
      <c r="G69" s="3"/>
      <c r="H69" s="6" t="s">
        <v>135</v>
      </c>
      <c r="I69" s="3"/>
      <c r="J69" s="6" t="s">
        <v>135</v>
      </c>
      <c r="K69" s="3"/>
      <c r="L69" s="6"/>
      <c r="M69" s="3"/>
      <c r="N69" s="6" t="s">
        <v>135</v>
      </c>
      <c r="O69" s="3"/>
      <c r="P69" s="6"/>
      <c r="Q69" s="3"/>
      <c r="R69" s="6" t="s">
        <v>135</v>
      </c>
      <c r="S69" s="5">
        <f>184.79</f>
        <v>184.79</v>
      </c>
      <c r="T69" s="4" t="str">
        <f t="shared" si="7"/>
        <v>－</v>
      </c>
      <c r="U69" s="4"/>
      <c r="V69" s="4"/>
      <c r="W69" s="4" t="str">
        <f t="shared" si="8"/>
        <v>－</v>
      </c>
      <c r="X69" s="4"/>
      <c r="Y69" s="4"/>
      <c r="Z69" s="3"/>
      <c r="AA69" s="2" t="str">
        <f t="shared" si="9"/>
        <v>－</v>
      </c>
      <c r="AB69" s="2" t="str">
        <f t="shared" si="4"/>
        <v>－</v>
      </c>
      <c r="AC69" s="1" t="str">
        <f t="shared" si="10"/>
        <v>－</v>
      </c>
    </row>
    <row r="70" spans="1:29">
      <c r="A70" s="9" t="s">
        <v>46</v>
      </c>
      <c r="B70" s="8" t="s">
        <v>308</v>
      </c>
      <c r="C70" s="8" t="s">
        <v>309</v>
      </c>
      <c r="D70" s="8" t="s">
        <v>242</v>
      </c>
      <c r="E70" s="7" t="s">
        <v>320</v>
      </c>
      <c r="F70" s="7" t="s">
        <v>321</v>
      </c>
      <c r="G70" s="3"/>
      <c r="H70" s="6" t="s">
        <v>135</v>
      </c>
      <c r="I70" s="3"/>
      <c r="J70" s="6" t="s">
        <v>135</v>
      </c>
      <c r="K70" s="3"/>
      <c r="L70" s="6"/>
      <c r="M70" s="3"/>
      <c r="N70" s="6" t="s">
        <v>135</v>
      </c>
      <c r="O70" s="3"/>
      <c r="P70" s="6"/>
      <c r="Q70" s="3"/>
      <c r="R70" s="6" t="s">
        <v>135</v>
      </c>
      <c r="S70" s="5">
        <f>185.74</f>
        <v>185.74</v>
      </c>
      <c r="T70" s="4" t="str">
        <f t="shared" si="7"/>
        <v>－</v>
      </c>
      <c r="U70" s="4"/>
      <c r="V70" s="4"/>
      <c r="W70" s="4" t="str">
        <f t="shared" si="8"/>
        <v>－</v>
      </c>
      <c r="X70" s="4"/>
      <c r="Y70" s="4"/>
      <c r="Z70" s="3"/>
      <c r="AA70" s="2" t="str">
        <f t="shared" si="9"/>
        <v>－</v>
      </c>
      <c r="AB70" s="2" t="str">
        <f t="shared" si="4"/>
        <v>－</v>
      </c>
      <c r="AC70" s="1" t="str">
        <f t="shared" si="10"/>
        <v>－</v>
      </c>
    </row>
    <row r="71" spans="1:29">
      <c r="A71" s="9" t="s">
        <v>46</v>
      </c>
      <c r="B71" s="8" t="s">
        <v>308</v>
      </c>
      <c r="C71" s="8" t="s">
        <v>309</v>
      </c>
      <c r="D71" s="8" t="s">
        <v>72</v>
      </c>
      <c r="E71" s="7" t="s">
        <v>322</v>
      </c>
      <c r="F71" s="7" t="s">
        <v>323</v>
      </c>
      <c r="G71" s="3"/>
      <c r="H71" s="6" t="s">
        <v>135</v>
      </c>
      <c r="I71" s="3"/>
      <c r="J71" s="6" t="s">
        <v>135</v>
      </c>
      <c r="K71" s="3"/>
      <c r="L71" s="6"/>
      <c r="M71" s="3"/>
      <c r="N71" s="6" t="s">
        <v>135</v>
      </c>
      <c r="O71" s="3"/>
      <c r="P71" s="6"/>
      <c r="Q71" s="3"/>
      <c r="R71" s="6" t="s">
        <v>135</v>
      </c>
      <c r="S71" s="5">
        <f>185.74</f>
        <v>185.74</v>
      </c>
      <c r="T71" s="4" t="str">
        <f t="shared" si="7"/>
        <v>－</v>
      </c>
      <c r="U71" s="4"/>
      <c r="V71" s="4"/>
      <c r="W71" s="4" t="str">
        <f t="shared" si="8"/>
        <v>－</v>
      </c>
      <c r="X71" s="4"/>
      <c r="Y71" s="4"/>
      <c r="Z71" s="3"/>
      <c r="AA71" s="2" t="str">
        <f t="shared" si="9"/>
        <v>－</v>
      </c>
      <c r="AB71" s="2" t="str">
        <f t="shared" ref="AB71:AB95" si="11">"－"</f>
        <v>－</v>
      </c>
      <c r="AC71" s="1" t="str">
        <f t="shared" si="10"/>
        <v>－</v>
      </c>
    </row>
    <row r="72" spans="1:29">
      <c r="A72" s="9" t="s">
        <v>46</v>
      </c>
      <c r="B72" s="8" t="s">
        <v>308</v>
      </c>
      <c r="C72" s="8" t="s">
        <v>309</v>
      </c>
      <c r="D72" s="8" t="s">
        <v>292</v>
      </c>
      <c r="E72" s="7" t="s">
        <v>324</v>
      </c>
      <c r="F72" s="7" t="s">
        <v>325</v>
      </c>
      <c r="G72" s="3"/>
      <c r="H72" s="6" t="s">
        <v>135</v>
      </c>
      <c r="I72" s="3"/>
      <c r="J72" s="6" t="s">
        <v>135</v>
      </c>
      <c r="K72" s="3"/>
      <c r="L72" s="6"/>
      <c r="M72" s="3"/>
      <c r="N72" s="6" t="s">
        <v>135</v>
      </c>
      <c r="O72" s="3"/>
      <c r="P72" s="6"/>
      <c r="Q72" s="3"/>
      <c r="R72" s="6" t="s">
        <v>135</v>
      </c>
      <c r="S72" s="5">
        <f>185.74</f>
        <v>185.74</v>
      </c>
      <c r="T72" s="4" t="str">
        <f t="shared" si="7"/>
        <v>－</v>
      </c>
      <c r="U72" s="4"/>
      <c r="V72" s="4"/>
      <c r="W72" s="4" t="str">
        <f t="shared" si="8"/>
        <v>－</v>
      </c>
      <c r="X72" s="4"/>
      <c r="Y72" s="4"/>
      <c r="Z72" s="3"/>
      <c r="AA72" s="2" t="str">
        <f t="shared" si="9"/>
        <v>－</v>
      </c>
      <c r="AB72" s="2" t="str">
        <f t="shared" si="11"/>
        <v>－</v>
      </c>
      <c r="AC72" s="1" t="str">
        <f t="shared" si="10"/>
        <v>－</v>
      </c>
    </row>
    <row r="73" spans="1:29">
      <c r="A73" s="9" t="s">
        <v>46</v>
      </c>
      <c r="B73" s="8" t="s">
        <v>308</v>
      </c>
      <c r="C73" s="8" t="s">
        <v>309</v>
      </c>
      <c r="D73" s="8" t="s">
        <v>79</v>
      </c>
      <c r="E73" s="7" t="s">
        <v>326</v>
      </c>
      <c r="F73" s="7" t="s">
        <v>327</v>
      </c>
      <c r="G73" s="3"/>
      <c r="H73" s="6" t="s">
        <v>135</v>
      </c>
      <c r="I73" s="3"/>
      <c r="J73" s="6" t="s">
        <v>135</v>
      </c>
      <c r="K73" s="3"/>
      <c r="L73" s="6"/>
      <c r="M73" s="3"/>
      <c r="N73" s="6" t="s">
        <v>135</v>
      </c>
      <c r="O73" s="3"/>
      <c r="P73" s="6"/>
      <c r="Q73" s="3"/>
      <c r="R73" s="6" t="s">
        <v>135</v>
      </c>
      <c r="S73" s="5">
        <f>186.42</f>
        <v>186.42</v>
      </c>
      <c r="T73" s="4" t="str">
        <f t="shared" si="7"/>
        <v>－</v>
      </c>
      <c r="U73" s="4"/>
      <c r="V73" s="4"/>
      <c r="W73" s="4" t="str">
        <f t="shared" si="8"/>
        <v>－</v>
      </c>
      <c r="X73" s="4"/>
      <c r="Y73" s="4"/>
      <c r="Z73" s="3"/>
      <c r="AA73" s="2" t="str">
        <f t="shared" si="9"/>
        <v>－</v>
      </c>
      <c r="AB73" s="2" t="str">
        <f t="shared" si="11"/>
        <v>－</v>
      </c>
      <c r="AC73" s="1" t="str">
        <f t="shared" si="10"/>
        <v>－</v>
      </c>
    </row>
    <row r="74" spans="1:29">
      <c r="A74" s="9" t="s">
        <v>46</v>
      </c>
      <c r="B74" s="8" t="s">
        <v>308</v>
      </c>
      <c r="C74" s="8" t="s">
        <v>309</v>
      </c>
      <c r="D74" s="8" t="s">
        <v>296</v>
      </c>
      <c r="E74" s="7" t="s">
        <v>328</v>
      </c>
      <c r="F74" s="7" t="s">
        <v>329</v>
      </c>
      <c r="G74" s="3"/>
      <c r="H74" s="6" t="s">
        <v>135</v>
      </c>
      <c r="I74" s="3"/>
      <c r="J74" s="6" t="s">
        <v>135</v>
      </c>
      <c r="K74" s="3"/>
      <c r="L74" s="6"/>
      <c r="M74" s="3"/>
      <c r="N74" s="6" t="s">
        <v>135</v>
      </c>
      <c r="O74" s="3"/>
      <c r="P74" s="6"/>
      <c r="Q74" s="3"/>
      <c r="R74" s="6" t="s">
        <v>135</v>
      </c>
      <c r="S74" s="5">
        <f>186.42</f>
        <v>186.42</v>
      </c>
      <c r="T74" s="4" t="str">
        <f t="shared" si="7"/>
        <v>－</v>
      </c>
      <c r="U74" s="4"/>
      <c r="V74" s="4"/>
      <c r="W74" s="4" t="str">
        <f t="shared" si="8"/>
        <v>－</v>
      </c>
      <c r="X74" s="4"/>
      <c r="Y74" s="4"/>
      <c r="Z74" s="3"/>
      <c r="AA74" s="2" t="str">
        <f t="shared" si="9"/>
        <v>－</v>
      </c>
      <c r="AB74" s="2" t="str">
        <f t="shared" si="11"/>
        <v>－</v>
      </c>
      <c r="AC74" s="1" t="str">
        <f t="shared" si="10"/>
        <v>－</v>
      </c>
    </row>
    <row r="75" spans="1:29">
      <c r="A75" s="9" t="s">
        <v>46</v>
      </c>
      <c r="B75" s="8" t="s">
        <v>308</v>
      </c>
      <c r="C75" s="8" t="s">
        <v>309</v>
      </c>
      <c r="D75" s="8" t="s">
        <v>88</v>
      </c>
      <c r="E75" s="7" t="s">
        <v>330</v>
      </c>
      <c r="F75" s="7" t="s">
        <v>331</v>
      </c>
      <c r="G75" s="3"/>
      <c r="H75" s="6" t="s">
        <v>135</v>
      </c>
      <c r="I75" s="3"/>
      <c r="J75" s="6" t="s">
        <v>135</v>
      </c>
      <c r="K75" s="3"/>
      <c r="L75" s="6"/>
      <c r="M75" s="3"/>
      <c r="N75" s="6" t="s">
        <v>135</v>
      </c>
      <c r="O75" s="3"/>
      <c r="P75" s="6"/>
      <c r="Q75" s="3"/>
      <c r="R75" s="6" t="s">
        <v>135</v>
      </c>
      <c r="S75" s="5">
        <f>186.42</f>
        <v>186.42</v>
      </c>
      <c r="T75" s="4" t="str">
        <f t="shared" si="7"/>
        <v>－</v>
      </c>
      <c r="U75" s="4"/>
      <c r="V75" s="4"/>
      <c r="W75" s="4" t="str">
        <f t="shared" si="8"/>
        <v>－</v>
      </c>
      <c r="X75" s="4"/>
      <c r="Y75" s="4"/>
      <c r="Z75" s="3"/>
      <c r="AA75" s="2" t="str">
        <f t="shared" si="9"/>
        <v>－</v>
      </c>
      <c r="AB75" s="2" t="str">
        <f t="shared" si="11"/>
        <v>－</v>
      </c>
      <c r="AC75" s="1" t="str">
        <f t="shared" si="10"/>
        <v>－</v>
      </c>
    </row>
    <row r="76" spans="1:29">
      <c r="A76" s="9" t="s">
        <v>46</v>
      </c>
      <c r="B76" s="8" t="s">
        <v>308</v>
      </c>
      <c r="C76" s="8" t="s">
        <v>309</v>
      </c>
      <c r="D76" s="8" t="s">
        <v>303</v>
      </c>
      <c r="E76" s="7" t="s">
        <v>228</v>
      </c>
      <c r="F76" s="7" t="s">
        <v>332</v>
      </c>
      <c r="G76" s="3"/>
      <c r="H76" s="6" t="s">
        <v>135</v>
      </c>
      <c r="I76" s="3"/>
      <c r="J76" s="6" t="s">
        <v>135</v>
      </c>
      <c r="K76" s="3"/>
      <c r="L76" s="6"/>
      <c r="M76" s="3"/>
      <c r="N76" s="6" t="s">
        <v>135</v>
      </c>
      <c r="O76" s="3"/>
      <c r="P76" s="6"/>
      <c r="Q76" s="3"/>
      <c r="R76" s="6" t="s">
        <v>135</v>
      </c>
      <c r="S76" s="5">
        <f>186.42</f>
        <v>186.42</v>
      </c>
      <c r="T76" s="4" t="str">
        <f t="shared" si="7"/>
        <v>－</v>
      </c>
      <c r="U76" s="4"/>
      <c r="V76" s="4"/>
      <c r="W76" s="4" t="str">
        <f t="shared" si="8"/>
        <v>－</v>
      </c>
      <c r="X76" s="4"/>
      <c r="Y76" s="4"/>
      <c r="Z76" s="3"/>
      <c r="AA76" s="2" t="str">
        <f t="shared" si="9"/>
        <v>－</v>
      </c>
      <c r="AB76" s="2" t="str">
        <f t="shared" si="11"/>
        <v>－</v>
      </c>
      <c r="AC76" s="1" t="str">
        <f t="shared" si="10"/>
        <v>－</v>
      </c>
    </row>
    <row r="77" spans="1:29">
      <c r="A77" s="9" t="s">
        <v>46</v>
      </c>
      <c r="B77" s="8" t="s">
        <v>333</v>
      </c>
      <c r="C77" s="8" t="s">
        <v>334</v>
      </c>
      <c r="D77" s="8" t="s">
        <v>232</v>
      </c>
      <c r="E77" s="7" t="s">
        <v>335</v>
      </c>
      <c r="F77" s="7" t="s">
        <v>336</v>
      </c>
      <c r="G77" s="3" t="s">
        <v>52</v>
      </c>
      <c r="H77" s="6" t="s">
        <v>337</v>
      </c>
      <c r="I77" s="3" t="s">
        <v>338</v>
      </c>
      <c r="J77" s="6" t="s">
        <v>339</v>
      </c>
      <c r="K77" s="3"/>
      <c r="L77" s="6"/>
      <c r="M77" s="3" t="s">
        <v>57</v>
      </c>
      <c r="N77" s="6" t="s">
        <v>340</v>
      </c>
      <c r="O77" s="3"/>
      <c r="P77" s="6"/>
      <c r="Q77" s="3" t="s">
        <v>57</v>
      </c>
      <c r="R77" s="6" t="s">
        <v>340</v>
      </c>
      <c r="S77" s="5">
        <f>46065.79</f>
        <v>46065.79</v>
      </c>
      <c r="T77" s="4">
        <f>28</f>
        <v>28</v>
      </c>
      <c r="U77" s="4"/>
      <c r="V77" s="4"/>
      <c r="W77" s="4">
        <f>63169500</f>
        <v>63169500</v>
      </c>
      <c r="X77" s="4"/>
      <c r="Y77" s="4"/>
      <c r="Z77" s="3"/>
      <c r="AA77" s="2">
        <f>207</f>
        <v>207</v>
      </c>
      <c r="AB77" s="2" t="str">
        <f t="shared" si="11"/>
        <v>－</v>
      </c>
      <c r="AC77" s="1">
        <f>5</f>
        <v>5</v>
      </c>
    </row>
    <row r="78" spans="1:29">
      <c r="A78" s="9" t="s">
        <v>46</v>
      </c>
      <c r="B78" s="8" t="s">
        <v>333</v>
      </c>
      <c r="C78" s="8" t="s">
        <v>334</v>
      </c>
      <c r="D78" s="8" t="s">
        <v>237</v>
      </c>
      <c r="E78" s="7" t="s">
        <v>341</v>
      </c>
      <c r="F78" s="7" t="s">
        <v>342</v>
      </c>
      <c r="G78" s="3" t="s">
        <v>52</v>
      </c>
      <c r="H78" s="6" t="s">
        <v>343</v>
      </c>
      <c r="I78" s="3" t="s">
        <v>52</v>
      </c>
      <c r="J78" s="6" t="s">
        <v>343</v>
      </c>
      <c r="K78" s="3"/>
      <c r="L78" s="6"/>
      <c r="M78" s="3" t="s">
        <v>103</v>
      </c>
      <c r="N78" s="6" t="s">
        <v>344</v>
      </c>
      <c r="O78" s="3"/>
      <c r="P78" s="6"/>
      <c r="Q78" s="3" t="s">
        <v>83</v>
      </c>
      <c r="R78" s="6" t="s">
        <v>345</v>
      </c>
      <c r="S78" s="5">
        <f>45898.95</f>
        <v>45898.95</v>
      </c>
      <c r="T78" s="4">
        <f>32</f>
        <v>32</v>
      </c>
      <c r="U78" s="4"/>
      <c r="V78" s="4"/>
      <c r="W78" s="4">
        <f>73324500</f>
        <v>73324500</v>
      </c>
      <c r="X78" s="4"/>
      <c r="Y78" s="4"/>
      <c r="Z78" s="3"/>
      <c r="AA78" s="2">
        <f>293</f>
        <v>293</v>
      </c>
      <c r="AB78" s="2" t="str">
        <f t="shared" si="11"/>
        <v>－</v>
      </c>
      <c r="AC78" s="1">
        <f>12</f>
        <v>12</v>
      </c>
    </row>
    <row r="79" spans="1:29">
      <c r="A79" s="9" t="s">
        <v>46</v>
      </c>
      <c r="B79" s="8" t="s">
        <v>333</v>
      </c>
      <c r="C79" s="8" t="s">
        <v>334</v>
      </c>
      <c r="D79" s="8" t="s">
        <v>242</v>
      </c>
      <c r="E79" s="7" t="s">
        <v>346</v>
      </c>
      <c r="F79" s="7" t="s">
        <v>347</v>
      </c>
      <c r="G79" s="3" t="s">
        <v>52</v>
      </c>
      <c r="H79" s="6" t="s">
        <v>348</v>
      </c>
      <c r="I79" s="3" t="s">
        <v>52</v>
      </c>
      <c r="J79" s="6" t="s">
        <v>349</v>
      </c>
      <c r="K79" s="3"/>
      <c r="L79" s="6"/>
      <c r="M79" s="3" t="s">
        <v>57</v>
      </c>
      <c r="N79" s="6" t="s">
        <v>350</v>
      </c>
      <c r="O79" s="3"/>
      <c r="P79" s="6"/>
      <c r="Q79" s="3" t="s">
        <v>57</v>
      </c>
      <c r="R79" s="6" t="s">
        <v>350</v>
      </c>
      <c r="S79" s="5">
        <f>45716.32</f>
        <v>45716.32</v>
      </c>
      <c r="T79" s="4">
        <f>104</f>
        <v>104</v>
      </c>
      <c r="U79" s="4"/>
      <c r="V79" s="4"/>
      <c r="W79" s="4">
        <f>238371500</f>
        <v>238371500</v>
      </c>
      <c r="X79" s="4"/>
      <c r="Y79" s="4"/>
      <c r="Z79" s="3"/>
      <c r="AA79" s="2">
        <f>189</f>
        <v>189</v>
      </c>
      <c r="AB79" s="2" t="str">
        <f t="shared" si="11"/>
        <v>－</v>
      </c>
      <c r="AC79" s="1">
        <f>16</f>
        <v>16</v>
      </c>
    </row>
    <row r="80" spans="1:29">
      <c r="A80" s="9" t="s">
        <v>46</v>
      </c>
      <c r="B80" s="8" t="s">
        <v>333</v>
      </c>
      <c r="C80" s="8" t="s">
        <v>334</v>
      </c>
      <c r="D80" s="8" t="s">
        <v>292</v>
      </c>
      <c r="E80" s="7" t="s">
        <v>351</v>
      </c>
      <c r="F80" s="7" t="s">
        <v>352</v>
      </c>
      <c r="G80" s="3" t="s">
        <v>52</v>
      </c>
      <c r="H80" s="6" t="s">
        <v>353</v>
      </c>
      <c r="I80" s="3" t="s">
        <v>52</v>
      </c>
      <c r="J80" s="6" t="s">
        <v>353</v>
      </c>
      <c r="K80" s="3"/>
      <c r="L80" s="6"/>
      <c r="M80" s="3" t="s">
        <v>354</v>
      </c>
      <c r="N80" s="6" t="s">
        <v>355</v>
      </c>
      <c r="O80" s="3"/>
      <c r="P80" s="6"/>
      <c r="Q80" s="3" t="s">
        <v>83</v>
      </c>
      <c r="R80" s="6" t="s">
        <v>356</v>
      </c>
      <c r="S80" s="5">
        <f>45405.79</f>
        <v>45405.79</v>
      </c>
      <c r="T80" s="4">
        <f>66</f>
        <v>66</v>
      </c>
      <c r="U80" s="4"/>
      <c r="V80" s="4"/>
      <c r="W80" s="4">
        <f>150559500</f>
        <v>150559500</v>
      </c>
      <c r="X80" s="4"/>
      <c r="Y80" s="4"/>
      <c r="Z80" s="3"/>
      <c r="AA80" s="2">
        <f>249</f>
        <v>249</v>
      </c>
      <c r="AB80" s="2" t="str">
        <f t="shared" si="11"/>
        <v>－</v>
      </c>
      <c r="AC80" s="1">
        <f>14</f>
        <v>14</v>
      </c>
    </row>
    <row r="81" spans="1:29">
      <c r="A81" s="9" t="s">
        <v>46</v>
      </c>
      <c r="B81" s="8" t="s">
        <v>333</v>
      </c>
      <c r="C81" s="8" t="s">
        <v>334</v>
      </c>
      <c r="D81" s="8" t="s">
        <v>296</v>
      </c>
      <c r="E81" s="7" t="s">
        <v>357</v>
      </c>
      <c r="F81" s="7" t="s">
        <v>358</v>
      </c>
      <c r="G81" s="3" t="s">
        <v>52</v>
      </c>
      <c r="H81" s="6" t="s">
        <v>359</v>
      </c>
      <c r="I81" s="3" t="s">
        <v>52</v>
      </c>
      <c r="J81" s="6" t="s">
        <v>359</v>
      </c>
      <c r="K81" s="3"/>
      <c r="L81" s="6"/>
      <c r="M81" s="3" t="s">
        <v>124</v>
      </c>
      <c r="N81" s="6" t="s">
        <v>360</v>
      </c>
      <c r="O81" s="3"/>
      <c r="P81" s="6"/>
      <c r="Q81" s="3" t="s">
        <v>57</v>
      </c>
      <c r="R81" s="6" t="s">
        <v>361</v>
      </c>
      <c r="S81" s="5">
        <f>44905.26</f>
        <v>44905.26</v>
      </c>
      <c r="T81" s="4">
        <f>183</f>
        <v>183</v>
      </c>
      <c r="U81" s="4"/>
      <c r="V81" s="4">
        <v>4</v>
      </c>
      <c r="W81" s="4">
        <f>413127000</f>
        <v>413127000</v>
      </c>
      <c r="X81" s="4"/>
      <c r="Y81" s="4">
        <v>9110500</v>
      </c>
      <c r="Z81" s="3"/>
      <c r="AA81" s="2">
        <f>308</f>
        <v>308</v>
      </c>
      <c r="AB81" s="2" t="str">
        <f t="shared" si="11"/>
        <v>－</v>
      </c>
      <c r="AC81" s="1">
        <f>19</f>
        <v>19</v>
      </c>
    </row>
    <row r="82" spans="1:29">
      <c r="A82" s="9" t="s">
        <v>46</v>
      </c>
      <c r="B82" s="8" t="s">
        <v>333</v>
      </c>
      <c r="C82" s="8" t="s">
        <v>334</v>
      </c>
      <c r="D82" s="8" t="s">
        <v>303</v>
      </c>
      <c r="E82" s="7" t="s">
        <v>362</v>
      </c>
      <c r="F82" s="7" t="s">
        <v>363</v>
      </c>
      <c r="G82" s="3" t="s">
        <v>52</v>
      </c>
      <c r="H82" s="6" t="s">
        <v>344</v>
      </c>
      <c r="I82" s="3" t="s">
        <v>52</v>
      </c>
      <c r="J82" s="6" t="s">
        <v>364</v>
      </c>
      <c r="K82" s="3"/>
      <c r="L82" s="6"/>
      <c r="M82" s="3" t="s">
        <v>354</v>
      </c>
      <c r="N82" s="6" t="s">
        <v>365</v>
      </c>
      <c r="O82" s="3"/>
      <c r="P82" s="6"/>
      <c r="Q82" s="3" t="s">
        <v>57</v>
      </c>
      <c r="R82" s="6" t="s">
        <v>366</v>
      </c>
      <c r="S82" s="5">
        <f>43855.79</f>
        <v>43855.79</v>
      </c>
      <c r="T82" s="4">
        <f>1195</f>
        <v>1195</v>
      </c>
      <c r="U82" s="4"/>
      <c r="V82" s="4">
        <v>4</v>
      </c>
      <c r="W82" s="4">
        <f>2624536500</f>
        <v>2624536500</v>
      </c>
      <c r="X82" s="4"/>
      <c r="Y82" s="4">
        <v>8830000</v>
      </c>
      <c r="Z82" s="3"/>
      <c r="AA82" s="2">
        <f>334</f>
        <v>334</v>
      </c>
      <c r="AB82" s="2" t="str">
        <f t="shared" si="11"/>
        <v>－</v>
      </c>
      <c r="AC82" s="1">
        <f>19</f>
        <v>19</v>
      </c>
    </row>
    <row r="83" spans="1:29">
      <c r="A83" s="9" t="s">
        <v>46</v>
      </c>
      <c r="B83" s="8" t="s">
        <v>367</v>
      </c>
      <c r="C83" s="8" t="s">
        <v>368</v>
      </c>
      <c r="D83" s="8" t="s">
        <v>49</v>
      </c>
      <c r="E83" s="7" t="s">
        <v>335</v>
      </c>
      <c r="F83" s="7" t="s">
        <v>336</v>
      </c>
      <c r="G83" s="3"/>
      <c r="H83" s="6" t="s">
        <v>135</v>
      </c>
      <c r="I83" s="3"/>
      <c r="J83" s="6" t="s">
        <v>135</v>
      </c>
      <c r="K83" s="3"/>
      <c r="L83" s="6"/>
      <c r="M83" s="3"/>
      <c r="N83" s="6" t="s">
        <v>135</v>
      </c>
      <c r="O83" s="3"/>
      <c r="P83" s="6"/>
      <c r="Q83" s="3"/>
      <c r="R83" s="6" t="s">
        <v>135</v>
      </c>
      <c r="S83" s="5">
        <f>64000</f>
        <v>64000</v>
      </c>
      <c r="T83" s="4" t="str">
        <f t="shared" ref="T83:T95" si="12">"－"</f>
        <v>－</v>
      </c>
      <c r="U83" s="4"/>
      <c r="V83" s="4"/>
      <c r="W83" s="4" t="str">
        <f t="shared" ref="W83:W95" si="13">"－"</f>
        <v>－</v>
      </c>
      <c r="X83" s="4"/>
      <c r="Y83" s="4"/>
      <c r="Z83" s="3"/>
      <c r="AA83" s="2" t="str">
        <f t="shared" ref="AA83:AA95" si="14">"－"</f>
        <v>－</v>
      </c>
      <c r="AB83" s="2" t="str">
        <f t="shared" si="11"/>
        <v>－</v>
      </c>
      <c r="AC83" s="1" t="str">
        <f t="shared" ref="AC83:AC95" si="15">"－"</f>
        <v>－</v>
      </c>
    </row>
    <row r="84" spans="1:29">
      <c r="A84" s="9" t="s">
        <v>46</v>
      </c>
      <c r="B84" s="8" t="s">
        <v>367</v>
      </c>
      <c r="C84" s="8" t="s">
        <v>368</v>
      </c>
      <c r="D84" s="8" t="s">
        <v>59</v>
      </c>
      <c r="E84" s="7" t="s">
        <v>341</v>
      </c>
      <c r="F84" s="7" t="s">
        <v>342</v>
      </c>
      <c r="G84" s="3"/>
      <c r="H84" s="6" t="s">
        <v>135</v>
      </c>
      <c r="I84" s="3"/>
      <c r="J84" s="6" t="s">
        <v>135</v>
      </c>
      <c r="K84" s="3"/>
      <c r="L84" s="6"/>
      <c r="M84" s="3"/>
      <c r="N84" s="6" t="s">
        <v>135</v>
      </c>
      <c r="O84" s="3"/>
      <c r="P84" s="6"/>
      <c r="Q84" s="3"/>
      <c r="R84" s="6" t="s">
        <v>135</v>
      </c>
      <c r="S84" s="5">
        <f>64000</f>
        <v>64000</v>
      </c>
      <c r="T84" s="4" t="str">
        <f t="shared" si="12"/>
        <v>－</v>
      </c>
      <c r="U84" s="4"/>
      <c r="V84" s="4"/>
      <c r="W84" s="4" t="str">
        <f t="shared" si="13"/>
        <v>－</v>
      </c>
      <c r="X84" s="4"/>
      <c r="Y84" s="4"/>
      <c r="Z84" s="3"/>
      <c r="AA84" s="2" t="str">
        <f t="shared" si="14"/>
        <v>－</v>
      </c>
      <c r="AB84" s="2" t="str">
        <f t="shared" si="11"/>
        <v>－</v>
      </c>
      <c r="AC84" s="1" t="str">
        <f t="shared" si="15"/>
        <v>－</v>
      </c>
    </row>
    <row r="85" spans="1:29">
      <c r="A85" s="9" t="s">
        <v>46</v>
      </c>
      <c r="B85" s="8" t="s">
        <v>367</v>
      </c>
      <c r="C85" s="8" t="s">
        <v>368</v>
      </c>
      <c r="D85" s="8" t="s">
        <v>66</v>
      </c>
      <c r="E85" s="7" t="s">
        <v>346</v>
      </c>
      <c r="F85" s="7" t="s">
        <v>347</v>
      </c>
      <c r="G85" s="3"/>
      <c r="H85" s="6" t="s">
        <v>135</v>
      </c>
      <c r="I85" s="3"/>
      <c r="J85" s="6" t="s">
        <v>135</v>
      </c>
      <c r="K85" s="3"/>
      <c r="L85" s="6"/>
      <c r="M85" s="3"/>
      <c r="N85" s="6" t="s">
        <v>135</v>
      </c>
      <c r="O85" s="3"/>
      <c r="P85" s="6"/>
      <c r="Q85" s="3"/>
      <c r="R85" s="6" t="s">
        <v>135</v>
      </c>
      <c r="S85" s="5">
        <f>64000</f>
        <v>64000</v>
      </c>
      <c r="T85" s="4" t="str">
        <f t="shared" si="12"/>
        <v>－</v>
      </c>
      <c r="U85" s="4"/>
      <c r="V85" s="4"/>
      <c r="W85" s="4" t="str">
        <f t="shared" si="13"/>
        <v>－</v>
      </c>
      <c r="X85" s="4"/>
      <c r="Y85" s="4"/>
      <c r="Z85" s="3"/>
      <c r="AA85" s="2" t="str">
        <f t="shared" si="14"/>
        <v>－</v>
      </c>
      <c r="AB85" s="2" t="str">
        <f t="shared" si="11"/>
        <v>－</v>
      </c>
      <c r="AC85" s="1" t="str">
        <f t="shared" si="15"/>
        <v>－</v>
      </c>
    </row>
    <row r="86" spans="1:29">
      <c r="A86" s="9" t="s">
        <v>46</v>
      </c>
      <c r="B86" s="8" t="s">
        <v>367</v>
      </c>
      <c r="C86" s="8" t="s">
        <v>368</v>
      </c>
      <c r="D86" s="8" t="s">
        <v>72</v>
      </c>
      <c r="E86" s="7" t="s">
        <v>351</v>
      </c>
      <c r="F86" s="7" t="s">
        <v>352</v>
      </c>
      <c r="G86" s="3"/>
      <c r="H86" s="6" t="s">
        <v>135</v>
      </c>
      <c r="I86" s="3"/>
      <c r="J86" s="6" t="s">
        <v>135</v>
      </c>
      <c r="K86" s="3"/>
      <c r="L86" s="6"/>
      <c r="M86" s="3"/>
      <c r="N86" s="6" t="s">
        <v>135</v>
      </c>
      <c r="O86" s="3"/>
      <c r="P86" s="6"/>
      <c r="Q86" s="3"/>
      <c r="R86" s="6" t="s">
        <v>135</v>
      </c>
      <c r="S86" s="5">
        <f>64000</f>
        <v>64000</v>
      </c>
      <c r="T86" s="4" t="str">
        <f t="shared" si="12"/>
        <v>－</v>
      </c>
      <c r="U86" s="4"/>
      <c r="V86" s="4"/>
      <c r="W86" s="4" t="str">
        <f t="shared" si="13"/>
        <v>－</v>
      </c>
      <c r="X86" s="4"/>
      <c r="Y86" s="4"/>
      <c r="Z86" s="3"/>
      <c r="AA86" s="2" t="str">
        <f t="shared" si="14"/>
        <v>－</v>
      </c>
      <c r="AB86" s="2" t="str">
        <f t="shared" si="11"/>
        <v>－</v>
      </c>
      <c r="AC86" s="1" t="str">
        <f t="shared" si="15"/>
        <v>－</v>
      </c>
    </row>
    <row r="87" spans="1:29">
      <c r="A87" s="9" t="s">
        <v>46</v>
      </c>
      <c r="B87" s="8" t="s">
        <v>367</v>
      </c>
      <c r="C87" s="8" t="s">
        <v>368</v>
      </c>
      <c r="D87" s="8" t="s">
        <v>79</v>
      </c>
      <c r="E87" s="7" t="s">
        <v>357</v>
      </c>
      <c r="F87" s="7" t="s">
        <v>358</v>
      </c>
      <c r="G87" s="3"/>
      <c r="H87" s="6" t="s">
        <v>135</v>
      </c>
      <c r="I87" s="3"/>
      <c r="J87" s="6" t="s">
        <v>135</v>
      </c>
      <c r="K87" s="3"/>
      <c r="L87" s="6"/>
      <c r="M87" s="3"/>
      <c r="N87" s="6" t="s">
        <v>135</v>
      </c>
      <c r="O87" s="3"/>
      <c r="P87" s="6"/>
      <c r="Q87" s="3"/>
      <c r="R87" s="6" t="s">
        <v>135</v>
      </c>
      <c r="S87" s="5">
        <f>64000</f>
        <v>64000</v>
      </c>
      <c r="T87" s="4" t="str">
        <f t="shared" si="12"/>
        <v>－</v>
      </c>
      <c r="U87" s="4"/>
      <c r="V87" s="4"/>
      <c r="W87" s="4" t="str">
        <f t="shared" si="13"/>
        <v>－</v>
      </c>
      <c r="X87" s="4"/>
      <c r="Y87" s="4"/>
      <c r="Z87" s="3"/>
      <c r="AA87" s="2" t="str">
        <f t="shared" si="14"/>
        <v>－</v>
      </c>
      <c r="AB87" s="2" t="str">
        <f t="shared" si="11"/>
        <v>－</v>
      </c>
      <c r="AC87" s="1" t="str">
        <f t="shared" si="15"/>
        <v>－</v>
      </c>
    </row>
    <row r="88" spans="1:29">
      <c r="A88" s="9" t="s">
        <v>46</v>
      </c>
      <c r="B88" s="8" t="s">
        <v>367</v>
      </c>
      <c r="C88" s="8" t="s">
        <v>368</v>
      </c>
      <c r="D88" s="8" t="s">
        <v>88</v>
      </c>
      <c r="E88" s="7" t="s">
        <v>362</v>
      </c>
      <c r="F88" s="7" t="s">
        <v>363</v>
      </c>
      <c r="G88" s="3"/>
      <c r="H88" s="6" t="s">
        <v>135</v>
      </c>
      <c r="I88" s="3"/>
      <c r="J88" s="6" t="s">
        <v>135</v>
      </c>
      <c r="K88" s="3"/>
      <c r="L88" s="6"/>
      <c r="M88" s="3"/>
      <c r="N88" s="6" t="s">
        <v>135</v>
      </c>
      <c r="O88" s="3"/>
      <c r="P88" s="6"/>
      <c r="Q88" s="3"/>
      <c r="R88" s="6" t="s">
        <v>135</v>
      </c>
      <c r="S88" s="5">
        <f>64000</f>
        <v>64000</v>
      </c>
      <c r="T88" s="4" t="str">
        <f t="shared" si="12"/>
        <v>－</v>
      </c>
      <c r="U88" s="4"/>
      <c r="V88" s="4"/>
      <c r="W88" s="4" t="str">
        <f t="shared" si="13"/>
        <v>－</v>
      </c>
      <c r="X88" s="4"/>
      <c r="Y88" s="4"/>
      <c r="Z88" s="3"/>
      <c r="AA88" s="2" t="str">
        <f t="shared" si="14"/>
        <v>－</v>
      </c>
      <c r="AB88" s="2" t="str">
        <f t="shared" si="11"/>
        <v>－</v>
      </c>
      <c r="AC88" s="1" t="str">
        <f t="shared" si="15"/>
        <v>－</v>
      </c>
    </row>
    <row r="89" spans="1:29">
      <c r="A89" s="9" t="s">
        <v>46</v>
      </c>
      <c r="B89" s="8" t="s">
        <v>369</v>
      </c>
      <c r="C89" s="8" t="s">
        <v>370</v>
      </c>
      <c r="D89" s="8" t="s">
        <v>46</v>
      </c>
      <c r="E89" s="7" t="s">
        <v>371</v>
      </c>
      <c r="F89" s="7" t="s">
        <v>304</v>
      </c>
      <c r="G89" s="3"/>
      <c r="H89" s="6" t="s">
        <v>135</v>
      </c>
      <c r="I89" s="3"/>
      <c r="J89" s="6" t="s">
        <v>135</v>
      </c>
      <c r="K89" s="3"/>
      <c r="L89" s="6"/>
      <c r="M89" s="3"/>
      <c r="N89" s="6" t="s">
        <v>135</v>
      </c>
      <c r="O89" s="3"/>
      <c r="P89" s="6"/>
      <c r="Q89" s="3"/>
      <c r="R89" s="6" t="s">
        <v>135</v>
      </c>
      <c r="S89" s="5">
        <f>12300</f>
        <v>12300</v>
      </c>
      <c r="T89" s="4" t="str">
        <f t="shared" si="12"/>
        <v>－</v>
      </c>
      <c r="U89" s="4"/>
      <c r="V89" s="4"/>
      <c r="W89" s="4" t="str">
        <f t="shared" si="13"/>
        <v>－</v>
      </c>
      <c r="X89" s="4"/>
      <c r="Y89" s="4"/>
      <c r="Z89" s="3" t="s">
        <v>229</v>
      </c>
      <c r="AA89" s="2" t="str">
        <f t="shared" si="14"/>
        <v>－</v>
      </c>
      <c r="AB89" s="2" t="str">
        <f t="shared" si="11"/>
        <v>－</v>
      </c>
      <c r="AC89" s="1" t="str">
        <f t="shared" si="15"/>
        <v>－</v>
      </c>
    </row>
    <row r="90" spans="1:29">
      <c r="A90" s="9" t="s">
        <v>46</v>
      </c>
      <c r="B90" s="8" t="s">
        <v>369</v>
      </c>
      <c r="C90" s="8" t="s">
        <v>370</v>
      </c>
      <c r="D90" s="8" t="s">
        <v>49</v>
      </c>
      <c r="E90" s="7" t="s">
        <v>73</v>
      </c>
      <c r="F90" s="7" t="s">
        <v>51</v>
      </c>
      <c r="G90" s="3"/>
      <c r="H90" s="6" t="s">
        <v>135</v>
      </c>
      <c r="I90" s="3"/>
      <c r="J90" s="6" t="s">
        <v>135</v>
      </c>
      <c r="K90" s="3"/>
      <c r="L90" s="6"/>
      <c r="M90" s="3"/>
      <c r="N90" s="6" t="s">
        <v>135</v>
      </c>
      <c r="O90" s="3"/>
      <c r="P90" s="6"/>
      <c r="Q90" s="3"/>
      <c r="R90" s="6" t="s">
        <v>135</v>
      </c>
      <c r="S90" s="5">
        <f>12300</f>
        <v>12300</v>
      </c>
      <c r="T90" s="4" t="str">
        <f t="shared" si="12"/>
        <v>－</v>
      </c>
      <c r="U90" s="4"/>
      <c r="V90" s="4"/>
      <c r="W90" s="4" t="str">
        <f t="shared" si="13"/>
        <v>－</v>
      </c>
      <c r="X90" s="4"/>
      <c r="Y90" s="4"/>
      <c r="Z90" s="3"/>
      <c r="AA90" s="2" t="str">
        <f t="shared" si="14"/>
        <v>－</v>
      </c>
      <c r="AB90" s="2" t="str">
        <f t="shared" si="11"/>
        <v>－</v>
      </c>
      <c r="AC90" s="1" t="str">
        <f t="shared" si="15"/>
        <v>－</v>
      </c>
    </row>
    <row r="91" spans="1:29">
      <c r="A91" s="9" t="s">
        <v>46</v>
      </c>
      <c r="B91" s="8" t="s">
        <v>369</v>
      </c>
      <c r="C91" s="8" t="s">
        <v>370</v>
      </c>
      <c r="D91" s="8" t="s">
        <v>232</v>
      </c>
      <c r="E91" s="7" t="s">
        <v>372</v>
      </c>
      <c r="F91" s="7" t="s">
        <v>373</v>
      </c>
      <c r="G91" s="3"/>
      <c r="H91" s="6" t="s">
        <v>135</v>
      </c>
      <c r="I91" s="3"/>
      <c r="J91" s="6" t="s">
        <v>135</v>
      </c>
      <c r="K91" s="3"/>
      <c r="L91" s="6"/>
      <c r="M91" s="3"/>
      <c r="N91" s="6" t="s">
        <v>135</v>
      </c>
      <c r="O91" s="3"/>
      <c r="P91" s="6"/>
      <c r="Q91" s="3"/>
      <c r="R91" s="6" t="s">
        <v>135</v>
      </c>
      <c r="S91" s="5">
        <f>12300</f>
        <v>12300</v>
      </c>
      <c r="T91" s="4" t="str">
        <f t="shared" si="12"/>
        <v>－</v>
      </c>
      <c r="U91" s="4"/>
      <c r="V91" s="4"/>
      <c r="W91" s="4" t="str">
        <f t="shared" si="13"/>
        <v>－</v>
      </c>
      <c r="X91" s="4"/>
      <c r="Y91" s="4"/>
      <c r="Z91" s="3"/>
      <c r="AA91" s="2" t="str">
        <f t="shared" si="14"/>
        <v>－</v>
      </c>
      <c r="AB91" s="2" t="str">
        <f t="shared" si="11"/>
        <v>－</v>
      </c>
      <c r="AC91" s="1" t="str">
        <f t="shared" si="15"/>
        <v>－</v>
      </c>
    </row>
    <row r="92" spans="1:29">
      <c r="A92" s="9" t="s">
        <v>46</v>
      </c>
      <c r="B92" s="8" t="s">
        <v>369</v>
      </c>
      <c r="C92" s="8" t="s">
        <v>370</v>
      </c>
      <c r="D92" s="8" t="s">
        <v>59</v>
      </c>
      <c r="E92" s="7" t="s">
        <v>80</v>
      </c>
      <c r="F92" s="7" t="s">
        <v>61</v>
      </c>
      <c r="G92" s="3"/>
      <c r="H92" s="6" t="s">
        <v>135</v>
      </c>
      <c r="I92" s="3"/>
      <c r="J92" s="6" t="s">
        <v>135</v>
      </c>
      <c r="K92" s="3"/>
      <c r="L92" s="6"/>
      <c r="M92" s="3"/>
      <c r="N92" s="6" t="s">
        <v>135</v>
      </c>
      <c r="O92" s="3"/>
      <c r="P92" s="6"/>
      <c r="Q92" s="3"/>
      <c r="R92" s="6" t="s">
        <v>135</v>
      </c>
      <c r="S92" s="5">
        <f>12300</f>
        <v>12300</v>
      </c>
      <c r="T92" s="4" t="str">
        <f t="shared" si="12"/>
        <v>－</v>
      </c>
      <c r="U92" s="4"/>
      <c r="V92" s="4"/>
      <c r="W92" s="4" t="str">
        <f t="shared" si="13"/>
        <v>－</v>
      </c>
      <c r="X92" s="4"/>
      <c r="Y92" s="4"/>
      <c r="Z92" s="3"/>
      <c r="AA92" s="2" t="str">
        <f t="shared" si="14"/>
        <v>－</v>
      </c>
      <c r="AB92" s="2" t="str">
        <f t="shared" si="11"/>
        <v>－</v>
      </c>
      <c r="AC92" s="1" t="str">
        <f t="shared" si="15"/>
        <v>－</v>
      </c>
    </row>
    <row r="93" spans="1:29">
      <c r="A93" s="9" t="s">
        <v>46</v>
      </c>
      <c r="B93" s="8" t="s">
        <v>369</v>
      </c>
      <c r="C93" s="8" t="s">
        <v>370</v>
      </c>
      <c r="D93" s="8" t="s">
        <v>237</v>
      </c>
      <c r="E93" s="7" t="s">
        <v>374</v>
      </c>
      <c r="F93" s="7" t="s">
        <v>375</v>
      </c>
      <c r="G93" s="3"/>
      <c r="H93" s="6" t="s">
        <v>135</v>
      </c>
      <c r="I93" s="3"/>
      <c r="J93" s="6" t="s">
        <v>135</v>
      </c>
      <c r="K93" s="3"/>
      <c r="L93" s="6"/>
      <c r="M93" s="3"/>
      <c r="N93" s="6" t="s">
        <v>135</v>
      </c>
      <c r="O93" s="3"/>
      <c r="P93" s="6"/>
      <c r="Q93" s="3"/>
      <c r="R93" s="6" t="s">
        <v>135</v>
      </c>
      <c r="S93" s="5">
        <f>12300</f>
        <v>12300</v>
      </c>
      <c r="T93" s="4" t="str">
        <f t="shared" si="12"/>
        <v>－</v>
      </c>
      <c r="U93" s="4"/>
      <c r="V93" s="4"/>
      <c r="W93" s="4" t="str">
        <f t="shared" si="13"/>
        <v>－</v>
      </c>
      <c r="X93" s="4"/>
      <c r="Y93" s="4"/>
      <c r="Z93" s="3"/>
      <c r="AA93" s="2" t="str">
        <f t="shared" si="14"/>
        <v>－</v>
      </c>
      <c r="AB93" s="2" t="str">
        <f t="shared" si="11"/>
        <v>－</v>
      </c>
      <c r="AC93" s="1" t="str">
        <f t="shared" si="15"/>
        <v>－</v>
      </c>
    </row>
    <row r="94" spans="1:29">
      <c r="A94" s="9" t="s">
        <v>46</v>
      </c>
      <c r="B94" s="8" t="s">
        <v>369</v>
      </c>
      <c r="C94" s="8" t="s">
        <v>370</v>
      </c>
      <c r="D94" s="8" t="s">
        <v>66</v>
      </c>
      <c r="E94" s="7" t="s">
        <v>376</v>
      </c>
      <c r="F94" s="7" t="s">
        <v>68</v>
      </c>
      <c r="G94" s="3"/>
      <c r="H94" s="6" t="s">
        <v>135</v>
      </c>
      <c r="I94" s="3"/>
      <c r="J94" s="6" t="s">
        <v>135</v>
      </c>
      <c r="K94" s="3"/>
      <c r="L94" s="6"/>
      <c r="M94" s="3"/>
      <c r="N94" s="6" t="s">
        <v>135</v>
      </c>
      <c r="O94" s="3"/>
      <c r="P94" s="6"/>
      <c r="Q94" s="3"/>
      <c r="R94" s="6" t="s">
        <v>135</v>
      </c>
      <c r="S94" s="5">
        <f>12300</f>
        <v>12300</v>
      </c>
      <c r="T94" s="4" t="str">
        <f t="shared" si="12"/>
        <v>－</v>
      </c>
      <c r="U94" s="4"/>
      <c r="V94" s="4"/>
      <c r="W94" s="4" t="str">
        <f t="shared" si="13"/>
        <v>－</v>
      </c>
      <c r="X94" s="4"/>
      <c r="Y94" s="4"/>
      <c r="Z94" s="3"/>
      <c r="AA94" s="2" t="str">
        <f t="shared" si="14"/>
        <v>－</v>
      </c>
      <c r="AB94" s="2" t="str">
        <f t="shared" si="11"/>
        <v>－</v>
      </c>
      <c r="AC94" s="1" t="str">
        <f t="shared" si="15"/>
        <v>－</v>
      </c>
    </row>
    <row r="95" spans="1:29">
      <c r="A95" s="9" t="s">
        <v>46</v>
      </c>
      <c r="B95" s="8" t="s">
        <v>369</v>
      </c>
      <c r="C95" s="8" t="s">
        <v>370</v>
      </c>
      <c r="D95" s="8" t="s">
        <v>242</v>
      </c>
      <c r="E95" s="7" t="s">
        <v>377</v>
      </c>
      <c r="F95" s="7" t="s">
        <v>378</v>
      </c>
      <c r="G95" s="3"/>
      <c r="H95" s="6" t="s">
        <v>135</v>
      </c>
      <c r="I95" s="3"/>
      <c r="J95" s="6" t="s">
        <v>135</v>
      </c>
      <c r="K95" s="3"/>
      <c r="L95" s="6"/>
      <c r="M95" s="3"/>
      <c r="N95" s="6" t="s">
        <v>135</v>
      </c>
      <c r="O95" s="3"/>
      <c r="P95" s="6"/>
      <c r="Q95" s="3"/>
      <c r="R95" s="6" t="s">
        <v>135</v>
      </c>
      <c r="S95" s="5">
        <f>12300</f>
        <v>12300</v>
      </c>
      <c r="T95" s="4" t="str">
        <f t="shared" si="12"/>
        <v>－</v>
      </c>
      <c r="U95" s="4"/>
      <c r="V95" s="4"/>
      <c r="W95" s="4" t="str">
        <f t="shared" si="13"/>
        <v>－</v>
      </c>
      <c r="X95" s="4"/>
      <c r="Y95" s="4"/>
      <c r="Z95" s="3"/>
      <c r="AA95" s="2" t="str">
        <f t="shared" si="14"/>
        <v>－</v>
      </c>
      <c r="AB95" s="2" t="str">
        <f t="shared" si="11"/>
        <v>－</v>
      </c>
      <c r="AC95" s="1" t="str">
        <f t="shared" si="15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ED71-5645-4A21-A995-C0BED7C4D51B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379</v>
      </c>
      <c r="AA2" s="68">
        <f>DATE(LEFT(A7,4),RIGHT(A7,2)+1,1)-1</f>
        <v>44957</v>
      </c>
      <c r="AB2" s="68"/>
      <c r="AC2" s="69"/>
      <c r="AD2" s="70" t="s">
        <v>380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381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382</v>
      </c>
      <c r="U3" s="77" t="s">
        <v>23</v>
      </c>
      <c r="V3" s="78"/>
      <c r="W3" s="79"/>
      <c r="X3" s="77" t="s">
        <v>22</v>
      </c>
      <c r="Y3" s="78"/>
      <c r="Z3" s="79"/>
      <c r="AA3" s="80" t="s">
        <v>383</v>
      </c>
      <c r="AB3" s="81"/>
      <c r="AC3" s="72" t="s">
        <v>28</v>
      </c>
      <c r="AD3" s="82" t="s">
        <v>384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385</v>
      </c>
      <c r="J4" s="85" t="s">
        <v>6</v>
      </c>
      <c r="K4" s="41" t="s">
        <v>386</v>
      </c>
      <c r="L4" s="86" t="s">
        <v>2</v>
      </c>
      <c r="M4" s="86"/>
      <c r="N4" s="85" t="s">
        <v>6</v>
      </c>
      <c r="O4" s="41" t="s">
        <v>387</v>
      </c>
      <c r="P4" s="86" t="s">
        <v>2</v>
      </c>
      <c r="Q4" s="86"/>
      <c r="R4" s="85" t="s">
        <v>6</v>
      </c>
      <c r="S4" s="37" t="s">
        <v>388</v>
      </c>
      <c r="T4" s="45"/>
      <c r="U4" s="44" t="s">
        <v>3</v>
      </c>
      <c r="V4" s="45" t="s">
        <v>389</v>
      </c>
      <c r="W4" s="45" t="s">
        <v>30</v>
      </c>
      <c r="X4" s="44" t="s">
        <v>3</v>
      </c>
      <c r="Y4" s="45" t="s">
        <v>390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391</v>
      </c>
      <c r="N5" s="89"/>
      <c r="O5" s="42"/>
      <c r="P5" s="90" t="s">
        <v>17</v>
      </c>
      <c r="Q5" s="20" t="s">
        <v>391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392</v>
      </c>
      <c r="H6" s="90" t="s">
        <v>14</v>
      </c>
      <c r="I6" s="21" t="s">
        <v>393</v>
      </c>
      <c r="J6" s="90" t="s">
        <v>14</v>
      </c>
      <c r="K6" s="20" t="s">
        <v>394</v>
      </c>
      <c r="L6" s="90" t="s">
        <v>14</v>
      </c>
      <c r="M6" s="20" t="s">
        <v>395</v>
      </c>
      <c r="N6" s="90" t="s">
        <v>14</v>
      </c>
      <c r="O6" s="20" t="s">
        <v>396</v>
      </c>
      <c r="P6" s="90" t="s">
        <v>14</v>
      </c>
      <c r="Q6" s="20" t="s">
        <v>395</v>
      </c>
      <c r="R6" s="90" t="s">
        <v>14</v>
      </c>
      <c r="S6" s="20" t="s">
        <v>397</v>
      </c>
      <c r="T6" s="28" t="s">
        <v>398</v>
      </c>
      <c r="U6" s="28" t="s">
        <v>13</v>
      </c>
      <c r="V6" s="28" t="s">
        <v>399</v>
      </c>
      <c r="W6" s="28" t="s">
        <v>31</v>
      </c>
      <c r="X6" s="28" t="s">
        <v>11</v>
      </c>
      <c r="Y6" s="28" t="s">
        <v>395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400</v>
      </c>
      <c r="C7" s="96" t="s">
        <v>401</v>
      </c>
      <c r="D7" s="96" t="s">
        <v>49</v>
      </c>
      <c r="E7" s="97" t="s">
        <v>283</v>
      </c>
      <c r="F7" s="97" t="s">
        <v>248</v>
      </c>
      <c r="G7" s="98">
        <v>50</v>
      </c>
      <c r="H7" s="99" t="s">
        <v>142</v>
      </c>
      <c r="I7" s="100" t="s">
        <v>402</v>
      </c>
      <c r="J7" s="99" t="s">
        <v>142</v>
      </c>
      <c r="K7" s="100" t="s">
        <v>402</v>
      </c>
      <c r="L7" s="99"/>
      <c r="M7" s="100"/>
      <c r="N7" s="99" t="s">
        <v>142</v>
      </c>
      <c r="O7" s="100" t="s">
        <v>402</v>
      </c>
      <c r="P7" s="99"/>
      <c r="Q7" s="100"/>
      <c r="R7" s="99" t="s">
        <v>142</v>
      </c>
      <c r="S7" s="100" t="s">
        <v>402</v>
      </c>
      <c r="T7" s="101">
        <f>75933.33</f>
        <v>75933.33</v>
      </c>
      <c r="U7" s="102">
        <f>1</f>
        <v>1</v>
      </c>
      <c r="V7" s="102"/>
      <c r="W7" s="102"/>
      <c r="X7" s="102">
        <f>3750000</f>
        <v>3750000</v>
      </c>
      <c r="Y7" s="102"/>
      <c r="Z7" s="103"/>
      <c r="AA7" s="99" t="s">
        <v>229</v>
      </c>
      <c r="AB7" s="104" t="str">
        <f t="shared" ref="AB7:AD22" si="0">"－"</f>
        <v>－</v>
      </c>
      <c r="AC7" s="104" t="str">
        <f t="shared" si="0"/>
        <v>－</v>
      </c>
      <c r="AD7" s="105">
        <f>1</f>
        <v>1</v>
      </c>
    </row>
    <row r="8" spans="1:30">
      <c r="A8" s="95" t="s">
        <v>46</v>
      </c>
      <c r="B8" s="96" t="s">
        <v>400</v>
      </c>
      <c r="C8" s="96" t="s">
        <v>401</v>
      </c>
      <c r="D8" s="96" t="s">
        <v>232</v>
      </c>
      <c r="E8" s="97" t="s">
        <v>288</v>
      </c>
      <c r="F8" s="97" t="s">
        <v>403</v>
      </c>
      <c r="G8" s="98">
        <v>50</v>
      </c>
      <c r="H8" s="99" t="s">
        <v>142</v>
      </c>
      <c r="I8" s="100" t="s">
        <v>402</v>
      </c>
      <c r="J8" s="99" t="s">
        <v>142</v>
      </c>
      <c r="K8" s="100" t="s">
        <v>402</v>
      </c>
      <c r="L8" s="99"/>
      <c r="M8" s="100"/>
      <c r="N8" s="99" t="s">
        <v>142</v>
      </c>
      <c r="O8" s="100" t="s">
        <v>402</v>
      </c>
      <c r="P8" s="99"/>
      <c r="Q8" s="100"/>
      <c r="R8" s="99" t="s">
        <v>142</v>
      </c>
      <c r="S8" s="100" t="s">
        <v>402</v>
      </c>
      <c r="T8" s="101">
        <f>75842.11</f>
        <v>75842.11</v>
      </c>
      <c r="U8" s="102">
        <f>1</f>
        <v>1</v>
      </c>
      <c r="V8" s="102"/>
      <c r="W8" s="102"/>
      <c r="X8" s="102">
        <f>3750000</f>
        <v>3750000</v>
      </c>
      <c r="Y8" s="102"/>
      <c r="Z8" s="103"/>
      <c r="AA8" s="99"/>
      <c r="AB8" s="104" t="str">
        <f t="shared" si="0"/>
        <v>－</v>
      </c>
      <c r="AC8" s="104" t="str">
        <f t="shared" si="0"/>
        <v>－</v>
      </c>
      <c r="AD8" s="105">
        <f>1</f>
        <v>1</v>
      </c>
    </row>
    <row r="9" spans="1:30">
      <c r="A9" s="95" t="s">
        <v>46</v>
      </c>
      <c r="B9" s="96" t="s">
        <v>400</v>
      </c>
      <c r="C9" s="96" t="s">
        <v>401</v>
      </c>
      <c r="D9" s="96" t="s">
        <v>59</v>
      </c>
      <c r="E9" s="97" t="s">
        <v>404</v>
      </c>
      <c r="F9" s="97" t="s">
        <v>405</v>
      </c>
      <c r="G9" s="98">
        <v>50</v>
      </c>
      <c r="H9" s="99"/>
      <c r="I9" s="100" t="s">
        <v>135</v>
      </c>
      <c r="J9" s="99"/>
      <c r="K9" s="100" t="s">
        <v>135</v>
      </c>
      <c r="L9" s="99"/>
      <c r="M9" s="100"/>
      <c r="N9" s="99"/>
      <c r="O9" s="100" t="s">
        <v>135</v>
      </c>
      <c r="P9" s="99"/>
      <c r="Q9" s="100"/>
      <c r="R9" s="99"/>
      <c r="S9" s="100" t="s">
        <v>135</v>
      </c>
      <c r="T9" s="101">
        <f>75842.11</f>
        <v>75842.11</v>
      </c>
      <c r="U9" s="102" t="str">
        <f>"－"</f>
        <v>－</v>
      </c>
      <c r="V9" s="102"/>
      <c r="W9" s="102"/>
      <c r="X9" s="102" t="str">
        <f>"－"</f>
        <v>－</v>
      </c>
      <c r="Y9" s="102"/>
      <c r="Z9" s="103"/>
      <c r="AA9" s="99"/>
      <c r="AB9" s="104" t="str">
        <f t="shared" si="0"/>
        <v>－</v>
      </c>
      <c r="AC9" s="104" t="str">
        <f t="shared" si="0"/>
        <v>－</v>
      </c>
      <c r="AD9" s="105" t="str">
        <f t="shared" si="0"/>
        <v>－</v>
      </c>
    </row>
    <row r="10" spans="1:30">
      <c r="A10" s="95" t="s">
        <v>46</v>
      </c>
      <c r="B10" s="96" t="s">
        <v>400</v>
      </c>
      <c r="C10" s="96" t="s">
        <v>401</v>
      </c>
      <c r="D10" s="96" t="s">
        <v>237</v>
      </c>
      <c r="E10" s="97" t="s">
        <v>295</v>
      </c>
      <c r="F10" s="97" t="s">
        <v>61</v>
      </c>
      <c r="G10" s="98">
        <v>50</v>
      </c>
      <c r="H10" s="99"/>
      <c r="I10" s="100" t="s">
        <v>135</v>
      </c>
      <c r="J10" s="99"/>
      <c r="K10" s="100" t="s">
        <v>135</v>
      </c>
      <c r="L10" s="99"/>
      <c r="M10" s="100"/>
      <c r="N10" s="99"/>
      <c r="O10" s="100" t="s">
        <v>135</v>
      </c>
      <c r="P10" s="99"/>
      <c r="Q10" s="100"/>
      <c r="R10" s="99"/>
      <c r="S10" s="100" t="s">
        <v>135</v>
      </c>
      <c r="T10" s="101">
        <f>75842.11</f>
        <v>75842.11</v>
      </c>
      <c r="U10" s="102" t="str">
        <f>"－"</f>
        <v>－</v>
      </c>
      <c r="V10" s="102"/>
      <c r="W10" s="102"/>
      <c r="X10" s="102" t="str">
        <f>"－"</f>
        <v>－</v>
      </c>
      <c r="Y10" s="102"/>
      <c r="Z10" s="103"/>
      <c r="AA10" s="99"/>
      <c r="AB10" s="104" t="str">
        <f t="shared" si="0"/>
        <v>－</v>
      </c>
      <c r="AC10" s="104" t="str">
        <f t="shared" si="0"/>
        <v>－</v>
      </c>
      <c r="AD10" s="105" t="str">
        <f t="shared" si="0"/>
        <v>－</v>
      </c>
    </row>
    <row r="11" spans="1:30">
      <c r="A11" s="95" t="s">
        <v>46</v>
      </c>
      <c r="B11" s="96" t="s">
        <v>400</v>
      </c>
      <c r="C11" s="96" t="s">
        <v>401</v>
      </c>
      <c r="D11" s="96" t="s">
        <v>66</v>
      </c>
      <c r="E11" s="97" t="s">
        <v>374</v>
      </c>
      <c r="F11" s="97" t="s">
        <v>274</v>
      </c>
      <c r="G11" s="98">
        <v>50</v>
      </c>
      <c r="H11" s="99"/>
      <c r="I11" s="100" t="s">
        <v>135</v>
      </c>
      <c r="J11" s="99"/>
      <c r="K11" s="100" t="s">
        <v>135</v>
      </c>
      <c r="L11" s="99"/>
      <c r="M11" s="100"/>
      <c r="N11" s="99"/>
      <c r="O11" s="100" t="s">
        <v>135</v>
      </c>
      <c r="P11" s="99"/>
      <c r="Q11" s="100"/>
      <c r="R11" s="99"/>
      <c r="S11" s="100" t="s">
        <v>135</v>
      </c>
      <c r="T11" s="101">
        <f>75842.11</f>
        <v>75842.11</v>
      </c>
      <c r="U11" s="102" t="str">
        <f>"－"</f>
        <v>－</v>
      </c>
      <c r="V11" s="102"/>
      <c r="W11" s="102"/>
      <c r="X11" s="102" t="str">
        <f>"－"</f>
        <v>－</v>
      </c>
      <c r="Y11" s="102"/>
      <c r="Z11" s="103"/>
      <c r="AA11" s="99"/>
      <c r="AB11" s="104" t="str">
        <f t="shared" si="0"/>
        <v>－</v>
      </c>
      <c r="AC11" s="104" t="str">
        <f t="shared" si="0"/>
        <v>－</v>
      </c>
      <c r="AD11" s="105" t="str">
        <f t="shared" si="0"/>
        <v>－</v>
      </c>
    </row>
    <row r="12" spans="1:30">
      <c r="A12" s="95" t="s">
        <v>46</v>
      </c>
      <c r="B12" s="96" t="s">
        <v>400</v>
      </c>
      <c r="C12" s="96" t="s">
        <v>401</v>
      </c>
      <c r="D12" s="96" t="s">
        <v>242</v>
      </c>
      <c r="E12" s="97" t="s">
        <v>89</v>
      </c>
      <c r="F12" s="97" t="s">
        <v>406</v>
      </c>
      <c r="G12" s="98">
        <v>50</v>
      </c>
      <c r="H12" s="99"/>
      <c r="I12" s="100" t="s">
        <v>135</v>
      </c>
      <c r="J12" s="99"/>
      <c r="K12" s="100" t="s">
        <v>135</v>
      </c>
      <c r="L12" s="99"/>
      <c r="M12" s="100"/>
      <c r="N12" s="99"/>
      <c r="O12" s="100" t="s">
        <v>135</v>
      </c>
      <c r="P12" s="99"/>
      <c r="Q12" s="100"/>
      <c r="R12" s="99"/>
      <c r="S12" s="100" t="s">
        <v>135</v>
      </c>
      <c r="T12" s="101">
        <f>75842.11</f>
        <v>75842.11</v>
      </c>
      <c r="U12" s="102" t="str">
        <f>"－"</f>
        <v>－</v>
      </c>
      <c r="V12" s="102"/>
      <c r="W12" s="102"/>
      <c r="X12" s="102" t="str">
        <f>"－"</f>
        <v>－</v>
      </c>
      <c r="Y12" s="102"/>
      <c r="Z12" s="103"/>
      <c r="AA12" s="99"/>
      <c r="AB12" s="104" t="str">
        <f t="shared" si="0"/>
        <v>－</v>
      </c>
      <c r="AC12" s="104" t="str">
        <f t="shared" si="0"/>
        <v>－</v>
      </c>
      <c r="AD12" s="105" t="str">
        <f t="shared" si="0"/>
        <v>－</v>
      </c>
    </row>
    <row r="13" spans="1:30">
      <c r="A13" s="95" t="s">
        <v>46</v>
      </c>
      <c r="B13" s="96" t="s">
        <v>400</v>
      </c>
      <c r="C13" s="96" t="s">
        <v>401</v>
      </c>
      <c r="D13" s="96" t="s">
        <v>72</v>
      </c>
      <c r="E13" s="97" t="s">
        <v>304</v>
      </c>
      <c r="F13" s="97" t="s">
        <v>284</v>
      </c>
      <c r="G13" s="98">
        <v>50</v>
      </c>
      <c r="H13" s="99"/>
      <c r="I13" s="100" t="s">
        <v>135</v>
      </c>
      <c r="J13" s="99"/>
      <c r="K13" s="100" t="s">
        <v>135</v>
      </c>
      <c r="L13" s="99"/>
      <c r="M13" s="100"/>
      <c r="N13" s="99"/>
      <c r="O13" s="100" t="s">
        <v>135</v>
      </c>
      <c r="P13" s="99"/>
      <c r="Q13" s="100"/>
      <c r="R13" s="99"/>
      <c r="S13" s="100" t="s">
        <v>135</v>
      </c>
      <c r="T13" s="101">
        <f>75000</f>
        <v>75000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 t="shared" si="0"/>
        <v>－</v>
      </c>
      <c r="AC13" s="104" t="str">
        <f t="shared" si="0"/>
        <v>－</v>
      </c>
      <c r="AD13" s="105" t="str">
        <f t="shared" si="0"/>
        <v>－</v>
      </c>
    </row>
    <row r="14" spans="1:30">
      <c r="A14" s="95" t="s">
        <v>46</v>
      </c>
      <c r="B14" s="96" t="s">
        <v>407</v>
      </c>
      <c r="C14" s="96" t="s">
        <v>408</v>
      </c>
      <c r="D14" s="96" t="s">
        <v>49</v>
      </c>
      <c r="E14" s="97" t="s">
        <v>283</v>
      </c>
      <c r="F14" s="97" t="s">
        <v>248</v>
      </c>
      <c r="G14" s="98">
        <v>50</v>
      </c>
      <c r="H14" s="99"/>
      <c r="I14" s="100" t="s">
        <v>135</v>
      </c>
      <c r="J14" s="99"/>
      <c r="K14" s="100" t="s">
        <v>135</v>
      </c>
      <c r="L14" s="99" t="s">
        <v>54</v>
      </c>
      <c r="M14" s="100" t="s">
        <v>409</v>
      </c>
      <c r="N14" s="99"/>
      <c r="O14" s="100" t="s">
        <v>135</v>
      </c>
      <c r="P14" s="99" t="s">
        <v>54</v>
      </c>
      <c r="Q14" s="100" t="s">
        <v>409</v>
      </c>
      <c r="R14" s="99"/>
      <c r="S14" s="100" t="s">
        <v>135</v>
      </c>
      <c r="T14" s="101">
        <f t="shared" ref="T14:T20" si="1">78500</f>
        <v>78500</v>
      </c>
      <c r="U14" s="102">
        <f>20</f>
        <v>20</v>
      </c>
      <c r="V14" s="102">
        <v>20</v>
      </c>
      <c r="W14" s="102"/>
      <c r="X14" s="102">
        <f>77000000</f>
        <v>77000000</v>
      </c>
      <c r="Y14" s="102">
        <v>77000000</v>
      </c>
      <c r="Z14" s="103"/>
      <c r="AA14" s="99" t="s">
        <v>229</v>
      </c>
      <c r="AB14" s="104">
        <f>20</f>
        <v>20</v>
      </c>
      <c r="AC14" s="104" t="str">
        <f t="shared" si="0"/>
        <v>－</v>
      </c>
      <c r="AD14" s="105" t="str">
        <f t="shared" si="0"/>
        <v>－</v>
      </c>
    </row>
    <row r="15" spans="1:30">
      <c r="A15" s="95" t="s">
        <v>46</v>
      </c>
      <c r="B15" s="96" t="s">
        <v>407</v>
      </c>
      <c r="C15" s="96" t="s">
        <v>408</v>
      </c>
      <c r="D15" s="96" t="s">
        <v>232</v>
      </c>
      <c r="E15" s="97" t="s">
        <v>288</v>
      </c>
      <c r="F15" s="97" t="s">
        <v>403</v>
      </c>
      <c r="G15" s="98">
        <v>50</v>
      </c>
      <c r="H15" s="99"/>
      <c r="I15" s="100" t="s">
        <v>135</v>
      </c>
      <c r="J15" s="99"/>
      <c r="K15" s="100" t="s">
        <v>135</v>
      </c>
      <c r="L15" s="99"/>
      <c r="M15" s="100"/>
      <c r="N15" s="99"/>
      <c r="O15" s="100" t="s">
        <v>135</v>
      </c>
      <c r="P15" s="99"/>
      <c r="Q15" s="100"/>
      <c r="R15" s="99"/>
      <c r="S15" s="100" t="s">
        <v>135</v>
      </c>
      <c r="T15" s="101">
        <f t="shared" si="1"/>
        <v>78500</v>
      </c>
      <c r="U15" s="102" t="str">
        <f t="shared" ref="U15:U27" si="2">"－"</f>
        <v>－</v>
      </c>
      <c r="V15" s="102"/>
      <c r="W15" s="102"/>
      <c r="X15" s="102" t="str">
        <f t="shared" ref="X15:X27" si="3">"－"</f>
        <v>－</v>
      </c>
      <c r="Y15" s="102"/>
      <c r="Z15" s="103"/>
      <c r="AA15" s="99"/>
      <c r="AB15" s="104" t="str">
        <f t="shared" ref="AB15:AD30" si="4">"－"</f>
        <v>－</v>
      </c>
      <c r="AC15" s="104" t="str">
        <f t="shared" si="0"/>
        <v>－</v>
      </c>
      <c r="AD15" s="105" t="str">
        <f t="shared" si="0"/>
        <v>－</v>
      </c>
    </row>
    <row r="16" spans="1:30">
      <c r="A16" s="95" t="s">
        <v>46</v>
      </c>
      <c r="B16" s="96" t="s">
        <v>407</v>
      </c>
      <c r="C16" s="96" t="s">
        <v>408</v>
      </c>
      <c r="D16" s="96" t="s">
        <v>59</v>
      </c>
      <c r="E16" s="97" t="s">
        <v>404</v>
      </c>
      <c r="F16" s="97" t="s">
        <v>405</v>
      </c>
      <c r="G16" s="98">
        <v>50</v>
      </c>
      <c r="H16" s="99"/>
      <c r="I16" s="100" t="s">
        <v>135</v>
      </c>
      <c r="J16" s="99"/>
      <c r="K16" s="100" t="s">
        <v>135</v>
      </c>
      <c r="L16" s="99"/>
      <c r="M16" s="100"/>
      <c r="N16" s="99"/>
      <c r="O16" s="100" t="s">
        <v>135</v>
      </c>
      <c r="P16" s="99"/>
      <c r="Q16" s="100"/>
      <c r="R16" s="99"/>
      <c r="S16" s="100" t="s">
        <v>135</v>
      </c>
      <c r="T16" s="101">
        <f t="shared" si="1"/>
        <v>78500</v>
      </c>
      <c r="U16" s="102" t="str">
        <f t="shared" si="2"/>
        <v>－</v>
      </c>
      <c r="V16" s="102"/>
      <c r="W16" s="102"/>
      <c r="X16" s="102" t="str">
        <f t="shared" si="3"/>
        <v>－</v>
      </c>
      <c r="Y16" s="102"/>
      <c r="Z16" s="103"/>
      <c r="AA16" s="99"/>
      <c r="AB16" s="104" t="str">
        <f t="shared" si="4"/>
        <v>－</v>
      </c>
      <c r="AC16" s="104" t="str">
        <f t="shared" si="0"/>
        <v>－</v>
      </c>
      <c r="AD16" s="105" t="str">
        <f t="shared" si="0"/>
        <v>－</v>
      </c>
    </row>
    <row r="17" spans="1:30">
      <c r="A17" s="95" t="s">
        <v>46</v>
      </c>
      <c r="B17" s="96" t="s">
        <v>407</v>
      </c>
      <c r="C17" s="96" t="s">
        <v>408</v>
      </c>
      <c r="D17" s="96" t="s">
        <v>237</v>
      </c>
      <c r="E17" s="97" t="s">
        <v>295</v>
      </c>
      <c r="F17" s="97" t="s">
        <v>61</v>
      </c>
      <c r="G17" s="98">
        <v>50</v>
      </c>
      <c r="H17" s="99"/>
      <c r="I17" s="100" t="s">
        <v>135</v>
      </c>
      <c r="J17" s="99"/>
      <c r="K17" s="100" t="s">
        <v>135</v>
      </c>
      <c r="L17" s="99"/>
      <c r="M17" s="100"/>
      <c r="N17" s="99"/>
      <c r="O17" s="100" t="s">
        <v>135</v>
      </c>
      <c r="P17" s="99"/>
      <c r="Q17" s="100"/>
      <c r="R17" s="99"/>
      <c r="S17" s="100" t="s">
        <v>135</v>
      </c>
      <c r="T17" s="101">
        <f t="shared" si="1"/>
        <v>78500</v>
      </c>
      <c r="U17" s="102" t="str">
        <f t="shared" si="2"/>
        <v>－</v>
      </c>
      <c r="V17" s="102"/>
      <c r="W17" s="102"/>
      <c r="X17" s="102" t="str">
        <f t="shared" si="3"/>
        <v>－</v>
      </c>
      <c r="Y17" s="102"/>
      <c r="Z17" s="103"/>
      <c r="AA17" s="99"/>
      <c r="AB17" s="104" t="str">
        <f t="shared" si="4"/>
        <v>－</v>
      </c>
      <c r="AC17" s="104" t="str">
        <f t="shared" si="0"/>
        <v>－</v>
      </c>
      <c r="AD17" s="105" t="str">
        <f t="shared" si="0"/>
        <v>－</v>
      </c>
    </row>
    <row r="18" spans="1:30">
      <c r="A18" s="95" t="s">
        <v>46</v>
      </c>
      <c r="B18" s="96" t="s">
        <v>407</v>
      </c>
      <c r="C18" s="96" t="s">
        <v>408</v>
      </c>
      <c r="D18" s="96" t="s">
        <v>66</v>
      </c>
      <c r="E18" s="97" t="s">
        <v>374</v>
      </c>
      <c r="F18" s="97" t="s">
        <v>274</v>
      </c>
      <c r="G18" s="98">
        <v>50</v>
      </c>
      <c r="H18" s="99"/>
      <c r="I18" s="100" t="s">
        <v>135</v>
      </c>
      <c r="J18" s="99"/>
      <c r="K18" s="100" t="s">
        <v>135</v>
      </c>
      <c r="L18" s="99"/>
      <c r="M18" s="100"/>
      <c r="N18" s="99"/>
      <c r="O18" s="100" t="s">
        <v>135</v>
      </c>
      <c r="P18" s="99"/>
      <c r="Q18" s="100"/>
      <c r="R18" s="99"/>
      <c r="S18" s="100" t="s">
        <v>135</v>
      </c>
      <c r="T18" s="101">
        <f t="shared" si="1"/>
        <v>78500</v>
      </c>
      <c r="U18" s="102" t="str">
        <f t="shared" si="2"/>
        <v>－</v>
      </c>
      <c r="V18" s="102"/>
      <c r="W18" s="102"/>
      <c r="X18" s="102" t="str">
        <f t="shared" si="3"/>
        <v>－</v>
      </c>
      <c r="Y18" s="102"/>
      <c r="Z18" s="103"/>
      <c r="AA18" s="99"/>
      <c r="AB18" s="104" t="str">
        <f t="shared" si="4"/>
        <v>－</v>
      </c>
      <c r="AC18" s="104" t="str">
        <f t="shared" si="0"/>
        <v>－</v>
      </c>
      <c r="AD18" s="105" t="str">
        <f t="shared" si="0"/>
        <v>－</v>
      </c>
    </row>
    <row r="19" spans="1:30">
      <c r="A19" s="95" t="s">
        <v>46</v>
      </c>
      <c r="B19" s="96" t="s">
        <v>407</v>
      </c>
      <c r="C19" s="96" t="s">
        <v>408</v>
      </c>
      <c r="D19" s="96" t="s">
        <v>242</v>
      </c>
      <c r="E19" s="97" t="s">
        <v>89</v>
      </c>
      <c r="F19" s="97" t="s">
        <v>406</v>
      </c>
      <c r="G19" s="98">
        <v>50</v>
      </c>
      <c r="H19" s="99"/>
      <c r="I19" s="100" t="s">
        <v>135</v>
      </c>
      <c r="J19" s="99"/>
      <c r="K19" s="100" t="s">
        <v>135</v>
      </c>
      <c r="L19" s="99"/>
      <c r="M19" s="100"/>
      <c r="N19" s="99"/>
      <c r="O19" s="100" t="s">
        <v>135</v>
      </c>
      <c r="P19" s="99"/>
      <c r="Q19" s="100"/>
      <c r="R19" s="99"/>
      <c r="S19" s="100" t="s">
        <v>135</v>
      </c>
      <c r="T19" s="101">
        <f t="shared" si="1"/>
        <v>78500</v>
      </c>
      <c r="U19" s="102" t="str">
        <f t="shared" si="2"/>
        <v>－</v>
      </c>
      <c r="V19" s="102"/>
      <c r="W19" s="102"/>
      <c r="X19" s="102" t="str">
        <f t="shared" si="3"/>
        <v>－</v>
      </c>
      <c r="Y19" s="102"/>
      <c r="Z19" s="103"/>
      <c r="AA19" s="99"/>
      <c r="AB19" s="104" t="str">
        <f t="shared" si="4"/>
        <v>－</v>
      </c>
      <c r="AC19" s="104" t="str">
        <f t="shared" si="0"/>
        <v>－</v>
      </c>
      <c r="AD19" s="105" t="str">
        <f t="shared" si="0"/>
        <v>－</v>
      </c>
    </row>
    <row r="20" spans="1:30">
      <c r="A20" s="95" t="s">
        <v>46</v>
      </c>
      <c r="B20" s="96" t="s">
        <v>407</v>
      </c>
      <c r="C20" s="96" t="s">
        <v>408</v>
      </c>
      <c r="D20" s="96" t="s">
        <v>72</v>
      </c>
      <c r="E20" s="97" t="s">
        <v>304</v>
      </c>
      <c r="F20" s="97" t="s">
        <v>284</v>
      </c>
      <c r="G20" s="98">
        <v>50</v>
      </c>
      <c r="H20" s="99"/>
      <c r="I20" s="100" t="s">
        <v>135</v>
      </c>
      <c r="J20" s="99"/>
      <c r="K20" s="100" t="s">
        <v>135</v>
      </c>
      <c r="L20" s="99"/>
      <c r="M20" s="100"/>
      <c r="N20" s="99"/>
      <c r="O20" s="100" t="s">
        <v>135</v>
      </c>
      <c r="P20" s="99"/>
      <c r="Q20" s="100"/>
      <c r="R20" s="99"/>
      <c r="S20" s="100" t="s">
        <v>135</v>
      </c>
      <c r="T20" s="101">
        <f t="shared" si="1"/>
        <v>78500</v>
      </c>
      <c r="U20" s="102" t="str">
        <f t="shared" si="2"/>
        <v>－</v>
      </c>
      <c r="V20" s="102"/>
      <c r="W20" s="102"/>
      <c r="X20" s="102" t="str">
        <f t="shared" si="3"/>
        <v>－</v>
      </c>
      <c r="Y20" s="102"/>
      <c r="Z20" s="103"/>
      <c r="AA20" s="99"/>
      <c r="AB20" s="104" t="str">
        <f t="shared" si="4"/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410</v>
      </c>
      <c r="C21" s="96" t="s">
        <v>411</v>
      </c>
      <c r="D21" s="96" t="s">
        <v>49</v>
      </c>
      <c r="E21" s="97" t="s">
        <v>283</v>
      </c>
      <c r="F21" s="97" t="s">
        <v>248</v>
      </c>
      <c r="G21" s="98">
        <v>50</v>
      </c>
      <c r="H21" s="99"/>
      <c r="I21" s="100" t="s">
        <v>135</v>
      </c>
      <c r="J21" s="99"/>
      <c r="K21" s="100" t="s">
        <v>135</v>
      </c>
      <c r="L21" s="99"/>
      <c r="M21" s="100"/>
      <c r="N21" s="99"/>
      <c r="O21" s="100" t="s">
        <v>135</v>
      </c>
      <c r="P21" s="99"/>
      <c r="Q21" s="100"/>
      <c r="R21" s="99"/>
      <c r="S21" s="100" t="s">
        <v>135</v>
      </c>
      <c r="T21" s="101">
        <f>77773.33</f>
        <v>77773.33</v>
      </c>
      <c r="U21" s="102" t="str">
        <f t="shared" si="2"/>
        <v>－</v>
      </c>
      <c r="V21" s="102"/>
      <c r="W21" s="102"/>
      <c r="X21" s="102" t="str">
        <f t="shared" si="3"/>
        <v>－</v>
      </c>
      <c r="Y21" s="102"/>
      <c r="Z21" s="103"/>
      <c r="AA21" s="99" t="s">
        <v>229</v>
      </c>
      <c r="AB21" s="104" t="str">
        <f t="shared" si="4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410</v>
      </c>
      <c r="C22" s="96" t="s">
        <v>411</v>
      </c>
      <c r="D22" s="96" t="s">
        <v>232</v>
      </c>
      <c r="E22" s="97" t="s">
        <v>288</v>
      </c>
      <c r="F22" s="97" t="s">
        <v>403</v>
      </c>
      <c r="G22" s="98">
        <v>50</v>
      </c>
      <c r="H22" s="99"/>
      <c r="I22" s="100" t="s">
        <v>135</v>
      </c>
      <c r="J22" s="99"/>
      <c r="K22" s="100" t="s">
        <v>135</v>
      </c>
      <c r="L22" s="99"/>
      <c r="M22" s="100"/>
      <c r="N22" s="99"/>
      <c r="O22" s="100" t="s">
        <v>135</v>
      </c>
      <c r="P22" s="99"/>
      <c r="Q22" s="100"/>
      <c r="R22" s="99"/>
      <c r="S22" s="100" t="s">
        <v>135</v>
      </c>
      <c r="T22" s="101">
        <f>77363.16</f>
        <v>77363.16</v>
      </c>
      <c r="U22" s="102" t="str">
        <f t="shared" si="2"/>
        <v>－</v>
      </c>
      <c r="V22" s="102"/>
      <c r="W22" s="102"/>
      <c r="X22" s="102" t="str">
        <f t="shared" si="3"/>
        <v>－</v>
      </c>
      <c r="Y22" s="102"/>
      <c r="Z22" s="103"/>
      <c r="AA22" s="99"/>
      <c r="AB22" s="104" t="str">
        <f t="shared" si="4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410</v>
      </c>
      <c r="C23" s="96" t="s">
        <v>411</v>
      </c>
      <c r="D23" s="96" t="s">
        <v>59</v>
      </c>
      <c r="E23" s="97" t="s">
        <v>404</v>
      </c>
      <c r="F23" s="97" t="s">
        <v>405</v>
      </c>
      <c r="G23" s="98">
        <v>50</v>
      </c>
      <c r="H23" s="99"/>
      <c r="I23" s="100" t="s">
        <v>135</v>
      </c>
      <c r="J23" s="99"/>
      <c r="K23" s="100" t="s">
        <v>135</v>
      </c>
      <c r="L23" s="99"/>
      <c r="M23" s="100"/>
      <c r="N23" s="99"/>
      <c r="O23" s="100" t="s">
        <v>135</v>
      </c>
      <c r="P23" s="99"/>
      <c r="Q23" s="100"/>
      <c r="R23" s="99"/>
      <c r="S23" s="100" t="s">
        <v>135</v>
      </c>
      <c r="T23" s="101">
        <f>76684.21</f>
        <v>76684.210000000006</v>
      </c>
      <c r="U23" s="102" t="str">
        <f t="shared" si="2"/>
        <v>－</v>
      </c>
      <c r="V23" s="102"/>
      <c r="W23" s="102"/>
      <c r="X23" s="102" t="str">
        <f t="shared" si="3"/>
        <v>－</v>
      </c>
      <c r="Y23" s="102"/>
      <c r="Z23" s="103"/>
      <c r="AA23" s="99"/>
      <c r="AB23" s="104" t="str">
        <f t="shared" si="4"/>
        <v>－</v>
      </c>
      <c r="AC23" s="104" t="str">
        <f t="shared" si="4"/>
        <v>－</v>
      </c>
      <c r="AD23" s="105" t="str">
        <f t="shared" si="4"/>
        <v>－</v>
      </c>
    </row>
    <row r="24" spans="1:30">
      <c r="A24" s="95" t="s">
        <v>46</v>
      </c>
      <c r="B24" s="96" t="s">
        <v>410</v>
      </c>
      <c r="C24" s="96" t="s">
        <v>411</v>
      </c>
      <c r="D24" s="96" t="s">
        <v>237</v>
      </c>
      <c r="E24" s="97" t="s">
        <v>295</v>
      </c>
      <c r="F24" s="97" t="s">
        <v>61</v>
      </c>
      <c r="G24" s="98">
        <v>50</v>
      </c>
      <c r="H24" s="99"/>
      <c r="I24" s="100" t="s">
        <v>135</v>
      </c>
      <c r="J24" s="99"/>
      <c r="K24" s="100" t="s">
        <v>135</v>
      </c>
      <c r="L24" s="99"/>
      <c r="M24" s="100"/>
      <c r="N24" s="99"/>
      <c r="O24" s="100" t="s">
        <v>135</v>
      </c>
      <c r="P24" s="99"/>
      <c r="Q24" s="100"/>
      <c r="R24" s="99"/>
      <c r="S24" s="100" t="s">
        <v>135</v>
      </c>
      <c r="T24" s="101">
        <f>75926.32</f>
        <v>75926.320000000007</v>
      </c>
      <c r="U24" s="102" t="str">
        <f t="shared" si="2"/>
        <v>－</v>
      </c>
      <c r="V24" s="102"/>
      <c r="W24" s="102"/>
      <c r="X24" s="102" t="str">
        <f t="shared" si="3"/>
        <v>－</v>
      </c>
      <c r="Y24" s="102"/>
      <c r="Z24" s="103"/>
      <c r="AA24" s="99"/>
      <c r="AB24" s="104" t="str">
        <f t="shared" si="4"/>
        <v>－</v>
      </c>
      <c r="AC24" s="104" t="str">
        <f t="shared" si="4"/>
        <v>－</v>
      </c>
      <c r="AD24" s="105" t="str">
        <f t="shared" si="4"/>
        <v>－</v>
      </c>
    </row>
    <row r="25" spans="1:30">
      <c r="A25" s="95" t="s">
        <v>46</v>
      </c>
      <c r="B25" s="96" t="s">
        <v>410</v>
      </c>
      <c r="C25" s="96" t="s">
        <v>411</v>
      </c>
      <c r="D25" s="96" t="s">
        <v>66</v>
      </c>
      <c r="E25" s="97" t="s">
        <v>374</v>
      </c>
      <c r="F25" s="97" t="s">
        <v>274</v>
      </c>
      <c r="G25" s="98">
        <v>50</v>
      </c>
      <c r="H25" s="99"/>
      <c r="I25" s="100" t="s">
        <v>135</v>
      </c>
      <c r="J25" s="99"/>
      <c r="K25" s="100" t="s">
        <v>135</v>
      </c>
      <c r="L25" s="99"/>
      <c r="M25" s="100"/>
      <c r="N25" s="99"/>
      <c r="O25" s="100" t="s">
        <v>135</v>
      </c>
      <c r="P25" s="99"/>
      <c r="Q25" s="100"/>
      <c r="R25" s="99"/>
      <c r="S25" s="100" t="s">
        <v>135</v>
      </c>
      <c r="T25" s="101">
        <f>75168.42</f>
        <v>75168.42</v>
      </c>
      <c r="U25" s="102" t="str">
        <f t="shared" si="2"/>
        <v>－</v>
      </c>
      <c r="V25" s="102"/>
      <c r="W25" s="102"/>
      <c r="X25" s="102" t="str">
        <f t="shared" si="3"/>
        <v>－</v>
      </c>
      <c r="Y25" s="102"/>
      <c r="Z25" s="103"/>
      <c r="AA25" s="99"/>
      <c r="AB25" s="104" t="str">
        <f t="shared" si="4"/>
        <v>－</v>
      </c>
      <c r="AC25" s="104" t="str">
        <f t="shared" si="4"/>
        <v>－</v>
      </c>
      <c r="AD25" s="105" t="str">
        <f t="shared" si="4"/>
        <v>－</v>
      </c>
    </row>
    <row r="26" spans="1:30">
      <c r="A26" s="95" t="s">
        <v>46</v>
      </c>
      <c r="B26" s="96" t="s">
        <v>410</v>
      </c>
      <c r="C26" s="96" t="s">
        <v>411</v>
      </c>
      <c r="D26" s="96" t="s">
        <v>242</v>
      </c>
      <c r="E26" s="97" t="s">
        <v>89</v>
      </c>
      <c r="F26" s="97" t="s">
        <v>406</v>
      </c>
      <c r="G26" s="98">
        <v>50</v>
      </c>
      <c r="H26" s="99"/>
      <c r="I26" s="100" t="s">
        <v>135</v>
      </c>
      <c r="J26" s="99"/>
      <c r="K26" s="100" t="s">
        <v>135</v>
      </c>
      <c r="L26" s="99"/>
      <c r="M26" s="100"/>
      <c r="N26" s="99"/>
      <c r="O26" s="100" t="s">
        <v>135</v>
      </c>
      <c r="P26" s="99"/>
      <c r="Q26" s="100"/>
      <c r="R26" s="99"/>
      <c r="S26" s="100" t="s">
        <v>135</v>
      </c>
      <c r="T26" s="101">
        <f>74089.47</f>
        <v>74089.47</v>
      </c>
      <c r="U26" s="102" t="str">
        <f t="shared" si="2"/>
        <v>－</v>
      </c>
      <c r="V26" s="102"/>
      <c r="W26" s="102"/>
      <c r="X26" s="102" t="str">
        <f t="shared" si="3"/>
        <v>－</v>
      </c>
      <c r="Y26" s="102"/>
      <c r="Z26" s="103"/>
      <c r="AA26" s="99"/>
      <c r="AB26" s="104" t="str">
        <f t="shared" si="4"/>
        <v>－</v>
      </c>
      <c r="AC26" s="104" t="str">
        <f t="shared" si="4"/>
        <v>－</v>
      </c>
      <c r="AD26" s="105" t="str">
        <f t="shared" si="4"/>
        <v>－</v>
      </c>
    </row>
    <row r="27" spans="1:30">
      <c r="A27" s="95" t="s">
        <v>46</v>
      </c>
      <c r="B27" s="96" t="s">
        <v>410</v>
      </c>
      <c r="C27" s="96" t="s">
        <v>411</v>
      </c>
      <c r="D27" s="96" t="s">
        <v>72</v>
      </c>
      <c r="E27" s="97" t="s">
        <v>304</v>
      </c>
      <c r="F27" s="97" t="s">
        <v>284</v>
      </c>
      <c r="G27" s="98">
        <v>50</v>
      </c>
      <c r="H27" s="99"/>
      <c r="I27" s="100" t="s">
        <v>135</v>
      </c>
      <c r="J27" s="99"/>
      <c r="K27" s="100" t="s">
        <v>135</v>
      </c>
      <c r="L27" s="99"/>
      <c r="M27" s="100"/>
      <c r="N27" s="99"/>
      <c r="O27" s="100" t="s">
        <v>135</v>
      </c>
      <c r="P27" s="99"/>
      <c r="Q27" s="100"/>
      <c r="R27" s="99"/>
      <c r="S27" s="100" t="s">
        <v>135</v>
      </c>
      <c r="T27" s="101">
        <f>73675</f>
        <v>73675</v>
      </c>
      <c r="U27" s="102" t="str">
        <f t="shared" si="2"/>
        <v>－</v>
      </c>
      <c r="V27" s="102"/>
      <c r="W27" s="102"/>
      <c r="X27" s="102" t="str">
        <f t="shared" si="3"/>
        <v>－</v>
      </c>
      <c r="Y27" s="102"/>
      <c r="Z27" s="103"/>
      <c r="AA27" s="99"/>
      <c r="AB27" s="104" t="str">
        <f t="shared" si="4"/>
        <v>－</v>
      </c>
      <c r="AC27" s="104" t="str">
        <f t="shared" si="4"/>
        <v>－</v>
      </c>
      <c r="AD27" s="105" t="str">
        <f t="shared" si="4"/>
        <v>－</v>
      </c>
    </row>
    <row r="28" spans="1:30">
      <c r="A28" s="95" t="s">
        <v>46</v>
      </c>
      <c r="B28" s="96" t="s">
        <v>412</v>
      </c>
      <c r="C28" s="96" t="s">
        <v>413</v>
      </c>
      <c r="D28" s="96" t="s">
        <v>46</v>
      </c>
      <c r="E28" s="97" t="s">
        <v>414</v>
      </c>
      <c r="F28" s="97" t="s">
        <v>311</v>
      </c>
      <c r="G28" s="98">
        <v>50</v>
      </c>
      <c r="H28" s="99" t="s">
        <v>52</v>
      </c>
      <c r="I28" s="100" t="s">
        <v>415</v>
      </c>
      <c r="J28" s="99" t="s">
        <v>92</v>
      </c>
      <c r="K28" s="100" t="s">
        <v>416</v>
      </c>
      <c r="L28" s="99" t="s">
        <v>57</v>
      </c>
      <c r="M28" s="100" t="s">
        <v>417</v>
      </c>
      <c r="N28" s="99" t="s">
        <v>95</v>
      </c>
      <c r="O28" s="100" t="s">
        <v>418</v>
      </c>
      <c r="P28" s="99" t="s">
        <v>95</v>
      </c>
      <c r="Q28" s="100" t="s">
        <v>419</v>
      </c>
      <c r="R28" s="99" t="s">
        <v>57</v>
      </c>
      <c r="S28" s="100" t="s">
        <v>420</v>
      </c>
      <c r="T28" s="101">
        <f>65254.21</f>
        <v>65254.21</v>
      </c>
      <c r="U28" s="102">
        <f>439</f>
        <v>439</v>
      </c>
      <c r="V28" s="102">
        <v>66</v>
      </c>
      <c r="W28" s="102">
        <v>5</v>
      </c>
      <c r="X28" s="102">
        <f>1418953500</f>
        <v>1418953500</v>
      </c>
      <c r="Y28" s="102">
        <v>214355000</v>
      </c>
      <c r="Z28" s="103">
        <v>15915000</v>
      </c>
      <c r="AA28" s="99" t="s">
        <v>229</v>
      </c>
      <c r="AB28" s="104">
        <f>3276</f>
        <v>3276</v>
      </c>
      <c r="AC28" s="104" t="str">
        <f t="shared" si="4"/>
        <v>－</v>
      </c>
      <c r="AD28" s="105">
        <f>18</f>
        <v>18</v>
      </c>
    </row>
    <row r="29" spans="1:30">
      <c r="A29" s="95" t="s">
        <v>46</v>
      </c>
      <c r="B29" s="96" t="s">
        <v>412</v>
      </c>
      <c r="C29" s="96" t="s">
        <v>413</v>
      </c>
      <c r="D29" s="96" t="s">
        <v>49</v>
      </c>
      <c r="E29" s="97" t="s">
        <v>421</v>
      </c>
      <c r="F29" s="97" t="s">
        <v>313</v>
      </c>
      <c r="G29" s="98">
        <v>50</v>
      </c>
      <c r="H29" s="99" t="s">
        <v>52</v>
      </c>
      <c r="I29" s="100" t="s">
        <v>422</v>
      </c>
      <c r="J29" s="99" t="s">
        <v>92</v>
      </c>
      <c r="K29" s="100" t="s">
        <v>423</v>
      </c>
      <c r="L29" s="99" t="s">
        <v>103</v>
      </c>
      <c r="M29" s="100" t="s">
        <v>424</v>
      </c>
      <c r="N29" s="99" t="s">
        <v>95</v>
      </c>
      <c r="O29" s="100" t="s">
        <v>425</v>
      </c>
      <c r="P29" s="99" t="s">
        <v>95</v>
      </c>
      <c r="Q29" s="100" t="s">
        <v>426</v>
      </c>
      <c r="R29" s="99" t="s">
        <v>57</v>
      </c>
      <c r="S29" s="100" t="s">
        <v>427</v>
      </c>
      <c r="T29" s="101">
        <f>65871.05</f>
        <v>65871.05</v>
      </c>
      <c r="U29" s="102">
        <f>695</f>
        <v>695</v>
      </c>
      <c r="V29" s="102">
        <v>132</v>
      </c>
      <c r="W29" s="102">
        <v>49</v>
      </c>
      <c r="X29" s="102">
        <f>2241108000</f>
        <v>2241108000</v>
      </c>
      <c r="Y29" s="102">
        <v>416747000</v>
      </c>
      <c r="Z29" s="103">
        <v>160977000</v>
      </c>
      <c r="AA29" s="99"/>
      <c r="AB29" s="104">
        <f>1746</f>
        <v>1746</v>
      </c>
      <c r="AC29" s="104" t="str">
        <f t="shared" si="4"/>
        <v>－</v>
      </c>
      <c r="AD29" s="105">
        <f>19</f>
        <v>19</v>
      </c>
    </row>
    <row r="30" spans="1:30">
      <c r="A30" s="95" t="s">
        <v>46</v>
      </c>
      <c r="B30" s="96" t="s">
        <v>412</v>
      </c>
      <c r="C30" s="96" t="s">
        <v>413</v>
      </c>
      <c r="D30" s="96" t="s">
        <v>232</v>
      </c>
      <c r="E30" s="97" t="s">
        <v>428</v>
      </c>
      <c r="F30" s="97" t="s">
        <v>315</v>
      </c>
      <c r="G30" s="98">
        <v>50</v>
      </c>
      <c r="H30" s="99" t="s">
        <v>52</v>
      </c>
      <c r="I30" s="100" t="s">
        <v>429</v>
      </c>
      <c r="J30" s="99" t="s">
        <v>92</v>
      </c>
      <c r="K30" s="100" t="s">
        <v>430</v>
      </c>
      <c r="L30" s="99" t="s">
        <v>92</v>
      </c>
      <c r="M30" s="100" t="s">
        <v>431</v>
      </c>
      <c r="N30" s="99" t="s">
        <v>95</v>
      </c>
      <c r="O30" s="100" t="s">
        <v>432</v>
      </c>
      <c r="P30" s="99" t="s">
        <v>95</v>
      </c>
      <c r="Q30" s="100" t="s">
        <v>433</v>
      </c>
      <c r="R30" s="99" t="s">
        <v>57</v>
      </c>
      <c r="S30" s="100" t="s">
        <v>434</v>
      </c>
      <c r="T30" s="101">
        <f>65147.89</f>
        <v>65147.89</v>
      </c>
      <c r="U30" s="102">
        <f>1233</f>
        <v>1233</v>
      </c>
      <c r="V30" s="102">
        <v>214</v>
      </c>
      <c r="W30" s="102">
        <v>88</v>
      </c>
      <c r="X30" s="102">
        <f>3988252950</f>
        <v>3988252950</v>
      </c>
      <c r="Y30" s="102">
        <v>691158950</v>
      </c>
      <c r="Z30" s="103">
        <v>283836500</v>
      </c>
      <c r="AA30" s="99"/>
      <c r="AB30" s="104">
        <f>1378</f>
        <v>1378</v>
      </c>
      <c r="AC30" s="104" t="str">
        <f t="shared" si="4"/>
        <v>－</v>
      </c>
      <c r="AD30" s="105">
        <f>19</f>
        <v>19</v>
      </c>
    </row>
    <row r="31" spans="1:30">
      <c r="A31" s="95" t="s">
        <v>46</v>
      </c>
      <c r="B31" s="96" t="s">
        <v>412</v>
      </c>
      <c r="C31" s="96" t="s">
        <v>413</v>
      </c>
      <c r="D31" s="96" t="s">
        <v>59</v>
      </c>
      <c r="E31" s="97" t="s">
        <v>310</v>
      </c>
      <c r="F31" s="97" t="s">
        <v>317</v>
      </c>
      <c r="G31" s="98">
        <v>50</v>
      </c>
      <c r="H31" s="99" t="s">
        <v>52</v>
      </c>
      <c r="I31" s="100" t="s">
        <v>435</v>
      </c>
      <c r="J31" s="99" t="s">
        <v>92</v>
      </c>
      <c r="K31" s="100" t="s">
        <v>436</v>
      </c>
      <c r="L31" s="99" t="s">
        <v>92</v>
      </c>
      <c r="M31" s="100" t="s">
        <v>437</v>
      </c>
      <c r="N31" s="99" t="s">
        <v>95</v>
      </c>
      <c r="O31" s="100" t="s">
        <v>438</v>
      </c>
      <c r="P31" s="99" t="s">
        <v>142</v>
      </c>
      <c r="Q31" s="100" t="s">
        <v>439</v>
      </c>
      <c r="R31" s="99" t="s">
        <v>57</v>
      </c>
      <c r="S31" s="100" t="s">
        <v>440</v>
      </c>
      <c r="T31" s="101">
        <f>64542.11</f>
        <v>64542.11</v>
      </c>
      <c r="U31" s="102">
        <f>6176</f>
        <v>6176</v>
      </c>
      <c r="V31" s="102">
        <v>336</v>
      </c>
      <c r="W31" s="102">
        <v>827</v>
      </c>
      <c r="X31" s="102">
        <f>19748346950</f>
        <v>19748346950</v>
      </c>
      <c r="Y31" s="102">
        <v>1055380950</v>
      </c>
      <c r="Z31" s="103">
        <v>2638502500</v>
      </c>
      <c r="AA31" s="99"/>
      <c r="AB31" s="104">
        <f>4057</f>
        <v>4057</v>
      </c>
      <c r="AC31" s="104" t="str">
        <f t="shared" ref="AC31:AD62" si="5">"－"</f>
        <v>－</v>
      </c>
      <c r="AD31" s="105">
        <f>19</f>
        <v>19</v>
      </c>
    </row>
    <row r="32" spans="1:30">
      <c r="A32" s="95" t="s">
        <v>46</v>
      </c>
      <c r="B32" s="96" t="s">
        <v>412</v>
      </c>
      <c r="C32" s="96" t="s">
        <v>413</v>
      </c>
      <c r="D32" s="96" t="s">
        <v>237</v>
      </c>
      <c r="E32" s="97" t="s">
        <v>312</v>
      </c>
      <c r="F32" s="97" t="s">
        <v>319</v>
      </c>
      <c r="G32" s="98">
        <v>50</v>
      </c>
      <c r="H32" s="99" t="s">
        <v>52</v>
      </c>
      <c r="I32" s="100" t="s">
        <v>441</v>
      </c>
      <c r="J32" s="99" t="s">
        <v>92</v>
      </c>
      <c r="K32" s="100" t="s">
        <v>442</v>
      </c>
      <c r="L32" s="99" t="s">
        <v>92</v>
      </c>
      <c r="M32" s="100" t="s">
        <v>443</v>
      </c>
      <c r="N32" s="99" t="s">
        <v>95</v>
      </c>
      <c r="O32" s="100" t="s">
        <v>444</v>
      </c>
      <c r="P32" s="99" t="s">
        <v>142</v>
      </c>
      <c r="Q32" s="100" t="s">
        <v>439</v>
      </c>
      <c r="R32" s="99" t="s">
        <v>57</v>
      </c>
      <c r="S32" s="100" t="s">
        <v>445</v>
      </c>
      <c r="T32" s="101">
        <f>63744.21</f>
        <v>63744.21</v>
      </c>
      <c r="U32" s="102">
        <f>69955</f>
        <v>69955</v>
      </c>
      <c r="V32" s="102">
        <v>1601</v>
      </c>
      <c r="W32" s="102">
        <v>14601</v>
      </c>
      <c r="X32" s="102">
        <f>219662396450</f>
        <v>219662396450</v>
      </c>
      <c r="Y32" s="102">
        <v>5123126950</v>
      </c>
      <c r="Z32" s="103">
        <v>45963111000</v>
      </c>
      <c r="AA32" s="99"/>
      <c r="AB32" s="104">
        <f>5588</f>
        <v>5588</v>
      </c>
      <c r="AC32" s="104" t="str">
        <f t="shared" si="5"/>
        <v>－</v>
      </c>
      <c r="AD32" s="105">
        <f>19</f>
        <v>19</v>
      </c>
    </row>
    <row r="33" spans="1:30">
      <c r="A33" s="95" t="s">
        <v>46</v>
      </c>
      <c r="B33" s="96" t="s">
        <v>412</v>
      </c>
      <c r="C33" s="96" t="s">
        <v>413</v>
      </c>
      <c r="D33" s="96" t="s">
        <v>66</v>
      </c>
      <c r="E33" s="97" t="s">
        <v>314</v>
      </c>
      <c r="F33" s="97" t="s">
        <v>321</v>
      </c>
      <c r="G33" s="98">
        <v>50</v>
      </c>
      <c r="H33" s="99" t="s">
        <v>52</v>
      </c>
      <c r="I33" s="100" t="s">
        <v>446</v>
      </c>
      <c r="J33" s="99" t="s">
        <v>92</v>
      </c>
      <c r="K33" s="100" t="s">
        <v>447</v>
      </c>
      <c r="L33" s="99" t="s">
        <v>92</v>
      </c>
      <c r="M33" s="100" t="s">
        <v>448</v>
      </c>
      <c r="N33" s="99" t="s">
        <v>95</v>
      </c>
      <c r="O33" s="100" t="s">
        <v>449</v>
      </c>
      <c r="P33" s="99" t="s">
        <v>142</v>
      </c>
      <c r="Q33" s="100" t="s">
        <v>439</v>
      </c>
      <c r="R33" s="99" t="s">
        <v>57</v>
      </c>
      <c r="S33" s="100" t="s">
        <v>450</v>
      </c>
      <c r="T33" s="101">
        <f>63086.84</f>
        <v>63086.84</v>
      </c>
      <c r="U33" s="102">
        <f>83916</f>
        <v>83916</v>
      </c>
      <c r="V33" s="102">
        <v>1069</v>
      </c>
      <c r="W33" s="102">
        <v>13810</v>
      </c>
      <c r="X33" s="102">
        <f>264353200450</f>
        <v>264353200450</v>
      </c>
      <c r="Y33" s="102">
        <v>3387193950</v>
      </c>
      <c r="Z33" s="103">
        <v>43042105500</v>
      </c>
      <c r="AA33" s="99"/>
      <c r="AB33" s="104">
        <f>28269</f>
        <v>28269</v>
      </c>
      <c r="AC33" s="104" t="str">
        <f t="shared" si="5"/>
        <v>－</v>
      </c>
      <c r="AD33" s="105">
        <f>19</f>
        <v>19</v>
      </c>
    </row>
    <row r="34" spans="1:30">
      <c r="A34" s="95" t="s">
        <v>46</v>
      </c>
      <c r="B34" s="96" t="s">
        <v>412</v>
      </c>
      <c r="C34" s="96" t="s">
        <v>413</v>
      </c>
      <c r="D34" s="96" t="s">
        <v>242</v>
      </c>
      <c r="E34" s="97" t="s">
        <v>316</v>
      </c>
      <c r="F34" s="97" t="s">
        <v>323</v>
      </c>
      <c r="G34" s="98">
        <v>50</v>
      </c>
      <c r="H34" s="99" t="s">
        <v>258</v>
      </c>
      <c r="I34" s="100" t="s">
        <v>451</v>
      </c>
      <c r="J34" s="99" t="s">
        <v>151</v>
      </c>
      <c r="K34" s="100" t="s">
        <v>420</v>
      </c>
      <c r="L34" s="99" t="s">
        <v>57</v>
      </c>
      <c r="M34" s="100" t="s">
        <v>452</v>
      </c>
      <c r="N34" s="99" t="s">
        <v>258</v>
      </c>
      <c r="O34" s="100" t="s">
        <v>453</v>
      </c>
      <c r="P34" s="99" t="s">
        <v>142</v>
      </c>
      <c r="Q34" s="100" t="s">
        <v>439</v>
      </c>
      <c r="R34" s="99" t="s">
        <v>57</v>
      </c>
      <c r="S34" s="100" t="s">
        <v>454</v>
      </c>
      <c r="T34" s="101">
        <f>62571.58</f>
        <v>62571.58</v>
      </c>
      <c r="U34" s="102">
        <f>87</f>
        <v>87</v>
      </c>
      <c r="V34" s="102">
        <v>20</v>
      </c>
      <c r="W34" s="102"/>
      <c r="X34" s="102">
        <f>275200950</f>
        <v>275200950</v>
      </c>
      <c r="Y34" s="102">
        <v>62801950</v>
      </c>
      <c r="Z34" s="103"/>
      <c r="AA34" s="99"/>
      <c r="AB34" s="104">
        <f>103</f>
        <v>103</v>
      </c>
      <c r="AC34" s="104" t="str">
        <f t="shared" si="5"/>
        <v>－</v>
      </c>
      <c r="AD34" s="105">
        <f>9</f>
        <v>9</v>
      </c>
    </row>
    <row r="35" spans="1:30">
      <c r="A35" s="95" t="s">
        <v>46</v>
      </c>
      <c r="B35" s="96" t="s">
        <v>412</v>
      </c>
      <c r="C35" s="96" t="s">
        <v>413</v>
      </c>
      <c r="D35" s="96" t="s">
        <v>72</v>
      </c>
      <c r="E35" s="97" t="s">
        <v>318</v>
      </c>
      <c r="F35" s="97" t="s">
        <v>325</v>
      </c>
      <c r="G35" s="98">
        <v>50</v>
      </c>
      <c r="H35" s="99" t="s">
        <v>124</v>
      </c>
      <c r="I35" s="100" t="s">
        <v>455</v>
      </c>
      <c r="J35" s="99" t="s">
        <v>338</v>
      </c>
      <c r="K35" s="100" t="s">
        <v>456</v>
      </c>
      <c r="L35" s="99" t="s">
        <v>57</v>
      </c>
      <c r="M35" s="100" t="s">
        <v>452</v>
      </c>
      <c r="N35" s="99" t="s">
        <v>124</v>
      </c>
      <c r="O35" s="100" t="s">
        <v>455</v>
      </c>
      <c r="P35" s="99" t="s">
        <v>142</v>
      </c>
      <c r="Q35" s="100" t="s">
        <v>439</v>
      </c>
      <c r="R35" s="99" t="s">
        <v>151</v>
      </c>
      <c r="S35" s="100" t="s">
        <v>457</v>
      </c>
      <c r="T35" s="101">
        <f>61785.26</f>
        <v>61785.26</v>
      </c>
      <c r="U35" s="102">
        <f>24</f>
        <v>24</v>
      </c>
      <c r="V35" s="102">
        <v>20</v>
      </c>
      <c r="W35" s="102"/>
      <c r="X35" s="102">
        <f>75325450</f>
        <v>75325450</v>
      </c>
      <c r="Y35" s="102">
        <v>62801950</v>
      </c>
      <c r="Z35" s="103"/>
      <c r="AA35" s="99"/>
      <c r="AB35" s="104">
        <f>71</f>
        <v>71</v>
      </c>
      <c r="AC35" s="104" t="str">
        <f t="shared" si="5"/>
        <v>－</v>
      </c>
      <c r="AD35" s="105">
        <f>4</f>
        <v>4</v>
      </c>
    </row>
    <row r="36" spans="1:30">
      <c r="A36" s="95" t="s">
        <v>46</v>
      </c>
      <c r="B36" s="96" t="s">
        <v>412</v>
      </c>
      <c r="C36" s="96" t="s">
        <v>413</v>
      </c>
      <c r="D36" s="96" t="s">
        <v>292</v>
      </c>
      <c r="E36" s="97" t="s">
        <v>320</v>
      </c>
      <c r="F36" s="97" t="s">
        <v>327</v>
      </c>
      <c r="G36" s="98">
        <v>50</v>
      </c>
      <c r="H36" s="99"/>
      <c r="I36" s="100" t="s">
        <v>135</v>
      </c>
      <c r="J36" s="99"/>
      <c r="K36" s="100" t="s">
        <v>135</v>
      </c>
      <c r="L36" s="99" t="s">
        <v>83</v>
      </c>
      <c r="M36" s="100" t="s">
        <v>458</v>
      </c>
      <c r="N36" s="99"/>
      <c r="O36" s="100" t="s">
        <v>135</v>
      </c>
      <c r="P36" s="99" t="s">
        <v>142</v>
      </c>
      <c r="Q36" s="100" t="s">
        <v>439</v>
      </c>
      <c r="R36" s="99"/>
      <c r="S36" s="100" t="s">
        <v>135</v>
      </c>
      <c r="T36" s="101">
        <f>61210.53</f>
        <v>61210.53</v>
      </c>
      <c r="U36" s="102">
        <f>18</f>
        <v>18</v>
      </c>
      <c r="V36" s="102">
        <v>18</v>
      </c>
      <c r="W36" s="102"/>
      <c r="X36" s="102">
        <f>55701200</f>
        <v>55701200</v>
      </c>
      <c r="Y36" s="102">
        <v>55701200</v>
      </c>
      <c r="Z36" s="103"/>
      <c r="AA36" s="99"/>
      <c r="AB36" s="104">
        <f>56</f>
        <v>56</v>
      </c>
      <c r="AC36" s="104" t="str">
        <f t="shared" si="5"/>
        <v>－</v>
      </c>
      <c r="AD36" s="105" t="str">
        <f>"－"</f>
        <v>－</v>
      </c>
    </row>
    <row r="37" spans="1:30">
      <c r="A37" s="95" t="s">
        <v>46</v>
      </c>
      <c r="B37" s="96" t="s">
        <v>412</v>
      </c>
      <c r="C37" s="96" t="s">
        <v>413</v>
      </c>
      <c r="D37" s="96" t="s">
        <v>79</v>
      </c>
      <c r="E37" s="97" t="s">
        <v>322</v>
      </c>
      <c r="F37" s="97" t="s">
        <v>329</v>
      </c>
      <c r="G37" s="98">
        <v>50</v>
      </c>
      <c r="H37" s="99"/>
      <c r="I37" s="100" t="s">
        <v>135</v>
      </c>
      <c r="J37" s="99"/>
      <c r="K37" s="100" t="s">
        <v>135</v>
      </c>
      <c r="L37" s="99" t="s">
        <v>83</v>
      </c>
      <c r="M37" s="100" t="s">
        <v>458</v>
      </c>
      <c r="N37" s="99"/>
      <c r="O37" s="100" t="s">
        <v>135</v>
      </c>
      <c r="P37" s="99" t="s">
        <v>142</v>
      </c>
      <c r="Q37" s="100" t="s">
        <v>439</v>
      </c>
      <c r="R37" s="99"/>
      <c r="S37" s="100" t="s">
        <v>135</v>
      </c>
      <c r="T37" s="101">
        <f>60604.74</f>
        <v>60604.74</v>
      </c>
      <c r="U37" s="102">
        <f>18</f>
        <v>18</v>
      </c>
      <c r="V37" s="102">
        <v>18</v>
      </c>
      <c r="W37" s="102"/>
      <c r="X37" s="102">
        <f>55701200</f>
        <v>55701200</v>
      </c>
      <c r="Y37" s="102">
        <v>55701200</v>
      </c>
      <c r="Z37" s="103"/>
      <c r="AA37" s="99"/>
      <c r="AB37" s="104">
        <f>56</f>
        <v>56</v>
      </c>
      <c r="AC37" s="104" t="str">
        <f t="shared" si="5"/>
        <v>－</v>
      </c>
      <c r="AD37" s="105" t="str">
        <f>"－"</f>
        <v>－</v>
      </c>
    </row>
    <row r="38" spans="1:30">
      <c r="A38" s="95" t="s">
        <v>46</v>
      </c>
      <c r="B38" s="96" t="s">
        <v>412</v>
      </c>
      <c r="C38" s="96" t="s">
        <v>413</v>
      </c>
      <c r="D38" s="96" t="s">
        <v>296</v>
      </c>
      <c r="E38" s="97" t="s">
        <v>324</v>
      </c>
      <c r="F38" s="97" t="s">
        <v>331</v>
      </c>
      <c r="G38" s="98">
        <v>50</v>
      </c>
      <c r="H38" s="99" t="s">
        <v>103</v>
      </c>
      <c r="I38" s="100" t="s">
        <v>459</v>
      </c>
      <c r="J38" s="99" t="s">
        <v>103</v>
      </c>
      <c r="K38" s="100" t="s">
        <v>459</v>
      </c>
      <c r="L38" s="99" t="s">
        <v>83</v>
      </c>
      <c r="M38" s="100" t="s">
        <v>458</v>
      </c>
      <c r="N38" s="99" t="s">
        <v>103</v>
      </c>
      <c r="O38" s="100" t="s">
        <v>459</v>
      </c>
      <c r="P38" s="99" t="s">
        <v>142</v>
      </c>
      <c r="Q38" s="100" t="s">
        <v>439</v>
      </c>
      <c r="R38" s="99" t="s">
        <v>103</v>
      </c>
      <c r="S38" s="100" t="s">
        <v>459</v>
      </c>
      <c r="T38" s="101">
        <f>60011.05</f>
        <v>60011.05</v>
      </c>
      <c r="U38" s="102">
        <f>19</f>
        <v>19</v>
      </c>
      <c r="V38" s="102">
        <v>18</v>
      </c>
      <c r="W38" s="102"/>
      <c r="X38" s="102">
        <f>58791200</f>
        <v>58791200</v>
      </c>
      <c r="Y38" s="102">
        <v>55701200</v>
      </c>
      <c r="Z38" s="103"/>
      <c r="AA38" s="99"/>
      <c r="AB38" s="104">
        <f>53</f>
        <v>53</v>
      </c>
      <c r="AC38" s="104" t="str">
        <f t="shared" si="5"/>
        <v>－</v>
      </c>
      <c r="AD38" s="105">
        <f>1</f>
        <v>1</v>
      </c>
    </row>
    <row r="39" spans="1:30">
      <c r="A39" s="95" t="s">
        <v>46</v>
      </c>
      <c r="B39" s="96" t="s">
        <v>412</v>
      </c>
      <c r="C39" s="96" t="s">
        <v>413</v>
      </c>
      <c r="D39" s="96" t="s">
        <v>88</v>
      </c>
      <c r="E39" s="97" t="s">
        <v>326</v>
      </c>
      <c r="F39" s="97" t="s">
        <v>332</v>
      </c>
      <c r="G39" s="98">
        <v>50</v>
      </c>
      <c r="H39" s="99"/>
      <c r="I39" s="100" t="s">
        <v>135</v>
      </c>
      <c r="J39" s="99"/>
      <c r="K39" s="100" t="s">
        <v>135</v>
      </c>
      <c r="L39" s="99" t="s">
        <v>83</v>
      </c>
      <c r="M39" s="100" t="s">
        <v>458</v>
      </c>
      <c r="N39" s="99"/>
      <c r="O39" s="100" t="s">
        <v>135</v>
      </c>
      <c r="P39" s="99" t="s">
        <v>142</v>
      </c>
      <c r="Q39" s="100" t="s">
        <v>439</v>
      </c>
      <c r="R39" s="99"/>
      <c r="S39" s="100" t="s">
        <v>135</v>
      </c>
      <c r="T39" s="101">
        <f>59313.16</f>
        <v>59313.16</v>
      </c>
      <c r="U39" s="102">
        <f>13</f>
        <v>13</v>
      </c>
      <c r="V39" s="102">
        <v>13</v>
      </c>
      <c r="W39" s="102"/>
      <c r="X39" s="102">
        <f>40281200</f>
        <v>40281200</v>
      </c>
      <c r="Y39" s="102">
        <v>40281200</v>
      </c>
      <c r="Z39" s="103"/>
      <c r="AA39" s="99"/>
      <c r="AB39" s="104">
        <f>27</f>
        <v>27</v>
      </c>
      <c r="AC39" s="104" t="str">
        <f t="shared" si="5"/>
        <v>－</v>
      </c>
      <c r="AD39" s="105" t="str">
        <f>"－"</f>
        <v>－</v>
      </c>
    </row>
    <row r="40" spans="1:30">
      <c r="A40" s="95" t="s">
        <v>46</v>
      </c>
      <c r="B40" s="96" t="s">
        <v>412</v>
      </c>
      <c r="C40" s="96" t="s">
        <v>413</v>
      </c>
      <c r="D40" s="96" t="s">
        <v>303</v>
      </c>
      <c r="E40" s="97" t="s">
        <v>328</v>
      </c>
      <c r="F40" s="97" t="s">
        <v>460</v>
      </c>
      <c r="G40" s="98">
        <v>50</v>
      </c>
      <c r="H40" s="99"/>
      <c r="I40" s="100" t="s">
        <v>135</v>
      </c>
      <c r="J40" s="99"/>
      <c r="K40" s="100" t="s">
        <v>135</v>
      </c>
      <c r="L40" s="99" t="s">
        <v>83</v>
      </c>
      <c r="M40" s="100" t="s">
        <v>458</v>
      </c>
      <c r="N40" s="99"/>
      <c r="O40" s="100" t="s">
        <v>135</v>
      </c>
      <c r="P40" s="99" t="s">
        <v>142</v>
      </c>
      <c r="Q40" s="100" t="s">
        <v>439</v>
      </c>
      <c r="R40" s="99"/>
      <c r="S40" s="100" t="s">
        <v>135</v>
      </c>
      <c r="T40" s="101">
        <f>58863.16</f>
        <v>58863.16</v>
      </c>
      <c r="U40" s="102">
        <f>13</f>
        <v>13</v>
      </c>
      <c r="V40" s="102">
        <v>13</v>
      </c>
      <c r="W40" s="102"/>
      <c r="X40" s="102">
        <f>40281200</f>
        <v>40281200</v>
      </c>
      <c r="Y40" s="102">
        <v>40281200</v>
      </c>
      <c r="Z40" s="103"/>
      <c r="AA40" s="99"/>
      <c r="AB40" s="104">
        <f>30</f>
        <v>30</v>
      </c>
      <c r="AC40" s="104" t="str">
        <f t="shared" si="5"/>
        <v>－</v>
      </c>
      <c r="AD40" s="105" t="str">
        <f>"－"</f>
        <v>－</v>
      </c>
    </row>
    <row r="41" spans="1:30">
      <c r="A41" s="95" t="s">
        <v>46</v>
      </c>
      <c r="B41" s="96" t="s">
        <v>412</v>
      </c>
      <c r="C41" s="96" t="s">
        <v>413</v>
      </c>
      <c r="D41" s="96" t="s">
        <v>461</v>
      </c>
      <c r="E41" s="97" t="s">
        <v>330</v>
      </c>
      <c r="F41" s="97" t="s">
        <v>462</v>
      </c>
      <c r="G41" s="98">
        <v>50</v>
      </c>
      <c r="H41" s="99" t="s">
        <v>142</v>
      </c>
      <c r="I41" s="100" t="s">
        <v>463</v>
      </c>
      <c r="J41" s="99" t="s">
        <v>464</v>
      </c>
      <c r="K41" s="100" t="s">
        <v>465</v>
      </c>
      <c r="L41" s="99" t="s">
        <v>83</v>
      </c>
      <c r="M41" s="100" t="s">
        <v>458</v>
      </c>
      <c r="N41" s="99" t="s">
        <v>142</v>
      </c>
      <c r="O41" s="100" t="s">
        <v>463</v>
      </c>
      <c r="P41" s="99" t="s">
        <v>142</v>
      </c>
      <c r="Q41" s="100" t="s">
        <v>439</v>
      </c>
      <c r="R41" s="99" t="s">
        <v>464</v>
      </c>
      <c r="S41" s="100" t="s">
        <v>465</v>
      </c>
      <c r="T41" s="101">
        <f>58304.21</f>
        <v>58304.21</v>
      </c>
      <c r="U41" s="102">
        <f>16</f>
        <v>16</v>
      </c>
      <c r="V41" s="102">
        <v>13</v>
      </c>
      <c r="W41" s="102"/>
      <c r="X41" s="102">
        <f>49110200</f>
        <v>49110200</v>
      </c>
      <c r="Y41" s="102">
        <v>40281200</v>
      </c>
      <c r="Z41" s="103"/>
      <c r="AA41" s="99"/>
      <c r="AB41" s="104">
        <f>20</f>
        <v>20</v>
      </c>
      <c r="AC41" s="104" t="str">
        <f t="shared" si="5"/>
        <v>－</v>
      </c>
      <c r="AD41" s="105">
        <f>2</f>
        <v>2</v>
      </c>
    </row>
    <row r="42" spans="1:30">
      <c r="A42" s="95" t="s">
        <v>46</v>
      </c>
      <c r="B42" s="96" t="s">
        <v>412</v>
      </c>
      <c r="C42" s="96" t="s">
        <v>413</v>
      </c>
      <c r="D42" s="96" t="s">
        <v>466</v>
      </c>
      <c r="E42" s="97" t="s">
        <v>228</v>
      </c>
      <c r="F42" s="97" t="s">
        <v>467</v>
      </c>
      <c r="G42" s="98">
        <v>50</v>
      </c>
      <c r="H42" s="99" t="s">
        <v>155</v>
      </c>
      <c r="I42" s="100" t="s">
        <v>468</v>
      </c>
      <c r="J42" s="99" t="s">
        <v>338</v>
      </c>
      <c r="K42" s="100" t="s">
        <v>469</v>
      </c>
      <c r="L42" s="99" t="s">
        <v>83</v>
      </c>
      <c r="M42" s="100" t="s">
        <v>458</v>
      </c>
      <c r="N42" s="99" t="s">
        <v>155</v>
      </c>
      <c r="O42" s="100" t="s">
        <v>468</v>
      </c>
      <c r="P42" s="99" t="s">
        <v>57</v>
      </c>
      <c r="Q42" s="100" t="s">
        <v>470</v>
      </c>
      <c r="R42" s="99" t="s">
        <v>57</v>
      </c>
      <c r="S42" s="100" t="s">
        <v>471</v>
      </c>
      <c r="T42" s="101">
        <f>58055.26</f>
        <v>58055.26</v>
      </c>
      <c r="U42" s="102">
        <f>20</f>
        <v>20</v>
      </c>
      <c r="V42" s="102">
        <v>13</v>
      </c>
      <c r="W42" s="102"/>
      <c r="X42" s="102">
        <f>59126600</f>
        <v>59126600</v>
      </c>
      <c r="Y42" s="102">
        <v>38564100</v>
      </c>
      <c r="Z42" s="103"/>
      <c r="AA42" s="99"/>
      <c r="AB42" s="104">
        <f>19</f>
        <v>19</v>
      </c>
      <c r="AC42" s="104" t="str">
        <f t="shared" si="5"/>
        <v>－</v>
      </c>
      <c r="AD42" s="105">
        <f>5</f>
        <v>5</v>
      </c>
    </row>
    <row r="43" spans="1:30">
      <c r="A43" s="95" t="s">
        <v>46</v>
      </c>
      <c r="B43" s="96" t="s">
        <v>472</v>
      </c>
      <c r="C43" s="96" t="s">
        <v>473</v>
      </c>
      <c r="D43" s="96" t="s">
        <v>46</v>
      </c>
      <c r="E43" s="97" t="s">
        <v>414</v>
      </c>
      <c r="F43" s="97" t="s">
        <v>474</v>
      </c>
      <c r="G43" s="98">
        <v>74400</v>
      </c>
      <c r="H43" s="99"/>
      <c r="I43" s="100" t="s">
        <v>135</v>
      </c>
      <c r="J43" s="99"/>
      <c r="K43" s="100" t="s">
        <v>135</v>
      </c>
      <c r="L43" s="99"/>
      <c r="M43" s="100"/>
      <c r="N43" s="99"/>
      <c r="O43" s="100" t="s">
        <v>135</v>
      </c>
      <c r="P43" s="99"/>
      <c r="Q43" s="100"/>
      <c r="R43" s="99"/>
      <c r="S43" s="100" t="s">
        <v>135</v>
      </c>
      <c r="T43" s="101">
        <f>22.34</f>
        <v>22.34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229</v>
      </c>
      <c r="AB43" s="104">
        <f>785</f>
        <v>785</v>
      </c>
      <c r="AC43" s="104" t="str">
        <f t="shared" si="5"/>
        <v>－</v>
      </c>
      <c r="AD43" s="105" t="str">
        <f>"－"</f>
        <v>－</v>
      </c>
    </row>
    <row r="44" spans="1:30">
      <c r="A44" s="95" t="s">
        <v>46</v>
      </c>
      <c r="B44" s="96" t="s">
        <v>472</v>
      </c>
      <c r="C44" s="96" t="s">
        <v>473</v>
      </c>
      <c r="D44" s="96" t="s">
        <v>49</v>
      </c>
      <c r="E44" s="97" t="s">
        <v>475</v>
      </c>
      <c r="F44" s="97" t="s">
        <v>476</v>
      </c>
      <c r="G44" s="98">
        <v>67200</v>
      </c>
      <c r="H44" s="99" t="s">
        <v>146</v>
      </c>
      <c r="I44" s="100" t="s">
        <v>477</v>
      </c>
      <c r="J44" s="99" t="s">
        <v>146</v>
      </c>
      <c r="K44" s="100" t="s">
        <v>477</v>
      </c>
      <c r="L44" s="99" t="s">
        <v>354</v>
      </c>
      <c r="M44" s="100" t="s">
        <v>478</v>
      </c>
      <c r="N44" s="99" t="s">
        <v>103</v>
      </c>
      <c r="O44" s="100" t="s">
        <v>479</v>
      </c>
      <c r="P44" s="99" t="s">
        <v>354</v>
      </c>
      <c r="Q44" s="100" t="s">
        <v>478</v>
      </c>
      <c r="R44" s="99" t="s">
        <v>92</v>
      </c>
      <c r="S44" s="100" t="s">
        <v>477</v>
      </c>
      <c r="T44" s="101">
        <f>22.55</f>
        <v>22.55</v>
      </c>
      <c r="U44" s="102">
        <f>8</f>
        <v>8</v>
      </c>
      <c r="V44" s="102">
        <v>4</v>
      </c>
      <c r="W44" s="102"/>
      <c r="X44" s="102">
        <f>11793600</f>
        <v>11793600</v>
      </c>
      <c r="Y44" s="102">
        <v>5712000</v>
      </c>
      <c r="Z44" s="103"/>
      <c r="AA44" s="99"/>
      <c r="AB44" s="104">
        <f>792</f>
        <v>792</v>
      </c>
      <c r="AC44" s="104" t="str">
        <f t="shared" si="5"/>
        <v>－</v>
      </c>
      <c r="AD44" s="105">
        <f>3</f>
        <v>3</v>
      </c>
    </row>
    <row r="45" spans="1:30">
      <c r="A45" s="95" t="s">
        <v>46</v>
      </c>
      <c r="B45" s="96" t="s">
        <v>472</v>
      </c>
      <c r="C45" s="96" t="s">
        <v>473</v>
      </c>
      <c r="D45" s="96" t="s">
        <v>232</v>
      </c>
      <c r="E45" s="97" t="s">
        <v>428</v>
      </c>
      <c r="F45" s="97" t="s">
        <v>480</v>
      </c>
      <c r="G45" s="98">
        <v>74400</v>
      </c>
      <c r="H45" s="99" t="s">
        <v>52</v>
      </c>
      <c r="I45" s="100" t="s">
        <v>477</v>
      </c>
      <c r="J45" s="99" t="s">
        <v>52</v>
      </c>
      <c r="K45" s="100" t="s">
        <v>477</v>
      </c>
      <c r="L45" s="99" t="s">
        <v>481</v>
      </c>
      <c r="M45" s="100" t="s">
        <v>482</v>
      </c>
      <c r="N45" s="99" t="s">
        <v>146</v>
      </c>
      <c r="O45" s="100" t="s">
        <v>483</v>
      </c>
      <c r="P45" s="99" t="s">
        <v>481</v>
      </c>
      <c r="Q45" s="100" t="s">
        <v>482</v>
      </c>
      <c r="R45" s="99" t="s">
        <v>146</v>
      </c>
      <c r="S45" s="100" t="s">
        <v>483</v>
      </c>
      <c r="T45" s="101">
        <f>18.69</f>
        <v>18.690000000000001</v>
      </c>
      <c r="U45" s="102">
        <f>120</f>
        <v>120</v>
      </c>
      <c r="V45" s="102">
        <v>60</v>
      </c>
      <c r="W45" s="102"/>
      <c r="X45" s="102">
        <f>176841360</f>
        <v>176841360</v>
      </c>
      <c r="Y45" s="102">
        <v>81468000</v>
      </c>
      <c r="Z45" s="103"/>
      <c r="AA45" s="99"/>
      <c r="AB45" s="104">
        <f>355</f>
        <v>355</v>
      </c>
      <c r="AC45" s="104" t="str">
        <f t="shared" si="5"/>
        <v>－</v>
      </c>
      <c r="AD45" s="105">
        <f>3</f>
        <v>3</v>
      </c>
    </row>
    <row r="46" spans="1:30">
      <c r="A46" s="95" t="s">
        <v>46</v>
      </c>
      <c r="B46" s="96" t="s">
        <v>472</v>
      </c>
      <c r="C46" s="96" t="s">
        <v>473</v>
      </c>
      <c r="D46" s="96" t="s">
        <v>59</v>
      </c>
      <c r="E46" s="97" t="s">
        <v>484</v>
      </c>
      <c r="F46" s="97" t="s">
        <v>317</v>
      </c>
      <c r="G46" s="98">
        <v>72000</v>
      </c>
      <c r="H46" s="99"/>
      <c r="I46" s="100" t="s">
        <v>135</v>
      </c>
      <c r="J46" s="99"/>
      <c r="K46" s="100" t="s">
        <v>135</v>
      </c>
      <c r="L46" s="99" t="s">
        <v>148</v>
      </c>
      <c r="M46" s="100" t="s">
        <v>485</v>
      </c>
      <c r="N46" s="99"/>
      <c r="O46" s="100" t="s">
        <v>135</v>
      </c>
      <c r="P46" s="99" t="s">
        <v>83</v>
      </c>
      <c r="Q46" s="100" t="s">
        <v>486</v>
      </c>
      <c r="R46" s="99"/>
      <c r="S46" s="100" t="s">
        <v>135</v>
      </c>
      <c r="T46" s="101">
        <f>18.87</f>
        <v>18.87</v>
      </c>
      <c r="U46" s="102">
        <f>365</f>
        <v>365</v>
      </c>
      <c r="V46" s="102">
        <v>365</v>
      </c>
      <c r="W46" s="102"/>
      <c r="X46" s="102">
        <f>487584000</f>
        <v>487584000</v>
      </c>
      <c r="Y46" s="102">
        <v>487584000</v>
      </c>
      <c r="Z46" s="103"/>
      <c r="AA46" s="99"/>
      <c r="AB46" s="104">
        <f>223</f>
        <v>223</v>
      </c>
      <c r="AC46" s="104" t="str">
        <f t="shared" si="5"/>
        <v>－</v>
      </c>
      <c r="AD46" s="105" t="str">
        <f t="shared" si="5"/>
        <v>－</v>
      </c>
    </row>
    <row r="47" spans="1:30">
      <c r="A47" s="95" t="s">
        <v>46</v>
      </c>
      <c r="B47" s="96" t="s">
        <v>472</v>
      </c>
      <c r="C47" s="96" t="s">
        <v>473</v>
      </c>
      <c r="D47" s="96" t="s">
        <v>237</v>
      </c>
      <c r="E47" s="97" t="s">
        <v>487</v>
      </c>
      <c r="F47" s="97" t="s">
        <v>488</v>
      </c>
      <c r="G47" s="98">
        <v>74400</v>
      </c>
      <c r="H47" s="99"/>
      <c r="I47" s="100" t="s">
        <v>135</v>
      </c>
      <c r="J47" s="99"/>
      <c r="K47" s="100" t="s">
        <v>135</v>
      </c>
      <c r="L47" s="99" t="s">
        <v>148</v>
      </c>
      <c r="M47" s="100" t="s">
        <v>485</v>
      </c>
      <c r="N47" s="99"/>
      <c r="O47" s="100" t="s">
        <v>135</v>
      </c>
      <c r="P47" s="99" t="s">
        <v>464</v>
      </c>
      <c r="Q47" s="100" t="s">
        <v>489</v>
      </c>
      <c r="R47" s="99"/>
      <c r="S47" s="100" t="s">
        <v>135</v>
      </c>
      <c r="T47" s="101">
        <f>19.15</f>
        <v>19.149999999999999</v>
      </c>
      <c r="U47" s="102">
        <f>165</f>
        <v>165</v>
      </c>
      <c r="V47" s="102">
        <v>165</v>
      </c>
      <c r="W47" s="102"/>
      <c r="X47" s="102">
        <f>235401600</f>
        <v>235401600</v>
      </c>
      <c r="Y47" s="102">
        <v>235401600</v>
      </c>
      <c r="Z47" s="103"/>
      <c r="AA47" s="99"/>
      <c r="AB47" s="104">
        <f>168</f>
        <v>168</v>
      </c>
      <c r="AC47" s="104" t="str">
        <f t="shared" si="5"/>
        <v>－</v>
      </c>
      <c r="AD47" s="105" t="str">
        <f t="shared" si="5"/>
        <v>－</v>
      </c>
    </row>
    <row r="48" spans="1:30">
      <c r="A48" s="95" t="s">
        <v>46</v>
      </c>
      <c r="B48" s="96" t="s">
        <v>472</v>
      </c>
      <c r="C48" s="96" t="s">
        <v>473</v>
      </c>
      <c r="D48" s="96" t="s">
        <v>66</v>
      </c>
      <c r="E48" s="97" t="s">
        <v>490</v>
      </c>
      <c r="F48" s="97" t="s">
        <v>491</v>
      </c>
      <c r="G48" s="98">
        <v>72000</v>
      </c>
      <c r="H48" s="99"/>
      <c r="I48" s="100" t="s">
        <v>135</v>
      </c>
      <c r="J48" s="99"/>
      <c r="K48" s="100" t="s">
        <v>135</v>
      </c>
      <c r="L48" s="99" t="s">
        <v>148</v>
      </c>
      <c r="M48" s="100" t="s">
        <v>485</v>
      </c>
      <c r="N48" s="99"/>
      <c r="O48" s="100" t="s">
        <v>135</v>
      </c>
      <c r="P48" s="99" t="s">
        <v>148</v>
      </c>
      <c r="Q48" s="100" t="s">
        <v>492</v>
      </c>
      <c r="R48" s="99"/>
      <c r="S48" s="100" t="s">
        <v>135</v>
      </c>
      <c r="T48" s="101">
        <f>21.45</f>
        <v>21.45</v>
      </c>
      <c r="U48" s="102">
        <f>165</f>
        <v>165</v>
      </c>
      <c r="V48" s="102">
        <v>165</v>
      </c>
      <c r="W48" s="102"/>
      <c r="X48" s="102">
        <f>259236000</f>
        <v>259236000</v>
      </c>
      <c r="Y48" s="102">
        <v>259236000</v>
      </c>
      <c r="Z48" s="103"/>
      <c r="AA48" s="99"/>
      <c r="AB48" s="104">
        <f>168</f>
        <v>168</v>
      </c>
      <c r="AC48" s="104" t="str">
        <f t="shared" si="5"/>
        <v>－</v>
      </c>
      <c r="AD48" s="105" t="str">
        <f t="shared" si="5"/>
        <v>－</v>
      </c>
    </row>
    <row r="49" spans="1:30">
      <c r="A49" s="95" t="s">
        <v>46</v>
      </c>
      <c r="B49" s="96" t="s">
        <v>472</v>
      </c>
      <c r="C49" s="96" t="s">
        <v>473</v>
      </c>
      <c r="D49" s="96" t="s">
        <v>242</v>
      </c>
      <c r="E49" s="97" t="s">
        <v>493</v>
      </c>
      <c r="F49" s="97" t="s">
        <v>494</v>
      </c>
      <c r="G49" s="98">
        <v>74400</v>
      </c>
      <c r="H49" s="99"/>
      <c r="I49" s="100" t="s">
        <v>135</v>
      </c>
      <c r="J49" s="99"/>
      <c r="K49" s="100" t="s">
        <v>135</v>
      </c>
      <c r="L49" s="99" t="s">
        <v>148</v>
      </c>
      <c r="M49" s="100" t="s">
        <v>495</v>
      </c>
      <c r="N49" s="99"/>
      <c r="O49" s="100" t="s">
        <v>135</v>
      </c>
      <c r="P49" s="99" t="s">
        <v>57</v>
      </c>
      <c r="Q49" s="100" t="s">
        <v>496</v>
      </c>
      <c r="R49" s="99"/>
      <c r="S49" s="100" t="s">
        <v>135</v>
      </c>
      <c r="T49" s="101">
        <f>24.9</f>
        <v>24.9</v>
      </c>
      <c r="U49" s="102">
        <f>215</f>
        <v>215</v>
      </c>
      <c r="V49" s="102">
        <v>215</v>
      </c>
      <c r="W49" s="102"/>
      <c r="X49" s="102">
        <f>426423600</f>
        <v>426423600</v>
      </c>
      <c r="Y49" s="102">
        <v>426423600</v>
      </c>
      <c r="Z49" s="103"/>
      <c r="AA49" s="99"/>
      <c r="AB49" s="104">
        <f>255</f>
        <v>255</v>
      </c>
      <c r="AC49" s="104" t="str">
        <f t="shared" si="5"/>
        <v>－</v>
      </c>
      <c r="AD49" s="105" t="str">
        <f t="shared" si="5"/>
        <v>－</v>
      </c>
    </row>
    <row r="50" spans="1:30">
      <c r="A50" s="95" t="s">
        <v>46</v>
      </c>
      <c r="B50" s="96" t="s">
        <v>472</v>
      </c>
      <c r="C50" s="96" t="s">
        <v>473</v>
      </c>
      <c r="D50" s="96" t="s">
        <v>72</v>
      </c>
      <c r="E50" s="97" t="s">
        <v>493</v>
      </c>
      <c r="F50" s="97" t="s">
        <v>497</v>
      </c>
      <c r="G50" s="98">
        <v>74400</v>
      </c>
      <c r="H50" s="99"/>
      <c r="I50" s="100" t="s">
        <v>135</v>
      </c>
      <c r="J50" s="99"/>
      <c r="K50" s="100" t="s">
        <v>135</v>
      </c>
      <c r="L50" s="99" t="s">
        <v>148</v>
      </c>
      <c r="M50" s="100" t="s">
        <v>498</v>
      </c>
      <c r="N50" s="99"/>
      <c r="O50" s="100" t="s">
        <v>135</v>
      </c>
      <c r="P50" s="99" t="s">
        <v>57</v>
      </c>
      <c r="Q50" s="100" t="s">
        <v>496</v>
      </c>
      <c r="R50" s="99"/>
      <c r="S50" s="100" t="s">
        <v>135</v>
      </c>
      <c r="T50" s="101">
        <f>28.24</f>
        <v>28.24</v>
      </c>
      <c r="U50" s="102">
        <f>215</f>
        <v>215</v>
      </c>
      <c r="V50" s="102">
        <v>215</v>
      </c>
      <c r="W50" s="102"/>
      <c r="X50" s="102">
        <f>458341200</f>
        <v>458341200</v>
      </c>
      <c r="Y50" s="102">
        <v>458341200</v>
      </c>
      <c r="Z50" s="103"/>
      <c r="AA50" s="99"/>
      <c r="AB50" s="104">
        <f>255</f>
        <v>255</v>
      </c>
      <c r="AC50" s="104" t="str">
        <f t="shared" si="5"/>
        <v>－</v>
      </c>
      <c r="AD50" s="105" t="str">
        <f t="shared" si="5"/>
        <v>－</v>
      </c>
    </row>
    <row r="51" spans="1:30">
      <c r="A51" s="95" t="s">
        <v>46</v>
      </c>
      <c r="B51" s="96" t="s">
        <v>472</v>
      </c>
      <c r="C51" s="96" t="s">
        <v>473</v>
      </c>
      <c r="D51" s="96" t="s">
        <v>292</v>
      </c>
      <c r="E51" s="97" t="s">
        <v>493</v>
      </c>
      <c r="F51" s="97" t="s">
        <v>327</v>
      </c>
      <c r="G51" s="98">
        <v>72000</v>
      </c>
      <c r="H51" s="99"/>
      <c r="I51" s="100" t="s">
        <v>135</v>
      </c>
      <c r="J51" s="99"/>
      <c r="K51" s="100" t="s">
        <v>135</v>
      </c>
      <c r="L51" s="99" t="s">
        <v>52</v>
      </c>
      <c r="M51" s="100" t="s">
        <v>499</v>
      </c>
      <c r="N51" s="99"/>
      <c r="O51" s="100" t="s">
        <v>135</v>
      </c>
      <c r="P51" s="99" t="s">
        <v>464</v>
      </c>
      <c r="Q51" s="100" t="s">
        <v>500</v>
      </c>
      <c r="R51" s="99"/>
      <c r="S51" s="100" t="s">
        <v>135</v>
      </c>
      <c r="T51" s="101">
        <f>22.78</f>
        <v>22.78</v>
      </c>
      <c r="U51" s="102">
        <f>215</f>
        <v>215</v>
      </c>
      <c r="V51" s="102">
        <v>215</v>
      </c>
      <c r="W51" s="102"/>
      <c r="X51" s="102">
        <f>377136000</f>
        <v>377136000</v>
      </c>
      <c r="Y51" s="102">
        <v>377136000</v>
      </c>
      <c r="Z51" s="103"/>
      <c r="AA51" s="99"/>
      <c r="AB51" s="104">
        <f>225</f>
        <v>225</v>
      </c>
      <c r="AC51" s="104" t="str">
        <f t="shared" si="5"/>
        <v>－</v>
      </c>
      <c r="AD51" s="105" t="str">
        <f t="shared" si="5"/>
        <v>－</v>
      </c>
    </row>
    <row r="52" spans="1:30">
      <c r="A52" s="95" t="s">
        <v>46</v>
      </c>
      <c r="B52" s="96" t="s">
        <v>472</v>
      </c>
      <c r="C52" s="96" t="s">
        <v>473</v>
      </c>
      <c r="D52" s="96" t="s">
        <v>79</v>
      </c>
      <c r="E52" s="97" t="s">
        <v>493</v>
      </c>
      <c r="F52" s="97" t="s">
        <v>501</v>
      </c>
      <c r="G52" s="98">
        <v>74400</v>
      </c>
      <c r="H52" s="99"/>
      <c r="I52" s="100" t="s">
        <v>135</v>
      </c>
      <c r="J52" s="99"/>
      <c r="K52" s="100" t="s">
        <v>135</v>
      </c>
      <c r="L52" s="99" t="s">
        <v>155</v>
      </c>
      <c r="M52" s="100" t="s">
        <v>502</v>
      </c>
      <c r="N52" s="99"/>
      <c r="O52" s="100" t="s">
        <v>135</v>
      </c>
      <c r="P52" s="99" t="s">
        <v>148</v>
      </c>
      <c r="Q52" s="100" t="s">
        <v>503</v>
      </c>
      <c r="R52" s="99"/>
      <c r="S52" s="100" t="s">
        <v>135</v>
      </c>
      <c r="T52" s="101">
        <f>22.2</f>
        <v>22.2</v>
      </c>
      <c r="U52" s="102">
        <f>175</f>
        <v>175</v>
      </c>
      <c r="V52" s="102">
        <v>175</v>
      </c>
      <c r="W52" s="102"/>
      <c r="X52" s="102">
        <f>301282800</f>
        <v>301282800</v>
      </c>
      <c r="Y52" s="102">
        <v>301282800</v>
      </c>
      <c r="Z52" s="103"/>
      <c r="AA52" s="99"/>
      <c r="AB52" s="104">
        <f>158</f>
        <v>158</v>
      </c>
      <c r="AC52" s="104" t="str">
        <f t="shared" si="5"/>
        <v>－</v>
      </c>
      <c r="AD52" s="105" t="str">
        <f t="shared" si="5"/>
        <v>－</v>
      </c>
    </row>
    <row r="53" spans="1:30">
      <c r="A53" s="95" t="s">
        <v>46</v>
      </c>
      <c r="B53" s="96" t="s">
        <v>472</v>
      </c>
      <c r="C53" s="96" t="s">
        <v>473</v>
      </c>
      <c r="D53" s="96" t="s">
        <v>296</v>
      </c>
      <c r="E53" s="97" t="s">
        <v>493</v>
      </c>
      <c r="F53" s="97" t="s">
        <v>504</v>
      </c>
      <c r="G53" s="98">
        <v>72000</v>
      </c>
      <c r="H53" s="99"/>
      <c r="I53" s="100" t="s">
        <v>135</v>
      </c>
      <c r="J53" s="99"/>
      <c r="K53" s="100" t="s">
        <v>135</v>
      </c>
      <c r="L53" s="99" t="s">
        <v>155</v>
      </c>
      <c r="M53" s="100" t="s">
        <v>502</v>
      </c>
      <c r="N53" s="99"/>
      <c r="O53" s="100" t="s">
        <v>135</v>
      </c>
      <c r="P53" s="99" t="s">
        <v>57</v>
      </c>
      <c r="Q53" s="100" t="s">
        <v>496</v>
      </c>
      <c r="R53" s="99"/>
      <c r="S53" s="100" t="s">
        <v>135</v>
      </c>
      <c r="T53" s="101">
        <f>23.29</f>
        <v>23.29</v>
      </c>
      <c r="U53" s="102">
        <f>175</f>
        <v>175</v>
      </c>
      <c r="V53" s="102">
        <v>175</v>
      </c>
      <c r="W53" s="102"/>
      <c r="X53" s="102">
        <f>297720000</f>
        <v>297720000</v>
      </c>
      <c r="Y53" s="102">
        <v>297720000</v>
      </c>
      <c r="Z53" s="103"/>
      <c r="AA53" s="99"/>
      <c r="AB53" s="104">
        <f>158</f>
        <v>158</v>
      </c>
      <c r="AC53" s="104" t="str">
        <f t="shared" si="5"/>
        <v>－</v>
      </c>
      <c r="AD53" s="105" t="str">
        <f t="shared" si="5"/>
        <v>－</v>
      </c>
    </row>
    <row r="54" spans="1:30">
      <c r="A54" s="95" t="s">
        <v>46</v>
      </c>
      <c r="B54" s="96" t="s">
        <v>472</v>
      </c>
      <c r="C54" s="96" t="s">
        <v>473</v>
      </c>
      <c r="D54" s="96" t="s">
        <v>88</v>
      </c>
      <c r="E54" s="97" t="s">
        <v>493</v>
      </c>
      <c r="F54" s="97" t="s">
        <v>332</v>
      </c>
      <c r="G54" s="98">
        <v>74400</v>
      </c>
      <c r="H54" s="99"/>
      <c r="I54" s="100" t="s">
        <v>135</v>
      </c>
      <c r="J54" s="99"/>
      <c r="K54" s="100" t="s">
        <v>135</v>
      </c>
      <c r="L54" s="99" t="s">
        <v>148</v>
      </c>
      <c r="M54" s="100" t="s">
        <v>505</v>
      </c>
      <c r="N54" s="99"/>
      <c r="O54" s="100" t="s">
        <v>135</v>
      </c>
      <c r="P54" s="99" t="s">
        <v>57</v>
      </c>
      <c r="Q54" s="100" t="s">
        <v>496</v>
      </c>
      <c r="R54" s="99"/>
      <c r="S54" s="100" t="s">
        <v>135</v>
      </c>
      <c r="T54" s="101">
        <f>27.13</f>
        <v>27.13</v>
      </c>
      <c r="U54" s="102">
        <f>175</f>
        <v>175</v>
      </c>
      <c r="V54" s="102">
        <v>175</v>
      </c>
      <c r="W54" s="102"/>
      <c r="X54" s="102">
        <f>351502800</f>
        <v>351502800</v>
      </c>
      <c r="Y54" s="102">
        <v>351502800</v>
      </c>
      <c r="Z54" s="103"/>
      <c r="AA54" s="99"/>
      <c r="AB54" s="104">
        <f>158</f>
        <v>158</v>
      </c>
      <c r="AC54" s="104" t="str">
        <f t="shared" si="5"/>
        <v>－</v>
      </c>
      <c r="AD54" s="105" t="str">
        <f t="shared" si="5"/>
        <v>－</v>
      </c>
    </row>
    <row r="55" spans="1:30">
      <c r="A55" s="95" t="s">
        <v>46</v>
      </c>
      <c r="B55" s="96" t="s">
        <v>472</v>
      </c>
      <c r="C55" s="96" t="s">
        <v>473</v>
      </c>
      <c r="D55" s="96" t="s">
        <v>303</v>
      </c>
      <c r="E55" s="97" t="s">
        <v>493</v>
      </c>
      <c r="F55" s="97" t="s">
        <v>506</v>
      </c>
      <c r="G55" s="98">
        <v>74400</v>
      </c>
      <c r="H55" s="99"/>
      <c r="I55" s="100" t="s">
        <v>135</v>
      </c>
      <c r="J55" s="99"/>
      <c r="K55" s="100" t="s">
        <v>135</v>
      </c>
      <c r="L55" s="99" t="s">
        <v>464</v>
      </c>
      <c r="M55" s="100" t="s">
        <v>507</v>
      </c>
      <c r="N55" s="99"/>
      <c r="O55" s="100" t="s">
        <v>135</v>
      </c>
      <c r="P55" s="99" t="s">
        <v>57</v>
      </c>
      <c r="Q55" s="100" t="s">
        <v>496</v>
      </c>
      <c r="R55" s="99"/>
      <c r="S55" s="100" t="s">
        <v>135</v>
      </c>
      <c r="T55" s="101">
        <f>30.44</f>
        <v>30.44</v>
      </c>
      <c r="U55" s="102">
        <f>175</f>
        <v>175</v>
      </c>
      <c r="V55" s="102">
        <v>175</v>
      </c>
      <c r="W55" s="102"/>
      <c r="X55" s="102">
        <f>381709200</f>
        <v>381709200</v>
      </c>
      <c r="Y55" s="102">
        <v>381709200</v>
      </c>
      <c r="Z55" s="103"/>
      <c r="AA55" s="99"/>
      <c r="AB55" s="104">
        <f>185</f>
        <v>185</v>
      </c>
      <c r="AC55" s="104" t="str">
        <f t="shared" si="5"/>
        <v>－</v>
      </c>
      <c r="AD55" s="105" t="str">
        <f t="shared" si="5"/>
        <v>－</v>
      </c>
    </row>
    <row r="56" spans="1:30">
      <c r="A56" s="95" t="s">
        <v>46</v>
      </c>
      <c r="B56" s="96" t="s">
        <v>472</v>
      </c>
      <c r="C56" s="96" t="s">
        <v>473</v>
      </c>
      <c r="D56" s="96" t="s">
        <v>461</v>
      </c>
      <c r="E56" s="97" t="s">
        <v>493</v>
      </c>
      <c r="F56" s="97" t="s">
        <v>508</v>
      </c>
      <c r="G56" s="98">
        <v>69600</v>
      </c>
      <c r="H56" s="99"/>
      <c r="I56" s="100" t="s">
        <v>135</v>
      </c>
      <c r="J56" s="99"/>
      <c r="K56" s="100" t="s">
        <v>135</v>
      </c>
      <c r="L56" s="99" t="s">
        <v>464</v>
      </c>
      <c r="M56" s="100" t="s">
        <v>509</v>
      </c>
      <c r="N56" s="99"/>
      <c r="O56" s="100" t="s">
        <v>135</v>
      </c>
      <c r="P56" s="99" t="s">
        <v>57</v>
      </c>
      <c r="Q56" s="100" t="s">
        <v>496</v>
      </c>
      <c r="R56" s="99"/>
      <c r="S56" s="100" t="s">
        <v>135</v>
      </c>
      <c r="T56" s="101">
        <f>29.51</f>
        <v>29.51</v>
      </c>
      <c r="U56" s="102">
        <f>175</f>
        <v>175</v>
      </c>
      <c r="V56" s="102">
        <v>175</v>
      </c>
      <c r="W56" s="102"/>
      <c r="X56" s="102">
        <f>348313200</f>
        <v>348313200</v>
      </c>
      <c r="Y56" s="102">
        <v>348313200</v>
      </c>
      <c r="Z56" s="103"/>
      <c r="AA56" s="99"/>
      <c r="AB56" s="104">
        <f>185</f>
        <v>185</v>
      </c>
      <c r="AC56" s="104" t="str">
        <f t="shared" si="5"/>
        <v>－</v>
      </c>
      <c r="AD56" s="105" t="str">
        <f t="shared" si="5"/>
        <v>－</v>
      </c>
    </row>
    <row r="57" spans="1:30">
      <c r="A57" s="95" t="s">
        <v>46</v>
      </c>
      <c r="B57" s="96" t="s">
        <v>472</v>
      </c>
      <c r="C57" s="96" t="s">
        <v>473</v>
      </c>
      <c r="D57" s="96" t="s">
        <v>466</v>
      </c>
      <c r="E57" s="97" t="s">
        <v>493</v>
      </c>
      <c r="F57" s="97" t="s">
        <v>467</v>
      </c>
      <c r="G57" s="98">
        <v>74400</v>
      </c>
      <c r="H57" s="99"/>
      <c r="I57" s="100" t="s">
        <v>135</v>
      </c>
      <c r="J57" s="99"/>
      <c r="K57" s="100" t="s">
        <v>135</v>
      </c>
      <c r="L57" s="99" t="s">
        <v>155</v>
      </c>
      <c r="M57" s="100" t="s">
        <v>502</v>
      </c>
      <c r="N57" s="99"/>
      <c r="O57" s="100" t="s">
        <v>135</v>
      </c>
      <c r="P57" s="99" t="s">
        <v>57</v>
      </c>
      <c r="Q57" s="100" t="s">
        <v>496</v>
      </c>
      <c r="R57" s="99"/>
      <c r="S57" s="100" t="s">
        <v>135</v>
      </c>
      <c r="T57" s="101">
        <f>24.17</f>
        <v>24.17</v>
      </c>
      <c r="U57" s="102">
        <f>175</f>
        <v>175</v>
      </c>
      <c r="V57" s="102">
        <v>175</v>
      </c>
      <c r="W57" s="102"/>
      <c r="X57" s="102">
        <f>306193200</f>
        <v>306193200</v>
      </c>
      <c r="Y57" s="102">
        <v>306193200</v>
      </c>
      <c r="Z57" s="103"/>
      <c r="AA57" s="99"/>
      <c r="AB57" s="104">
        <f>158</f>
        <v>158</v>
      </c>
      <c r="AC57" s="104" t="str">
        <f t="shared" si="5"/>
        <v>－</v>
      </c>
      <c r="AD57" s="105" t="str">
        <f t="shared" si="5"/>
        <v>－</v>
      </c>
    </row>
    <row r="58" spans="1:30">
      <c r="A58" s="95" t="s">
        <v>46</v>
      </c>
      <c r="B58" s="96" t="s">
        <v>472</v>
      </c>
      <c r="C58" s="96" t="s">
        <v>473</v>
      </c>
      <c r="D58" s="96" t="s">
        <v>510</v>
      </c>
      <c r="E58" s="97" t="s">
        <v>316</v>
      </c>
      <c r="F58" s="97" t="s">
        <v>511</v>
      </c>
      <c r="G58" s="98">
        <v>72000</v>
      </c>
      <c r="H58" s="99"/>
      <c r="I58" s="100" t="s">
        <v>135</v>
      </c>
      <c r="J58" s="99"/>
      <c r="K58" s="100" t="s">
        <v>135</v>
      </c>
      <c r="L58" s="99"/>
      <c r="M58" s="100"/>
      <c r="N58" s="99"/>
      <c r="O58" s="100" t="s">
        <v>135</v>
      </c>
      <c r="P58" s="99"/>
      <c r="Q58" s="100"/>
      <c r="R58" s="99"/>
      <c r="S58" s="100" t="s">
        <v>135</v>
      </c>
      <c r="T58" s="101">
        <f>16.25</f>
        <v>16.25</v>
      </c>
      <c r="U58" s="102" t="str">
        <f t="shared" ref="U58:U69" si="6">"－"</f>
        <v>－</v>
      </c>
      <c r="V58" s="102"/>
      <c r="W58" s="102"/>
      <c r="X58" s="102" t="str">
        <f t="shared" ref="X58:X69" si="7">"－"</f>
        <v>－</v>
      </c>
      <c r="Y58" s="102"/>
      <c r="Z58" s="103"/>
      <c r="AA58" s="99"/>
      <c r="AB58" s="104" t="str">
        <f t="shared" ref="AB58:AD73" si="8">"－"</f>
        <v>－</v>
      </c>
      <c r="AC58" s="104" t="str">
        <f t="shared" si="5"/>
        <v>－</v>
      </c>
      <c r="AD58" s="105" t="str">
        <f t="shared" si="5"/>
        <v>－</v>
      </c>
    </row>
    <row r="59" spans="1:30">
      <c r="A59" s="95" t="s">
        <v>46</v>
      </c>
      <c r="B59" s="96" t="s">
        <v>472</v>
      </c>
      <c r="C59" s="96" t="s">
        <v>473</v>
      </c>
      <c r="D59" s="96" t="s">
        <v>512</v>
      </c>
      <c r="E59" s="97" t="s">
        <v>513</v>
      </c>
      <c r="F59" s="97" t="s">
        <v>514</v>
      </c>
      <c r="G59" s="98">
        <v>74400</v>
      </c>
      <c r="H59" s="99"/>
      <c r="I59" s="100" t="s">
        <v>135</v>
      </c>
      <c r="J59" s="99"/>
      <c r="K59" s="100" t="s">
        <v>135</v>
      </c>
      <c r="L59" s="99"/>
      <c r="M59" s="100"/>
      <c r="N59" s="99"/>
      <c r="O59" s="100" t="s">
        <v>135</v>
      </c>
      <c r="P59" s="99"/>
      <c r="Q59" s="100"/>
      <c r="R59" s="99"/>
      <c r="S59" s="100" t="s">
        <v>135</v>
      </c>
      <c r="T59" s="101">
        <f>15.98</f>
        <v>15.98</v>
      </c>
      <c r="U59" s="102" t="str">
        <f t="shared" si="6"/>
        <v>－</v>
      </c>
      <c r="V59" s="102"/>
      <c r="W59" s="102"/>
      <c r="X59" s="102" t="str">
        <f t="shared" si="7"/>
        <v>－</v>
      </c>
      <c r="Y59" s="102"/>
      <c r="Z59" s="103"/>
      <c r="AA59" s="99"/>
      <c r="AB59" s="104" t="str">
        <f t="shared" si="8"/>
        <v>－</v>
      </c>
      <c r="AC59" s="104" t="str">
        <f t="shared" si="5"/>
        <v>－</v>
      </c>
      <c r="AD59" s="105" t="str">
        <f t="shared" si="5"/>
        <v>－</v>
      </c>
    </row>
    <row r="60" spans="1:30">
      <c r="A60" s="95" t="s">
        <v>46</v>
      </c>
      <c r="B60" s="96" t="s">
        <v>472</v>
      </c>
      <c r="C60" s="96" t="s">
        <v>473</v>
      </c>
      <c r="D60" s="96" t="s">
        <v>515</v>
      </c>
      <c r="E60" s="97" t="s">
        <v>516</v>
      </c>
      <c r="F60" s="97" t="s">
        <v>517</v>
      </c>
      <c r="G60" s="98">
        <v>72000</v>
      </c>
      <c r="H60" s="99"/>
      <c r="I60" s="100" t="s">
        <v>135</v>
      </c>
      <c r="J60" s="99"/>
      <c r="K60" s="100" t="s">
        <v>135</v>
      </c>
      <c r="L60" s="99"/>
      <c r="M60" s="100"/>
      <c r="N60" s="99"/>
      <c r="O60" s="100" t="s">
        <v>135</v>
      </c>
      <c r="P60" s="99"/>
      <c r="Q60" s="100"/>
      <c r="R60" s="99"/>
      <c r="S60" s="100" t="s">
        <v>135</v>
      </c>
      <c r="T60" s="101">
        <f>18.47</f>
        <v>18.47</v>
      </c>
      <c r="U60" s="102" t="str">
        <f t="shared" si="6"/>
        <v>－</v>
      </c>
      <c r="V60" s="102"/>
      <c r="W60" s="102"/>
      <c r="X60" s="102" t="str">
        <f t="shared" si="7"/>
        <v>－</v>
      </c>
      <c r="Y60" s="102"/>
      <c r="Z60" s="103"/>
      <c r="AA60" s="99"/>
      <c r="AB60" s="104" t="str">
        <f t="shared" si="8"/>
        <v>－</v>
      </c>
      <c r="AC60" s="104" t="str">
        <f t="shared" si="5"/>
        <v>－</v>
      </c>
      <c r="AD60" s="105" t="str">
        <f t="shared" si="5"/>
        <v>－</v>
      </c>
    </row>
    <row r="61" spans="1:30">
      <c r="A61" s="95" t="s">
        <v>46</v>
      </c>
      <c r="B61" s="96" t="s">
        <v>472</v>
      </c>
      <c r="C61" s="96" t="s">
        <v>473</v>
      </c>
      <c r="D61" s="96" t="s">
        <v>518</v>
      </c>
      <c r="E61" s="97" t="s">
        <v>322</v>
      </c>
      <c r="F61" s="97" t="s">
        <v>519</v>
      </c>
      <c r="G61" s="98">
        <v>74400</v>
      </c>
      <c r="H61" s="99"/>
      <c r="I61" s="100" t="s">
        <v>135</v>
      </c>
      <c r="J61" s="99"/>
      <c r="K61" s="100" t="s">
        <v>135</v>
      </c>
      <c r="L61" s="99"/>
      <c r="M61" s="100"/>
      <c r="N61" s="99"/>
      <c r="O61" s="100" t="s">
        <v>135</v>
      </c>
      <c r="P61" s="99"/>
      <c r="Q61" s="100"/>
      <c r="R61" s="99"/>
      <c r="S61" s="100" t="s">
        <v>135</v>
      </c>
      <c r="T61" s="101">
        <f>19.82</f>
        <v>19.82</v>
      </c>
      <c r="U61" s="102" t="str">
        <f t="shared" si="6"/>
        <v>－</v>
      </c>
      <c r="V61" s="102"/>
      <c r="W61" s="102"/>
      <c r="X61" s="102" t="str">
        <f t="shared" si="7"/>
        <v>－</v>
      </c>
      <c r="Y61" s="102"/>
      <c r="Z61" s="103"/>
      <c r="AA61" s="99"/>
      <c r="AB61" s="104" t="str">
        <f t="shared" si="8"/>
        <v>－</v>
      </c>
      <c r="AC61" s="104" t="str">
        <f t="shared" si="5"/>
        <v>－</v>
      </c>
      <c r="AD61" s="105" t="str">
        <f t="shared" si="5"/>
        <v>－</v>
      </c>
    </row>
    <row r="62" spans="1:30">
      <c r="A62" s="95" t="s">
        <v>46</v>
      </c>
      <c r="B62" s="96" t="s">
        <v>472</v>
      </c>
      <c r="C62" s="96" t="s">
        <v>473</v>
      </c>
      <c r="D62" s="96" t="s">
        <v>520</v>
      </c>
      <c r="E62" s="97" t="s">
        <v>521</v>
      </c>
      <c r="F62" s="97" t="s">
        <v>522</v>
      </c>
      <c r="G62" s="98">
        <v>74400</v>
      </c>
      <c r="H62" s="99"/>
      <c r="I62" s="100" t="s">
        <v>135</v>
      </c>
      <c r="J62" s="99"/>
      <c r="K62" s="100" t="s">
        <v>135</v>
      </c>
      <c r="L62" s="99"/>
      <c r="M62" s="100"/>
      <c r="N62" s="99"/>
      <c r="O62" s="100" t="s">
        <v>135</v>
      </c>
      <c r="P62" s="99"/>
      <c r="Q62" s="100"/>
      <c r="R62" s="99"/>
      <c r="S62" s="100" t="s">
        <v>135</v>
      </c>
      <c r="T62" s="101">
        <f>21.84</f>
        <v>21.84</v>
      </c>
      <c r="U62" s="102" t="str">
        <f t="shared" si="6"/>
        <v>－</v>
      </c>
      <c r="V62" s="102"/>
      <c r="W62" s="102"/>
      <c r="X62" s="102" t="str">
        <f t="shared" si="7"/>
        <v>－</v>
      </c>
      <c r="Y62" s="102"/>
      <c r="Z62" s="103"/>
      <c r="AA62" s="99"/>
      <c r="AB62" s="104" t="str">
        <f t="shared" si="8"/>
        <v>－</v>
      </c>
      <c r="AC62" s="104" t="str">
        <f t="shared" si="5"/>
        <v>－</v>
      </c>
      <c r="AD62" s="105" t="str">
        <f t="shared" si="5"/>
        <v>－</v>
      </c>
    </row>
    <row r="63" spans="1:30">
      <c r="A63" s="95" t="s">
        <v>46</v>
      </c>
      <c r="B63" s="96" t="s">
        <v>472</v>
      </c>
      <c r="C63" s="96" t="s">
        <v>473</v>
      </c>
      <c r="D63" s="96" t="s">
        <v>523</v>
      </c>
      <c r="E63" s="97" t="s">
        <v>524</v>
      </c>
      <c r="F63" s="97" t="s">
        <v>525</v>
      </c>
      <c r="G63" s="98">
        <v>72000</v>
      </c>
      <c r="H63" s="99"/>
      <c r="I63" s="100" t="s">
        <v>135</v>
      </c>
      <c r="J63" s="99"/>
      <c r="K63" s="100" t="s">
        <v>135</v>
      </c>
      <c r="L63" s="99"/>
      <c r="M63" s="100"/>
      <c r="N63" s="99"/>
      <c r="O63" s="100" t="s">
        <v>135</v>
      </c>
      <c r="P63" s="99"/>
      <c r="Q63" s="100"/>
      <c r="R63" s="99"/>
      <c r="S63" s="100" t="s">
        <v>135</v>
      </c>
      <c r="T63" s="101">
        <f>17.37</f>
        <v>17.37</v>
      </c>
      <c r="U63" s="102" t="str">
        <f t="shared" si="6"/>
        <v>－</v>
      </c>
      <c r="V63" s="102"/>
      <c r="W63" s="102"/>
      <c r="X63" s="102" t="str">
        <f t="shared" si="7"/>
        <v>－</v>
      </c>
      <c r="Y63" s="102"/>
      <c r="Z63" s="103"/>
      <c r="AA63" s="99"/>
      <c r="AB63" s="104" t="str">
        <f t="shared" si="8"/>
        <v>－</v>
      </c>
      <c r="AC63" s="104" t="str">
        <f t="shared" si="8"/>
        <v>－</v>
      </c>
      <c r="AD63" s="105" t="str">
        <f t="shared" si="8"/>
        <v>－</v>
      </c>
    </row>
    <row r="64" spans="1:30">
      <c r="A64" s="95" t="s">
        <v>46</v>
      </c>
      <c r="B64" s="96" t="s">
        <v>472</v>
      </c>
      <c r="C64" s="96" t="s">
        <v>473</v>
      </c>
      <c r="D64" s="96" t="s">
        <v>526</v>
      </c>
      <c r="E64" s="97" t="s">
        <v>527</v>
      </c>
      <c r="F64" s="97" t="s">
        <v>528</v>
      </c>
      <c r="G64" s="98">
        <v>74400</v>
      </c>
      <c r="H64" s="99"/>
      <c r="I64" s="100" t="s">
        <v>135</v>
      </c>
      <c r="J64" s="99"/>
      <c r="K64" s="100" t="s">
        <v>135</v>
      </c>
      <c r="L64" s="99"/>
      <c r="M64" s="100"/>
      <c r="N64" s="99"/>
      <c r="O64" s="100" t="s">
        <v>135</v>
      </c>
      <c r="P64" s="99"/>
      <c r="Q64" s="100"/>
      <c r="R64" s="99"/>
      <c r="S64" s="100" t="s">
        <v>135</v>
      </c>
      <c r="T64" s="101">
        <f>15.81</f>
        <v>15.81</v>
      </c>
      <c r="U64" s="102" t="str">
        <f t="shared" si="6"/>
        <v>－</v>
      </c>
      <c r="V64" s="102"/>
      <c r="W64" s="102"/>
      <c r="X64" s="102" t="str">
        <f t="shared" si="7"/>
        <v>－</v>
      </c>
      <c r="Y64" s="102"/>
      <c r="Z64" s="103"/>
      <c r="AA64" s="99"/>
      <c r="AB64" s="104" t="str">
        <f t="shared" si="8"/>
        <v>－</v>
      </c>
      <c r="AC64" s="104" t="str">
        <f t="shared" si="8"/>
        <v>－</v>
      </c>
      <c r="AD64" s="105" t="str">
        <f t="shared" si="8"/>
        <v>－</v>
      </c>
    </row>
    <row r="65" spans="1:30">
      <c r="A65" s="95" t="s">
        <v>46</v>
      </c>
      <c r="B65" s="96" t="s">
        <v>472</v>
      </c>
      <c r="C65" s="96" t="s">
        <v>473</v>
      </c>
      <c r="D65" s="96" t="s">
        <v>529</v>
      </c>
      <c r="E65" s="97" t="s">
        <v>530</v>
      </c>
      <c r="F65" s="97" t="s">
        <v>531</v>
      </c>
      <c r="G65" s="98">
        <v>72000</v>
      </c>
      <c r="H65" s="99"/>
      <c r="I65" s="100" t="s">
        <v>135</v>
      </c>
      <c r="J65" s="99"/>
      <c r="K65" s="100" t="s">
        <v>135</v>
      </c>
      <c r="L65" s="99"/>
      <c r="M65" s="100"/>
      <c r="N65" s="99"/>
      <c r="O65" s="100" t="s">
        <v>135</v>
      </c>
      <c r="P65" s="99"/>
      <c r="Q65" s="100"/>
      <c r="R65" s="99"/>
      <c r="S65" s="100" t="s">
        <v>135</v>
      </c>
      <c r="T65" s="101">
        <f>16.72</f>
        <v>16.72</v>
      </c>
      <c r="U65" s="102" t="str">
        <f t="shared" si="6"/>
        <v>－</v>
      </c>
      <c r="V65" s="102"/>
      <c r="W65" s="102"/>
      <c r="X65" s="102" t="str">
        <f t="shared" si="7"/>
        <v>－</v>
      </c>
      <c r="Y65" s="102"/>
      <c r="Z65" s="103"/>
      <c r="AA65" s="99"/>
      <c r="AB65" s="104" t="str">
        <f t="shared" si="8"/>
        <v>－</v>
      </c>
      <c r="AC65" s="104" t="str">
        <f t="shared" si="8"/>
        <v>－</v>
      </c>
      <c r="AD65" s="105" t="str">
        <f t="shared" si="8"/>
        <v>－</v>
      </c>
    </row>
    <row r="66" spans="1:30">
      <c r="A66" s="95" t="s">
        <v>46</v>
      </c>
      <c r="B66" s="96" t="s">
        <v>472</v>
      </c>
      <c r="C66" s="96" t="s">
        <v>473</v>
      </c>
      <c r="D66" s="96" t="s">
        <v>532</v>
      </c>
      <c r="E66" s="97" t="s">
        <v>228</v>
      </c>
      <c r="F66" s="97" t="s">
        <v>533</v>
      </c>
      <c r="G66" s="98">
        <v>74400</v>
      </c>
      <c r="H66" s="99"/>
      <c r="I66" s="100" t="s">
        <v>135</v>
      </c>
      <c r="J66" s="99"/>
      <c r="K66" s="100" t="s">
        <v>135</v>
      </c>
      <c r="L66" s="99"/>
      <c r="M66" s="100"/>
      <c r="N66" s="99"/>
      <c r="O66" s="100" t="s">
        <v>135</v>
      </c>
      <c r="P66" s="99"/>
      <c r="Q66" s="100"/>
      <c r="R66" s="99"/>
      <c r="S66" s="100" t="s">
        <v>135</v>
      </c>
      <c r="T66" s="101">
        <f>19.39</f>
        <v>19.39</v>
      </c>
      <c r="U66" s="102" t="str">
        <f t="shared" si="6"/>
        <v>－</v>
      </c>
      <c r="V66" s="102"/>
      <c r="W66" s="102"/>
      <c r="X66" s="102" t="str">
        <f t="shared" si="7"/>
        <v>－</v>
      </c>
      <c r="Y66" s="102"/>
      <c r="Z66" s="103"/>
      <c r="AA66" s="99"/>
      <c r="AB66" s="104" t="str">
        <f t="shared" si="8"/>
        <v>－</v>
      </c>
      <c r="AC66" s="104" t="str">
        <f t="shared" si="8"/>
        <v>－</v>
      </c>
      <c r="AD66" s="105" t="str">
        <f t="shared" si="8"/>
        <v>－</v>
      </c>
    </row>
    <row r="67" spans="1:30">
      <c r="A67" s="95" t="s">
        <v>46</v>
      </c>
      <c r="B67" s="96" t="s">
        <v>472</v>
      </c>
      <c r="C67" s="96" t="s">
        <v>473</v>
      </c>
      <c r="D67" s="96" t="s">
        <v>534</v>
      </c>
      <c r="E67" s="97" t="s">
        <v>311</v>
      </c>
      <c r="F67" s="97" t="s">
        <v>535</v>
      </c>
      <c r="G67" s="98">
        <v>74400</v>
      </c>
      <c r="H67" s="99"/>
      <c r="I67" s="100" t="s">
        <v>135</v>
      </c>
      <c r="J67" s="99"/>
      <c r="K67" s="100" t="s">
        <v>135</v>
      </c>
      <c r="L67" s="99"/>
      <c r="M67" s="100"/>
      <c r="N67" s="99"/>
      <c r="O67" s="100" t="s">
        <v>135</v>
      </c>
      <c r="P67" s="99"/>
      <c r="Q67" s="100"/>
      <c r="R67" s="99"/>
      <c r="S67" s="100" t="s">
        <v>135</v>
      </c>
      <c r="T67" s="101">
        <f>25.13</f>
        <v>25.13</v>
      </c>
      <c r="U67" s="102" t="str">
        <f t="shared" si="6"/>
        <v>－</v>
      </c>
      <c r="V67" s="102"/>
      <c r="W67" s="102"/>
      <c r="X67" s="102" t="str">
        <f t="shared" si="7"/>
        <v>－</v>
      </c>
      <c r="Y67" s="102"/>
      <c r="Z67" s="103"/>
      <c r="AA67" s="99"/>
      <c r="AB67" s="104" t="str">
        <f t="shared" si="8"/>
        <v>－</v>
      </c>
      <c r="AC67" s="104" t="str">
        <f t="shared" si="8"/>
        <v>－</v>
      </c>
      <c r="AD67" s="105" t="str">
        <f t="shared" si="8"/>
        <v>－</v>
      </c>
    </row>
    <row r="68" spans="1:30">
      <c r="A68" s="95" t="s">
        <v>46</v>
      </c>
      <c r="B68" s="96" t="s">
        <v>536</v>
      </c>
      <c r="C68" s="96" t="s">
        <v>537</v>
      </c>
      <c r="D68" s="96" t="s">
        <v>46</v>
      </c>
      <c r="E68" s="97" t="s">
        <v>414</v>
      </c>
      <c r="F68" s="97" t="s">
        <v>474</v>
      </c>
      <c r="G68" s="98">
        <v>74400</v>
      </c>
      <c r="H68" s="99"/>
      <c r="I68" s="100" t="s">
        <v>135</v>
      </c>
      <c r="J68" s="99"/>
      <c r="K68" s="100" t="s">
        <v>135</v>
      </c>
      <c r="L68" s="99"/>
      <c r="M68" s="100"/>
      <c r="N68" s="99"/>
      <c r="O68" s="100" t="s">
        <v>135</v>
      </c>
      <c r="P68" s="99"/>
      <c r="Q68" s="100"/>
      <c r="R68" s="99"/>
      <c r="S68" s="100" t="s">
        <v>135</v>
      </c>
      <c r="T68" s="101">
        <f>21.79</f>
        <v>21.79</v>
      </c>
      <c r="U68" s="102" t="str">
        <f t="shared" si="6"/>
        <v>－</v>
      </c>
      <c r="V68" s="102"/>
      <c r="W68" s="102"/>
      <c r="X68" s="102" t="str">
        <f t="shared" si="7"/>
        <v>－</v>
      </c>
      <c r="Y68" s="102"/>
      <c r="Z68" s="103"/>
      <c r="AA68" s="99" t="s">
        <v>229</v>
      </c>
      <c r="AB68" s="104">
        <f>445</f>
        <v>445</v>
      </c>
      <c r="AC68" s="104" t="str">
        <f t="shared" si="8"/>
        <v>－</v>
      </c>
      <c r="AD68" s="105" t="str">
        <f t="shared" si="8"/>
        <v>－</v>
      </c>
    </row>
    <row r="69" spans="1:30">
      <c r="A69" s="95" t="s">
        <v>46</v>
      </c>
      <c r="B69" s="96" t="s">
        <v>536</v>
      </c>
      <c r="C69" s="96" t="s">
        <v>537</v>
      </c>
      <c r="D69" s="96" t="s">
        <v>49</v>
      </c>
      <c r="E69" s="97" t="s">
        <v>475</v>
      </c>
      <c r="F69" s="97" t="s">
        <v>476</v>
      </c>
      <c r="G69" s="98">
        <v>67200</v>
      </c>
      <c r="H69" s="99"/>
      <c r="I69" s="100" t="s">
        <v>135</v>
      </c>
      <c r="J69" s="99"/>
      <c r="K69" s="100" t="s">
        <v>135</v>
      </c>
      <c r="L69" s="99"/>
      <c r="M69" s="100"/>
      <c r="N69" s="99"/>
      <c r="O69" s="100" t="s">
        <v>135</v>
      </c>
      <c r="P69" s="99"/>
      <c r="Q69" s="100"/>
      <c r="R69" s="99"/>
      <c r="S69" s="100" t="s">
        <v>135</v>
      </c>
      <c r="T69" s="101">
        <f>21.1</f>
        <v>21.1</v>
      </c>
      <c r="U69" s="102" t="str">
        <f t="shared" si="6"/>
        <v>－</v>
      </c>
      <c r="V69" s="102"/>
      <c r="W69" s="102"/>
      <c r="X69" s="102" t="str">
        <f t="shared" si="7"/>
        <v>－</v>
      </c>
      <c r="Y69" s="102"/>
      <c r="Z69" s="103"/>
      <c r="AA69" s="99"/>
      <c r="AB69" s="104">
        <f>152</f>
        <v>152</v>
      </c>
      <c r="AC69" s="104" t="str">
        <f t="shared" si="8"/>
        <v>－</v>
      </c>
      <c r="AD69" s="105" t="str">
        <f t="shared" si="8"/>
        <v>－</v>
      </c>
    </row>
    <row r="70" spans="1:30">
      <c r="A70" s="95" t="s">
        <v>46</v>
      </c>
      <c r="B70" s="96" t="s">
        <v>536</v>
      </c>
      <c r="C70" s="96" t="s">
        <v>537</v>
      </c>
      <c r="D70" s="96" t="s">
        <v>232</v>
      </c>
      <c r="E70" s="97" t="s">
        <v>428</v>
      </c>
      <c r="F70" s="97" t="s">
        <v>480</v>
      </c>
      <c r="G70" s="98">
        <v>74400</v>
      </c>
      <c r="H70" s="99" t="s">
        <v>103</v>
      </c>
      <c r="I70" s="100" t="s">
        <v>538</v>
      </c>
      <c r="J70" s="99" t="s">
        <v>103</v>
      </c>
      <c r="K70" s="100" t="s">
        <v>538</v>
      </c>
      <c r="L70" s="99"/>
      <c r="M70" s="100"/>
      <c r="N70" s="99" t="s">
        <v>103</v>
      </c>
      <c r="O70" s="100" t="s">
        <v>538</v>
      </c>
      <c r="P70" s="99"/>
      <c r="Q70" s="100"/>
      <c r="R70" s="99" t="s">
        <v>103</v>
      </c>
      <c r="S70" s="100" t="s">
        <v>538</v>
      </c>
      <c r="T70" s="101">
        <f>16.69</f>
        <v>16.690000000000001</v>
      </c>
      <c r="U70" s="102">
        <f>1</f>
        <v>1</v>
      </c>
      <c r="V70" s="102"/>
      <c r="W70" s="102"/>
      <c r="X70" s="102">
        <f>1264800</f>
        <v>1264800</v>
      </c>
      <c r="Y70" s="102"/>
      <c r="Z70" s="103"/>
      <c r="AA70" s="99"/>
      <c r="AB70" s="104">
        <f>143</f>
        <v>143</v>
      </c>
      <c r="AC70" s="104" t="str">
        <f t="shared" si="8"/>
        <v>－</v>
      </c>
      <c r="AD70" s="105">
        <f>1</f>
        <v>1</v>
      </c>
    </row>
    <row r="71" spans="1:30">
      <c r="A71" s="95" t="s">
        <v>46</v>
      </c>
      <c r="B71" s="96" t="s">
        <v>536</v>
      </c>
      <c r="C71" s="96" t="s">
        <v>537</v>
      </c>
      <c r="D71" s="96" t="s">
        <v>59</v>
      </c>
      <c r="E71" s="97" t="s">
        <v>484</v>
      </c>
      <c r="F71" s="97" t="s">
        <v>317</v>
      </c>
      <c r="G71" s="98">
        <v>72000</v>
      </c>
      <c r="H71" s="99"/>
      <c r="I71" s="100" t="s">
        <v>135</v>
      </c>
      <c r="J71" s="99"/>
      <c r="K71" s="100" t="s">
        <v>135</v>
      </c>
      <c r="L71" s="99" t="s">
        <v>146</v>
      </c>
      <c r="M71" s="100" t="s">
        <v>539</v>
      </c>
      <c r="N71" s="99"/>
      <c r="O71" s="100" t="s">
        <v>135</v>
      </c>
      <c r="P71" s="99" t="s">
        <v>146</v>
      </c>
      <c r="Q71" s="100" t="s">
        <v>539</v>
      </c>
      <c r="R71" s="99"/>
      <c r="S71" s="100" t="s">
        <v>135</v>
      </c>
      <c r="T71" s="101">
        <f>16.18</f>
        <v>16.18</v>
      </c>
      <c r="U71" s="102">
        <f>10</f>
        <v>10</v>
      </c>
      <c r="V71" s="102">
        <v>10</v>
      </c>
      <c r="W71" s="102"/>
      <c r="X71" s="102">
        <f>12463200</f>
        <v>12463200</v>
      </c>
      <c r="Y71" s="102">
        <v>12463200</v>
      </c>
      <c r="Z71" s="103"/>
      <c r="AA71" s="99"/>
      <c r="AB71" s="104">
        <f>60</f>
        <v>60</v>
      </c>
      <c r="AC71" s="104" t="str">
        <f t="shared" si="8"/>
        <v>－</v>
      </c>
      <c r="AD71" s="105" t="str">
        <f t="shared" si="8"/>
        <v>－</v>
      </c>
    </row>
    <row r="72" spans="1:30">
      <c r="A72" s="95" t="s">
        <v>46</v>
      </c>
      <c r="B72" s="96" t="s">
        <v>536</v>
      </c>
      <c r="C72" s="96" t="s">
        <v>537</v>
      </c>
      <c r="D72" s="96" t="s">
        <v>237</v>
      </c>
      <c r="E72" s="97" t="s">
        <v>487</v>
      </c>
      <c r="F72" s="97" t="s">
        <v>488</v>
      </c>
      <c r="G72" s="98">
        <v>74400</v>
      </c>
      <c r="H72" s="99"/>
      <c r="I72" s="100" t="s">
        <v>135</v>
      </c>
      <c r="J72" s="99"/>
      <c r="K72" s="100" t="s">
        <v>135</v>
      </c>
      <c r="L72" s="99" t="s">
        <v>146</v>
      </c>
      <c r="M72" s="100" t="s">
        <v>540</v>
      </c>
      <c r="N72" s="99"/>
      <c r="O72" s="100" t="s">
        <v>135</v>
      </c>
      <c r="P72" s="99" t="s">
        <v>146</v>
      </c>
      <c r="Q72" s="100" t="s">
        <v>540</v>
      </c>
      <c r="R72" s="99"/>
      <c r="S72" s="100" t="s">
        <v>135</v>
      </c>
      <c r="T72" s="101">
        <f>16.3</f>
        <v>16.3</v>
      </c>
      <c r="U72" s="102">
        <f>10</f>
        <v>10</v>
      </c>
      <c r="V72" s="102">
        <v>10</v>
      </c>
      <c r="W72" s="102"/>
      <c r="X72" s="102">
        <f>12447120</f>
        <v>12447120</v>
      </c>
      <c r="Y72" s="102">
        <v>12447120</v>
      </c>
      <c r="Z72" s="103"/>
      <c r="AA72" s="99"/>
      <c r="AB72" s="104">
        <f>60</f>
        <v>60</v>
      </c>
      <c r="AC72" s="104" t="str">
        <f t="shared" si="8"/>
        <v>－</v>
      </c>
      <c r="AD72" s="105" t="str">
        <f t="shared" si="8"/>
        <v>－</v>
      </c>
    </row>
    <row r="73" spans="1:30">
      <c r="A73" s="95" t="s">
        <v>46</v>
      </c>
      <c r="B73" s="96" t="s">
        <v>536</v>
      </c>
      <c r="C73" s="96" t="s">
        <v>537</v>
      </c>
      <c r="D73" s="96" t="s">
        <v>66</v>
      </c>
      <c r="E73" s="97" t="s">
        <v>490</v>
      </c>
      <c r="F73" s="97" t="s">
        <v>491</v>
      </c>
      <c r="G73" s="98">
        <v>72000</v>
      </c>
      <c r="H73" s="99"/>
      <c r="I73" s="100" t="s">
        <v>135</v>
      </c>
      <c r="J73" s="99"/>
      <c r="K73" s="100" t="s">
        <v>135</v>
      </c>
      <c r="L73" s="99" t="s">
        <v>146</v>
      </c>
      <c r="M73" s="100" t="s">
        <v>541</v>
      </c>
      <c r="N73" s="99"/>
      <c r="O73" s="100" t="s">
        <v>135</v>
      </c>
      <c r="P73" s="99" t="s">
        <v>146</v>
      </c>
      <c r="Q73" s="100" t="s">
        <v>541</v>
      </c>
      <c r="R73" s="99"/>
      <c r="S73" s="100" t="s">
        <v>135</v>
      </c>
      <c r="T73" s="101">
        <f>18.16</f>
        <v>18.16</v>
      </c>
      <c r="U73" s="102">
        <f>10</f>
        <v>10</v>
      </c>
      <c r="V73" s="102">
        <v>10</v>
      </c>
      <c r="W73" s="102"/>
      <c r="X73" s="102">
        <f>13039200</f>
        <v>13039200</v>
      </c>
      <c r="Y73" s="102">
        <v>13039200</v>
      </c>
      <c r="Z73" s="103"/>
      <c r="AA73" s="99"/>
      <c r="AB73" s="104">
        <f>60</f>
        <v>60</v>
      </c>
      <c r="AC73" s="104" t="str">
        <f t="shared" si="8"/>
        <v>－</v>
      </c>
      <c r="AD73" s="105" t="str">
        <f t="shared" si="8"/>
        <v>－</v>
      </c>
    </row>
    <row r="74" spans="1:30">
      <c r="A74" s="95" t="s">
        <v>46</v>
      </c>
      <c r="B74" s="96" t="s">
        <v>536</v>
      </c>
      <c r="C74" s="96" t="s">
        <v>537</v>
      </c>
      <c r="D74" s="96" t="s">
        <v>242</v>
      </c>
      <c r="E74" s="97" t="s">
        <v>493</v>
      </c>
      <c r="F74" s="97" t="s">
        <v>494</v>
      </c>
      <c r="G74" s="98">
        <v>74400</v>
      </c>
      <c r="H74" s="99"/>
      <c r="I74" s="100" t="s">
        <v>135</v>
      </c>
      <c r="J74" s="99"/>
      <c r="K74" s="100" t="s">
        <v>135</v>
      </c>
      <c r="L74" s="99" t="s">
        <v>146</v>
      </c>
      <c r="M74" s="100" t="s">
        <v>542</v>
      </c>
      <c r="N74" s="99"/>
      <c r="O74" s="100" t="s">
        <v>135</v>
      </c>
      <c r="P74" s="99" t="s">
        <v>146</v>
      </c>
      <c r="Q74" s="100" t="s">
        <v>542</v>
      </c>
      <c r="R74" s="99"/>
      <c r="S74" s="100" t="s">
        <v>135</v>
      </c>
      <c r="T74" s="101">
        <f>22.11</f>
        <v>22.11</v>
      </c>
      <c r="U74" s="102">
        <f>10</f>
        <v>10</v>
      </c>
      <c r="V74" s="102">
        <v>10</v>
      </c>
      <c r="W74" s="102"/>
      <c r="X74" s="102">
        <f>18190800</f>
        <v>18190800</v>
      </c>
      <c r="Y74" s="102">
        <v>18190800</v>
      </c>
      <c r="Z74" s="103"/>
      <c r="AA74" s="99"/>
      <c r="AB74" s="104">
        <f>60</f>
        <v>60</v>
      </c>
      <c r="AC74" s="104" t="str">
        <f t="shared" ref="AC74:AD105" si="9">"－"</f>
        <v>－</v>
      </c>
      <c r="AD74" s="105" t="str">
        <f t="shared" si="9"/>
        <v>－</v>
      </c>
    </row>
    <row r="75" spans="1:30">
      <c r="A75" s="95" t="s">
        <v>46</v>
      </c>
      <c r="B75" s="96" t="s">
        <v>536</v>
      </c>
      <c r="C75" s="96" t="s">
        <v>537</v>
      </c>
      <c r="D75" s="96" t="s">
        <v>72</v>
      </c>
      <c r="E75" s="97" t="s">
        <v>493</v>
      </c>
      <c r="F75" s="97" t="s">
        <v>497</v>
      </c>
      <c r="G75" s="98">
        <v>74400</v>
      </c>
      <c r="H75" s="99"/>
      <c r="I75" s="100" t="s">
        <v>135</v>
      </c>
      <c r="J75" s="99"/>
      <c r="K75" s="100" t="s">
        <v>135</v>
      </c>
      <c r="L75" s="99" t="s">
        <v>146</v>
      </c>
      <c r="M75" s="100" t="s">
        <v>543</v>
      </c>
      <c r="N75" s="99"/>
      <c r="O75" s="100" t="s">
        <v>135</v>
      </c>
      <c r="P75" s="99" t="s">
        <v>146</v>
      </c>
      <c r="Q75" s="100" t="s">
        <v>543</v>
      </c>
      <c r="R75" s="99"/>
      <c r="S75" s="100" t="s">
        <v>135</v>
      </c>
      <c r="T75" s="101">
        <f>25.4</f>
        <v>25.4</v>
      </c>
      <c r="U75" s="102">
        <f>10</f>
        <v>10</v>
      </c>
      <c r="V75" s="102">
        <v>10</v>
      </c>
      <c r="W75" s="102"/>
      <c r="X75" s="102">
        <f>19210080</f>
        <v>19210080</v>
      </c>
      <c r="Y75" s="102">
        <v>19210080</v>
      </c>
      <c r="Z75" s="103"/>
      <c r="AA75" s="99"/>
      <c r="AB75" s="104">
        <f>60</f>
        <v>60</v>
      </c>
      <c r="AC75" s="104" t="str">
        <f t="shared" si="9"/>
        <v>－</v>
      </c>
      <c r="AD75" s="105" t="str">
        <f t="shared" si="9"/>
        <v>－</v>
      </c>
    </row>
    <row r="76" spans="1:30">
      <c r="A76" s="95" t="s">
        <v>46</v>
      </c>
      <c r="B76" s="96" t="s">
        <v>536</v>
      </c>
      <c r="C76" s="96" t="s">
        <v>537</v>
      </c>
      <c r="D76" s="96" t="s">
        <v>292</v>
      </c>
      <c r="E76" s="97" t="s">
        <v>493</v>
      </c>
      <c r="F76" s="97" t="s">
        <v>327</v>
      </c>
      <c r="G76" s="98">
        <v>72000</v>
      </c>
      <c r="H76" s="99"/>
      <c r="I76" s="100" t="s">
        <v>135</v>
      </c>
      <c r="J76" s="99"/>
      <c r="K76" s="100" t="s">
        <v>135</v>
      </c>
      <c r="L76" s="99" t="s">
        <v>146</v>
      </c>
      <c r="M76" s="100" t="s">
        <v>544</v>
      </c>
      <c r="N76" s="99"/>
      <c r="O76" s="100" t="s">
        <v>135</v>
      </c>
      <c r="P76" s="99" t="s">
        <v>146</v>
      </c>
      <c r="Q76" s="100" t="s">
        <v>544</v>
      </c>
      <c r="R76" s="99"/>
      <c r="S76" s="100" t="s">
        <v>135</v>
      </c>
      <c r="T76" s="101">
        <f>20.34</f>
        <v>20.34</v>
      </c>
      <c r="U76" s="102">
        <f>10</f>
        <v>10</v>
      </c>
      <c r="V76" s="102">
        <v>10</v>
      </c>
      <c r="W76" s="102"/>
      <c r="X76" s="102">
        <f>15768000</f>
        <v>15768000</v>
      </c>
      <c r="Y76" s="102">
        <v>15768000</v>
      </c>
      <c r="Z76" s="103"/>
      <c r="AA76" s="99"/>
      <c r="AB76" s="104">
        <f>60</f>
        <v>60</v>
      </c>
      <c r="AC76" s="104" t="str">
        <f t="shared" si="9"/>
        <v>－</v>
      </c>
      <c r="AD76" s="105" t="str">
        <f t="shared" si="9"/>
        <v>－</v>
      </c>
    </row>
    <row r="77" spans="1:30">
      <c r="A77" s="95" t="s">
        <v>46</v>
      </c>
      <c r="B77" s="96" t="s">
        <v>536</v>
      </c>
      <c r="C77" s="96" t="s">
        <v>537</v>
      </c>
      <c r="D77" s="96" t="s">
        <v>79</v>
      </c>
      <c r="E77" s="97" t="s">
        <v>493</v>
      </c>
      <c r="F77" s="97" t="s">
        <v>501</v>
      </c>
      <c r="G77" s="98">
        <v>74400</v>
      </c>
      <c r="H77" s="99"/>
      <c r="I77" s="100" t="s">
        <v>135</v>
      </c>
      <c r="J77" s="99"/>
      <c r="K77" s="100" t="s">
        <v>135</v>
      </c>
      <c r="L77" s="99" t="s">
        <v>146</v>
      </c>
      <c r="M77" s="100" t="s">
        <v>545</v>
      </c>
      <c r="N77" s="99"/>
      <c r="O77" s="100" t="s">
        <v>135</v>
      </c>
      <c r="P77" s="99" t="s">
        <v>146</v>
      </c>
      <c r="Q77" s="100" t="s">
        <v>545</v>
      </c>
      <c r="R77" s="99"/>
      <c r="S77" s="100" t="s">
        <v>135</v>
      </c>
      <c r="T77" s="101">
        <f>18.99</f>
        <v>18.989999999999998</v>
      </c>
      <c r="U77" s="102">
        <f>10</f>
        <v>10</v>
      </c>
      <c r="V77" s="102">
        <v>10</v>
      </c>
      <c r="W77" s="102"/>
      <c r="X77" s="102">
        <f>14433600</f>
        <v>14433600</v>
      </c>
      <c r="Y77" s="102">
        <v>14433600</v>
      </c>
      <c r="Z77" s="103"/>
      <c r="AA77" s="99"/>
      <c r="AB77" s="104">
        <f>60</f>
        <v>60</v>
      </c>
      <c r="AC77" s="104" t="str">
        <f t="shared" si="9"/>
        <v>－</v>
      </c>
      <c r="AD77" s="105" t="str">
        <f t="shared" si="9"/>
        <v>－</v>
      </c>
    </row>
    <row r="78" spans="1:30">
      <c r="A78" s="95" t="s">
        <v>46</v>
      </c>
      <c r="B78" s="96" t="s">
        <v>536</v>
      </c>
      <c r="C78" s="96" t="s">
        <v>537</v>
      </c>
      <c r="D78" s="96" t="s">
        <v>296</v>
      </c>
      <c r="E78" s="97" t="s">
        <v>493</v>
      </c>
      <c r="F78" s="97" t="s">
        <v>504</v>
      </c>
      <c r="G78" s="98">
        <v>72000</v>
      </c>
      <c r="H78" s="99"/>
      <c r="I78" s="100" t="s">
        <v>135</v>
      </c>
      <c r="J78" s="99"/>
      <c r="K78" s="100" t="s">
        <v>135</v>
      </c>
      <c r="L78" s="99" t="s">
        <v>146</v>
      </c>
      <c r="M78" s="100" t="s">
        <v>546</v>
      </c>
      <c r="N78" s="99"/>
      <c r="O78" s="100" t="s">
        <v>135</v>
      </c>
      <c r="P78" s="99" t="s">
        <v>146</v>
      </c>
      <c r="Q78" s="100" t="s">
        <v>546</v>
      </c>
      <c r="R78" s="99"/>
      <c r="S78" s="100" t="s">
        <v>135</v>
      </c>
      <c r="T78" s="101">
        <f>20.17</f>
        <v>20.170000000000002</v>
      </c>
      <c r="U78" s="102">
        <f>10</f>
        <v>10</v>
      </c>
      <c r="V78" s="102">
        <v>10</v>
      </c>
      <c r="W78" s="102"/>
      <c r="X78" s="102">
        <f>14839200</f>
        <v>14839200</v>
      </c>
      <c r="Y78" s="102">
        <v>14839200</v>
      </c>
      <c r="Z78" s="103"/>
      <c r="AA78" s="99"/>
      <c r="AB78" s="104">
        <f>60</f>
        <v>60</v>
      </c>
      <c r="AC78" s="104" t="str">
        <f t="shared" si="9"/>
        <v>－</v>
      </c>
      <c r="AD78" s="105" t="str">
        <f t="shared" si="9"/>
        <v>－</v>
      </c>
    </row>
    <row r="79" spans="1:30">
      <c r="A79" s="95" t="s">
        <v>46</v>
      </c>
      <c r="B79" s="96" t="s">
        <v>536</v>
      </c>
      <c r="C79" s="96" t="s">
        <v>537</v>
      </c>
      <c r="D79" s="96" t="s">
        <v>88</v>
      </c>
      <c r="E79" s="97" t="s">
        <v>493</v>
      </c>
      <c r="F79" s="97" t="s">
        <v>332</v>
      </c>
      <c r="G79" s="98">
        <v>74400</v>
      </c>
      <c r="H79" s="99"/>
      <c r="I79" s="100" t="s">
        <v>135</v>
      </c>
      <c r="J79" s="99"/>
      <c r="K79" s="100" t="s">
        <v>135</v>
      </c>
      <c r="L79" s="99" t="s">
        <v>146</v>
      </c>
      <c r="M79" s="100" t="s">
        <v>547</v>
      </c>
      <c r="N79" s="99"/>
      <c r="O79" s="100" t="s">
        <v>135</v>
      </c>
      <c r="P79" s="99" t="s">
        <v>146</v>
      </c>
      <c r="Q79" s="100" t="s">
        <v>547</v>
      </c>
      <c r="R79" s="99"/>
      <c r="S79" s="100" t="s">
        <v>135</v>
      </c>
      <c r="T79" s="101">
        <f>23.71</f>
        <v>23.71</v>
      </c>
      <c r="U79" s="102">
        <f>10</f>
        <v>10</v>
      </c>
      <c r="V79" s="102">
        <v>10</v>
      </c>
      <c r="W79" s="102"/>
      <c r="X79" s="102">
        <f>18250320</f>
        <v>18250320</v>
      </c>
      <c r="Y79" s="102">
        <v>18250320</v>
      </c>
      <c r="Z79" s="103"/>
      <c r="AA79" s="99"/>
      <c r="AB79" s="104">
        <f>60</f>
        <v>60</v>
      </c>
      <c r="AC79" s="104" t="str">
        <f t="shared" si="9"/>
        <v>－</v>
      </c>
      <c r="AD79" s="105" t="str">
        <f t="shared" si="9"/>
        <v>－</v>
      </c>
    </row>
    <row r="80" spans="1:30">
      <c r="A80" s="95" t="s">
        <v>46</v>
      </c>
      <c r="B80" s="96" t="s">
        <v>536</v>
      </c>
      <c r="C80" s="96" t="s">
        <v>537</v>
      </c>
      <c r="D80" s="96" t="s">
        <v>303</v>
      </c>
      <c r="E80" s="97" t="s">
        <v>493</v>
      </c>
      <c r="F80" s="97" t="s">
        <v>506</v>
      </c>
      <c r="G80" s="98">
        <v>74400</v>
      </c>
      <c r="H80" s="99"/>
      <c r="I80" s="100" t="s">
        <v>135</v>
      </c>
      <c r="J80" s="99"/>
      <c r="K80" s="100" t="s">
        <v>135</v>
      </c>
      <c r="L80" s="99" t="s">
        <v>146</v>
      </c>
      <c r="M80" s="100" t="s">
        <v>548</v>
      </c>
      <c r="N80" s="99"/>
      <c r="O80" s="100" t="s">
        <v>135</v>
      </c>
      <c r="P80" s="99" t="s">
        <v>146</v>
      </c>
      <c r="Q80" s="100" t="s">
        <v>548</v>
      </c>
      <c r="R80" s="99"/>
      <c r="S80" s="100" t="s">
        <v>135</v>
      </c>
      <c r="T80" s="101">
        <f>25.64</f>
        <v>25.64</v>
      </c>
      <c r="U80" s="102">
        <f>10</f>
        <v>10</v>
      </c>
      <c r="V80" s="102">
        <v>10</v>
      </c>
      <c r="W80" s="102"/>
      <c r="X80" s="102">
        <f>18815760</f>
        <v>18815760</v>
      </c>
      <c r="Y80" s="102">
        <v>18815760</v>
      </c>
      <c r="Z80" s="103"/>
      <c r="AA80" s="99"/>
      <c r="AB80" s="104">
        <f>60</f>
        <v>60</v>
      </c>
      <c r="AC80" s="104" t="str">
        <f t="shared" si="9"/>
        <v>－</v>
      </c>
      <c r="AD80" s="105" t="str">
        <f t="shared" si="9"/>
        <v>－</v>
      </c>
    </row>
    <row r="81" spans="1:30">
      <c r="A81" s="95" t="s">
        <v>46</v>
      </c>
      <c r="B81" s="96" t="s">
        <v>536</v>
      </c>
      <c r="C81" s="96" t="s">
        <v>537</v>
      </c>
      <c r="D81" s="96" t="s">
        <v>461</v>
      </c>
      <c r="E81" s="97" t="s">
        <v>493</v>
      </c>
      <c r="F81" s="97" t="s">
        <v>508</v>
      </c>
      <c r="G81" s="98">
        <v>69600</v>
      </c>
      <c r="H81" s="99"/>
      <c r="I81" s="100" t="s">
        <v>135</v>
      </c>
      <c r="J81" s="99"/>
      <c r="K81" s="100" t="s">
        <v>135</v>
      </c>
      <c r="L81" s="99" t="s">
        <v>146</v>
      </c>
      <c r="M81" s="100" t="s">
        <v>549</v>
      </c>
      <c r="N81" s="99"/>
      <c r="O81" s="100" t="s">
        <v>135</v>
      </c>
      <c r="P81" s="99" t="s">
        <v>146</v>
      </c>
      <c r="Q81" s="100" t="s">
        <v>549</v>
      </c>
      <c r="R81" s="99"/>
      <c r="S81" s="100" t="s">
        <v>135</v>
      </c>
      <c r="T81" s="101">
        <f>24.51</f>
        <v>24.51</v>
      </c>
      <c r="U81" s="102">
        <f>10</f>
        <v>10</v>
      </c>
      <c r="V81" s="102">
        <v>10</v>
      </c>
      <c r="W81" s="102"/>
      <c r="X81" s="102">
        <f>16940640</f>
        <v>16940640</v>
      </c>
      <c r="Y81" s="102">
        <v>16940640</v>
      </c>
      <c r="Z81" s="103"/>
      <c r="AA81" s="99"/>
      <c r="AB81" s="104">
        <f>60</f>
        <v>60</v>
      </c>
      <c r="AC81" s="104" t="str">
        <f t="shared" si="9"/>
        <v>－</v>
      </c>
      <c r="AD81" s="105" t="str">
        <f t="shared" si="9"/>
        <v>－</v>
      </c>
    </row>
    <row r="82" spans="1:30">
      <c r="A82" s="95" t="s">
        <v>46</v>
      </c>
      <c r="B82" s="96" t="s">
        <v>536</v>
      </c>
      <c r="C82" s="96" t="s">
        <v>537</v>
      </c>
      <c r="D82" s="96" t="s">
        <v>466</v>
      </c>
      <c r="E82" s="97" t="s">
        <v>493</v>
      </c>
      <c r="F82" s="97" t="s">
        <v>467</v>
      </c>
      <c r="G82" s="98">
        <v>74400</v>
      </c>
      <c r="H82" s="99"/>
      <c r="I82" s="100" t="s">
        <v>135</v>
      </c>
      <c r="J82" s="99"/>
      <c r="K82" s="100" t="s">
        <v>135</v>
      </c>
      <c r="L82" s="99" t="s">
        <v>146</v>
      </c>
      <c r="M82" s="100" t="s">
        <v>550</v>
      </c>
      <c r="N82" s="99"/>
      <c r="O82" s="100" t="s">
        <v>135</v>
      </c>
      <c r="P82" s="99" t="s">
        <v>146</v>
      </c>
      <c r="Q82" s="100" t="s">
        <v>550</v>
      </c>
      <c r="R82" s="99"/>
      <c r="S82" s="100" t="s">
        <v>135</v>
      </c>
      <c r="T82" s="101">
        <f>18.98</f>
        <v>18.98</v>
      </c>
      <c r="U82" s="102">
        <f>10</f>
        <v>10</v>
      </c>
      <c r="V82" s="102">
        <v>10</v>
      </c>
      <c r="W82" s="102"/>
      <c r="X82" s="102">
        <f>13139040</f>
        <v>13139040</v>
      </c>
      <c r="Y82" s="102">
        <v>13139040</v>
      </c>
      <c r="Z82" s="103"/>
      <c r="AA82" s="99"/>
      <c r="AB82" s="104">
        <f>60</f>
        <v>60</v>
      </c>
      <c r="AC82" s="104" t="str">
        <f t="shared" si="9"/>
        <v>－</v>
      </c>
      <c r="AD82" s="105" t="str">
        <f t="shared" si="9"/>
        <v>－</v>
      </c>
    </row>
    <row r="83" spans="1:30">
      <c r="A83" s="95" t="s">
        <v>46</v>
      </c>
      <c r="B83" s="96" t="s">
        <v>536</v>
      </c>
      <c r="C83" s="96" t="s">
        <v>537</v>
      </c>
      <c r="D83" s="96" t="s">
        <v>510</v>
      </c>
      <c r="E83" s="97" t="s">
        <v>316</v>
      </c>
      <c r="F83" s="97" t="s">
        <v>511</v>
      </c>
      <c r="G83" s="98">
        <v>72000</v>
      </c>
      <c r="H83" s="99"/>
      <c r="I83" s="100" t="s">
        <v>135</v>
      </c>
      <c r="J83" s="99"/>
      <c r="K83" s="100" t="s">
        <v>135</v>
      </c>
      <c r="L83" s="99"/>
      <c r="M83" s="100"/>
      <c r="N83" s="99"/>
      <c r="O83" s="100" t="s">
        <v>135</v>
      </c>
      <c r="P83" s="99"/>
      <c r="Q83" s="100"/>
      <c r="R83" s="99"/>
      <c r="S83" s="100" t="s">
        <v>135</v>
      </c>
      <c r="T83" s="101">
        <f>13.04</f>
        <v>13.04</v>
      </c>
      <c r="U83" s="102" t="str">
        <f t="shared" ref="U83:U93" si="10">"－"</f>
        <v>－</v>
      </c>
      <c r="V83" s="102"/>
      <c r="W83" s="102"/>
      <c r="X83" s="102" t="str">
        <f t="shared" ref="X83:X93" si="11">"－"</f>
        <v>－</v>
      </c>
      <c r="Y83" s="102"/>
      <c r="Z83" s="103"/>
      <c r="AA83" s="99"/>
      <c r="AB83" s="104" t="str">
        <f t="shared" ref="AB83:AB92" si="12">"－"</f>
        <v>－</v>
      </c>
      <c r="AC83" s="104" t="str">
        <f t="shared" si="9"/>
        <v>－</v>
      </c>
      <c r="AD83" s="105" t="str">
        <f t="shared" si="9"/>
        <v>－</v>
      </c>
    </row>
    <row r="84" spans="1:30">
      <c r="A84" s="95" t="s">
        <v>46</v>
      </c>
      <c r="B84" s="96" t="s">
        <v>536</v>
      </c>
      <c r="C84" s="96" t="s">
        <v>537</v>
      </c>
      <c r="D84" s="96" t="s">
        <v>512</v>
      </c>
      <c r="E84" s="97" t="s">
        <v>513</v>
      </c>
      <c r="F84" s="97" t="s">
        <v>514</v>
      </c>
      <c r="G84" s="98">
        <v>74400</v>
      </c>
      <c r="H84" s="99"/>
      <c r="I84" s="100" t="s">
        <v>135</v>
      </c>
      <c r="J84" s="99"/>
      <c r="K84" s="100" t="s">
        <v>135</v>
      </c>
      <c r="L84" s="99"/>
      <c r="M84" s="100"/>
      <c r="N84" s="99"/>
      <c r="O84" s="100" t="s">
        <v>135</v>
      </c>
      <c r="P84" s="99"/>
      <c r="Q84" s="100"/>
      <c r="R84" s="99"/>
      <c r="S84" s="100" t="s">
        <v>135</v>
      </c>
      <c r="T84" s="101">
        <f>12.98</f>
        <v>12.98</v>
      </c>
      <c r="U84" s="102" t="str">
        <f t="shared" si="10"/>
        <v>－</v>
      </c>
      <c r="V84" s="102"/>
      <c r="W84" s="102"/>
      <c r="X84" s="102" t="str">
        <f t="shared" si="11"/>
        <v>－</v>
      </c>
      <c r="Y84" s="102"/>
      <c r="Z84" s="103"/>
      <c r="AA84" s="99"/>
      <c r="AB84" s="104" t="str">
        <f t="shared" si="12"/>
        <v>－</v>
      </c>
      <c r="AC84" s="104" t="str">
        <f t="shared" si="9"/>
        <v>－</v>
      </c>
      <c r="AD84" s="105" t="str">
        <f t="shared" si="9"/>
        <v>－</v>
      </c>
    </row>
    <row r="85" spans="1:30">
      <c r="A85" s="95" t="s">
        <v>46</v>
      </c>
      <c r="B85" s="96" t="s">
        <v>536</v>
      </c>
      <c r="C85" s="96" t="s">
        <v>537</v>
      </c>
      <c r="D85" s="96" t="s">
        <v>515</v>
      </c>
      <c r="E85" s="97" t="s">
        <v>516</v>
      </c>
      <c r="F85" s="97" t="s">
        <v>517</v>
      </c>
      <c r="G85" s="98">
        <v>72000</v>
      </c>
      <c r="H85" s="99"/>
      <c r="I85" s="100" t="s">
        <v>135</v>
      </c>
      <c r="J85" s="99"/>
      <c r="K85" s="100" t="s">
        <v>135</v>
      </c>
      <c r="L85" s="99"/>
      <c r="M85" s="100"/>
      <c r="N85" s="99"/>
      <c r="O85" s="100" t="s">
        <v>135</v>
      </c>
      <c r="P85" s="99"/>
      <c r="Q85" s="100"/>
      <c r="R85" s="99"/>
      <c r="S85" s="100" t="s">
        <v>135</v>
      </c>
      <c r="T85" s="101">
        <f>13.34</f>
        <v>13.34</v>
      </c>
      <c r="U85" s="102" t="str">
        <f t="shared" si="10"/>
        <v>－</v>
      </c>
      <c r="V85" s="102"/>
      <c r="W85" s="102"/>
      <c r="X85" s="102" t="str">
        <f t="shared" si="11"/>
        <v>－</v>
      </c>
      <c r="Y85" s="102"/>
      <c r="Z85" s="103"/>
      <c r="AA85" s="99"/>
      <c r="AB85" s="104" t="str">
        <f t="shared" si="12"/>
        <v>－</v>
      </c>
      <c r="AC85" s="104" t="str">
        <f t="shared" si="9"/>
        <v>－</v>
      </c>
      <c r="AD85" s="105" t="str">
        <f t="shared" si="9"/>
        <v>－</v>
      </c>
    </row>
    <row r="86" spans="1:30">
      <c r="A86" s="95" t="s">
        <v>46</v>
      </c>
      <c r="B86" s="96" t="s">
        <v>536</v>
      </c>
      <c r="C86" s="96" t="s">
        <v>537</v>
      </c>
      <c r="D86" s="96" t="s">
        <v>518</v>
      </c>
      <c r="E86" s="97" t="s">
        <v>322</v>
      </c>
      <c r="F86" s="97" t="s">
        <v>519</v>
      </c>
      <c r="G86" s="98">
        <v>74400</v>
      </c>
      <c r="H86" s="99"/>
      <c r="I86" s="100" t="s">
        <v>135</v>
      </c>
      <c r="J86" s="99"/>
      <c r="K86" s="100" t="s">
        <v>135</v>
      </c>
      <c r="L86" s="99"/>
      <c r="M86" s="100"/>
      <c r="N86" s="99"/>
      <c r="O86" s="100" t="s">
        <v>135</v>
      </c>
      <c r="P86" s="99"/>
      <c r="Q86" s="100"/>
      <c r="R86" s="99"/>
      <c r="S86" s="100" t="s">
        <v>135</v>
      </c>
      <c r="T86" s="101">
        <f>15.87</f>
        <v>15.87</v>
      </c>
      <c r="U86" s="102" t="str">
        <f t="shared" si="10"/>
        <v>－</v>
      </c>
      <c r="V86" s="102"/>
      <c r="W86" s="102"/>
      <c r="X86" s="102" t="str">
        <f t="shared" si="11"/>
        <v>－</v>
      </c>
      <c r="Y86" s="102"/>
      <c r="Z86" s="103"/>
      <c r="AA86" s="99"/>
      <c r="AB86" s="104" t="str">
        <f t="shared" si="12"/>
        <v>－</v>
      </c>
      <c r="AC86" s="104" t="str">
        <f t="shared" si="9"/>
        <v>－</v>
      </c>
      <c r="AD86" s="105" t="str">
        <f t="shared" si="9"/>
        <v>－</v>
      </c>
    </row>
    <row r="87" spans="1:30">
      <c r="A87" s="95" t="s">
        <v>46</v>
      </c>
      <c r="B87" s="96" t="s">
        <v>536</v>
      </c>
      <c r="C87" s="96" t="s">
        <v>537</v>
      </c>
      <c r="D87" s="96" t="s">
        <v>520</v>
      </c>
      <c r="E87" s="97" t="s">
        <v>521</v>
      </c>
      <c r="F87" s="97" t="s">
        <v>522</v>
      </c>
      <c r="G87" s="98">
        <v>74400</v>
      </c>
      <c r="H87" s="99"/>
      <c r="I87" s="100" t="s">
        <v>135</v>
      </c>
      <c r="J87" s="99"/>
      <c r="K87" s="100" t="s">
        <v>135</v>
      </c>
      <c r="L87" s="99"/>
      <c r="M87" s="100"/>
      <c r="N87" s="99"/>
      <c r="O87" s="100" t="s">
        <v>135</v>
      </c>
      <c r="P87" s="99"/>
      <c r="Q87" s="100"/>
      <c r="R87" s="99"/>
      <c r="S87" s="100" t="s">
        <v>135</v>
      </c>
      <c r="T87" s="101">
        <f>18.46</f>
        <v>18.46</v>
      </c>
      <c r="U87" s="102" t="str">
        <f t="shared" si="10"/>
        <v>－</v>
      </c>
      <c r="V87" s="102"/>
      <c r="W87" s="102"/>
      <c r="X87" s="102" t="str">
        <f t="shared" si="11"/>
        <v>－</v>
      </c>
      <c r="Y87" s="102"/>
      <c r="Z87" s="103"/>
      <c r="AA87" s="99"/>
      <c r="AB87" s="104" t="str">
        <f t="shared" si="12"/>
        <v>－</v>
      </c>
      <c r="AC87" s="104" t="str">
        <f t="shared" si="9"/>
        <v>－</v>
      </c>
      <c r="AD87" s="105" t="str">
        <f t="shared" si="9"/>
        <v>－</v>
      </c>
    </row>
    <row r="88" spans="1:30">
      <c r="A88" s="95" t="s">
        <v>46</v>
      </c>
      <c r="B88" s="96" t="s">
        <v>536</v>
      </c>
      <c r="C88" s="96" t="s">
        <v>537</v>
      </c>
      <c r="D88" s="96" t="s">
        <v>523</v>
      </c>
      <c r="E88" s="97" t="s">
        <v>524</v>
      </c>
      <c r="F88" s="97" t="s">
        <v>525</v>
      </c>
      <c r="G88" s="98">
        <v>72000</v>
      </c>
      <c r="H88" s="99"/>
      <c r="I88" s="100" t="s">
        <v>135</v>
      </c>
      <c r="J88" s="99"/>
      <c r="K88" s="100" t="s">
        <v>135</v>
      </c>
      <c r="L88" s="99"/>
      <c r="M88" s="100"/>
      <c r="N88" s="99"/>
      <c r="O88" s="100" t="s">
        <v>135</v>
      </c>
      <c r="P88" s="99"/>
      <c r="Q88" s="100"/>
      <c r="R88" s="99"/>
      <c r="S88" s="100" t="s">
        <v>135</v>
      </c>
      <c r="T88" s="101">
        <f>14.45</f>
        <v>14.45</v>
      </c>
      <c r="U88" s="102" t="str">
        <f t="shared" si="10"/>
        <v>－</v>
      </c>
      <c r="V88" s="102"/>
      <c r="W88" s="102"/>
      <c r="X88" s="102" t="str">
        <f t="shared" si="11"/>
        <v>－</v>
      </c>
      <c r="Y88" s="102"/>
      <c r="Z88" s="103"/>
      <c r="AA88" s="99"/>
      <c r="AB88" s="104" t="str">
        <f t="shared" si="12"/>
        <v>－</v>
      </c>
      <c r="AC88" s="104" t="str">
        <f t="shared" si="9"/>
        <v>－</v>
      </c>
      <c r="AD88" s="105" t="str">
        <f t="shared" si="9"/>
        <v>－</v>
      </c>
    </row>
    <row r="89" spans="1:30">
      <c r="A89" s="95" t="s">
        <v>46</v>
      </c>
      <c r="B89" s="96" t="s">
        <v>536</v>
      </c>
      <c r="C89" s="96" t="s">
        <v>537</v>
      </c>
      <c r="D89" s="96" t="s">
        <v>526</v>
      </c>
      <c r="E89" s="97" t="s">
        <v>527</v>
      </c>
      <c r="F89" s="97" t="s">
        <v>528</v>
      </c>
      <c r="G89" s="98">
        <v>74400</v>
      </c>
      <c r="H89" s="99"/>
      <c r="I89" s="100" t="s">
        <v>135</v>
      </c>
      <c r="J89" s="99"/>
      <c r="K89" s="100" t="s">
        <v>135</v>
      </c>
      <c r="L89" s="99"/>
      <c r="M89" s="100"/>
      <c r="N89" s="99"/>
      <c r="O89" s="100" t="s">
        <v>135</v>
      </c>
      <c r="P89" s="99"/>
      <c r="Q89" s="100"/>
      <c r="R89" s="99"/>
      <c r="S89" s="100" t="s">
        <v>135</v>
      </c>
      <c r="T89" s="101">
        <f>12.57</f>
        <v>12.57</v>
      </c>
      <c r="U89" s="102" t="str">
        <f t="shared" si="10"/>
        <v>－</v>
      </c>
      <c r="V89" s="102"/>
      <c r="W89" s="102"/>
      <c r="X89" s="102" t="str">
        <f t="shared" si="11"/>
        <v>－</v>
      </c>
      <c r="Y89" s="102"/>
      <c r="Z89" s="103"/>
      <c r="AA89" s="99"/>
      <c r="AB89" s="104" t="str">
        <f t="shared" si="12"/>
        <v>－</v>
      </c>
      <c r="AC89" s="104" t="str">
        <f t="shared" si="9"/>
        <v>－</v>
      </c>
      <c r="AD89" s="105" t="str">
        <f t="shared" si="9"/>
        <v>－</v>
      </c>
    </row>
    <row r="90" spans="1:30">
      <c r="A90" s="95" t="s">
        <v>46</v>
      </c>
      <c r="B90" s="96" t="s">
        <v>536</v>
      </c>
      <c r="C90" s="96" t="s">
        <v>537</v>
      </c>
      <c r="D90" s="96" t="s">
        <v>529</v>
      </c>
      <c r="E90" s="97" t="s">
        <v>530</v>
      </c>
      <c r="F90" s="97" t="s">
        <v>531</v>
      </c>
      <c r="G90" s="98">
        <v>72000</v>
      </c>
      <c r="H90" s="99"/>
      <c r="I90" s="100" t="s">
        <v>135</v>
      </c>
      <c r="J90" s="99"/>
      <c r="K90" s="100" t="s">
        <v>135</v>
      </c>
      <c r="L90" s="99"/>
      <c r="M90" s="100"/>
      <c r="N90" s="99"/>
      <c r="O90" s="100" t="s">
        <v>135</v>
      </c>
      <c r="P90" s="99"/>
      <c r="Q90" s="100"/>
      <c r="R90" s="99"/>
      <c r="S90" s="100" t="s">
        <v>135</v>
      </c>
      <c r="T90" s="101">
        <f>13.59</f>
        <v>13.59</v>
      </c>
      <c r="U90" s="102" t="str">
        <f t="shared" si="10"/>
        <v>－</v>
      </c>
      <c r="V90" s="102"/>
      <c r="W90" s="102"/>
      <c r="X90" s="102" t="str">
        <f t="shared" si="11"/>
        <v>－</v>
      </c>
      <c r="Y90" s="102"/>
      <c r="Z90" s="103"/>
      <c r="AA90" s="99"/>
      <c r="AB90" s="104" t="str">
        <f t="shared" si="12"/>
        <v>－</v>
      </c>
      <c r="AC90" s="104" t="str">
        <f t="shared" si="9"/>
        <v>－</v>
      </c>
      <c r="AD90" s="105" t="str">
        <f t="shared" si="9"/>
        <v>－</v>
      </c>
    </row>
    <row r="91" spans="1:30">
      <c r="A91" s="95" t="s">
        <v>46</v>
      </c>
      <c r="B91" s="96" t="s">
        <v>536</v>
      </c>
      <c r="C91" s="96" t="s">
        <v>537</v>
      </c>
      <c r="D91" s="96" t="s">
        <v>532</v>
      </c>
      <c r="E91" s="97" t="s">
        <v>228</v>
      </c>
      <c r="F91" s="97" t="s">
        <v>533</v>
      </c>
      <c r="G91" s="98">
        <v>74400</v>
      </c>
      <c r="H91" s="99"/>
      <c r="I91" s="100" t="s">
        <v>135</v>
      </c>
      <c r="J91" s="99"/>
      <c r="K91" s="100" t="s">
        <v>135</v>
      </c>
      <c r="L91" s="99"/>
      <c r="M91" s="100"/>
      <c r="N91" s="99"/>
      <c r="O91" s="100" t="s">
        <v>135</v>
      </c>
      <c r="P91" s="99"/>
      <c r="Q91" s="100"/>
      <c r="R91" s="99"/>
      <c r="S91" s="100" t="s">
        <v>135</v>
      </c>
      <c r="T91" s="101">
        <f>16.24</f>
        <v>16.239999999999998</v>
      </c>
      <c r="U91" s="102" t="str">
        <f t="shared" si="10"/>
        <v>－</v>
      </c>
      <c r="V91" s="102"/>
      <c r="W91" s="102"/>
      <c r="X91" s="102" t="str">
        <f t="shared" si="11"/>
        <v>－</v>
      </c>
      <c r="Y91" s="102"/>
      <c r="Z91" s="103"/>
      <c r="AA91" s="99"/>
      <c r="AB91" s="104" t="str">
        <f t="shared" si="12"/>
        <v>－</v>
      </c>
      <c r="AC91" s="104" t="str">
        <f t="shared" si="9"/>
        <v>－</v>
      </c>
      <c r="AD91" s="105" t="str">
        <f t="shared" si="9"/>
        <v>－</v>
      </c>
    </row>
    <row r="92" spans="1:30">
      <c r="A92" s="95" t="s">
        <v>46</v>
      </c>
      <c r="B92" s="96" t="s">
        <v>536</v>
      </c>
      <c r="C92" s="96" t="s">
        <v>537</v>
      </c>
      <c r="D92" s="96" t="s">
        <v>534</v>
      </c>
      <c r="E92" s="97" t="s">
        <v>311</v>
      </c>
      <c r="F92" s="97" t="s">
        <v>535</v>
      </c>
      <c r="G92" s="98">
        <v>74400</v>
      </c>
      <c r="H92" s="99"/>
      <c r="I92" s="100" t="s">
        <v>135</v>
      </c>
      <c r="J92" s="99"/>
      <c r="K92" s="100" t="s">
        <v>135</v>
      </c>
      <c r="L92" s="99"/>
      <c r="M92" s="100"/>
      <c r="N92" s="99"/>
      <c r="O92" s="100" t="s">
        <v>135</v>
      </c>
      <c r="P92" s="99"/>
      <c r="Q92" s="100"/>
      <c r="R92" s="99"/>
      <c r="S92" s="100" t="s">
        <v>135</v>
      </c>
      <c r="T92" s="101">
        <f>22.25</f>
        <v>22.25</v>
      </c>
      <c r="U92" s="102" t="str">
        <f t="shared" si="10"/>
        <v>－</v>
      </c>
      <c r="V92" s="102"/>
      <c r="W92" s="102"/>
      <c r="X92" s="102" t="str">
        <f t="shared" si="11"/>
        <v>－</v>
      </c>
      <c r="Y92" s="102"/>
      <c r="Z92" s="103"/>
      <c r="AA92" s="99"/>
      <c r="AB92" s="104" t="str">
        <f t="shared" si="12"/>
        <v>－</v>
      </c>
      <c r="AC92" s="104" t="str">
        <f t="shared" si="9"/>
        <v>－</v>
      </c>
      <c r="AD92" s="105" t="str">
        <f t="shared" si="9"/>
        <v>－</v>
      </c>
    </row>
    <row r="93" spans="1:30">
      <c r="A93" s="95" t="s">
        <v>46</v>
      </c>
      <c r="B93" s="96" t="s">
        <v>551</v>
      </c>
      <c r="C93" s="96" t="s">
        <v>552</v>
      </c>
      <c r="D93" s="96" t="s">
        <v>46</v>
      </c>
      <c r="E93" s="97" t="s">
        <v>553</v>
      </c>
      <c r="F93" s="97" t="s">
        <v>474</v>
      </c>
      <c r="G93" s="98">
        <v>22800</v>
      </c>
      <c r="H93" s="99"/>
      <c r="I93" s="100" t="s">
        <v>135</v>
      </c>
      <c r="J93" s="99"/>
      <c r="K93" s="100" t="s">
        <v>135</v>
      </c>
      <c r="L93" s="99"/>
      <c r="M93" s="100"/>
      <c r="N93" s="99"/>
      <c r="O93" s="100" t="s">
        <v>135</v>
      </c>
      <c r="P93" s="99"/>
      <c r="Q93" s="100"/>
      <c r="R93" s="99"/>
      <c r="S93" s="100" t="s">
        <v>135</v>
      </c>
      <c r="T93" s="101">
        <f>24.99</f>
        <v>24.99</v>
      </c>
      <c r="U93" s="102" t="str">
        <f t="shared" si="10"/>
        <v>－</v>
      </c>
      <c r="V93" s="102"/>
      <c r="W93" s="102"/>
      <c r="X93" s="102" t="str">
        <f t="shared" si="11"/>
        <v>－</v>
      </c>
      <c r="Y93" s="102"/>
      <c r="Z93" s="103"/>
      <c r="AA93" s="99" t="s">
        <v>229</v>
      </c>
      <c r="AB93" s="104">
        <f>393</f>
        <v>393</v>
      </c>
      <c r="AC93" s="104" t="str">
        <f t="shared" si="9"/>
        <v>－</v>
      </c>
      <c r="AD93" s="105" t="str">
        <f t="shared" si="9"/>
        <v>－</v>
      </c>
    </row>
    <row r="94" spans="1:30">
      <c r="A94" s="95" t="s">
        <v>46</v>
      </c>
      <c r="B94" s="96" t="s">
        <v>551</v>
      </c>
      <c r="C94" s="96" t="s">
        <v>552</v>
      </c>
      <c r="D94" s="96" t="s">
        <v>49</v>
      </c>
      <c r="E94" s="97" t="s">
        <v>475</v>
      </c>
      <c r="F94" s="97" t="s">
        <v>476</v>
      </c>
      <c r="G94" s="98">
        <v>22800</v>
      </c>
      <c r="H94" s="99" t="s">
        <v>354</v>
      </c>
      <c r="I94" s="100" t="s">
        <v>554</v>
      </c>
      <c r="J94" s="99" t="s">
        <v>92</v>
      </c>
      <c r="K94" s="100" t="s">
        <v>555</v>
      </c>
      <c r="L94" s="99" t="s">
        <v>124</v>
      </c>
      <c r="M94" s="100" t="s">
        <v>556</v>
      </c>
      <c r="N94" s="99" t="s">
        <v>155</v>
      </c>
      <c r="O94" s="100" t="s">
        <v>479</v>
      </c>
      <c r="P94" s="99" t="s">
        <v>124</v>
      </c>
      <c r="Q94" s="100" t="s">
        <v>556</v>
      </c>
      <c r="R94" s="99" t="s">
        <v>92</v>
      </c>
      <c r="S94" s="100" t="s">
        <v>555</v>
      </c>
      <c r="T94" s="101">
        <f>24.96</f>
        <v>24.96</v>
      </c>
      <c r="U94" s="102">
        <f>8</f>
        <v>8</v>
      </c>
      <c r="V94" s="102">
        <v>1</v>
      </c>
      <c r="W94" s="102"/>
      <c r="X94" s="102">
        <f>4183572</f>
        <v>4183572</v>
      </c>
      <c r="Y94" s="102">
        <v>513000</v>
      </c>
      <c r="Z94" s="103"/>
      <c r="AA94" s="99"/>
      <c r="AB94" s="104">
        <f>578</f>
        <v>578</v>
      </c>
      <c r="AC94" s="104" t="str">
        <f t="shared" si="9"/>
        <v>－</v>
      </c>
      <c r="AD94" s="105">
        <f>4</f>
        <v>4</v>
      </c>
    </row>
    <row r="95" spans="1:30">
      <c r="A95" s="95" t="s">
        <v>46</v>
      </c>
      <c r="B95" s="96" t="s">
        <v>551</v>
      </c>
      <c r="C95" s="96" t="s">
        <v>552</v>
      </c>
      <c r="D95" s="96" t="s">
        <v>232</v>
      </c>
      <c r="E95" s="97" t="s">
        <v>557</v>
      </c>
      <c r="F95" s="97" t="s">
        <v>480</v>
      </c>
      <c r="G95" s="98">
        <v>26400</v>
      </c>
      <c r="H95" s="99"/>
      <c r="I95" s="100" t="s">
        <v>135</v>
      </c>
      <c r="J95" s="99"/>
      <c r="K95" s="100" t="s">
        <v>135</v>
      </c>
      <c r="L95" s="99"/>
      <c r="M95" s="100"/>
      <c r="N95" s="99"/>
      <c r="O95" s="100" t="s">
        <v>135</v>
      </c>
      <c r="P95" s="99"/>
      <c r="Q95" s="100"/>
      <c r="R95" s="99"/>
      <c r="S95" s="100" t="s">
        <v>135</v>
      </c>
      <c r="T95" s="101">
        <f>20.76</f>
        <v>20.76</v>
      </c>
      <c r="U95" s="102" t="str">
        <f>"－"</f>
        <v>－</v>
      </c>
      <c r="V95" s="102"/>
      <c r="W95" s="102"/>
      <c r="X95" s="102" t="str">
        <f>"－"</f>
        <v>－</v>
      </c>
      <c r="Y95" s="102"/>
      <c r="Z95" s="103"/>
      <c r="AA95" s="99"/>
      <c r="AB95" s="104">
        <f>10</f>
        <v>10</v>
      </c>
      <c r="AC95" s="104" t="str">
        <f t="shared" si="9"/>
        <v>－</v>
      </c>
      <c r="AD95" s="105" t="str">
        <f t="shared" si="9"/>
        <v>－</v>
      </c>
    </row>
    <row r="96" spans="1:30">
      <c r="A96" s="95" t="s">
        <v>46</v>
      </c>
      <c r="B96" s="96" t="s">
        <v>551</v>
      </c>
      <c r="C96" s="96" t="s">
        <v>552</v>
      </c>
      <c r="D96" s="96" t="s">
        <v>59</v>
      </c>
      <c r="E96" s="97" t="s">
        <v>484</v>
      </c>
      <c r="F96" s="97" t="s">
        <v>558</v>
      </c>
      <c r="G96" s="98">
        <v>24000</v>
      </c>
      <c r="H96" s="99"/>
      <c r="I96" s="100" t="s">
        <v>135</v>
      </c>
      <c r="J96" s="99"/>
      <c r="K96" s="100" t="s">
        <v>135</v>
      </c>
      <c r="L96" s="99" t="s">
        <v>54</v>
      </c>
      <c r="M96" s="100" t="s">
        <v>559</v>
      </c>
      <c r="N96" s="99"/>
      <c r="O96" s="100" t="s">
        <v>135</v>
      </c>
      <c r="P96" s="99" t="s">
        <v>54</v>
      </c>
      <c r="Q96" s="100" t="s">
        <v>559</v>
      </c>
      <c r="R96" s="99"/>
      <c r="S96" s="100" t="s">
        <v>135</v>
      </c>
      <c r="T96" s="101">
        <f>20.23</f>
        <v>20.23</v>
      </c>
      <c r="U96" s="102">
        <f>100</f>
        <v>100</v>
      </c>
      <c r="V96" s="102">
        <v>100</v>
      </c>
      <c r="W96" s="102"/>
      <c r="X96" s="102">
        <f>47040000</f>
        <v>47040000</v>
      </c>
      <c r="Y96" s="102">
        <v>47040000</v>
      </c>
      <c r="Z96" s="103"/>
      <c r="AA96" s="99"/>
      <c r="AB96" s="104">
        <f>100</f>
        <v>100</v>
      </c>
      <c r="AC96" s="104" t="str">
        <f t="shared" si="9"/>
        <v>－</v>
      </c>
      <c r="AD96" s="105" t="str">
        <f t="shared" si="9"/>
        <v>－</v>
      </c>
    </row>
    <row r="97" spans="1:30">
      <c r="A97" s="95" t="s">
        <v>46</v>
      </c>
      <c r="B97" s="96" t="s">
        <v>551</v>
      </c>
      <c r="C97" s="96" t="s">
        <v>552</v>
      </c>
      <c r="D97" s="96" t="s">
        <v>237</v>
      </c>
      <c r="E97" s="97" t="s">
        <v>487</v>
      </c>
      <c r="F97" s="97" t="s">
        <v>488</v>
      </c>
      <c r="G97" s="98">
        <v>21600</v>
      </c>
      <c r="H97" s="99"/>
      <c r="I97" s="100" t="s">
        <v>135</v>
      </c>
      <c r="J97" s="99"/>
      <c r="K97" s="100" t="s">
        <v>135</v>
      </c>
      <c r="L97" s="99"/>
      <c r="M97" s="100"/>
      <c r="N97" s="99"/>
      <c r="O97" s="100" t="s">
        <v>135</v>
      </c>
      <c r="P97" s="99"/>
      <c r="Q97" s="100"/>
      <c r="R97" s="99"/>
      <c r="S97" s="100" t="s">
        <v>135</v>
      </c>
      <c r="T97" s="101">
        <f>20.75</f>
        <v>20.75</v>
      </c>
      <c r="U97" s="102" t="str">
        <f t="shared" ref="U97:U158" si="13">"－"</f>
        <v>－</v>
      </c>
      <c r="V97" s="102"/>
      <c r="W97" s="102"/>
      <c r="X97" s="102" t="str">
        <f t="shared" ref="X97:X158" si="14">"－"</f>
        <v>－</v>
      </c>
      <c r="Y97" s="102"/>
      <c r="Z97" s="103"/>
      <c r="AA97" s="99"/>
      <c r="AB97" s="104" t="str">
        <f t="shared" ref="AB97:AD117" si="15">"－"</f>
        <v>－</v>
      </c>
      <c r="AC97" s="104" t="str">
        <f t="shared" si="9"/>
        <v>－</v>
      </c>
      <c r="AD97" s="105" t="str">
        <f t="shared" si="9"/>
        <v>－</v>
      </c>
    </row>
    <row r="98" spans="1:30">
      <c r="A98" s="95" t="s">
        <v>46</v>
      </c>
      <c r="B98" s="96" t="s">
        <v>551</v>
      </c>
      <c r="C98" s="96" t="s">
        <v>552</v>
      </c>
      <c r="D98" s="96" t="s">
        <v>66</v>
      </c>
      <c r="E98" s="97" t="s">
        <v>490</v>
      </c>
      <c r="F98" s="97" t="s">
        <v>491</v>
      </c>
      <c r="G98" s="98">
        <v>26400</v>
      </c>
      <c r="H98" s="99"/>
      <c r="I98" s="100" t="s">
        <v>135</v>
      </c>
      <c r="J98" s="99"/>
      <c r="K98" s="100" t="s">
        <v>135</v>
      </c>
      <c r="L98" s="99"/>
      <c r="M98" s="100"/>
      <c r="N98" s="99"/>
      <c r="O98" s="100" t="s">
        <v>135</v>
      </c>
      <c r="P98" s="99"/>
      <c r="Q98" s="100"/>
      <c r="R98" s="99"/>
      <c r="S98" s="100" t="s">
        <v>135</v>
      </c>
      <c r="T98" s="101">
        <f>22.77</f>
        <v>22.77</v>
      </c>
      <c r="U98" s="102" t="str">
        <f t="shared" si="13"/>
        <v>－</v>
      </c>
      <c r="V98" s="102"/>
      <c r="W98" s="102"/>
      <c r="X98" s="102" t="str">
        <f t="shared" si="14"/>
        <v>－</v>
      </c>
      <c r="Y98" s="102"/>
      <c r="Z98" s="103"/>
      <c r="AA98" s="99"/>
      <c r="AB98" s="104" t="str">
        <f t="shared" si="15"/>
        <v>－</v>
      </c>
      <c r="AC98" s="104" t="str">
        <f t="shared" si="9"/>
        <v>－</v>
      </c>
      <c r="AD98" s="105" t="str">
        <f t="shared" si="9"/>
        <v>－</v>
      </c>
    </row>
    <row r="99" spans="1:30">
      <c r="A99" s="95" t="s">
        <v>46</v>
      </c>
      <c r="B99" s="96" t="s">
        <v>551</v>
      </c>
      <c r="C99" s="96" t="s">
        <v>552</v>
      </c>
      <c r="D99" s="96" t="s">
        <v>242</v>
      </c>
      <c r="E99" s="97" t="s">
        <v>493</v>
      </c>
      <c r="F99" s="97" t="s">
        <v>494</v>
      </c>
      <c r="G99" s="98">
        <v>24000</v>
      </c>
      <c r="H99" s="99"/>
      <c r="I99" s="100" t="s">
        <v>135</v>
      </c>
      <c r="J99" s="99"/>
      <c r="K99" s="100" t="s">
        <v>135</v>
      </c>
      <c r="L99" s="99"/>
      <c r="M99" s="100"/>
      <c r="N99" s="99"/>
      <c r="O99" s="100" t="s">
        <v>135</v>
      </c>
      <c r="P99" s="99"/>
      <c r="Q99" s="100"/>
      <c r="R99" s="99"/>
      <c r="S99" s="100" t="s">
        <v>135</v>
      </c>
      <c r="T99" s="101">
        <f>27.44</f>
        <v>27.44</v>
      </c>
      <c r="U99" s="102" t="str">
        <f t="shared" si="13"/>
        <v>－</v>
      </c>
      <c r="V99" s="102"/>
      <c r="W99" s="102"/>
      <c r="X99" s="102" t="str">
        <f t="shared" si="14"/>
        <v>－</v>
      </c>
      <c r="Y99" s="102"/>
      <c r="Z99" s="103"/>
      <c r="AA99" s="99"/>
      <c r="AB99" s="104" t="str">
        <f t="shared" si="15"/>
        <v>－</v>
      </c>
      <c r="AC99" s="104" t="str">
        <f t="shared" si="9"/>
        <v>－</v>
      </c>
      <c r="AD99" s="105" t="str">
        <f t="shared" si="9"/>
        <v>－</v>
      </c>
    </row>
    <row r="100" spans="1:30">
      <c r="A100" s="95" t="s">
        <v>46</v>
      </c>
      <c r="B100" s="96" t="s">
        <v>551</v>
      </c>
      <c r="C100" s="96" t="s">
        <v>552</v>
      </c>
      <c r="D100" s="96" t="s">
        <v>72</v>
      </c>
      <c r="E100" s="97" t="s">
        <v>493</v>
      </c>
      <c r="F100" s="97" t="s">
        <v>497</v>
      </c>
      <c r="G100" s="98">
        <v>26400</v>
      </c>
      <c r="H100" s="99"/>
      <c r="I100" s="100" t="s">
        <v>135</v>
      </c>
      <c r="J100" s="99"/>
      <c r="K100" s="100" t="s">
        <v>135</v>
      </c>
      <c r="L100" s="99"/>
      <c r="M100" s="100"/>
      <c r="N100" s="99"/>
      <c r="O100" s="100" t="s">
        <v>135</v>
      </c>
      <c r="P100" s="99"/>
      <c r="Q100" s="100"/>
      <c r="R100" s="99"/>
      <c r="S100" s="100" t="s">
        <v>135</v>
      </c>
      <c r="T100" s="101">
        <f>33.17</f>
        <v>33.17</v>
      </c>
      <c r="U100" s="102" t="str">
        <f t="shared" si="13"/>
        <v>－</v>
      </c>
      <c r="V100" s="102"/>
      <c r="W100" s="102"/>
      <c r="X100" s="102" t="str">
        <f t="shared" si="14"/>
        <v>－</v>
      </c>
      <c r="Y100" s="102"/>
      <c r="Z100" s="103"/>
      <c r="AA100" s="99"/>
      <c r="AB100" s="104" t="str">
        <f t="shared" si="15"/>
        <v>－</v>
      </c>
      <c r="AC100" s="104" t="str">
        <f t="shared" si="9"/>
        <v>－</v>
      </c>
      <c r="AD100" s="105" t="str">
        <f t="shared" si="9"/>
        <v>－</v>
      </c>
    </row>
    <row r="101" spans="1:30">
      <c r="A101" s="95" t="s">
        <v>46</v>
      </c>
      <c r="B101" s="96" t="s">
        <v>551</v>
      </c>
      <c r="C101" s="96" t="s">
        <v>552</v>
      </c>
      <c r="D101" s="96" t="s">
        <v>292</v>
      </c>
      <c r="E101" s="97" t="s">
        <v>493</v>
      </c>
      <c r="F101" s="97" t="s">
        <v>560</v>
      </c>
      <c r="G101" s="98">
        <v>24000</v>
      </c>
      <c r="H101" s="99"/>
      <c r="I101" s="100" t="s">
        <v>135</v>
      </c>
      <c r="J101" s="99"/>
      <c r="K101" s="100" t="s">
        <v>135</v>
      </c>
      <c r="L101" s="99"/>
      <c r="M101" s="100"/>
      <c r="N101" s="99"/>
      <c r="O101" s="100" t="s">
        <v>135</v>
      </c>
      <c r="P101" s="99"/>
      <c r="Q101" s="100"/>
      <c r="R101" s="99"/>
      <c r="S101" s="100" t="s">
        <v>135</v>
      </c>
      <c r="T101" s="101">
        <f>25.6</f>
        <v>25.6</v>
      </c>
      <c r="U101" s="102" t="str">
        <f t="shared" si="13"/>
        <v>－</v>
      </c>
      <c r="V101" s="102"/>
      <c r="W101" s="102"/>
      <c r="X101" s="102" t="str">
        <f t="shared" si="14"/>
        <v>－</v>
      </c>
      <c r="Y101" s="102"/>
      <c r="Z101" s="103"/>
      <c r="AA101" s="99"/>
      <c r="AB101" s="104" t="str">
        <f t="shared" si="15"/>
        <v>－</v>
      </c>
      <c r="AC101" s="104" t="str">
        <f t="shared" si="9"/>
        <v>－</v>
      </c>
      <c r="AD101" s="105" t="str">
        <f t="shared" si="9"/>
        <v>－</v>
      </c>
    </row>
    <row r="102" spans="1:30">
      <c r="A102" s="95" t="s">
        <v>46</v>
      </c>
      <c r="B102" s="96" t="s">
        <v>551</v>
      </c>
      <c r="C102" s="96" t="s">
        <v>552</v>
      </c>
      <c r="D102" s="96" t="s">
        <v>79</v>
      </c>
      <c r="E102" s="97" t="s">
        <v>493</v>
      </c>
      <c r="F102" s="97" t="s">
        <v>501</v>
      </c>
      <c r="G102" s="98">
        <v>25200</v>
      </c>
      <c r="H102" s="99"/>
      <c r="I102" s="100" t="s">
        <v>135</v>
      </c>
      <c r="J102" s="99"/>
      <c r="K102" s="100" t="s">
        <v>135</v>
      </c>
      <c r="L102" s="99"/>
      <c r="M102" s="100"/>
      <c r="N102" s="99"/>
      <c r="O102" s="100" t="s">
        <v>135</v>
      </c>
      <c r="P102" s="99"/>
      <c r="Q102" s="100"/>
      <c r="R102" s="99"/>
      <c r="S102" s="100" t="s">
        <v>135</v>
      </c>
      <c r="T102" s="101">
        <f>24.12</f>
        <v>24.12</v>
      </c>
      <c r="U102" s="102" t="str">
        <f t="shared" si="13"/>
        <v>－</v>
      </c>
      <c r="V102" s="102"/>
      <c r="W102" s="102"/>
      <c r="X102" s="102" t="str">
        <f t="shared" si="14"/>
        <v>－</v>
      </c>
      <c r="Y102" s="102"/>
      <c r="Z102" s="103"/>
      <c r="AA102" s="99"/>
      <c r="AB102" s="104" t="str">
        <f t="shared" si="15"/>
        <v>－</v>
      </c>
      <c r="AC102" s="104" t="str">
        <f t="shared" si="9"/>
        <v>－</v>
      </c>
      <c r="AD102" s="105" t="str">
        <f t="shared" si="9"/>
        <v>－</v>
      </c>
    </row>
    <row r="103" spans="1:30">
      <c r="A103" s="95" t="s">
        <v>46</v>
      </c>
      <c r="B103" s="96" t="s">
        <v>551</v>
      </c>
      <c r="C103" s="96" t="s">
        <v>552</v>
      </c>
      <c r="D103" s="96" t="s">
        <v>296</v>
      </c>
      <c r="E103" s="97" t="s">
        <v>493</v>
      </c>
      <c r="F103" s="97" t="s">
        <v>504</v>
      </c>
      <c r="G103" s="98">
        <v>24000</v>
      </c>
      <c r="H103" s="99"/>
      <c r="I103" s="100" t="s">
        <v>135</v>
      </c>
      <c r="J103" s="99"/>
      <c r="K103" s="100" t="s">
        <v>135</v>
      </c>
      <c r="L103" s="99"/>
      <c r="M103" s="100"/>
      <c r="N103" s="99"/>
      <c r="O103" s="100" t="s">
        <v>135</v>
      </c>
      <c r="P103" s="99"/>
      <c r="Q103" s="100"/>
      <c r="R103" s="99"/>
      <c r="S103" s="100" t="s">
        <v>135</v>
      </c>
      <c r="T103" s="101">
        <f>25.16</f>
        <v>25.16</v>
      </c>
      <c r="U103" s="102" t="str">
        <f t="shared" si="13"/>
        <v>－</v>
      </c>
      <c r="V103" s="102"/>
      <c r="W103" s="102"/>
      <c r="X103" s="102" t="str">
        <f t="shared" si="14"/>
        <v>－</v>
      </c>
      <c r="Y103" s="102"/>
      <c r="Z103" s="103"/>
      <c r="AA103" s="99"/>
      <c r="AB103" s="104" t="str">
        <f t="shared" si="15"/>
        <v>－</v>
      </c>
      <c r="AC103" s="104" t="str">
        <f t="shared" si="9"/>
        <v>－</v>
      </c>
      <c r="AD103" s="105" t="str">
        <f t="shared" si="9"/>
        <v>－</v>
      </c>
    </row>
    <row r="104" spans="1:30">
      <c r="A104" s="95" t="s">
        <v>46</v>
      </c>
      <c r="B104" s="96" t="s">
        <v>551</v>
      </c>
      <c r="C104" s="96" t="s">
        <v>552</v>
      </c>
      <c r="D104" s="96" t="s">
        <v>88</v>
      </c>
      <c r="E104" s="97" t="s">
        <v>493</v>
      </c>
      <c r="F104" s="97" t="s">
        <v>561</v>
      </c>
      <c r="G104" s="98">
        <v>25200</v>
      </c>
      <c r="H104" s="99"/>
      <c r="I104" s="100" t="s">
        <v>135</v>
      </c>
      <c r="J104" s="99"/>
      <c r="K104" s="100" t="s">
        <v>135</v>
      </c>
      <c r="L104" s="99"/>
      <c r="M104" s="100"/>
      <c r="N104" s="99"/>
      <c r="O104" s="100" t="s">
        <v>135</v>
      </c>
      <c r="P104" s="99"/>
      <c r="Q104" s="100"/>
      <c r="R104" s="99"/>
      <c r="S104" s="100" t="s">
        <v>135</v>
      </c>
      <c r="T104" s="101">
        <f>29.53</f>
        <v>29.53</v>
      </c>
      <c r="U104" s="102" t="str">
        <f t="shared" si="13"/>
        <v>－</v>
      </c>
      <c r="V104" s="102"/>
      <c r="W104" s="102"/>
      <c r="X104" s="102" t="str">
        <f t="shared" si="14"/>
        <v>－</v>
      </c>
      <c r="Y104" s="102"/>
      <c r="Z104" s="103"/>
      <c r="AA104" s="99"/>
      <c r="AB104" s="104" t="str">
        <f t="shared" si="15"/>
        <v>－</v>
      </c>
      <c r="AC104" s="104" t="str">
        <f t="shared" si="9"/>
        <v>－</v>
      </c>
      <c r="AD104" s="105" t="str">
        <f t="shared" si="9"/>
        <v>－</v>
      </c>
    </row>
    <row r="105" spans="1:30">
      <c r="A105" s="95" t="s">
        <v>46</v>
      </c>
      <c r="B105" s="96" t="s">
        <v>551</v>
      </c>
      <c r="C105" s="96" t="s">
        <v>552</v>
      </c>
      <c r="D105" s="96" t="s">
        <v>303</v>
      </c>
      <c r="E105" s="97" t="s">
        <v>493</v>
      </c>
      <c r="F105" s="97" t="s">
        <v>506</v>
      </c>
      <c r="G105" s="98">
        <v>22800</v>
      </c>
      <c r="H105" s="99"/>
      <c r="I105" s="100" t="s">
        <v>135</v>
      </c>
      <c r="J105" s="99"/>
      <c r="K105" s="100" t="s">
        <v>135</v>
      </c>
      <c r="L105" s="99"/>
      <c r="M105" s="100"/>
      <c r="N105" s="99"/>
      <c r="O105" s="100" t="s">
        <v>135</v>
      </c>
      <c r="P105" s="99"/>
      <c r="Q105" s="100"/>
      <c r="R105" s="99"/>
      <c r="S105" s="100" t="s">
        <v>135</v>
      </c>
      <c r="T105" s="101">
        <f>34.58</f>
        <v>34.58</v>
      </c>
      <c r="U105" s="102" t="str">
        <f t="shared" si="13"/>
        <v>－</v>
      </c>
      <c r="V105" s="102"/>
      <c r="W105" s="102"/>
      <c r="X105" s="102" t="str">
        <f t="shared" si="14"/>
        <v>－</v>
      </c>
      <c r="Y105" s="102"/>
      <c r="Z105" s="103"/>
      <c r="AA105" s="99"/>
      <c r="AB105" s="104" t="str">
        <f t="shared" si="15"/>
        <v>－</v>
      </c>
      <c r="AC105" s="104" t="str">
        <f t="shared" si="9"/>
        <v>－</v>
      </c>
      <c r="AD105" s="105" t="str">
        <f t="shared" si="9"/>
        <v>－</v>
      </c>
    </row>
    <row r="106" spans="1:30">
      <c r="A106" s="95" t="s">
        <v>46</v>
      </c>
      <c r="B106" s="96" t="s">
        <v>551</v>
      </c>
      <c r="C106" s="96" t="s">
        <v>552</v>
      </c>
      <c r="D106" s="96" t="s">
        <v>461</v>
      </c>
      <c r="E106" s="97" t="s">
        <v>493</v>
      </c>
      <c r="F106" s="97" t="s">
        <v>508</v>
      </c>
      <c r="G106" s="98">
        <v>22800</v>
      </c>
      <c r="H106" s="99"/>
      <c r="I106" s="100" t="s">
        <v>135</v>
      </c>
      <c r="J106" s="99"/>
      <c r="K106" s="100" t="s">
        <v>135</v>
      </c>
      <c r="L106" s="99"/>
      <c r="M106" s="100"/>
      <c r="N106" s="99"/>
      <c r="O106" s="100" t="s">
        <v>135</v>
      </c>
      <c r="P106" s="99"/>
      <c r="Q106" s="100"/>
      <c r="R106" s="99"/>
      <c r="S106" s="100" t="s">
        <v>135</v>
      </c>
      <c r="T106" s="101">
        <f>32.84</f>
        <v>32.840000000000003</v>
      </c>
      <c r="U106" s="102" t="str">
        <f t="shared" si="13"/>
        <v>－</v>
      </c>
      <c r="V106" s="102"/>
      <c r="W106" s="102"/>
      <c r="X106" s="102" t="str">
        <f t="shared" si="14"/>
        <v>－</v>
      </c>
      <c r="Y106" s="102"/>
      <c r="Z106" s="103"/>
      <c r="AA106" s="99"/>
      <c r="AB106" s="104" t="str">
        <f t="shared" si="15"/>
        <v>－</v>
      </c>
      <c r="AC106" s="104" t="str">
        <f t="shared" si="15"/>
        <v>－</v>
      </c>
      <c r="AD106" s="105" t="str">
        <f t="shared" si="15"/>
        <v>－</v>
      </c>
    </row>
    <row r="107" spans="1:30">
      <c r="A107" s="95" t="s">
        <v>46</v>
      </c>
      <c r="B107" s="96" t="s">
        <v>551</v>
      </c>
      <c r="C107" s="96" t="s">
        <v>552</v>
      </c>
      <c r="D107" s="96" t="s">
        <v>466</v>
      </c>
      <c r="E107" s="97" t="s">
        <v>493</v>
      </c>
      <c r="F107" s="97" t="s">
        <v>562</v>
      </c>
      <c r="G107" s="98">
        <v>24000</v>
      </c>
      <c r="H107" s="99"/>
      <c r="I107" s="100" t="s">
        <v>135</v>
      </c>
      <c r="J107" s="99"/>
      <c r="K107" s="100" t="s">
        <v>135</v>
      </c>
      <c r="L107" s="99"/>
      <c r="M107" s="100"/>
      <c r="N107" s="99"/>
      <c r="O107" s="100" t="s">
        <v>135</v>
      </c>
      <c r="P107" s="99"/>
      <c r="Q107" s="100"/>
      <c r="R107" s="99"/>
      <c r="S107" s="100" t="s">
        <v>135</v>
      </c>
      <c r="T107" s="101">
        <f>26.26</f>
        <v>26.26</v>
      </c>
      <c r="U107" s="102" t="str">
        <f t="shared" si="13"/>
        <v>－</v>
      </c>
      <c r="V107" s="102"/>
      <c r="W107" s="102"/>
      <c r="X107" s="102" t="str">
        <f t="shared" si="14"/>
        <v>－</v>
      </c>
      <c r="Y107" s="102"/>
      <c r="Z107" s="103"/>
      <c r="AA107" s="99"/>
      <c r="AB107" s="104" t="str">
        <f t="shared" si="15"/>
        <v>－</v>
      </c>
      <c r="AC107" s="104" t="str">
        <f t="shared" si="15"/>
        <v>－</v>
      </c>
      <c r="AD107" s="105" t="str">
        <f t="shared" si="15"/>
        <v>－</v>
      </c>
    </row>
    <row r="108" spans="1:30">
      <c r="A108" s="95" t="s">
        <v>46</v>
      </c>
      <c r="B108" s="96" t="s">
        <v>551</v>
      </c>
      <c r="C108" s="96" t="s">
        <v>552</v>
      </c>
      <c r="D108" s="96" t="s">
        <v>510</v>
      </c>
      <c r="E108" s="97" t="s">
        <v>563</v>
      </c>
      <c r="F108" s="97" t="s">
        <v>511</v>
      </c>
      <c r="G108" s="98">
        <v>25200</v>
      </c>
      <c r="H108" s="99"/>
      <c r="I108" s="100" t="s">
        <v>135</v>
      </c>
      <c r="J108" s="99"/>
      <c r="K108" s="100" t="s">
        <v>135</v>
      </c>
      <c r="L108" s="99"/>
      <c r="M108" s="100"/>
      <c r="N108" s="99"/>
      <c r="O108" s="100" t="s">
        <v>135</v>
      </c>
      <c r="P108" s="99"/>
      <c r="Q108" s="100"/>
      <c r="R108" s="99"/>
      <c r="S108" s="100" t="s">
        <v>135</v>
      </c>
      <c r="T108" s="101">
        <f>17.9</f>
        <v>17.899999999999999</v>
      </c>
      <c r="U108" s="102" t="str">
        <f t="shared" si="13"/>
        <v>－</v>
      </c>
      <c r="V108" s="102"/>
      <c r="W108" s="102"/>
      <c r="X108" s="102" t="str">
        <f t="shared" si="14"/>
        <v>－</v>
      </c>
      <c r="Y108" s="102"/>
      <c r="Z108" s="103"/>
      <c r="AA108" s="99"/>
      <c r="AB108" s="104" t="str">
        <f t="shared" si="15"/>
        <v>－</v>
      </c>
      <c r="AC108" s="104" t="str">
        <f t="shared" si="15"/>
        <v>－</v>
      </c>
      <c r="AD108" s="105" t="str">
        <f t="shared" si="15"/>
        <v>－</v>
      </c>
    </row>
    <row r="109" spans="1:30">
      <c r="A109" s="95" t="s">
        <v>46</v>
      </c>
      <c r="B109" s="96" t="s">
        <v>551</v>
      </c>
      <c r="C109" s="96" t="s">
        <v>552</v>
      </c>
      <c r="D109" s="96" t="s">
        <v>512</v>
      </c>
      <c r="E109" s="97" t="s">
        <v>513</v>
      </c>
      <c r="F109" s="97" t="s">
        <v>514</v>
      </c>
      <c r="G109" s="98">
        <v>22800</v>
      </c>
      <c r="H109" s="99"/>
      <c r="I109" s="100" t="s">
        <v>135</v>
      </c>
      <c r="J109" s="99"/>
      <c r="K109" s="100" t="s">
        <v>135</v>
      </c>
      <c r="L109" s="99"/>
      <c r="M109" s="100"/>
      <c r="N109" s="99"/>
      <c r="O109" s="100" t="s">
        <v>135</v>
      </c>
      <c r="P109" s="99"/>
      <c r="Q109" s="100"/>
      <c r="R109" s="99"/>
      <c r="S109" s="100" t="s">
        <v>135</v>
      </c>
      <c r="T109" s="101">
        <f>17.41</f>
        <v>17.41</v>
      </c>
      <c r="U109" s="102" t="str">
        <f t="shared" si="13"/>
        <v>－</v>
      </c>
      <c r="V109" s="102"/>
      <c r="W109" s="102"/>
      <c r="X109" s="102" t="str">
        <f t="shared" si="14"/>
        <v>－</v>
      </c>
      <c r="Y109" s="102"/>
      <c r="Z109" s="103"/>
      <c r="AA109" s="99"/>
      <c r="AB109" s="104" t="str">
        <f t="shared" si="15"/>
        <v>－</v>
      </c>
      <c r="AC109" s="104" t="str">
        <f t="shared" si="15"/>
        <v>－</v>
      </c>
      <c r="AD109" s="105" t="str">
        <f t="shared" si="15"/>
        <v>－</v>
      </c>
    </row>
    <row r="110" spans="1:30">
      <c r="A110" s="95" t="s">
        <v>46</v>
      </c>
      <c r="B110" s="96" t="s">
        <v>551</v>
      </c>
      <c r="C110" s="96" t="s">
        <v>552</v>
      </c>
      <c r="D110" s="96" t="s">
        <v>515</v>
      </c>
      <c r="E110" s="97" t="s">
        <v>516</v>
      </c>
      <c r="F110" s="97" t="s">
        <v>564</v>
      </c>
      <c r="G110" s="98">
        <v>24000</v>
      </c>
      <c r="H110" s="99"/>
      <c r="I110" s="100" t="s">
        <v>135</v>
      </c>
      <c r="J110" s="99"/>
      <c r="K110" s="100" t="s">
        <v>135</v>
      </c>
      <c r="L110" s="99"/>
      <c r="M110" s="100"/>
      <c r="N110" s="99"/>
      <c r="O110" s="100" t="s">
        <v>135</v>
      </c>
      <c r="P110" s="99"/>
      <c r="Q110" s="100"/>
      <c r="R110" s="99"/>
      <c r="S110" s="100" t="s">
        <v>135</v>
      </c>
      <c r="T110" s="101">
        <f>20.23</f>
        <v>20.23</v>
      </c>
      <c r="U110" s="102" t="str">
        <f t="shared" si="13"/>
        <v>－</v>
      </c>
      <c r="V110" s="102"/>
      <c r="W110" s="102"/>
      <c r="X110" s="102" t="str">
        <f t="shared" si="14"/>
        <v>－</v>
      </c>
      <c r="Y110" s="102"/>
      <c r="Z110" s="103"/>
      <c r="AA110" s="99"/>
      <c r="AB110" s="104" t="str">
        <f t="shared" si="15"/>
        <v>－</v>
      </c>
      <c r="AC110" s="104" t="str">
        <f t="shared" si="15"/>
        <v>－</v>
      </c>
      <c r="AD110" s="105" t="str">
        <f t="shared" si="15"/>
        <v>－</v>
      </c>
    </row>
    <row r="111" spans="1:30">
      <c r="A111" s="95" t="s">
        <v>46</v>
      </c>
      <c r="B111" s="96" t="s">
        <v>551</v>
      </c>
      <c r="C111" s="96" t="s">
        <v>552</v>
      </c>
      <c r="D111" s="96" t="s">
        <v>518</v>
      </c>
      <c r="E111" s="97" t="s">
        <v>565</v>
      </c>
      <c r="F111" s="97" t="s">
        <v>519</v>
      </c>
      <c r="G111" s="98">
        <v>26400</v>
      </c>
      <c r="H111" s="99"/>
      <c r="I111" s="100" t="s">
        <v>135</v>
      </c>
      <c r="J111" s="99"/>
      <c r="K111" s="100" t="s">
        <v>135</v>
      </c>
      <c r="L111" s="99"/>
      <c r="M111" s="100"/>
      <c r="N111" s="99"/>
      <c r="O111" s="100" t="s">
        <v>135</v>
      </c>
      <c r="P111" s="99"/>
      <c r="Q111" s="100"/>
      <c r="R111" s="99"/>
      <c r="S111" s="100" t="s">
        <v>135</v>
      </c>
      <c r="T111" s="101">
        <f>23.86</f>
        <v>23.86</v>
      </c>
      <c r="U111" s="102" t="str">
        <f t="shared" si="13"/>
        <v>－</v>
      </c>
      <c r="V111" s="102"/>
      <c r="W111" s="102"/>
      <c r="X111" s="102" t="str">
        <f t="shared" si="14"/>
        <v>－</v>
      </c>
      <c r="Y111" s="102"/>
      <c r="Z111" s="103"/>
      <c r="AA111" s="99"/>
      <c r="AB111" s="104" t="str">
        <f t="shared" si="15"/>
        <v>－</v>
      </c>
      <c r="AC111" s="104" t="str">
        <f t="shared" si="15"/>
        <v>－</v>
      </c>
      <c r="AD111" s="105" t="str">
        <f t="shared" si="15"/>
        <v>－</v>
      </c>
    </row>
    <row r="112" spans="1:30">
      <c r="A112" s="95" t="s">
        <v>46</v>
      </c>
      <c r="B112" s="96" t="s">
        <v>551</v>
      </c>
      <c r="C112" s="96" t="s">
        <v>552</v>
      </c>
      <c r="D112" s="96" t="s">
        <v>520</v>
      </c>
      <c r="E112" s="97" t="s">
        <v>521</v>
      </c>
      <c r="F112" s="97" t="s">
        <v>566</v>
      </c>
      <c r="G112" s="98">
        <v>25200</v>
      </c>
      <c r="H112" s="99"/>
      <c r="I112" s="100" t="s">
        <v>135</v>
      </c>
      <c r="J112" s="99"/>
      <c r="K112" s="100" t="s">
        <v>135</v>
      </c>
      <c r="L112" s="99"/>
      <c r="M112" s="100"/>
      <c r="N112" s="99"/>
      <c r="O112" s="100" t="s">
        <v>135</v>
      </c>
      <c r="P112" s="99"/>
      <c r="Q112" s="100"/>
      <c r="R112" s="99"/>
      <c r="S112" s="100" t="s">
        <v>135</v>
      </c>
      <c r="T112" s="101">
        <f>27.11</f>
        <v>27.11</v>
      </c>
      <c r="U112" s="102" t="str">
        <f t="shared" si="13"/>
        <v>－</v>
      </c>
      <c r="V112" s="102"/>
      <c r="W112" s="102"/>
      <c r="X112" s="102" t="str">
        <f t="shared" si="14"/>
        <v>－</v>
      </c>
      <c r="Y112" s="102"/>
      <c r="Z112" s="103"/>
      <c r="AA112" s="99"/>
      <c r="AB112" s="104" t="str">
        <f t="shared" si="15"/>
        <v>－</v>
      </c>
      <c r="AC112" s="104" t="str">
        <f t="shared" si="15"/>
        <v>－</v>
      </c>
      <c r="AD112" s="105" t="str">
        <f t="shared" si="15"/>
        <v>－</v>
      </c>
    </row>
    <row r="113" spans="1:30">
      <c r="A113" s="95" t="s">
        <v>46</v>
      </c>
      <c r="B113" s="96" t="s">
        <v>551</v>
      </c>
      <c r="C113" s="96" t="s">
        <v>552</v>
      </c>
      <c r="D113" s="96" t="s">
        <v>523</v>
      </c>
      <c r="E113" s="97" t="s">
        <v>524</v>
      </c>
      <c r="F113" s="97" t="s">
        <v>525</v>
      </c>
      <c r="G113" s="98">
        <v>22800</v>
      </c>
      <c r="H113" s="99"/>
      <c r="I113" s="100" t="s">
        <v>135</v>
      </c>
      <c r="J113" s="99"/>
      <c r="K113" s="100" t="s">
        <v>135</v>
      </c>
      <c r="L113" s="99"/>
      <c r="M113" s="100"/>
      <c r="N113" s="99"/>
      <c r="O113" s="100" t="s">
        <v>135</v>
      </c>
      <c r="P113" s="99"/>
      <c r="Q113" s="100"/>
      <c r="R113" s="99"/>
      <c r="S113" s="100" t="s">
        <v>135</v>
      </c>
      <c r="T113" s="101">
        <f>20.7</f>
        <v>20.7</v>
      </c>
      <c r="U113" s="102" t="str">
        <f t="shared" si="13"/>
        <v>－</v>
      </c>
      <c r="V113" s="102"/>
      <c r="W113" s="102"/>
      <c r="X113" s="102" t="str">
        <f t="shared" si="14"/>
        <v>－</v>
      </c>
      <c r="Y113" s="102"/>
      <c r="Z113" s="103"/>
      <c r="AA113" s="99"/>
      <c r="AB113" s="104" t="str">
        <f t="shared" si="15"/>
        <v>－</v>
      </c>
      <c r="AC113" s="104" t="str">
        <f t="shared" si="15"/>
        <v>－</v>
      </c>
      <c r="AD113" s="105" t="str">
        <f t="shared" si="15"/>
        <v>－</v>
      </c>
    </row>
    <row r="114" spans="1:30">
      <c r="A114" s="95" t="s">
        <v>46</v>
      </c>
      <c r="B114" s="96" t="s">
        <v>551</v>
      </c>
      <c r="C114" s="96" t="s">
        <v>552</v>
      </c>
      <c r="D114" s="96" t="s">
        <v>526</v>
      </c>
      <c r="E114" s="97" t="s">
        <v>527</v>
      </c>
      <c r="F114" s="97" t="s">
        <v>528</v>
      </c>
      <c r="G114" s="98">
        <v>26400</v>
      </c>
      <c r="H114" s="99"/>
      <c r="I114" s="100" t="s">
        <v>135</v>
      </c>
      <c r="J114" s="99"/>
      <c r="K114" s="100" t="s">
        <v>135</v>
      </c>
      <c r="L114" s="99"/>
      <c r="M114" s="100"/>
      <c r="N114" s="99"/>
      <c r="O114" s="100" t="s">
        <v>135</v>
      </c>
      <c r="P114" s="99"/>
      <c r="Q114" s="100"/>
      <c r="R114" s="99"/>
      <c r="S114" s="100" t="s">
        <v>135</v>
      </c>
      <c r="T114" s="101">
        <f>18.08</f>
        <v>18.079999999999998</v>
      </c>
      <c r="U114" s="102" t="str">
        <f t="shared" si="13"/>
        <v>－</v>
      </c>
      <c r="V114" s="102"/>
      <c r="W114" s="102"/>
      <c r="X114" s="102" t="str">
        <f t="shared" si="14"/>
        <v>－</v>
      </c>
      <c r="Y114" s="102"/>
      <c r="Z114" s="103"/>
      <c r="AA114" s="99"/>
      <c r="AB114" s="104" t="str">
        <f t="shared" si="15"/>
        <v>－</v>
      </c>
      <c r="AC114" s="104" t="str">
        <f t="shared" si="15"/>
        <v>－</v>
      </c>
      <c r="AD114" s="105" t="str">
        <f t="shared" si="15"/>
        <v>－</v>
      </c>
    </row>
    <row r="115" spans="1:30">
      <c r="A115" s="95" t="s">
        <v>46</v>
      </c>
      <c r="B115" s="96" t="s">
        <v>551</v>
      </c>
      <c r="C115" s="96" t="s">
        <v>552</v>
      </c>
      <c r="D115" s="96" t="s">
        <v>529</v>
      </c>
      <c r="E115" s="97" t="s">
        <v>530</v>
      </c>
      <c r="F115" s="97" t="s">
        <v>567</v>
      </c>
      <c r="G115" s="98">
        <v>24000</v>
      </c>
      <c r="H115" s="99"/>
      <c r="I115" s="100" t="s">
        <v>135</v>
      </c>
      <c r="J115" s="99"/>
      <c r="K115" s="100" t="s">
        <v>135</v>
      </c>
      <c r="L115" s="99"/>
      <c r="M115" s="100"/>
      <c r="N115" s="99"/>
      <c r="O115" s="100" t="s">
        <v>135</v>
      </c>
      <c r="P115" s="99"/>
      <c r="Q115" s="100"/>
      <c r="R115" s="99"/>
      <c r="S115" s="100" t="s">
        <v>135</v>
      </c>
      <c r="T115" s="101">
        <f>18.58</f>
        <v>18.579999999999998</v>
      </c>
      <c r="U115" s="102" t="str">
        <f t="shared" si="13"/>
        <v>－</v>
      </c>
      <c r="V115" s="102"/>
      <c r="W115" s="102"/>
      <c r="X115" s="102" t="str">
        <f t="shared" si="14"/>
        <v>－</v>
      </c>
      <c r="Y115" s="102"/>
      <c r="Z115" s="103"/>
      <c r="AA115" s="99"/>
      <c r="AB115" s="104" t="str">
        <f t="shared" si="15"/>
        <v>－</v>
      </c>
      <c r="AC115" s="104" t="str">
        <f t="shared" si="15"/>
        <v>－</v>
      </c>
      <c r="AD115" s="105" t="str">
        <f t="shared" si="15"/>
        <v>－</v>
      </c>
    </row>
    <row r="116" spans="1:30">
      <c r="A116" s="95" t="s">
        <v>46</v>
      </c>
      <c r="B116" s="96" t="s">
        <v>551</v>
      </c>
      <c r="C116" s="96" t="s">
        <v>552</v>
      </c>
      <c r="D116" s="96" t="s">
        <v>532</v>
      </c>
      <c r="E116" s="97" t="s">
        <v>568</v>
      </c>
      <c r="F116" s="97" t="s">
        <v>569</v>
      </c>
      <c r="G116" s="98">
        <v>24000</v>
      </c>
      <c r="H116" s="99"/>
      <c r="I116" s="100" t="s">
        <v>135</v>
      </c>
      <c r="J116" s="99"/>
      <c r="K116" s="100" t="s">
        <v>135</v>
      </c>
      <c r="L116" s="99"/>
      <c r="M116" s="100"/>
      <c r="N116" s="99"/>
      <c r="O116" s="100" t="s">
        <v>135</v>
      </c>
      <c r="P116" s="99"/>
      <c r="Q116" s="100"/>
      <c r="R116" s="99"/>
      <c r="S116" s="100" t="s">
        <v>135</v>
      </c>
      <c r="T116" s="101">
        <f>22.05</f>
        <v>22.05</v>
      </c>
      <c r="U116" s="102" t="str">
        <f t="shared" si="13"/>
        <v>－</v>
      </c>
      <c r="V116" s="102"/>
      <c r="W116" s="102"/>
      <c r="X116" s="102" t="str">
        <f t="shared" si="14"/>
        <v>－</v>
      </c>
      <c r="Y116" s="102"/>
      <c r="Z116" s="103"/>
      <c r="AA116" s="99"/>
      <c r="AB116" s="104" t="str">
        <f t="shared" si="15"/>
        <v>－</v>
      </c>
      <c r="AC116" s="104" t="str">
        <f t="shared" si="15"/>
        <v>－</v>
      </c>
      <c r="AD116" s="105" t="str">
        <f t="shared" si="15"/>
        <v>－</v>
      </c>
    </row>
    <row r="117" spans="1:30">
      <c r="A117" s="95" t="s">
        <v>46</v>
      </c>
      <c r="B117" s="96" t="s">
        <v>551</v>
      </c>
      <c r="C117" s="96" t="s">
        <v>552</v>
      </c>
      <c r="D117" s="96" t="s">
        <v>534</v>
      </c>
      <c r="E117" s="97" t="s">
        <v>311</v>
      </c>
      <c r="F117" s="97" t="s">
        <v>535</v>
      </c>
      <c r="G117" s="98">
        <v>22800</v>
      </c>
      <c r="H117" s="99"/>
      <c r="I117" s="100" t="s">
        <v>135</v>
      </c>
      <c r="J117" s="99"/>
      <c r="K117" s="100" t="s">
        <v>135</v>
      </c>
      <c r="L117" s="99"/>
      <c r="M117" s="100"/>
      <c r="N117" s="99"/>
      <c r="O117" s="100" t="s">
        <v>135</v>
      </c>
      <c r="P117" s="99"/>
      <c r="Q117" s="100"/>
      <c r="R117" s="99"/>
      <c r="S117" s="100" t="s">
        <v>135</v>
      </c>
      <c r="T117" s="101">
        <f>27.24</f>
        <v>27.24</v>
      </c>
      <c r="U117" s="102" t="str">
        <f t="shared" si="13"/>
        <v>－</v>
      </c>
      <c r="V117" s="102"/>
      <c r="W117" s="102"/>
      <c r="X117" s="102" t="str">
        <f t="shared" si="14"/>
        <v>－</v>
      </c>
      <c r="Y117" s="102"/>
      <c r="Z117" s="103"/>
      <c r="AA117" s="99"/>
      <c r="AB117" s="104" t="str">
        <f t="shared" si="15"/>
        <v>－</v>
      </c>
      <c r="AC117" s="104" t="str">
        <f t="shared" si="15"/>
        <v>－</v>
      </c>
      <c r="AD117" s="105" t="str">
        <f t="shared" si="15"/>
        <v>－</v>
      </c>
    </row>
    <row r="118" spans="1:30">
      <c r="A118" s="95" t="s">
        <v>46</v>
      </c>
      <c r="B118" s="96" t="s">
        <v>570</v>
      </c>
      <c r="C118" s="96" t="s">
        <v>571</v>
      </c>
      <c r="D118" s="96" t="s">
        <v>46</v>
      </c>
      <c r="E118" s="97" t="s">
        <v>553</v>
      </c>
      <c r="F118" s="97" t="s">
        <v>474</v>
      </c>
      <c r="G118" s="98">
        <v>22800</v>
      </c>
      <c r="H118" s="99"/>
      <c r="I118" s="100" t="s">
        <v>135</v>
      </c>
      <c r="J118" s="99"/>
      <c r="K118" s="100" t="s">
        <v>135</v>
      </c>
      <c r="L118" s="99"/>
      <c r="M118" s="100"/>
      <c r="N118" s="99"/>
      <c r="O118" s="100" t="s">
        <v>135</v>
      </c>
      <c r="P118" s="99"/>
      <c r="Q118" s="100"/>
      <c r="R118" s="99"/>
      <c r="S118" s="100" t="s">
        <v>135</v>
      </c>
      <c r="T118" s="101">
        <f>24.03</f>
        <v>24.03</v>
      </c>
      <c r="U118" s="102" t="str">
        <f t="shared" si="13"/>
        <v>－</v>
      </c>
      <c r="V118" s="102"/>
      <c r="W118" s="102"/>
      <c r="X118" s="102" t="str">
        <f t="shared" si="14"/>
        <v>－</v>
      </c>
      <c r="Y118" s="102"/>
      <c r="Z118" s="103"/>
      <c r="AA118" s="99" t="s">
        <v>229</v>
      </c>
      <c r="AB118" s="104">
        <f>120</f>
        <v>120</v>
      </c>
      <c r="AC118" s="104" t="str">
        <f t="shared" ref="AC118:AD149" si="16">"－"</f>
        <v>－</v>
      </c>
      <c r="AD118" s="105" t="str">
        <f t="shared" si="16"/>
        <v>－</v>
      </c>
    </row>
    <row r="119" spans="1:30">
      <c r="A119" s="95" t="s">
        <v>46</v>
      </c>
      <c r="B119" s="96" t="s">
        <v>570</v>
      </c>
      <c r="C119" s="96" t="s">
        <v>571</v>
      </c>
      <c r="D119" s="96" t="s">
        <v>49</v>
      </c>
      <c r="E119" s="97" t="s">
        <v>475</v>
      </c>
      <c r="F119" s="97" t="s">
        <v>476</v>
      </c>
      <c r="G119" s="98">
        <v>22800</v>
      </c>
      <c r="H119" s="99"/>
      <c r="I119" s="100" t="s">
        <v>135</v>
      </c>
      <c r="J119" s="99"/>
      <c r="K119" s="100" t="s">
        <v>135</v>
      </c>
      <c r="L119" s="99"/>
      <c r="M119" s="100"/>
      <c r="N119" s="99"/>
      <c r="O119" s="100" t="s">
        <v>135</v>
      </c>
      <c r="P119" s="99"/>
      <c r="Q119" s="100"/>
      <c r="R119" s="99"/>
      <c r="S119" s="100" t="s">
        <v>135</v>
      </c>
      <c r="T119" s="101">
        <f>23.93</f>
        <v>23.93</v>
      </c>
      <c r="U119" s="102" t="str">
        <f t="shared" si="13"/>
        <v>－</v>
      </c>
      <c r="V119" s="102"/>
      <c r="W119" s="102"/>
      <c r="X119" s="102" t="str">
        <f t="shared" si="14"/>
        <v>－</v>
      </c>
      <c r="Y119" s="102"/>
      <c r="Z119" s="103"/>
      <c r="AA119" s="99"/>
      <c r="AB119" s="104">
        <f>120</f>
        <v>120</v>
      </c>
      <c r="AC119" s="104" t="str">
        <f t="shared" si="16"/>
        <v>－</v>
      </c>
      <c r="AD119" s="105" t="str">
        <f t="shared" si="16"/>
        <v>－</v>
      </c>
    </row>
    <row r="120" spans="1:30">
      <c r="A120" s="95" t="s">
        <v>46</v>
      </c>
      <c r="B120" s="96" t="s">
        <v>570</v>
      </c>
      <c r="C120" s="96" t="s">
        <v>571</v>
      </c>
      <c r="D120" s="96" t="s">
        <v>232</v>
      </c>
      <c r="E120" s="97" t="s">
        <v>557</v>
      </c>
      <c r="F120" s="97" t="s">
        <v>480</v>
      </c>
      <c r="G120" s="98">
        <v>26400</v>
      </c>
      <c r="H120" s="99"/>
      <c r="I120" s="100" t="s">
        <v>135</v>
      </c>
      <c r="J120" s="99"/>
      <c r="K120" s="100" t="s">
        <v>135</v>
      </c>
      <c r="L120" s="99"/>
      <c r="M120" s="100"/>
      <c r="N120" s="99"/>
      <c r="O120" s="100" t="s">
        <v>135</v>
      </c>
      <c r="P120" s="99"/>
      <c r="Q120" s="100"/>
      <c r="R120" s="99"/>
      <c r="S120" s="100" t="s">
        <v>135</v>
      </c>
      <c r="T120" s="101">
        <f>17.98</f>
        <v>17.98</v>
      </c>
      <c r="U120" s="102" t="str">
        <f t="shared" si="13"/>
        <v>－</v>
      </c>
      <c r="V120" s="102"/>
      <c r="W120" s="102"/>
      <c r="X120" s="102" t="str">
        <f t="shared" si="14"/>
        <v>－</v>
      </c>
      <c r="Y120" s="102"/>
      <c r="Z120" s="103"/>
      <c r="AA120" s="99"/>
      <c r="AB120" s="104">
        <f>30</f>
        <v>30</v>
      </c>
      <c r="AC120" s="104" t="str">
        <f t="shared" si="16"/>
        <v>－</v>
      </c>
      <c r="AD120" s="105" t="str">
        <f t="shared" si="16"/>
        <v>－</v>
      </c>
    </row>
    <row r="121" spans="1:30">
      <c r="A121" s="95" t="s">
        <v>46</v>
      </c>
      <c r="B121" s="96" t="s">
        <v>570</v>
      </c>
      <c r="C121" s="96" t="s">
        <v>571</v>
      </c>
      <c r="D121" s="96" t="s">
        <v>59</v>
      </c>
      <c r="E121" s="97" t="s">
        <v>484</v>
      </c>
      <c r="F121" s="97" t="s">
        <v>558</v>
      </c>
      <c r="G121" s="98">
        <v>24000</v>
      </c>
      <c r="H121" s="99"/>
      <c r="I121" s="100" t="s">
        <v>135</v>
      </c>
      <c r="J121" s="99"/>
      <c r="K121" s="100" t="s">
        <v>135</v>
      </c>
      <c r="L121" s="99"/>
      <c r="M121" s="100"/>
      <c r="N121" s="99"/>
      <c r="O121" s="100" t="s">
        <v>135</v>
      </c>
      <c r="P121" s="99"/>
      <c r="Q121" s="100"/>
      <c r="R121" s="99"/>
      <c r="S121" s="100" t="s">
        <v>135</v>
      </c>
      <c r="T121" s="101">
        <f>17.16</f>
        <v>17.16</v>
      </c>
      <c r="U121" s="102" t="str">
        <f t="shared" si="13"/>
        <v>－</v>
      </c>
      <c r="V121" s="102"/>
      <c r="W121" s="102"/>
      <c r="X121" s="102" t="str">
        <f t="shared" si="14"/>
        <v>－</v>
      </c>
      <c r="Y121" s="102"/>
      <c r="Z121" s="103"/>
      <c r="AA121" s="99"/>
      <c r="AB121" s="104" t="str">
        <f t="shared" ref="AB121:AD158" si="17">"－"</f>
        <v>－</v>
      </c>
      <c r="AC121" s="104" t="str">
        <f t="shared" si="16"/>
        <v>－</v>
      </c>
      <c r="AD121" s="105" t="str">
        <f t="shared" si="16"/>
        <v>－</v>
      </c>
    </row>
    <row r="122" spans="1:30">
      <c r="A122" s="95" t="s">
        <v>46</v>
      </c>
      <c r="B122" s="96" t="s">
        <v>570</v>
      </c>
      <c r="C122" s="96" t="s">
        <v>571</v>
      </c>
      <c r="D122" s="96" t="s">
        <v>237</v>
      </c>
      <c r="E122" s="97" t="s">
        <v>487</v>
      </c>
      <c r="F122" s="97" t="s">
        <v>488</v>
      </c>
      <c r="G122" s="98">
        <v>21600</v>
      </c>
      <c r="H122" s="99"/>
      <c r="I122" s="100" t="s">
        <v>135</v>
      </c>
      <c r="J122" s="99"/>
      <c r="K122" s="100" t="s">
        <v>135</v>
      </c>
      <c r="L122" s="99"/>
      <c r="M122" s="100"/>
      <c r="N122" s="99"/>
      <c r="O122" s="100" t="s">
        <v>135</v>
      </c>
      <c r="P122" s="99"/>
      <c r="Q122" s="100"/>
      <c r="R122" s="99"/>
      <c r="S122" s="100" t="s">
        <v>135</v>
      </c>
      <c r="T122" s="101">
        <f>17.21</f>
        <v>17.21</v>
      </c>
      <c r="U122" s="102" t="str">
        <f t="shared" si="13"/>
        <v>－</v>
      </c>
      <c r="V122" s="102"/>
      <c r="W122" s="102"/>
      <c r="X122" s="102" t="str">
        <f t="shared" si="14"/>
        <v>－</v>
      </c>
      <c r="Y122" s="102"/>
      <c r="Z122" s="103"/>
      <c r="AA122" s="99"/>
      <c r="AB122" s="104" t="str">
        <f t="shared" si="17"/>
        <v>－</v>
      </c>
      <c r="AC122" s="104" t="str">
        <f t="shared" si="16"/>
        <v>－</v>
      </c>
      <c r="AD122" s="105" t="str">
        <f t="shared" si="16"/>
        <v>－</v>
      </c>
    </row>
    <row r="123" spans="1:30">
      <c r="A123" s="95" t="s">
        <v>46</v>
      </c>
      <c r="B123" s="96" t="s">
        <v>570</v>
      </c>
      <c r="C123" s="96" t="s">
        <v>571</v>
      </c>
      <c r="D123" s="96" t="s">
        <v>66</v>
      </c>
      <c r="E123" s="97" t="s">
        <v>490</v>
      </c>
      <c r="F123" s="97" t="s">
        <v>491</v>
      </c>
      <c r="G123" s="98">
        <v>26400</v>
      </c>
      <c r="H123" s="99"/>
      <c r="I123" s="100" t="s">
        <v>135</v>
      </c>
      <c r="J123" s="99"/>
      <c r="K123" s="100" t="s">
        <v>135</v>
      </c>
      <c r="L123" s="99"/>
      <c r="M123" s="100"/>
      <c r="N123" s="99"/>
      <c r="O123" s="100" t="s">
        <v>135</v>
      </c>
      <c r="P123" s="99"/>
      <c r="Q123" s="100"/>
      <c r="R123" s="99"/>
      <c r="S123" s="100" t="s">
        <v>135</v>
      </c>
      <c r="T123" s="101">
        <f>18.9</f>
        <v>18.899999999999999</v>
      </c>
      <c r="U123" s="102" t="str">
        <f t="shared" si="13"/>
        <v>－</v>
      </c>
      <c r="V123" s="102"/>
      <c r="W123" s="102"/>
      <c r="X123" s="102" t="str">
        <f t="shared" si="14"/>
        <v>－</v>
      </c>
      <c r="Y123" s="102"/>
      <c r="Z123" s="103"/>
      <c r="AA123" s="99"/>
      <c r="AB123" s="104" t="str">
        <f t="shared" si="17"/>
        <v>－</v>
      </c>
      <c r="AC123" s="104" t="str">
        <f t="shared" si="16"/>
        <v>－</v>
      </c>
      <c r="AD123" s="105" t="str">
        <f t="shared" si="16"/>
        <v>－</v>
      </c>
    </row>
    <row r="124" spans="1:30">
      <c r="A124" s="95" t="s">
        <v>46</v>
      </c>
      <c r="B124" s="96" t="s">
        <v>570</v>
      </c>
      <c r="C124" s="96" t="s">
        <v>571</v>
      </c>
      <c r="D124" s="96" t="s">
        <v>242</v>
      </c>
      <c r="E124" s="97" t="s">
        <v>493</v>
      </c>
      <c r="F124" s="97" t="s">
        <v>494</v>
      </c>
      <c r="G124" s="98">
        <v>24000</v>
      </c>
      <c r="H124" s="99"/>
      <c r="I124" s="100" t="s">
        <v>135</v>
      </c>
      <c r="J124" s="99"/>
      <c r="K124" s="100" t="s">
        <v>135</v>
      </c>
      <c r="L124" s="99"/>
      <c r="M124" s="100"/>
      <c r="N124" s="99"/>
      <c r="O124" s="100" t="s">
        <v>135</v>
      </c>
      <c r="P124" s="99"/>
      <c r="Q124" s="100"/>
      <c r="R124" s="99"/>
      <c r="S124" s="100" t="s">
        <v>135</v>
      </c>
      <c r="T124" s="101">
        <f>23.87</f>
        <v>23.87</v>
      </c>
      <c r="U124" s="102" t="str">
        <f t="shared" si="13"/>
        <v>－</v>
      </c>
      <c r="V124" s="102"/>
      <c r="W124" s="102"/>
      <c r="X124" s="102" t="str">
        <f t="shared" si="14"/>
        <v>－</v>
      </c>
      <c r="Y124" s="102"/>
      <c r="Z124" s="103"/>
      <c r="AA124" s="99"/>
      <c r="AB124" s="104" t="str">
        <f t="shared" si="17"/>
        <v>－</v>
      </c>
      <c r="AC124" s="104" t="str">
        <f t="shared" si="16"/>
        <v>－</v>
      </c>
      <c r="AD124" s="105" t="str">
        <f t="shared" si="16"/>
        <v>－</v>
      </c>
    </row>
    <row r="125" spans="1:30">
      <c r="A125" s="95" t="s">
        <v>46</v>
      </c>
      <c r="B125" s="96" t="s">
        <v>570</v>
      </c>
      <c r="C125" s="96" t="s">
        <v>571</v>
      </c>
      <c r="D125" s="96" t="s">
        <v>72</v>
      </c>
      <c r="E125" s="97" t="s">
        <v>493</v>
      </c>
      <c r="F125" s="97" t="s">
        <v>497</v>
      </c>
      <c r="G125" s="98">
        <v>26400</v>
      </c>
      <c r="H125" s="99"/>
      <c r="I125" s="100" t="s">
        <v>135</v>
      </c>
      <c r="J125" s="99"/>
      <c r="K125" s="100" t="s">
        <v>135</v>
      </c>
      <c r="L125" s="99"/>
      <c r="M125" s="100"/>
      <c r="N125" s="99"/>
      <c r="O125" s="100" t="s">
        <v>135</v>
      </c>
      <c r="P125" s="99"/>
      <c r="Q125" s="100"/>
      <c r="R125" s="99"/>
      <c r="S125" s="100" t="s">
        <v>135</v>
      </c>
      <c r="T125" s="101">
        <f>29.84</f>
        <v>29.84</v>
      </c>
      <c r="U125" s="102" t="str">
        <f t="shared" si="13"/>
        <v>－</v>
      </c>
      <c r="V125" s="102"/>
      <c r="W125" s="102"/>
      <c r="X125" s="102" t="str">
        <f t="shared" si="14"/>
        <v>－</v>
      </c>
      <c r="Y125" s="102"/>
      <c r="Z125" s="103"/>
      <c r="AA125" s="99"/>
      <c r="AB125" s="104" t="str">
        <f t="shared" si="17"/>
        <v>－</v>
      </c>
      <c r="AC125" s="104" t="str">
        <f t="shared" si="16"/>
        <v>－</v>
      </c>
      <c r="AD125" s="105" t="str">
        <f t="shared" si="16"/>
        <v>－</v>
      </c>
    </row>
    <row r="126" spans="1:30">
      <c r="A126" s="95" t="s">
        <v>46</v>
      </c>
      <c r="B126" s="96" t="s">
        <v>570</v>
      </c>
      <c r="C126" s="96" t="s">
        <v>571</v>
      </c>
      <c r="D126" s="96" t="s">
        <v>292</v>
      </c>
      <c r="E126" s="97" t="s">
        <v>493</v>
      </c>
      <c r="F126" s="97" t="s">
        <v>560</v>
      </c>
      <c r="G126" s="98">
        <v>24000</v>
      </c>
      <c r="H126" s="99"/>
      <c r="I126" s="100" t="s">
        <v>135</v>
      </c>
      <c r="J126" s="99"/>
      <c r="K126" s="100" t="s">
        <v>135</v>
      </c>
      <c r="L126" s="99"/>
      <c r="M126" s="100"/>
      <c r="N126" s="99"/>
      <c r="O126" s="100" t="s">
        <v>135</v>
      </c>
      <c r="P126" s="99"/>
      <c r="Q126" s="100"/>
      <c r="R126" s="99"/>
      <c r="S126" s="100" t="s">
        <v>135</v>
      </c>
      <c r="T126" s="101">
        <f>23</f>
        <v>23</v>
      </c>
      <c r="U126" s="102" t="str">
        <f t="shared" si="13"/>
        <v>－</v>
      </c>
      <c r="V126" s="102"/>
      <c r="W126" s="102"/>
      <c r="X126" s="102" t="str">
        <f t="shared" si="14"/>
        <v>－</v>
      </c>
      <c r="Y126" s="102"/>
      <c r="Z126" s="103"/>
      <c r="AA126" s="99"/>
      <c r="AB126" s="104" t="str">
        <f t="shared" si="17"/>
        <v>－</v>
      </c>
      <c r="AC126" s="104" t="str">
        <f t="shared" si="16"/>
        <v>－</v>
      </c>
      <c r="AD126" s="105" t="str">
        <f t="shared" si="16"/>
        <v>－</v>
      </c>
    </row>
    <row r="127" spans="1:30">
      <c r="A127" s="95" t="s">
        <v>46</v>
      </c>
      <c r="B127" s="96" t="s">
        <v>570</v>
      </c>
      <c r="C127" s="96" t="s">
        <v>571</v>
      </c>
      <c r="D127" s="96" t="s">
        <v>79</v>
      </c>
      <c r="E127" s="97" t="s">
        <v>493</v>
      </c>
      <c r="F127" s="97" t="s">
        <v>501</v>
      </c>
      <c r="G127" s="98">
        <v>25200</v>
      </c>
      <c r="H127" s="99"/>
      <c r="I127" s="100" t="s">
        <v>135</v>
      </c>
      <c r="J127" s="99"/>
      <c r="K127" s="100" t="s">
        <v>135</v>
      </c>
      <c r="L127" s="99"/>
      <c r="M127" s="100"/>
      <c r="N127" s="99"/>
      <c r="O127" s="100" t="s">
        <v>135</v>
      </c>
      <c r="P127" s="99"/>
      <c r="Q127" s="100"/>
      <c r="R127" s="99"/>
      <c r="S127" s="100" t="s">
        <v>135</v>
      </c>
      <c r="T127" s="101">
        <f>20.4</f>
        <v>20.399999999999999</v>
      </c>
      <c r="U127" s="102" t="str">
        <f t="shared" si="13"/>
        <v>－</v>
      </c>
      <c r="V127" s="102"/>
      <c r="W127" s="102"/>
      <c r="X127" s="102" t="str">
        <f t="shared" si="14"/>
        <v>－</v>
      </c>
      <c r="Y127" s="102"/>
      <c r="Z127" s="103"/>
      <c r="AA127" s="99"/>
      <c r="AB127" s="104" t="str">
        <f t="shared" si="17"/>
        <v>－</v>
      </c>
      <c r="AC127" s="104" t="str">
        <f t="shared" si="16"/>
        <v>－</v>
      </c>
      <c r="AD127" s="105" t="str">
        <f t="shared" si="16"/>
        <v>－</v>
      </c>
    </row>
    <row r="128" spans="1:30">
      <c r="A128" s="95" t="s">
        <v>46</v>
      </c>
      <c r="B128" s="96" t="s">
        <v>570</v>
      </c>
      <c r="C128" s="96" t="s">
        <v>571</v>
      </c>
      <c r="D128" s="96" t="s">
        <v>296</v>
      </c>
      <c r="E128" s="97" t="s">
        <v>493</v>
      </c>
      <c r="F128" s="97" t="s">
        <v>504</v>
      </c>
      <c r="G128" s="98">
        <v>24000</v>
      </c>
      <c r="H128" s="99"/>
      <c r="I128" s="100" t="s">
        <v>135</v>
      </c>
      <c r="J128" s="99"/>
      <c r="K128" s="100" t="s">
        <v>135</v>
      </c>
      <c r="L128" s="99"/>
      <c r="M128" s="100"/>
      <c r="N128" s="99"/>
      <c r="O128" s="100" t="s">
        <v>135</v>
      </c>
      <c r="P128" s="99"/>
      <c r="Q128" s="100"/>
      <c r="R128" s="99"/>
      <c r="S128" s="100" t="s">
        <v>135</v>
      </c>
      <c r="T128" s="101">
        <f>21.57</f>
        <v>21.57</v>
      </c>
      <c r="U128" s="102" t="str">
        <f t="shared" si="13"/>
        <v>－</v>
      </c>
      <c r="V128" s="102"/>
      <c r="W128" s="102"/>
      <c r="X128" s="102" t="str">
        <f t="shared" si="14"/>
        <v>－</v>
      </c>
      <c r="Y128" s="102"/>
      <c r="Z128" s="103"/>
      <c r="AA128" s="99"/>
      <c r="AB128" s="104" t="str">
        <f t="shared" si="17"/>
        <v>－</v>
      </c>
      <c r="AC128" s="104" t="str">
        <f t="shared" si="16"/>
        <v>－</v>
      </c>
      <c r="AD128" s="105" t="str">
        <f t="shared" si="16"/>
        <v>－</v>
      </c>
    </row>
    <row r="129" spans="1:30">
      <c r="A129" s="95" t="s">
        <v>46</v>
      </c>
      <c r="B129" s="96" t="s">
        <v>570</v>
      </c>
      <c r="C129" s="96" t="s">
        <v>571</v>
      </c>
      <c r="D129" s="96" t="s">
        <v>88</v>
      </c>
      <c r="E129" s="97" t="s">
        <v>493</v>
      </c>
      <c r="F129" s="97" t="s">
        <v>561</v>
      </c>
      <c r="G129" s="98">
        <v>25200</v>
      </c>
      <c r="H129" s="99"/>
      <c r="I129" s="100" t="s">
        <v>135</v>
      </c>
      <c r="J129" s="99"/>
      <c r="K129" s="100" t="s">
        <v>135</v>
      </c>
      <c r="L129" s="99"/>
      <c r="M129" s="100"/>
      <c r="N129" s="99"/>
      <c r="O129" s="100" t="s">
        <v>135</v>
      </c>
      <c r="P129" s="99"/>
      <c r="Q129" s="100"/>
      <c r="R129" s="99"/>
      <c r="S129" s="100" t="s">
        <v>135</v>
      </c>
      <c r="T129" s="101">
        <f>25.67</f>
        <v>25.67</v>
      </c>
      <c r="U129" s="102" t="str">
        <f t="shared" si="13"/>
        <v>－</v>
      </c>
      <c r="V129" s="102"/>
      <c r="W129" s="102"/>
      <c r="X129" s="102" t="str">
        <f t="shared" si="14"/>
        <v>－</v>
      </c>
      <c r="Y129" s="102"/>
      <c r="Z129" s="103"/>
      <c r="AA129" s="99"/>
      <c r="AB129" s="104" t="str">
        <f t="shared" si="17"/>
        <v>－</v>
      </c>
      <c r="AC129" s="104" t="str">
        <f t="shared" si="16"/>
        <v>－</v>
      </c>
      <c r="AD129" s="105" t="str">
        <f t="shared" si="16"/>
        <v>－</v>
      </c>
    </row>
    <row r="130" spans="1:30">
      <c r="A130" s="95" t="s">
        <v>46</v>
      </c>
      <c r="B130" s="96" t="s">
        <v>570</v>
      </c>
      <c r="C130" s="96" t="s">
        <v>571</v>
      </c>
      <c r="D130" s="96" t="s">
        <v>303</v>
      </c>
      <c r="E130" s="97" t="s">
        <v>493</v>
      </c>
      <c r="F130" s="97" t="s">
        <v>506</v>
      </c>
      <c r="G130" s="98">
        <v>22800</v>
      </c>
      <c r="H130" s="99"/>
      <c r="I130" s="100" t="s">
        <v>135</v>
      </c>
      <c r="J130" s="99"/>
      <c r="K130" s="100" t="s">
        <v>135</v>
      </c>
      <c r="L130" s="99"/>
      <c r="M130" s="100"/>
      <c r="N130" s="99"/>
      <c r="O130" s="100" t="s">
        <v>135</v>
      </c>
      <c r="P130" s="99"/>
      <c r="Q130" s="100"/>
      <c r="R130" s="99"/>
      <c r="S130" s="100" t="s">
        <v>135</v>
      </c>
      <c r="T130" s="101">
        <f>29.96</f>
        <v>29.96</v>
      </c>
      <c r="U130" s="102" t="str">
        <f t="shared" si="13"/>
        <v>－</v>
      </c>
      <c r="V130" s="102"/>
      <c r="W130" s="102"/>
      <c r="X130" s="102" t="str">
        <f t="shared" si="14"/>
        <v>－</v>
      </c>
      <c r="Y130" s="102"/>
      <c r="Z130" s="103"/>
      <c r="AA130" s="99"/>
      <c r="AB130" s="104" t="str">
        <f t="shared" si="17"/>
        <v>－</v>
      </c>
      <c r="AC130" s="104" t="str">
        <f t="shared" si="16"/>
        <v>－</v>
      </c>
      <c r="AD130" s="105" t="str">
        <f t="shared" si="16"/>
        <v>－</v>
      </c>
    </row>
    <row r="131" spans="1:30">
      <c r="A131" s="95" t="s">
        <v>46</v>
      </c>
      <c r="B131" s="96" t="s">
        <v>570</v>
      </c>
      <c r="C131" s="96" t="s">
        <v>571</v>
      </c>
      <c r="D131" s="96" t="s">
        <v>461</v>
      </c>
      <c r="E131" s="97" t="s">
        <v>493</v>
      </c>
      <c r="F131" s="97" t="s">
        <v>508</v>
      </c>
      <c r="G131" s="98">
        <v>22800</v>
      </c>
      <c r="H131" s="99"/>
      <c r="I131" s="100" t="s">
        <v>135</v>
      </c>
      <c r="J131" s="99"/>
      <c r="K131" s="100" t="s">
        <v>135</v>
      </c>
      <c r="L131" s="99"/>
      <c r="M131" s="100"/>
      <c r="N131" s="99"/>
      <c r="O131" s="100" t="s">
        <v>135</v>
      </c>
      <c r="P131" s="99"/>
      <c r="Q131" s="100"/>
      <c r="R131" s="99"/>
      <c r="S131" s="100" t="s">
        <v>135</v>
      </c>
      <c r="T131" s="101">
        <f>27.23</f>
        <v>27.23</v>
      </c>
      <c r="U131" s="102" t="str">
        <f t="shared" si="13"/>
        <v>－</v>
      </c>
      <c r="V131" s="102"/>
      <c r="W131" s="102"/>
      <c r="X131" s="102" t="str">
        <f t="shared" si="14"/>
        <v>－</v>
      </c>
      <c r="Y131" s="102"/>
      <c r="Z131" s="103"/>
      <c r="AA131" s="99"/>
      <c r="AB131" s="104" t="str">
        <f t="shared" si="17"/>
        <v>－</v>
      </c>
      <c r="AC131" s="104" t="str">
        <f t="shared" si="16"/>
        <v>－</v>
      </c>
      <c r="AD131" s="105" t="str">
        <f t="shared" si="16"/>
        <v>－</v>
      </c>
    </row>
    <row r="132" spans="1:30">
      <c r="A132" s="95" t="s">
        <v>46</v>
      </c>
      <c r="B132" s="96" t="s">
        <v>570</v>
      </c>
      <c r="C132" s="96" t="s">
        <v>571</v>
      </c>
      <c r="D132" s="96" t="s">
        <v>466</v>
      </c>
      <c r="E132" s="97" t="s">
        <v>493</v>
      </c>
      <c r="F132" s="97" t="s">
        <v>562</v>
      </c>
      <c r="G132" s="98">
        <v>24000</v>
      </c>
      <c r="H132" s="99"/>
      <c r="I132" s="100" t="s">
        <v>135</v>
      </c>
      <c r="J132" s="99"/>
      <c r="K132" s="100" t="s">
        <v>135</v>
      </c>
      <c r="L132" s="99"/>
      <c r="M132" s="100"/>
      <c r="N132" s="99"/>
      <c r="O132" s="100" t="s">
        <v>135</v>
      </c>
      <c r="P132" s="99"/>
      <c r="Q132" s="100"/>
      <c r="R132" s="99"/>
      <c r="S132" s="100" t="s">
        <v>135</v>
      </c>
      <c r="T132" s="101">
        <f>20.98</f>
        <v>20.98</v>
      </c>
      <c r="U132" s="102" t="str">
        <f t="shared" si="13"/>
        <v>－</v>
      </c>
      <c r="V132" s="102"/>
      <c r="W132" s="102"/>
      <c r="X132" s="102" t="str">
        <f t="shared" si="14"/>
        <v>－</v>
      </c>
      <c r="Y132" s="102"/>
      <c r="Z132" s="103"/>
      <c r="AA132" s="99"/>
      <c r="AB132" s="104" t="str">
        <f t="shared" si="17"/>
        <v>－</v>
      </c>
      <c r="AC132" s="104" t="str">
        <f t="shared" si="16"/>
        <v>－</v>
      </c>
      <c r="AD132" s="105" t="str">
        <f t="shared" si="16"/>
        <v>－</v>
      </c>
    </row>
    <row r="133" spans="1:30">
      <c r="A133" s="95" t="s">
        <v>46</v>
      </c>
      <c r="B133" s="96" t="s">
        <v>570</v>
      </c>
      <c r="C133" s="96" t="s">
        <v>571</v>
      </c>
      <c r="D133" s="96" t="s">
        <v>510</v>
      </c>
      <c r="E133" s="97" t="s">
        <v>563</v>
      </c>
      <c r="F133" s="97" t="s">
        <v>511</v>
      </c>
      <c r="G133" s="98">
        <v>25200</v>
      </c>
      <c r="H133" s="99"/>
      <c r="I133" s="100" t="s">
        <v>135</v>
      </c>
      <c r="J133" s="99"/>
      <c r="K133" s="100" t="s">
        <v>135</v>
      </c>
      <c r="L133" s="99"/>
      <c r="M133" s="100"/>
      <c r="N133" s="99"/>
      <c r="O133" s="100" t="s">
        <v>135</v>
      </c>
      <c r="P133" s="99"/>
      <c r="Q133" s="100"/>
      <c r="R133" s="99"/>
      <c r="S133" s="100" t="s">
        <v>135</v>
      </c>
      <c r="T133" s="101">
        <f>14.36</f>
        <v>14.36</v>
      </c>
      <c r="U133" s="102" t="str">
        <f t="shared" si="13"/>
        <v>－</v>
      </c>
      <c r="V133" s="102"/>
      <c r="W133" s="102"/>
      <c r="X133" s="102" t="str">
        <f t="shared" si="14"/>
        <v>－</v>
      </c>
      <c r="Y133" s="102"/>
      <c r="Z133" s="103"/>
      <c r="AA133" s="99"/>
      <c r="AB133" s="104" t="str">
        <f t="shared" si="17"/>
        <v>－</v>
      </c>
      <c r="AC133" s="104" t="str">
        <f t="shared" si="16"/>
        <v>－</v>
      </c>
      <c r="AD133" s="105" t="str">
        <f t="shared" si="16"/>
        <v>－</v>
      </c>
    </row>
    <row r="134" spans="1:30">
      <c r="A134" s="95" t="s">
        <v>46</v>
      </c>
      <c r="B134" s="96" t="s">
        <v>570</v>
      </c>
      <c r="C134" s="96" t="s">
        <v>571</v>
      </c>
      <c r="D134" s="96" t="s">
        <v>512</v>
      </c>
      <c r="E134" s="97" t="s">
        <v>513</v>
      </c>
      <c r="F134" s="97" t="s">
        <v>514</v>
      </c>
      <c r="G134" s="98">
        <v>22800</v>
      </c>
      <c r="H134" s="99"/>
      <c r="I134" s="100" t="s">
        <v>135</v>
      </c>
      <c r="J134" s="99"/>
      <c r="K134" s="100" t="s">
        <v>135</v>
      </c>
      <c r="L134" s="99"/>
      <c r="M134" s="100"/>
      <c r="N134" s="99"/>
      <c r="O134" s="100" t="s">
        <v>135</v>
      </c>
      <c r="P134" s="99"/>
      <c r="Q134" s="100"/>
      <c r="R134" s="99"/>
      <c r="S134" s="100" t="s">
        <v>135</v>
      </c>
      <c r="T134" s="101">
        <f>14.15</f>
        <v>14.15</v>
      </c>
      <c r="U134" s="102" t="str">
        <f t="shared" si="13"/>
        <v>－</v>
      </c>
      <c r="V134" s="102"/>
      <c r="W134" s="102"/>
      <c r="X134" s="102" t="str">
        <f t="shared" si="14"/>
        <v>－</v>
      </c>
      <c r="Y134" s="102"/>
      <c r="Z134" s="103"/>
      <c r="AA134" s="99"/>
      <c r="AB134" s="104" t="str">
        <f t="shared" si="17"/>
        <v>－</v>
      </c>
      <c r="AC134" s="104" t="str">
        <f t="shared" si="16"/>
        <v>－</v>
      </c>
      <c r="AD134" s="105" t="str">
        <f t="shared" si="16"/>
        <v>－</v>
      </c>
    </row>
    <row r="135" spans="1:30">
      <c r="A135" s="95" t="s">
        <v>46</v>
      </c>
      <c r="B135" s="96" t="s">
        <v>570</v>
      </c>
      <c r="C135" s="96" t="s">
        <v>571</v>
      </c>
      <c r="D135" s="96" t="s">
        <v>515</v>
      </c>
      <c r="E135" s="97" t="s">
        <v>516</v>
      </c>
      <c r="F135" s="97" t="s">
        <v>564</v>
      </c>
      <c r="G135" s="98">
        <v>24000</v>
      </c>
      <c r="H135" s="99"/>
      <c r="I135" s="100" t="s">
        <v>135</v>
      </c>
      <c r="J135" s="99"/>
      <c r="K135" s="100" t="s">
        <v>135</v>
      </c>
      <c r="L135" s="99"/>
      <c r="M135" s="100"/>
      <c r="N135" s="99"/>
      <c r="O135" s="100" t="s">
        <v>135</v>
      </c>
      <c r="P135" s="99"/>
      <c r="Q135" s="100"/>
      <c r="R135" s="99"/>
      <c r="S135" s="100" t="s">
        <v>135</v>
      </c>
      <c r="T135" s="101">
        <f>14.61</f>
        <v>14.61</v>
      </c>
      <c r="U135" s="102" t="str">
        <f t="shared" si="13"/>
        <v>－</v>
      </c>
      <c r="V135" s="102"/>
      <c r="W135" s="102"/>
      <c r="X135" s="102" t="str">
        <f t="shared" si="14"/>
        <v>－</v>
      </c>
      <c r="Y135" s="102"/>
      <c r="Z135" s="103"/>
      <c r="AA135" s="99"/>
      <c r="AB135" s="104" t="str">
        <f t="shared" si="17"/>
        <v>－</v>
      </c>
      <c r="AC135" s="104" t="str">
        <f t="shared" si="16"/>
        <v>－</v>
      </c>
      <c r="AD135" s="105" t="str">
        <f t="shared" si="16"/>
        <v>－</v>
      </c>
    </row>
    <row r="136" spans="1:30">
      <c r="A136" s="95" t="s">
        <v>46</v>
      </c>
      <c r="B136" s="96" t="s">
        <v>570</v>
      </c>
      <c r="C136" s="96" t="s">
        <v>571</v>
      </c>
      <c r="D136" s="96" t="s">
        <v>518</v>
      </c>
      <c r="E136" s="97" t="s">
        <v>565</v>
      </c>
      <c r="F136" s="97" t="s">
        <v>519</v>
      </c>
      <c r="G136" s="98">
        <v>26400</v>
      </c>
      <c r="H136" s="99"/>
      <c r="I136" s="100" t="s">
        <v>135</v>
      </c>
      <c r="J136" s="99"/>
      <c r="K136" s="100" t="s">
        <v>135</v>
      </c>
      <c r="L136" s="99"/>
      <c r="M136" s="100"/>
      <c r="N136" s="99"/>
      <c r="O136" s="100" t="s">
        <v>135</v>
      </c>
      <c r="P136" s="99"/>
      <c r="Q136" s="100"/>
      <c r="R136" s="99"/>
      <c r="S136" s="100" t="s">
        <v>135</v>
      </c>
      <c r="T136" s="101">
        <f>19.07</f>
        <v>19.07</v>
      </c>
      <c r="U136" s="102" t="str">
        <f t="shared" si="13"/>
        <v>－</v>
      </c>
      <c r="V136" s="102"/>
      <c r="W136" s="102"/>
      <c r="X136" s="102" t="str">
        <f t="shared" si="14"/>
        <v>－</v>
      </c>
      <c r="Y136" s="102"/>
      <c r="Z136" s="103"/>
      <c r="AA136" s="99"/>
      <c r="AB136" s="104" t="str">
        <f t="shared" si="17"/>
        <v>－</v>
      </c>
      <c r="AC136" s="104" t="str">
        <f t="shared" si="16"/>
        <v>－</v>
      </c>
      <c r="AD136" s="105" t="str">
        <f t="shared" si="16"/>
        <v>－</v>
      </c>
    </row>
    <row r="137" spans="1:30">
      <c r="A137" s="95" t="s">
        <v>46</v>
      </c>
      <c r="B137" s="96" t="s">
        <v>570</v>
      </c>
      <c r="C137" s="96" t="s">
        <v>571</v>
      </c>
      <c r="D137" s="96" t="s">
        <v>520</v>
      </c>
      <c r="E137" s="97" t="s">
        <v>521</v>
      </c>
      <c r="F137" s="97" t="s">
        <v>566</v>
      </c>
      <c r="G137" s="98">
        <v>25200</v>
      </c>
      <c r="H137" s="99"/>
      <c r="I137" s="100" t="s">
        <v>135</v>
      </c>
      <c r="J137" s="99"/>
      <c r="K137" s="100" t="s">
        <v>135</v>
      </c>
      <c r="L137" s="99"/>
      <c r="M137" s="100"/>
      <c r="N137" s="99"/>
      <c r="O137" s="100" t="s">
        <v>135</v>
      </c>
      <c r="P137" s="99"/>
      <c r="Q137" s="100"/>
      <c r="R137" s="99"/>
      <c r="S137" s="100" t="s">
        <v>135</v>
      </c>
      <c r="T137" s="101">
        <f>22.84</f>
        <v>22.84</v>
      </c>
      <c r="U137" s="102" t="str">
        <f t="shared" si="13"/>
        <v>－</v>
      </c>
      <c r="V137" s="102"/>
      <c r="W137" s="102"/>
      <c r="X137" s="102" t="str">
        <f t="shared" si="14"/>
        <v>－</v>
      </c>
      <c r="Y137" s="102"/>
      <c r="Z137" s="103"/>
      <c r="AA137" s="99"/>
      <c r="AB137" s="104" t="str">
        <f t="shared" si="17"/>
        <v>－</v>
      </c>
      <c r="AC137" s="104" t="str">
        <f t="shared" si="16"/>
        <v>－</v>
      </c>
      <c r="AD137" s="105" t="str">
        <f t="shared" si="16"/>
        <v>－</v>
      </c>
    </row>
    <row r="138" spans="1:30">
      <c r="A138" s="95" t="s">
        <v>46</v>
      </c>
      <c r="B138" s="96" t="s">
        <v>570</v>
      </c>
      <c r="C138" s="96" t="s">
        <v>571</v>
      </c>
      <c r="D138" s="96" t="s">
        <v>523</v>
      </c>
      <c r="E138" s="97" t="s">
        <v>524</v>
      </c>
      <c r="F138" s="97" t="s">
        <v>525</v>
      </c>
      <c r="G138" s="98">
        <v>22800</v>
      </c>
      <c r="H138" s="99"/>
      <c r="I138" s="100" t="s">
        <v>135</v>
      </c>
      <c r="J138" s="99"/>
      <c r="K138" s="100" t="s">
        <v>135</v>
      </c>
      <c r="L138" s="99"/>
      <c r="M138" s="100"/>
      <c r="N138" s="99"/>
      <c r="O138" s="100" t="s">
        <v>135</v>
      </c>
      <c r="P138" s="99"/>
      <c r="Q138" s="100"/>
      <c r="R138" s="99"/>
      <c r="S138" s="100" t="s">
        <v>135</v>
      </c>
      <c r="T138" s="101">
        <f>17.12</f>
        <v>17.12</v>
      </c>
      <c r="U138" s="102" t="str">
        <f t="shared" si="13"/>
        <v>－</v>
      </c>
      <c r="V138" s="102"/>
      <c r="W138" s="102"/>
      <c r="X138" s="102" t="str">
        <f t="shared" si="14"/>
        <v>－</v>
      </c>
      <c r="Y138" s="102"/>
      <c r="Z138" s="103"/>
      <c r="AA138" s="99"/>
      <c r="AB138" s="104" t="str">
        <f t="shared" si="17"/>
        <v>－</v>
      </c>
      <c r="AC138" s="104" t="str">
        <f t="shared" si="16"/>
        <v>－</v>
      </c>
      <c r="AD138" s="105" t="str">
        <f t="shared" si="16"/>
        <v>－</v>
      </c>
    </row>
    <row r="139" spans="1:30">
      <c r="A139" s="95" t="s">
        <v>46</v>
      </c>
      <c r="B139" s="96" t="s">
        <v>570</v>
      </c>
      <c r="C139" s="96" t="s">
        <v>571</v>
      </c>
      <c r="D139" s="96" t="s">
        <v>526</v>
      </c>
      <c r="E139" s="97" t="s">
        <v>527</v>
      </c>
      <c r="F139" s="97" t="s">
        <v>528</v>
      </c>
      <c r="G139" s="98">
        <v>26400</v>
      </c>
      <c r="H139" s="99"/>
      <c r="I139" s="100" t="s">
        <v>135</v>
      </c>
      <c r="J139" s="99"/>
      <c r="K139" s="100" t="s">
        <v>135</v>
      </c>
      <c r="L139" s="99"/>
      <c r="M139" s="100"/>
      <c r="N139" s="99"/>
      <c r="O139" s="100" t="s">
        <v>135</v>
      </c>
      <c r="P139" s="99"/>
      <c r="Q139" s="100"/>
      <c r="R139" s="99"/>
      <c r="S139" s="100" t="s">
        <v>135</v>
      </c>
      <c r="T139" s="101">
        <f>14.39</f>
        <v>14.39</v>
      </c>
      <c r="U139" s="102" t="str">
        <f t="shared" si="13"/>
        <v>－</v>
      </c>
      <c r="V139" s="102"/>
      <c r="W139" s="102"/>
      <c r="X139" s="102" t="str">
        <f t="shared" si="14"/>
        <v>－</v>
      </c>
      <c r="Y139" s="102"/>
      <c r="Z139" s="103"/>
      <c r="AA139" s="99"/>
      <c r="AB139" s="104" t="str">
        <f t="shared" si="17"/>
        <v>－</v>
      </c>
      <c r="AC139" s="104" t="str">
        <f t="shared" si="16"/>
        <v>－</v>
      </c>
      <c r="AD139" s="105" t="str">
        <f t="shared" si="16"/>
        <v>－</v>
      </c>
    </row>
    <row r="140" spans="1:30">
      <c r="A140" s="95" t="s">
        <v>46</v>
      </c>
      <c r="B140" s="96" t="s">
        <v>570</v>
      </c>
      <c r="C140" s="96" t="s">
        <v>571</v>
      </c>
      <c r="D140" s="96" t="s">
        <v>529</v>
      </c>
      <c r="E140" s="97" t="s">
        <v>530</v>
      </c>
      <c r="F140" s="97" t="s">
        <v>567</v>
      </c>
      <c r="G140" s="98">
        <v>24000</v>
      </c>
      <c r="H140" s="99"/>
      <c r="I140" s="100" t="s">
        <v>135</v>
      </c>
      <c r="J140" s="99"/>
      <c r="K140" s="100" t="s">
        <v>135</v>
      </c>
      <c r="L140" s="99"/>
      <c r="M140" s="100"/>
      <c r="N140" s="99"/>
      <c r="O140" s="100" t="s">
        <v>135</v>
      </c>
      <c r="P140" s="99"/>
      <c r="Q140" s="100"/>
      <c r="R140" s="99"/>
      <c r="S140" s="100" t="s">
        <v>135</v>
      </c>
      <c r="T140" s="101">
        <f>15.09</f>
        <v>15.09</v>
      </c>
      <c r="U140" s="102" t="str">
        <f t="shared" si="13"/>
        <v>－</v>
      </c>
      <c r="V140" s="102"/>
      <c r="W140" s="102"/>
      <c r="X140" s="102" t="str">
        <f t="shared" si="14"/>
        <v>－</v>
      </c>
      <c r="Y140" s="102"/>
      <c r="Z140" s="103"/>
      <c r="AA140" s="99"/>
      <c r="AB140" s="104" t="str">
        <f t="shared" si="17"/>
        <v>－</v>
      </c>
      <c r="AC140" s="104" t="str">
        <f t="shared" si="16"/>
        <v>－</v>
      </c>
      <c r="AD140" s="105" t="str">
        <f t="shared" si="16"/>
        <v>－</v>
      </c>
    </row>
    <row r="141" spans="1:30">
      <c r="A141" s="95" t="s">
        <v>46</v>
      </c>
      <c r="B141" s="96" t="s">
        <v>570</v>
      </c>
      <c r="C141" s="96" t="s">
        <v>571</v>
      </c>
      <c r="D141" s="96" t="s">
        <v>532</v>
      </c>
      <c r="E141" s="97" t="s">
        <v>568</v>
      </c>
      <c r="F141" s="97" t="s">
        <v>569</v>
      </c>
      <c r="G141" s="98">
        <v>24000</v>
      </c>
      <c r="H141" s="99"/>
      <c r="I141" s="100" t="s">
        <v>135</v>
      </c>
      <c r="J141" s="99"/>
      <c r="K141" s="100" t="s">
        <v>135</v>
      </c>
      <c r="L141" s="99"/>
      <c r="M141" s="100"/>
      <c r="N141" s="99"/>
      <c r="O141" s="100" t="s">
        <v>135</v>
      </c>
      <c r="P141" s="99"/>
      <c r="Q141" s="100"/>
      <c r="R141" s="99"/>
      <c r="S141" s="100" t="s">
        <v>135</v>
      </c>
      <c r="T141" s="101">
        <f>18.42</f>
        <v>18.420000000000002</v>
      </c>
      <c r="U141" s="102" t="str">
        <f t="shared" si="13"/>
        <v>－</v>
      </c>
      <c r="V141" s="102"/>
      <c r="W141" s="102"/>
      <c r="X141" s="102" t="str">
        <f t="shared" si="14"/>
        <v>－</v>
      </c>
      <c r="Y141" s="102"/>
      <c r="Z141" s="103"/>
      <c r="AA141" s="99"/>
      <c r="AB141" s="104" t="str">
        <f t="shared" si="17"/>
        <v>－</v>
      </c>
      <c r="AC141" s="104" t="str">
        <f t="shared" si="16"/>
        <v>－</v>
      </c>
      <c r="AD141" s="105" t="str">
        <f t="shared" si="16"/>
        <v>－</v>
      </c>
    </row>
    <row r="142" spans="1:30">
      <c r="A142" s="95" t="s">
        <v>46</v>
      </c>
      <c r="B142" s="96" t="s">
        <v>570</v>
      </c>
      <c r="C142" s="96" t="s">
        <v>571</v>
      </c>
      <c r="D142" s="96" t="s">
        <v>534</v>
      </c>
      <c r="E142" s="97" t="s">
        <v>311</v>
      </c>
      <c r="F142" s="97" t="s">
        <v>535</v>
      </c>
      <c r="G142" s="98">
        <v>22800</v>
      </c>
      <c r="H142" s="99"/>
      <c r="I142" s="100" t="s">
        <v>135</v>
      </c>
      <c r="J142" s="99"/>
      <c r="K142" s="100" t="s">
        <v>135</v>
      </c>
      <c r="L142" s="99"/>
      <c r="M142" s="100"/>
      <c r="N142" s="99"/>
      <c r="O142" s="100" t="s">
        <v>135</v>
      </c>
      <c r="P142" s="99"/>
      <c r="Q142" s="100"/>
      <c r="R142" s="99"/>
      <c r="S142" s="100" t="s">
        <v>135</v>
      </c>
      <c r="T142" s="101">
        <f>24.34</f>
        <v>24.34</v>
      </c>
      <c r="U142" s="102" t="str">
        <f t="shared" si="13"/>
        <v>－</v>
      </c>
      <c r="V142" s="102"/>
      <c r="W142" s="102"/>
      <c r="X142" s="102" t="str">
        <f t="shared" si="14"/>
        <v>－</v>
      </c>
      <c r="Y142" s="102"/>
      <c r="Z142" s="103"/>
      <c r="AA142" s="99"/>
      <c r="AB142" s="104" t="str">
        <f t="shared" si="17"/>
        <v>－</v>
      </c>
      <c r="AC142" s="104" t="str">
        <f t="shared" si="16"/>
        <v>－</v>
      </c>
      <c r="AD142" s="105" t="str">
        <f t="shared" si="16"/>
        <v>－</v>
      </c>
    </row>
    <row r="143" spans="1:30">
      <c r="A143" s="95" t="s">
        <v>46</v>
      </c>
      <c r="B143" s="96" t="s">
        <v>572</v>
      </c>
      <c r="C143" s="96" t="s">
        <v>573</v>
      </c>
      <c r="D143" s="96" t="s">
        <v>49</v>
      </c>
      <c r="E143" s="97" t="s">
        <v>493</v>
      </c>
      <c r="F143" s="97" t="s">
        <v>574</v>
      </c>
      <c r="G143" s="98">
        <v>1000</v>
      </c>
      <c r="H143" s="99"/>
      <c r="I143" s="100" t="s">
        <v>135</v>
      </c>
      <c r="J143" s="99"/>
      <c r="K143" s="100" t="s">
        <v>135</v>
      </c>
      <c r="L143" s="99"/>
      <c r="M143" s="100"/>
      <c r="N143" s="99"/>
      <c r="O143" s="100" t="s">
        <v>135</v>
      </c>
      <c r="P143" s="99"/>
      <c r="Q143" s="100"/>
      <c r="R143" s="99"/>
      <c r="S143" s="100" t="s">
        <v>135</v>
      </c>
      <c r="T143" s="101">
        <f>3744.26</f>
        <v>3744.26</v>
      </c>
      <c r="U143" s="102" t="str">
        <f t="shared" si="13"/>
        <v>－</v>
      </c>
      <c r="V143" s="102"/>
      <c r="W143" s="102"/>
      <c r="X143" s="102" t="str">
        <f t="shared" si="14"/>
        <v>－</v>
      </c>
      <c r="Y143" s="102"/>
      <c r="Z143" s="103"/>
      <c r="AA143" s="99" t="s">
        <v>229</v>
      </c>
      <c r="AB143" s="104" t="str">
        <f t="shared" si="17"/>
        <v>－</v>
      </c>
      <c r="AC143" s="104" t="str">
        <f t="shared" si="16"/>
        <v>－</v>
      </c>
      <c r="AD143" s="105" t="str">
        <f t="shared" si="16"/>
        <v>－</v>
      </c>
    </row>
    <row r="144" spans="1:30">
      <c r="A144" s="95" t="s">
        <v>46</v>
      </c>
      <c r="B144" s="96" t="s">
        <v>572</v>
      </c>
      <c r="C144" s="96" t="s">
        <v>573</v>
      </c>
      <c r="D144" s="96" t="s">
        <v>232</v>
      </c>
      <c r="E144" s="97" t="s">
        <v>493</v>
      </c>
      <c r="F144" s="97" t="s">
        <v>336</v>
      </c>
      <c r="G144" s="98">
        <v>1000</v>
      </c>
      <c r="H144" s="99"/>
      <c r="I144" s="100" t="s">
        <v>135</v>
      </c>
      <c r="J144" s="99"/>
      <c r="K144" s="100" t="s">
        <v>135</v>
      </c>
      <c r="L144" s="99"/>
      <c r="M144" s="100"/>
      <c r="N144" s="99"/>
      <c r="O144" s="100" t="s">
        <v>135</v>
      </c>
      <c r="P144" s="99"/>
      <c r="Q144" s="100"/>
      <c r="R144" s="99"/>
      <c r="S144" s="100" t="s">
        <v>135</v>
      </c>
      <c r="T144" s="101">
        <f>2844.95</f>
        <v>2844.95</v>
      </c>
      <c r="U144" s="102" t="str">
        <f t="shared" si="13"/>
        <v>－</v>
      </c>
      <c r="V144" s="102"/>
      <c r="W144" s="102"/>
      <c r="X144" s="102" t="str">
        <f t="shared" si="14"/>
        <v>－</v>
      </c>
      <c r="Y144" s="102"/>
      <c r="Z144" s="103"/>
      <c r="AA144" s="99"/>
      <c r="AB144" s="104" t="str">
        <f t="shared" si="17"/>
        <v>－</v>
      </c>
      <c r="AC144" s="104" t="str">
        <f t="shared" si="16"/>
        <v>－</v>
      </c>
      <c r="AD144" s="105" t="str">
        <f t="shared" si="16"/>
        <v>－</v>
      </c>
    </row>
    <row r="145" spans="1:30">
      <c r="A145" s="95" t="s">
        <v>46</v>
      </c>
      <c r="B145" s="96" t="s">
        <v>572</v>
      </c>
      <c r="C145" s="96" t="s">
        <v>573</v>
      </c>
      <c r="D145" s="96" t="s">
        <v>59</v>
      </c>
      <c r="E145" s="97" t="s">
        <v>493</v>
      </c>
      <c r="F145" s="97" t="s">
        <v>575</v>
      </c>
      <c r="G145" s="98">
        <v>1000</v>
      </c>
      <c r="H145" s="99"/>
      <c r="I145" s="100" t="s">
        <v>135</v>
      </c>
      <c r="J145" s="99"/>
      <c r="K145" s="100" t="s">
        <v>135</v>
      </c>
      <c r="L145" s="99"/>
      <c r="M145" s="100"/>
      <c r="N145" s="99"/>
      <c r="O145" s="100" t="s">
        <v>135</v>
      </c>
      <c r="P145" s="99"/>
      <c r="Q145" s="100"/>
      <c r="R145" s="99"/>
      <c r="S145" s="100" t="s">
        <v>135</v>
      </c>
      <c r="T145" s="101">
        <f>2649.96</f>
        <v>2649.96</v>
      </c>
      <c r="U145" s="102" t="str">
        <f t="shared" si="13"/>
        <v>－</v>
      </c>
      <c r="V145" s="102"/>
      <c r="W145" s="102"/>
      <c r="X145" s="102" t="str">
        <f t="shared" si="14"/>
        <v>－</v>
      </c>
      <c r="Y145" s="102"/>
      <c r="Z145" s="103"/>
      <c r="AA145" s="99"/>
      <c r="AB145" s="104" t="str">
        <f t="shared" si="17"/>
        <v>－</v>
      </c>
      <c r="AC145" s="104" t="str">
        <f t="shared" si="16"/>
        <v>－</v>
      </c>
      <c r="AD145" s="105" t="str">
        <f t="shared" si="16"/>
        <v>－</v>
      </c>
    </row>
    <row r="146" spans="1:30">
      <c r="A146" s="95" t="s">
        <v>46</v>
      </c>
      <c r="B146" s="96" t="s">
        <v>572</v>
      </c>
      <c r="C146" s="96" t="s">
        <v>573</v>
      </c>
      <c r="D146" s="96" t="s">
        <v>237</v>
      </c>
      <c r="E146" s="97" t="s">
        <v>493</v>
      </c>
      <c r="F146" s="97" t="s">
        <v>342</v>
      </c>
      <c r="G146" s="98">
        <v>1000</v>
      </c>
      <c r="H146" s="99"/>
      <c r="I146" s="100" t="s">
        <v>135</v>
      </c>
      <c r="J146" s="99"/>
      <c r="K146" s="100" t="s">
        <v>135</v>
      </c>
      <c r="L146" s="99"/>
      <c r="M146" s="100"/>
      <c r="N146" s="99"/>
      <c r="O146" s="100" t="s">
        <v>135</v>
      </c>
      <c r="P146" s="99"/>
      <c r="Q146" s="100"/>
      <c r="R146" s="99"/>
      <c r="S146" s="100" t="s">
        <v>135</v>
      </c>
      <c r="T146" s="101">
        <f>2639.62</f>
        <v>2639.62</v>
      </c>
      <c r="U146" s="102" t="str">
        <f t="shared" si="13"/>
        <v>－</v>
      </c>
      <c r="V146" s="102"/>
      <c r="W146" s="102"/>
      <c r="X146" s="102" t="str">
        <f t="shared" si="14"/>
        <v>－</v>
      </c>
      <c r="Y146" s="102"/>
      <c r="Z146" s="103"/>
      <c r="AA146" s="99"/>
      <c r="AB146" s="104" t="str">
        <f t="shared" si="17"/>
        <v>－</v>
      </c>
      <c r="AC146" s="104" t="str">
        <f t="shared" si="16"/>
        <v>－</v>
      </c>
      <c r="AD146" s="105" t="str">
        <f t="shared" si="16"/>
        <v>－</v>
      </c>
    </row>
    <row r="147" spans="1:30">
      <c r="A147" s="95" t="s">
        <v>46</v>
      </c>
      <c r="B147" s="96" t="s">
        <v>572</v>
      </c>
      <c r="C147" s="96" t="s">
        <v>573</v>
      </c>
      <c r="D147" s="96" t="s">
        <v>66</v>
      </c>
      <c r="E147" s="97" t="s">
        <v>493</v>
      </c>
      <c r="F147" s="97" t="s">
        <v>576</v>
      </c>
      <c r="G147" s="98">
        <v>1000</v>
      </c>
      <c r="H147" s="99"/>
      <c r="I147" s="100" t="s">
        <v>135</v>
      </c>
      <c r="J147" s="99"/>
      <c r="K147" s="100" t="s">
        <v>135</v>
      </c>
      <c r="L147" s="99"/>
      <c r="M147" s="100"/>
      <c r="N147" s="99"/>
      <c r="O147" s="100" t="s">
        <v>135</v>
      </c>
      <c r="P147" s="99"/>
      <c r="Q147" s="100"/>
      <c r="R147" s="99"/>
      <c r="S147" s="100" t="s">
        <v>135</v>
      </c>
      <c r="T147" s="101">
        <f>2667.65</f>
        <v>2667.65</v>
      </c>
      <c r="U147" s="102" t="str">
        <f t="shared" si="13"/>
        <v>－</v>
      </c>
      <c r="V147" s="102"/>
      <c r="W147" s="102"/>
      <c r="X147" s="102" t="str">
        <f t="shared" si="14"/>
        <v>－</v>
      </c>
      <c r="Y147" s="102"/>
      <c r="Z147" s="103"/>
      <c r="AA147" s="99"/>
      <c r="AB147" s="104" t="str">
        <f t="shared" si="17"/>
        <v>－</v>
      </c>
      <c r="AC147" s="104" t="str">
        <f t="shared" si="16"/>
        <v>－</v>
      </c>
      <c r="AD147" s="105" t="str">
        <f t="shared" si="16"/>
        <v>－</v>
      </c>
    </row>
    <row r="148" spans="1:30">
      <c r="A148" s="95" t="s">
        <v>46</v>
      </c>
      <c r="B148" s="96" t="s">
        <v>572</v>
      </c>
      <c r="C148" s="96" t="s">
        <v>573</v>
      </c>
      <c r="D148" s="96" t="s">
        <v>242</v>
      </c>
      <c r="E148" s="97" t="s">
        <v>493</v>
      </c>
      <c r="F148" s="97" t="s">
        <v>347</v>
      </c>
      <c r="G148" s="98">
        <v>1000</v>
      </c>
      <c r="H148" s="99"/>
      <c r="I148" s="100" t="s">
        <v>135</v>
      </c>
      <c r="J148" s="99"/>
      <c r="K148" s="100" t="s">
        <v>135</v>
      </c>
      <c r="L148" s="99"/>
      <c r="M148" s="100"/>
      <c r="N148" s="99"/>
      <c r="O148" s="100" t="s">
        <v>135</v>
      </c>
      <c r="P148" s="99"/>
      <c r="Q148" s="100"/>
      <c r="R148" s="99"/>
      <c r="S148" s="100" t="s">
        <v>135</v>
      </c>
      <c r="T148" s="101">
        <f>2690.03</f>
        <v>2690.03</v>
      </c>
      <c r="U148" s="102" t="str">
        <f t="shared" si="13"/>
        <v>－</v>
      </c>
      <c r="V148" s="102"/>
      <c r="W148" s="102"/>
      <c r="X148" s="102" t="str">
        <f t="shared" si="14"/>
        <v>－</v>
      </c>
      <c r="Y148" s="102"/>
      <c r="Z148" s="103"/>
      <c r="AA148" s="99"/>
      <c r="AB148" s="104" t="str">
        <f t="shared" si="17"/>
        <v>－</v>
      </c>
      <c r="AC148" s="104" t="str">
        <f t="shared" si="16"/>
        <v>－</v>
      </c>
      <c r="AD148" s="105" t="str">
        <f t="shared" si="16"/>
        <v>－</v>
      </c>
    </row>
    <row r="149" spans="1:30">
      <c r="A149" s="95" t="s">
        <v>46</v>
      </c>
      <c r="B149" s="96" t="s">
        <v>572</v>
      </c>
      <c r="C149" s="96" t="s">
        <v>573</v>
      </c>
      <c r="D149" s="96" t="s">
        <v>72</v>
      </c>
      <c r="E149" s="97" t="s">
        <v>341</v>
      </c>
      <c r="F149" s="97" t="s">
        <v>577</v>
      </c>
      <c r="G149" s="98">
        <v>1000</v>
      </c>
      <c r="H149" s="99"/>
      <c r="I149" s="100" t="s">
        <v>135</v>
      </c>
      <c r="J149" s="99"/>
      <c r="K149" s="100" t="s">
        <v>135</v>
      </c>
      <c r="L149" s="99"/>
      <c r="M149" s="100"/>
      <c r="N149" s="99"/>
      <c r="O149" s="100" t="s">
        <v>135</v>
      </c>
      <c r="P149" s="99"/>
      <c r="Q149" s="100"/>
      <c r="R149" s="99"/>
      <c r="S149" s="100" t="s">
        <v>135</v>
      </c>
      <c r="T149" s="101">
        <f>2714.48</f>
        <v>2714.48</v>
      </c>
      <c r="U149" s="102" t="str">
        <f t="shared" si="13"/>
        <v>－</v>
      </c>
      <c r="V149" s="102"/>
      <c r="W149" s="102"/>
      <c r="X149" s="102" t="str">
        <f t="shared" si="14"/>
        <v>－</v>
      </c>
      <c r="Y149" s="102"/>
      <c r="Z149" s="103"/>
      <c r="AA149" s="99"/>
      <c r="AB149" s="104" t="str">
        <f t="shared" si="17"/>
        <v>－</v>
      </c>
      <c r="AC149" s="104" t="str">
        <f t="shared" si="16"/>
        <v>－</v>
      </c>
      <c r="AD149" s="105" t="str">
        <f t="shared" si="16"/>
        <v>－</v>
      </c>
    </row>
    <row r="150" spans="1:30">
      <c r="A150" s="95" t="s">
        <v>46</v>
      </c>
      <c r="B150" s="96" t="s">
        <v>572</v>
      </c>
      <c r="C150" s="96" t="s">
        <v>573</v>
      </c>
      <c r="D150" s="96" t="s">
        <v>292</v>
      </c>
      <c r="E150" s="97" t="s">
        <v>578</v>
      </c>
      <c r="F150" s="97" t="s">
        <v>352</v>
      </c>
      <c r="G150" s="98">
        <v>1000</v>
      </c>
      <c r="H150" s="99"/>
      <c r="I150" s="100" t="s">
        <v>135</v>
      </c>
      <c r="J150" s="99"/>
      <c r="K150" s="100" t="s">
        <v>135</v>
      </c>
      <c r="L150" s="99"/>
      <c r="M150" s="100"/>
      <c r="N150" s="99"/>
      <c r="O150" s="100" t="s">
        <v>135</v>
      </c>
      <c r="P150" s="99"/>
      <c r="Q150" s="100"/>
      <c r="R150" s="99"/>
      <c r="S150" s="100" t="s">
        <v>135</v>
      </c>
      <c r="T150" s="101">
        <f>2756.06</f>
        <v>2756.06</v>
      </c>
      <c r="U150" s="102" t="str">
        <f t="shared" si="13"/>
        <v>－</v>
      </c>
      <c r="V150" s="102"/>
      <c r="W150" s="102"/>
      <c r="X150" s="102" t="str">
        <f t="shared" si="14"/>
        <v>－</v>
      </c>
      <c r="Y150" s="102"/>
      <c r="Z150" s="103"/>
      <c r="AA150" s="99"/>
      <c r="AB150" s="104" t="str">
        <f t="shared" si="17"/>
        <v>－</v>
      </c>
      <c r="AC150" s="104" t="str">
        <f t="shared" si="17"/>
        <v>－</v>
      </c>
      <c r="AD150" s="105" t="str">
        <f t="shared" si="17"/>
        <v>－</v>
      </c>
    </row>
    <row r="151" spans="1:30">
      <c r="A151" s="95" t="s">
        <v>46</v>
      </c>
      <c r="B151" s="96" t="s">
        <v>572</v>
      </c>
      <c r="C151" s="96" t="s">
        <v>573</v>
      </c>
      <c r="D151" s="96" t="s">
        <v>79</v>
      </c>
      <c r="E151" s="97" t="s">
        <v>346</v>
      </c>
      <c r="F151" s="97" t="s">
        <v>579</v>
      </c>
      <c r="G151" s="98">
        <v>1000</v>
      </c>
      <c r="H151" s="99"/>
      <c r="I151" s="100" t="s">
        <v>135</v>
      </c>
      <c r="J151" s="99"/>
      <c r="K151" s="100" t="s">
        <v>135</v>
      </c>
      <c r="L151" s="99"/>
      <c r="M151" s="100"/>
      <c r="N151" s="99"/>
      <c r="O151" s="100" t="s">
        <v>135</v>
      </c>
      <c r="P151" s="99"/>
      <c r="Q151" s="100"/>
      <c r="R151" s="99"/>
      <c r="S151" s="100" t="s">
        <v>135</v>
      </c>
      <c r="T151" s="101">
        <f>2750.01</f>
        <v>2750.01</v>
      </c>
      <c r="U151" s="102" t="str">
        <f t="shared" si="13"/>
        <v>－</v>
      </c>
      <c r="V151" s="102"/>
      <c r="W151" s="102"/>
      <c r="X151" s="102" t="str">
        <f t="shared" si="14"/>
        <v>－</v>
      </c>
      <c r="Y151" s="102"/>
      <c r="Z151" s="103"/>
      <c r="AA151" s="99"/>
      <c r="AB151" s="104" t="str">
        <f t="shared" si="17"/>
        <v>－</v>
      </c>
      <c r="AC151" s="104" t="str">
        <f t="shared" si="17"/>
        <v>－</v>
      </c>
      <c r="AD151" s="105" t="str">
        <f t="shared" si="17"/>
        <v>－</v>
      </c>
    </row>
    <row r="152" spans="1:30">
      <c r="A152" s="95" t="s">
        <v>46</v>
      </c>
      <c r="B152" s="96" t="s">
        <v>572</v>
      </c>
      <c r="C152" s="96" t="s">
        <v>573</v>
      </c>
      <c r="D152" s="96" t="s">
        <v>296</v>
      </c>
      <c r="E152" s="97" t="s">
        <v>580</v>
      </c>
      <c r="F152" s="97" t="s">
        <v>358</v>
      </c>
      <c r="G152" s="98">
        <v>1000</v>
      </c>
      <c r="H152" s="99"/>
      <c r="I152" s="100" t="s">
        <v>135</v>
      </c>
      <c r="J152" s="99"/>
      <c r="K152" s="100" t="s">
        <v>135</v>
      </c>
      <c r="L152" s="99"/>
      <c r="M152" s="100"/>
      <c r="N152" s="99"/>
      <c r="O152" s="100" t="s">
        <v>135</v>
      </c>
      <c r="P152" s="99"/>
      <c r="Q152" s="100"/>
      <c r="R152" s="99"/>
      <c r="S152" s="100" t="s">
        <v>135</v>
      </c>
      <c r="T152" s="101">
        <f>2961.09</f>
        <v>2961.09</v>
      </c>
      <c r="U152" s="102" t="str">
        <f t="shared" si="13"/>
        <v>－</v>
      </c>
      <c r="V152" s="102"/>
      <c r="W152" s="102"/>
      <c r="X152" s="102" t="str">
        <f t="shared" si="14"/>
        <v>－</v>
      </c>
      <c r="Y152" s="102"/>
      <c r="Z152" s="103"/>
      <c r="AA152" s="99"/>
      <c r="AB152" s="104" t="str">
        <f t="shared" si="17"/>
        <v>－</v>
      </c>
      <c r="AC152" s="104" t="str">
        <f t="shared" si="17"/>
        <v>－</v>
      </c>
      <c r="AD152" s="105" t="str">
        <f t="shared" si="17"/>
        <v>－</v>
      </c>
    </row>
    <row r="153" spans="1:30">
      <c r="A153" s="95" t="s">
        <v>46</v>
      </c>
      <c r="B153" s="96" t="s">
        <v>572</v>
      </c>
      <c r="C153" s="96" t="s">
        <v>573</v>
      </c>
      <c r="D153" s="96" t="s">
        <v>88</v>
      </c>
      <c r="E153" s="97" t="s">
        <v>351</v>
      </c>
      <c r="F153" s="97" t="s">
        <v>581</v>
      </c>
      <c r="G153" s="98">
        <v>1000</v>
      </c>
      <c r="H153" s="99"/>
      <c r="I153" s="100" t="s">
        <v>135</v>
      </c>
      <c r="J153" s="99"/>
      <c r="K153" s="100" t="s">
        <v>135</v>
      </c>
      <c r="L153" s="99"/>
      <c r="M153" s="100"/>
      <c r="N153" s="99"/>
      <c r="O153" s="100" t="s">
        <v>135</v>
      </c>
      <c r="P153" s="99"/>
      <c r="Q153" s="100"/>
      <c r="R153" s="99"/>
      <c r="S153" s="100" t="s">
        <v>135</v>
      </c>
      <c r="T153" s="101">
        <f>3005.38</f>
        <v>3005.38</v>
      </c>
      <c r="U153" s="102" t="str">
        <f t="shared" si="13"/>
        <v>－</v>
      </c>
      <c r="V153" s="102"/>
      <c r="W153" s="102"/>
      <c r="X153" s="102" t="str">
        <f t="shared" si="14"/>
        <v>－</v>
      </c>
      <c r="Y153" s="102"/>
      <c r="Z153" s="103"/>
      <c r="AA153" s="99"/>
      <c r="AB153" s="104" t="str">
        <f t="shared" si="17"/>
        <v>－</v>
      </c>
      <c r="AC153" s="104" t="str">
        <f t="shared" si="17"/>
        <v>－</v>
      </c>
      <c r="AD153" s="105" t="str">
        <f t="shared" si="17"/>
        <v>－</v>
      </c>
    </row>
    <row r="154" spans="1:30">
      <c r="A154" s="95" t="s">
        <v>46</v>
      </c>
      <c r="B154" s="96" t="s">
        <v>572</v>
      </c>
      <c r="C154" s="96" t="s">
        <v>573</v>
      </c>
      <c r="D154" s="96" t="s">
        <v>303</v>
      </c>
      <c r="E154" s="97" t="s">
        <v>582</v>
      </c>
      <c r="F154" s="97" t="s">
        <v>363</v>
      </c>
      <c r="G154" s="98">
        <v>1000</v>
      </c>
      <c r="H154" s="99"/>
      <c r="I154" s="100" t="s">
        <v>135</v>
      </c>
      <c r="J154" s="99"/>
      <c r="K154" s="100" t="s">
        <v>135</v>
      </c>
      <c r="L154" s="99"/>
      <c r="M154" s="100"/>
      <c r="N154" s="99"/>
      <c r="O154" s="100" t="s">
        <v>135</v>
      </c>
      <c r="P154" s="99"/>
      <c r="Q154" s="100"/>
      <c r="R154" s="99"/>
      <c r="S154" s="100" t="s">
        <v>135</v>
      </c>
      <c r="T154" s="101">
        <f>3042.47</f>
        <v>3042.47</v>
      </c>
      <c r="U154" s="102" t="str">
        <f t="shared" si="13"/>
        <v>－</v>
      </c>
      <c r="V154" s="102"/>
      <c r="W154" s="102"/>
      <c r="X154" s="102" t="str">
        <f t="shared" si="14"/>
        <v>－</v>
      </c>
      <c r="Y154" s="102"/>
      <c r="Z154" s="103"/>
      <c r="AA154" s="99"/>
      <c r="AB154" s="104" t="str">
        <f t="shared" si="17"/>
        <v>－</v>
      </c>
      <c r="AC154" s="104" t="str">
        <f t="shared" si="17"/>
        <v>－</v>
      </c>
      <c r="AD154" s="105" t="str">
        <f t="shared" si="17"/>
        <v>－</v>
      </c>
    </row>
    <row r="155" spans="1:30">
      <c r="A155" s="95" t="s">
        <v>46</v>
      </c>
      <c r="B155" s="96" t="s">
        <v>572</v>
      </c>
      <c r="C155" s="96" t="s">
        <v>573</v>
      </c>
      <c r="D155" s="96" t="s">
        <v>461</v>
      </c>
      <c r="E155" s="97" t="s">
        <v>357</v>
      </c>
      <c r="F155" s="97" t="s">
        <v>583</v>
      </c>
      <c r="G155" s="98">
        <v>1000</v>
      </c>
      <c r="H155" s="99"/>
      <c r="I155" s="100" t="s">
        <v>135</v>
      </c>
      <c r="J155" s="99"/>
      <c r="K155" s="100" t="s">
        <v>135</v>
      </c>
      <c r="L155" s="99"/>
      <c r="M155" s="100"/>
      <c r="N155" s="99"/>
      <c r="O155" s="100" t="s">
        <v>135</v>
      </c>
      <c r="P155" s="99"/>
      <c r="Q155" s="100"/>
      <c r="R155" s="99"/>
      <c r="S155" s="100" t="s">
        <v>135</v>
      </c>
      <c r="T155" s="101">
        <f>2885.84</f>
        <v>2885.84</v>
      </c>
      <c r="U155" s="102" t="str">
        <f t="shared" si="13"/>
        <v>－</v>
      </c>
      <c r="V155" s="102"/>
      <c r="W155" s="102"/>
      <c r="X155" s="102" t="str">
        <f t="shared" si="14"/>
        <v>－</v>
      </c>
      <c r="Y155" s="102"/>
      <c r="Z155" s="103"/>
      <c r="AA155" s="99"/>
      <c r="AB155" s="104" t="str">
        <f t="shared" si="17"/>
        <v>－</v>
      </c>
      <c r="AC155" s="104" t="str">
        <f t="shared" si="17"/>
        <v>－</v>
      </c>
      <c r="AD155" s="105" t="str">
        <f t="shared" si="17"/>
        <v>－</v>
      </c>
    </row>
    <row r="156" spans="1:30">
      <c r="A156" s="95" t="s">
        <v>46</v>
      </c>
      <c r="B156" s="96" t="s">
        <v>572</v>
      </c>
      <c r="C156" s="96" t="s">
        <v>573</v>
      </c>
      <c r="D156" s="96" t="s">
        <v>466</v>
      </c>
      <c r="E156" s="97" t="s">
        <v>584</v>
      </c>
      <c r="F156" s="97" t="s">
        <v>585</v>
      </c>
      <c r="G156" s="98">
        <v>1000</v>
      </c>
      <c r="H156" s="99"/>
      <c r="I156" s="100" t="s">
        <v>135</v>
      </c>
      <c r="J156" s="99"/>
      <c r="K156" s="100" t="s">
        <v>135</v>
      </c>
      <c r="L156" s="99"/>
      <c r="M156" s="100"/>
      <c r="N156" s="99"/>
      <c r="O156" s="100" t="s">
        <v>135</v>
      </c>
      <c r="P156" s="99"/>
      <c r="Q156" s="100"/>
      <c r="R156" s="99"/>
      <c r="S156" s="100" t="s">
        <v>135</v>
      </c>
      <c r="T156" s="101">
        <f>2395.93</f>
        <v>2395.9299999999998</v>
      </c>
      <c r="U156" s="102" t="str">
        <f t="shared" si="13"/>
        <v>－</v>
      </c>
      <c r="V156" s="102"/>
      <c r="W156" s="102"/>
      <c r="X156" s="102" t="str">
        <f t="shared" si="14"/>
        <v>－</v>
      </c>
      <c r="Y156" s="102"/>
      <c r="Z156" s="103"/>
      <c r="AA156" s="99"/>
      <c r="AB156" s="104" t="str">
        <f t="shared" si="17"/>
        <v>－</v>
      </c>
      <c r="AC156" s="104" t="str">
        <f t="shared" si="17"/>
        <v>－</v>
      </c>
      <c r="AD156" s="105" t="str">
        <f t="shared" si="17"/>
        <v>－</v>
      </c>
    </row>
    <row r="157" spans="1:30">
      <c r="A157" s="95" t="s">
        <v>46</v>
      </c>
      <c r="B157" s="96" t="s">
        <v>572</v>
      </c>
      <c r="C157" s="96" t="s">
        <v>573</v>
      </c>
      <c r="D157" s="96" t="s">
        <v>510</v>
      </c>
      <c r="E157" s="97" t="s">
        <v>362</v>
      </c>
      <c r="F157" s="97" t="s">
        <v>586</v>
      </c>
      <c r="G157" s="98">
        <v>1000</v>
      </c>
      <c r="H157" s="99"/>
      <c r="I157" s="100" t="s">
        <v>135</v>
      </c>
      <c r="J157" s="99"/>
      <c r="K157" s="100" t="s">
        <v>135</v>
      </c>
      <c r="L157" s="99"/>
      <c r="M157" s="100"/>
      <c r="N157" s="99"/>
      <c r="O157" s="100" t="s">
        <v>135</v>
      </c>
      <c r="P157" s="99"/>
      <c r="Q157" s="100"/>
      <c r="R157" s="99"/>
      <c r="S157" s="100" t="s">
        <v>135</v>
      </c>
      <c r="T157" s="101">
        <f>2347.68</f>
        <v>2347.6799999999998</v>
      </c>
      <c r="U157" s="102" t="str">
        <f t="shared" si="13"/>
        <v>－</v>
      </c>
      <c r="V157" s="102"/>
      <c r="W157" s="102"/>
      <c r="X157" s="102" t="str">
        <f t="shared" si="14"/>
        <v>－</v>
      </c>
      <c r="Y157" s="102"/>
      <c r="Z157" s="103"/>
      <c r="AA157" s="99"/>
      <c r="AB157" s="104" t="str">
        <f t="shared" si="17"/>
        <v>－</v>
      </c>
      <c r="AC157" s="104" t="str">
        <f t="shared" si="17"/>
        <v>－</v>
      </c>
      <c r="AD157" s="105" t="str">
        <f t="shared" si="17"/>
        <v>－</v>
      </c>
    </row>
    <row r="158" spans="1:30">
      <c r="A158" s="95" t="s">
        <v>46</v>
      </c>
      <c r="B158" s="96" t="s">
        <v>572</v>
      </c>
      <c r="C158" s="96" t="s">
        <v>573</v>
      </c>
      <c r="D158" s="96" t="s">
        <v>512</v>
      </c>
      <c r="E158" s="97" t="s">
        <v>587</v>
      </c>
      <c r="F158" s="97" t="s">
        <v>588</v>
      </c>
      <c r="G158" s="98">
        <v>1000</v>
      </c>
      <c r="H158" s="99"/>
      <c r="I158" s="100" t="s">
        <v>135</v>
      </c>
      <c r="J158" s="99"/>
      <c r="K158" s="100" t="s">
        <v>135</v>
      </c>
      <c r="L158" s="99"/>
      <c r="M158" s="100"/>
      <c r="N158" s="99"/>
      <c r="O158" s="100" t="s">
        <v>135</v>
      </c>
      <c r="P158" s="99"/>
      <c r="Q158" s="100"/>
      <c r="R158" s="99"/>
      <c r="S158" s="100" t="s">
        <v>135</v>
      </c>
      <c r="T158" s="101">
        <f>2242.78</f>
        <v>2242.7800000000002</v>
      </c>
      <c r="U158" s="102" t="str">
        <f t="shared" si="13"/>
        <v>－</v>
      </c>
      <c r="V158" s="102"/>
      <c r="W158" s="102"/>
      <c r="X158" s="102" t="str">
        <f t="shared" si="14"/>
        <v>－</v>
      </c>
      <c r="Y158" s="102"/>
      <c r="Z158" s="103"/>
      <c r="AA158" s="99"/>
      <c r="AB158" s="104" t="str">
        <f t="shared" si="17"/>
        <v>－</v>
      </c>
      <c r="AC158" s="104" t="str">
        <f t="shared" si="17"/>
        <v>－</v>
      </c>
      <c r="AD158" s="105" t="str">
        <f t="shared" si="17"/>
        <v>－</v>
      </c>
    </row>
    <row r="159" spans="1:30">
      <c r="A159" s="95" t="s">
        <v>46</v>
      </c>
      <c r="B159" s="96" t="s">
        <v>589</v>
      </c>
      <c r="C159" s="96" t="s">
        <v>590</v>
      </c>
      <c r="D159" s="96" t="s">
        <v>49</v>
      </c>
      <c r="E159" s="97" t="s">
        <v>283</v>
      </c>
      <c r="F159" s="97" t="s">
        <v>248</v>
      </c>
      <c r="G159" s="98">
        <v>10</v>
      </c>
      <c r="H159" s="99" t="s">
        <v>258</v>
      </c>
      <c r="I159" s="100" t="s">
        <v>591</v>
      </c>
      <c r="J159" s="99" t="s">
        <v>338</v>
      </c>
      <c r="K159" s="100" t="s">
        <v>592</v>
      </c>
      <c r="L159" s="99" t="s">
        <v>54</v>
      </c>
      <c r="M159" s="100" t="s">
        <v>593</v>
      </c>
      <c r="N159" s="99" t="s">
        <v>54</v>
      </c>
      <c r="O159" s="100" t="s">
        <v>594</v>
      </c>
      <c r="P159" s="99" t="s">
        <v>54</v>
      </c>
      <c r="Q159" s="100" t="s">
        <v>595</v>
      </c>
      <c r="R159" s="99" t="s">
        <v>54</v>
      </c>
      <c r="S159" s="100" t="s">
        <v>596</v>
      </c>
      <c r="T159" s="101">
        <f>73857.33</f>
        <v>73857.33</v>
      </c>
      <c r="U159" s="102">
        <f>100</f>
        <v>100</v>
      </c>
      <c r="V159" s="102">
        <v>42</v>
      </c>
      <c r="W159" s="102"/>
      <c r="X159" s="102">
        <f>72217200</f>
        <v>72217200</v>
      </c>
      <c r="Y159" s="102">
        <v>30139200</v>
      </c>
      <c r="Z159" s="103"/>
      <c r="AA159" s="99" t="s">
        <v>229</v>
      </c>
      <c r="AB159" s="104">
        <f>93</f>
        <v>93</v>
      </c>
      <c r="AC159" s="104" t="str">
        <f t="shared" ref="AC159:AD189" si="18">"－"</f>
        <v>－</v>
      </c>
      <c r="AD159" s="105">
        <f>6</f>
        <v>6</v>
      </c>
    </row>
    <row r="160" spans="1:30">
      <c r="A160" s="95" t="s">
        <v>46</v>
      </c>
      <c r="B160" s="96" t="s">
        <v>589</v>
      </c>
      <c r="C160" s="96" t="s">
        <v>590</v>
      </c>
      <c r="D160" s="96" t="s">
        <v>232</v>
      </c>
      <c r="E160" s="97" t="s">
        <v>288</v>
      </c>
      <c r="F160" s="97" t="s">
        <v>403</v>
      </c>
      <c r="G160" s="98">
        <v>10</v>
      </c>
      <c r="H160" s="99"/>
      <c r="I160" s="100" t="s">
        <v>135</v>
      </c>
      <c r="J160" s="99"/>
      <c r="K160" s="100" t="s">
        <v>135</v>
      </c>
      <c r="L160" s="99"/>
      <c r="M160" s="100"/>
      <c r="N160" s="99"/>
      <c r="O160" s="100" t="s">
        <v>135</v>
      </c>
      <c r="P160" s="99"/>
      <c r="Q160" s="100"/>
      <c r="R160" s="99"/>
      <c r="S160" s="100" t="s">
        <v>135</v>
      </c>
      <c r="T160" s="101">
        <f>73915.79</f>
        <v>73915.789999999994</v>
      </c>
      <c r="U160" s="102" t="str">
        <f t="shared" ref="U160:U165" si="19">"－"</f>
        <v>－</v>
      </c>
      <c r="V160" s="102"/>
      <c r="W160" s="102"/>
      <c r="X160" s="102" t="str">
        <f t="shared" ref="X160:X165" si="20">"－"</f>
        <v>－</v>
      </c>
      <c r="Y160" s="102"/>
      <c r="Z160" s="103"/>
      <c r="AA160" s="99"/>
      <c r="AB160" s="104" t="str">
        <f t="shared" ref="AB160:AB165" si="21">"－"</f>
        <v>－</v>
      </c>
      <c r="AC160" s="104" t="str">
        <f t="shared" si="18"/>
        <v>－</v>
      </c>
      <c r="AD160" s="105" t="str">
        <f t="shared" si="18"/>
        <v>－</v>
      </c>
    </row>
    <row r="161" spans="1:30">
      <c r="A161" s="95" t="s">
        <v>46</v>
      </c>
      <c r="B161" s="96" t="s">
        <v>589</v>
      </c>
      <c r="C161" s="96" t="s">
        <v>590</v>
      </c>
      <c r="D161" s="96" t="s">
        <v>59</v>
      </c>
      <c r="E161" s="97" t="s">
        <v>404</v>
      </c>
      <c r="F161" s="97" t="s">
        <v>405</v>
      </c>
      <c r="G161" s="98">
        <v>10</v>
      </c>
      <c r="H161" s="99"/>
      <c r="I161" s="100" t="s">
        <v>135</v>
      </c>
      <c r="J161" s="99"/>
      <c r="K161" s="100" t="s">
        <v>135</v>
      </c>
      <c r="L161" s="99"/>
      <c r="M161" s="100"/>
      <c r="N161" s="99"/>
      <c r="O161" s="100" t="s">
        <v>135</v>
      </c>
      <c r="P161" s="99"/>
      <c r="Q161" s="100"/>
      <c r="R161" s="99"/>
      <c r="S161" s="100" t="s">
        <v>135</v>
      </c>
      <c r="T161" s="101">
        <f>73915.79</f>
        <v>73915.789999999994</v>
      </c>
      <c r="U161" s="102" t="str">
        <f t="shared" si="19"/>
        <v>－</v>
      </c>
      <c r="V161" s="102"/>
      <c r="W161" s="102"/>
      <c r="X161" s="102" t="str">
        <f t="shared" si="20"/>
        <v>－</v>
      </c>
      <c r="Y161" s="102"/>
      <c r="Z161" s="103"/>
      <c r="AA161" s="99"/>
      <c r="AB161" s="104" t="str">
        <f t="shared" si="21"/>
        <v>－</v>
      </c>
      <c r="AC161" s="104" t="str">
        <f t="shared" si="18"/>
        <v>－</v>
      </c>
      <c r="AD161" s="105" t="str">
        <f t="shared" si="18"/>
        <v>－</v>
      </c>
    </row>
    <row r="162" spans="1:30">
      <c r="A162" s="95" t="s">
        <v>46</v>
      </c>
      <c r="B162" s="96" t="s">
        <v>589</v>
      </c>
      <c r="C162" s="96" t="s">
        <v>590</v>
      </c>
      <c r="D162" s="96" t="s">
        <v>237</v>
      </c>
      <c r="E162" s="97" t="s">
        <v>295</v>
      </c>
      <c r="F162" s="97" t="s">
        <v>61</v>
      </c>
      <c r="G162" s="98">
        <v>10</v>
      </c>
      <c r="H162" s="99"/>
      <c r="I162" s="100" t="s">
        <v>135</v>
      </c>
      <c r="J162" s="99"/>
      <c r="K162" s="100" t="s">
        <v>135</v>
      </c>
      <c r="L162" s="99"/>
      <c r="M162" s="100"/>
      <c r="N162" s="99"/>
      <c r="O162" s="100" t="s">
        <v>135</v>
      </c>
      <c r="P162" s="99"/>
      <c r="Q162" s="100"/>
      <c r="R162" s="99"/>
      <c r="S162" s="100" t="s">
        <v>135</v>
      </c>
      <c r="T162" s="101">
        <f>73915.79</f>
        <v>73915.789999999994</v>
      </c>
      <c r="U162" s="102" t="str">
        <f t="shared" si="19"/>
        <v>－</v>
      </c>
      <c r="V162" s="102"/>
      <c r="W162" s="102"/>
      <c r="X162" s="102" t="str">
        <f t="shared" si="20"/>
        <v>－</v>
      </c>
      <c r="Y162" s="102"/>
      <c r="Z162" s="103"/>
      <c r="AA162" s="99"/>
      <c r="AB162" s="104" t="str">
        <f t="shared" si="21"/>
        <v>－</v>
      </c>
      <c r="AC162" s="104" t="str">
        <f t="shared" si="18"/>
        <v>－</v>
      </c>
      <c r="AD162" s="105" t="str">
        <f t="shared" si="18"/>
        <v>－</v>
      </c>
    </row>
    <row r="163" spans="1:30">
      <c r="A163" s="95" t="s">
        <v>46</v>
      </c>
      <c r="B163" s="96" t="s">
        <v>589</v>
      </c>
      <c r="C163" s="96" t="s">
        <v>590</v>
      </c>
      <c r="D163" s="96" t="s">
        <v>66</v>
      </c>
      <c r="E163" s="97" t="s">
        <v>374</v>
      </c>
      <c r="F163" s="97" t="s">
        <v>274</v>
      </c>
      <c r="G163" s="98">
        <v>10</v>
      </c>
      <c r="H163" s="99"/>
      <c r="I163" s="100" t="s">
        <v>135</v>
      </c>
      <c r="J163" s="99"/>
      <c r="K163" s="100" t="s">
        <v>135</v>
      </c>
      <c r="L163" s="99"/>
      <c r="M163" s="100"/>
      <c r="N163" s="99"/>
      <c r="O163" s="100" t="s">
        <v>135</v>
      </c>
      <c r="P163" s="99"/>
      <c r="Q163" s="100"/>
      <c r="R163" s="99"/>
      <c r="S163" s="100" t="s">
        <v>135</v>
      </c>
      <c r="T163" s="101">
        <f>73915.79</f>
        <v>73915.789999999994</v>
      </c>
      <c r="U163" s="102" t="str">
        <f t="shared" si="19"/>
        <v>－</v>
      </c>
      <c r="V163" s="102"/>
      <c r="W163" s="102"/>
      <c r="X163" s="102" t="str">
        <f t="shared" si="20"/>
        <v>－</v>
      </c>
      <c r="Y163" s="102"/>
      <c r="Z163" s="103"/>
      <c r="AA163" s="99"/>
      <c r="AB163" s="104" t="str">
        <f t="shared" si="21"/>
        <v>－</v>
      </c>
      <c r="AC163" s="104" t="str">
        <f t="shared" si="18"/>
        <v>－</v>
      </c>
      <c r="AD163" s="105" t="str">
        <f t="shared" si="18"/>
        <v>－</v>
      </c>
    </row>
    <row r="164" spans="1:30">
      <c r="A164" s="95" t="s">
        <v>46</v>
      </c>
      <c r="B164" s="96" t="s">
        <v>589</v>
      </c>
      <c r="C164" s="96" t="s">
        <v>590</v>
      </c>
      <c r="D164" s="96" t="s">
        <v>242</v>
      </c>
      <c r="E164" s="97" t="s">
        <v>89</v>
      </c>
      <c r="F164" s="97" t="s">
        <v>406</v>
      </c>
      <c r="G164" s="98">
        <v>10</v>
      </c>
      <c r="H164" s="99"/>
      <c r="I164" s="100" t="s">
        <v>135</v>
      </c>
      <c r="J164" s="99"/>
      <c r="K164" s="100" t="s">
        <v>135</v>
      </c>
      <c r="L164" s="99"/>
      <c r="M164" s="100"/>
      <c r="N164" s="99"/>
      <c r="O164" s="100" t="s">
        <v>135</v>
      </c>
      <c r="P164" s="99"/>
      <c r="Q164" s="100"/>
      <c r="R164" s="99"/>
      <c r="S164" s="100" t="s">
        <v>135</v>
      </c>
      <c r="T164" s="101">
        <f>73915.79</f>
        <v>73915.789999999994</v>
      </c>
      <c r="U164" s="102" t="str">
        <f t="shared" si="19"/>
        <v>－</v>
      </c>
      <c r="V164" s="102"/>
      <c r="W164" s="102"/>
      <c r="X164" s="102" t="str">
        <f t="shared" si="20"/>
        <v>－</v>
      </c>
      <c r="Y164" s="102"/>
      <c r="Z164" s="103"/>
      <c r="AA164" s="99"/>
      <c r="AB164" s="104" t="str">
        <f t="shared" si="21"/>
        <v>－</v>
      </c>
      <c r="AC164" s="104" t="str">
        <f t="shared" si="18"/>
        <v>－</v>
      </c>
      <c r="AD164" s="105" t="str">
        <f t="shared" si="18"/>
        <v>－</v>
      </c>
    </row>
    <row r="165" spans="1:30">
      <c r="A165" s="95" t="s">
        <v>46</v>
      </c>
      <c r="B165" s="96" t="s">
        <v>589</v>
      </c>
      <c r="C165" s="96" t="s">
        <v>590</v>
      </c>
      <c r="D165" s="96" t="s">
        <v>72</v>
      </c>
      <c r="E165" s="97" t="s">
        <v>304</v>
      </c>
      <c r="F165" s="97" t="s">
        <v>284</v>
      </c>
      <c r="G165" s="98">
        <v>10</v>
      </c>
      <c r="H165" s="99"/>
      <c r="I165" s="100" t="s">
        <v>135</v>
      </c>
      <c r="J165" s="99"/>
      <c r="K165" s="100" t="s">
        <v>135</v>
      </c>
      <c r="L165" s="99"/>
      <c r="M165" s="100"/>
      <c r="N165" s="99"/>
      <c r="O165" s="100" t="s">
        <v>135</v>
      </c>
      <c r="P165" s="99"/>
      <c r="Q165" s="100"/>
      <c r="R165" s="99"/>
      <c r="S165" s="100" t="s">
        <v>135</v>
      </c>
      <c r="T165" s="101">
        <f>73600</f>
        <v>73600</v>
      </c>
      <c r="U165" s="102" t="str">
        <f t="shared" si="19"/>
        <v>－</v>
      </c>
      <c r="V165" s="102"/>
      <c r="W165" s="102"/>
      <c r="X165" s="102" t="str">
        <f t="shared" si="20"/>
        <v>－</v>
      </c>
      <c r="Y165" s="102"/>
      <c r="Z165" s="103"/>
      <c r="AA165" s="99"/>
      <c r="AB165" s="104" t="str">
        <f t="shared" si="21"/>
        <v>－</v>
      </c>
      <c r="AC165" s="104" t="str">
        <f t="shared" si="18"/>
        <v>－</v>
      </c>
      <c r="AD165" s="105" t="str">
        <f t="shared" si="18"/>
        <v>－</v>
      </c>
    </row>
    <row r="166" spans="1:30">
      <c r="A166" s="95" t="s">
        <v>46</v>
      </c>
      <c r="B166" s="96" t="s">
        <v>597</v>
      </c>
      <c r="C166" s="96" t="s">
        <v>598</v>
      </c>
      <c r="D166" s="96" t="s">
        <v>49</v>
      </c>
      <c r="E166" s="97" t="s">
        <v>283</v>
      </c>
      <c r="F166" s="97" t="s">
        <v>248</v>
      </c>
      <c r="G166" s="98">
        <v>10</v>
      </c>
      <c r="H166" s="99" t="s">
        <v>146</v>
      </c>
      <c r="I166" s="100" t="s">
        <v>599</v>
      </c>
      <c r="J166" s="99" t="s">
        <v>92</v>
      </c>
      <c r="K166" s="100" t="s">
        <v>600</v>
      </c>
      <c r="L166" s="99" t="s">
        <v>92</v>
      </c>
      <c r="M166" s="100" t="s">
        <v>601</v>
      </c>
      <c r="N166" s="99" t="s">
        <v>54</v>
      </c>
      <c r="O166" s="100" t="s">
        <v>602</v>
      </c>
      <c r="P166" s="99" t="s">
        <v>54</v>
      </c>
      <c r="Q166" s="100" t="s">
        <v>603</v>
      </c>
      <c r="R166" s="99" t="s">
        <v>54</v>
      </c>
      <c r="S166" s="100" t="s">
        <v>602</v>
      </c>
      <c r="T166" s="101">
        <f>78318.67</f>
        <v>78318.67</v>
      </c>
      <c r="U166" s="102">
        <f>63</f>
        <v>63</v>
      </c>
      <c r="V166" s="102">
        <v>26</v>
      </c>
      <c r="W166" s="102"/>
      <c r="X166" s="102">
        <f>49633600</f>
        <v>49633600</v>
      </c>
      <c r="Y166" s="102">
        <v>20460600</v>
      </c>
      <c r="Z166" s="103"/>
      <c r="AA166" s="99" t="s">
        <v>229</v>
      </c>
      <c r="AB166" s="104">
        <f>52</f>
        <v>52</v>
      </c>
      <c r="AC166" s="104" t="str">
        <f t="shared" si="18"/>
        <v>－</v>
      </c>
      <c r="AD166" s="105">
        <f>6</f>
        <v>6</v>
      </c>
    </row>
    <row r="167" spans="1:30">
      <c r="A167" s="95" t="s">
        <v>46</v>
      </c>
      <c r="B167" s="96" t="s">
        <v>597</v>
      </c>
      <c r="C167" s="96" t="s">
        <v>598</v>
      </c>
      <c r="D167" s="96" t="s">
        <v>232</v>
      </c>
      <c r="E167" s="97" t="s">
        <v>288</v>
      </c>
      <c r="F167" s="97" t="s">
        <v>403</v>
      </c>
      <c r="G167" s="98">
        <v>10</v>
      </c>
      <c r="H167" s="99" t="s">
        <v>146</v>
      </c>
      <c r="I167" s="100" t="s">
        <v>599</v>
      </c>
      <c r="J167" s="99" t="s">
        <v>146</v>
      </c>
      <c r="K167" s="100" t="s">
        <v>599</v>
      </c>
      <c r="L167" s="99"/>
      <c r="M167" s="100"/>
      <c r="N167" s="99" t="s">
        <v>146</v>
      </c>
      <c r="O167" s="100" t="s">
        <v>599</v>
      </c>
      <c r="P167" s="99"/>
      <c r="Q167" s="100"/>
      <c r="R167" s="99" t="s">
        <v>146</v>
      </c>
      <c r="S167" s="100" t="s">
        <v>599</v>
      </c>
      <c r="T167" s="101">
        <f>78000</f>
        <v>78000</v>
      </c>
      <c r="U167" s="102">
        <f>2</f>
        <v>2</v>
      </c>
      <c r="V167" s="102"/>
      <c r="W167" s="102"/>
      <c r="X167" s="102">
        <f>1560000</f>
        <v>1560000</v>
      </c>
      <c r="Y167" s="102"/>
      <c r="Z167" s="103"/>
      <c r="AA167" s="99"/>
      <c r="AB167" s="104">
        <f>2</f>
        <v>2</v>
      </c>
      <c r="AC167" s="104" t="str">
        <f t="shared" si="18"/>
        <v>－</v>
      </c>
      <c r="AD167" s="105">
        <f>1</f>
        <v>1</v>
      </c>
    </row>
    <row r="168" spans="1:30">
      <c r="A168" s="95" t="s">
        <v>46</v>
      </c>
      <c r="B168" s="96" t="s">
        <v>597</v>
      </c>
      <c r="C168" s="96" t="s">
        <v>598</v>
      </c>
      <c r="D168" s="96" t="s">
        <v>59</v>
      </c>
      <c r="E168" s="97" t="s">
        <v>404</v>
      </c>
      <c r="F168" s="97" t="s">
        <v>405</v>
      </c>
      <c r="G168" s="98">
        <v>10</v>
      </c>
      <c r="H168" s="99"/>
      <c r="I168" s="100" t="s">
        <v>135</v>
      </c>
      <c r="J168" s="99"/>
      <c r="K168" s="100" t="s">
        <v>135</v>
      </c>
      <c r="L168" s="99"/>
      <c r="M168" s="100"/>
      <c r="N168" s="99"/>
      <c r="O168" s="100" t="s">
        <v>135</v>
      </c>
      <c r="P168" s="99"/>
      <c r="Q168" s="100"/>
      <c r="R168" s="99"/>
      <c r="S168" s="100" t="s">
        <v>135</v>
      </c>
      <c r="T168" s="101">
        <f>77300</f>
        <v>77300</v>
      </c>
      <c r="U168" s="102" t="str">
        <f>"－"</f>
        <v>－</v>
      </c>
      <c r="V168" s="102"/>
      <c r="W168" s="102"/>
      <c r="X168" s="102" t="str">
        <f>"－"</f>
        <v>－</v>
      </c>
      <c r="Y168" s="102"/>
      <c r="Z168" s="103"/>
      <c r="AA168" s="99"/>
      <c r="AB168" s="104" t="str">
        <f>"－"</f>
        <v>－</v>
      </c>
      <c r="AC168" s="104" t="str">
        <f t="shared" si="18"/>
        <v>－</v>
      </c>
      <c r="AD168" s="105" t="str">
        <f>"－"</f>
        <v>－</v>
      </c>
    </row>
    <row r="169" spans="1:30">
      <c r="A169" s="95" t="s">
        <v>46</v>
      </c>
      <c r="B169" s="96" t="s">
        <v>597</v>
      </c>
      <c r="C169" s="96" t="s">
        <v>598</v>
      </c>
      <c r="D169" s="96" t="s">
        <v>237</v>
      </c>
      <c r="E169" s="97" t="s">
        <v>295</v>
      </c>
      <c r="F169" s="97" t="s">
        <v>61</v>
      </c>
      <c r="G169" s="98">
        <v>10</v>
      </c>
      <c r="H169" s="99"/>
      <c r="I169" s="100" t="s">
        <v>135</v>
      </c>
      <c r="J169" s="99"/>
      <c r="K169" s="100" t="s">
        <v>135</v>
      </c>
      <c r="L169" s="99"/>
      <c r="M169" s="100"/>
      <c r="N169" s="99"/>
      <c r="O169" s="100" t="s">
        <v>135</v>
      </c>
      <c r="P169" s="99"/>
      <c r="Q169" s="100"/>
      <c r="R169" s="99"/>
      <c r="S169" s="100" t="s">
        <v>135</v>
      </c>
      <c r="T169" s="101">
        <f>77300</f>
        <v>77300</v>
      </c>
      <c r="U169" s="102" t="str">
        <f>"－"</f>
        <v>－</v>
      </c>
      <c r="V169" s="102"/>
      <c r="W169" s="102"/>
      <c r="X169" s="102" t="str">
        <f>"－"</f>
        <v>－</v>
      </c>
      <c r="Y169" s="102"/>
      <c r="Z169" s="103"/>
      <c r="AA169" s="99"/>
      <c r="AB169" s="104" t="str">
        <f>"－"</f>
        <v>－</v>
      </c>
      <c r="AC169" s="104" t="str">
        <f t="shared" si="18"/>
        <v>－</v>
      </c>
      <c r="AD169" s="105" t="str">
        <f>"－"</f>
        <v>－</v>
      </c>
    </row>
    <row r="170" spans="1:30">
      <c r="A170" s="95" t="s">
        <v>46</v>
      </c>
      <c r="B170" s="96" t="s">
        <v>597</v>
      </c>
      <c r="C170" s="96" t="s">
        <v>598</v>
      </c>
      <c r="D170" s="96" t="s">
        <v>66</v>
      </c>
      <c r="E170" s="97" t="s">
        <v>374</v>
      </c>
      <c r="F170" s="97" t="s">
        <v>274</v>
      </c>
      <c r="G170" s="98">
        <v>10</v>
      </c>
      <c r="H170" s="99"/>
      <c r="I170" s="100" t="s">
        <v>135</v>
      </c>
      <c r="J170" s="99"/>
      <c r="K170" s="100" t="s">
        <v>135</v>
      </c>
      <c r="L170" s="99"/>
      <c r="M170" s="100"/>
      <c r="N170" s="99"/>
      <c r="O170" s="100" t="s">
        <v>135</v>
      </c>
      <c r="P170" s="99"/>
      <c r="Q170" s="100"/>
      <c r="R170" s="99"/>
      <c r="S170" s="100" t="s">
        <v>135</v>
      </c>
      <c r="T170" s="101">
        <f>77300</f>
        <v>77300</v>
      </c>
      <c r="U170" s="102" t="str">
        <f>"－"</f>
        <v>－</v>
      </c>
      <c r="V170" s="102"/>
      <c r="W170" s="102"/>
      <c r="X170" s="102" t="str">
        <f>"－"</f>
        <v>－</v>
      </c>
      <c r="Y170" s="102"/>
      <c r="Z170" s="103"/>
      <c r="AA170" s="99"/>
      <c r="AB170" s="104" t="str">
        <f>"－"</f>
        <v>－</v>
      </c>
      <c r="AC170" s="104" t="str">
        <f t="shared" si="18"/>
        <v>－</v>
      </c>
      <c r="AD170" s="105" t="str">
        <f>"－"</f>
        <v>－</v>
      </c>
    </row>
    <row r="171" spans="1:30">
      <c r="A171" s="95" t="s">
        <v>46</v>
      </c>
      <c r="B171" s="96" t="s">
        <v>597</v>
      </c>
      <c r="C171" s="96" t="s">
        <v>598</v>
      </c>
      <c r="D171" s="96" t="s">
        <v>242</v>
      </c>
      <c r="E171" s="97" t="s">
        <v>89</v>
      </c>
      <c r="F171" s="97" t="s">
        <v>406</v>
      </c>
      <c r="G171" s="98">
        <v>10</v>
      </c>
      <c r="H171" s="99"/>
      <c r="I171" s="100" t="s">
        <v>135</v>
      </c>
      <c r="J171" s="99"/>
      <c r="K171" s="100" t="s">
        <v>135</v>
      </c>
      <c r="L171" s="99"/>
      <c r="M171" s="100"/>
      <c r="N171" s="99"/>
      <c r="O171" s="100" t="s">
        <v>135</v>
      </c>
      <c r="P171" s="99"/>
      <c r="Q171" s="100"/>
      <c r="R171" s="99"/>
      <c r="S171" s="100" t="s">
        <v>135</v>
      </c>
      <c r="T171" s="101">
        <f>77300</f>
        <v>77300</v>
      </c>
      <c r="U171" s="102" t="str">
        <f>"－"</f>
        <v>－</v>
      </c>
      <c r="V171" s="102"/>
      <c r="W171" s="102"/>
      <c r="X171" s="102" t="str">
        <f>"－"</f>
        <v>－</v>
      </c>
      <c r="Y171" s="102"/>
      <c r="Z171" s="103"/>
      <c r="AA171" s="99"/>
      <c r="AB171" s="104" t="str">
        <f>"－"</f>
        <v>－</v>
      </c>
      <c r="AC171" s="104" t="str">
        <f t="shared" si="18"/>
        <v>－</v>
      </c>
      <c r="AD171" s="105" t="str">
        <f>"－"</f>
        <v>－</v>
      </c>
    </row>
    <row r="172" spans="1:30">
      <c r="A172" s="95" t="s">
        <v>46</v>
      </c>
      <c r="B172" s="96" t="s">
        <v>597</v>
      </c>
      <c r="C172" s="96" t="s">
        <v>598</v>
      </c>
      <c r="D172" s="96" t="s">
        <v>72</v>
      </c>
      <c r="E172" s="97" t="s">
        <v>304</v>
      </c>
      <c r="F172" s="97" t="s">
        <v>284</v>
      </c>
      <c r="G172" s="98">
        <v>10</v>
      </c>
      <c r="H172" s="99"/>
      <c r="I172" s="100" t="s">
        <v>135</v>
      </c>
      <c r="J172" s="99"/>
      <c r="K172" s="100" t="s">
        <v>135</v>
      </c>
      <c r="L172" s="99"/>
      <c r="M172" s="100"/>
      <c r="N172" s="99"/>
      <c r="O172" s="100" t="s">
        <v>135</v>
      </c>
      <c r="P172" s="99"/>
      <c r="Q172" s="100"/>
      <c r="R172" s="99"/>
      <c r="S172" s="100" t="s">
        <v>135</v>
      </c>
      <c r="T172" s="101">
        <f>77300</f>
        <v>77300</v>
      </c>
      <c r="U172" s="102" t="str">
        <f>"－"</f>
        <v>－</v>
      </c>
      <c r="V172" s="102"/>
      <c r="W172" s="102"/>
      <c r="X172" s="102" t="str">
        <f>"－"</f>
        <v>－</v>
      </c>
      <c r="Y172" s="102"/>
      <c r="Z172" s="103"/>
      <c r="AA172" s="99"/>
      <c r="AB172" s="104" t="str">
        <f>"－"</f>
        <v>－</v>
      </c>
      <c r="AC172" s="104" t="str">
        <f t="shared" si="18"/>
        <v>－</v>
      </c>
      <c r="AD172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2023-02-06T07:15:21Z</dcterms:modified>
</cp:coreProperties>
</file>