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-suzuki\Downloads\"/>
    </mc:Choice>
  </mc:AlternateContent>
  <xr:revisionPtr revIDLastSave="0" documentId="13_ncr:1_{636ABEF4-59AA-4459-AC53-837AC4E0D631}" xr6:coauthVersionLast="47" xr6:coauthVersionMax="47" xr10:uidLastSave="{00000000-0000-0000-0000-000000000000}"/>
  <bookViews>
    <workbookView xWindow="-120" yWindow="-120" windowWidth="20760" windowHeight="13320" activeTab="1" xr2:uid="{00000000-000D-0000-FFFF-FFFF00000000}"/>
  </bookViews>
  <sheets>
    <sheet name="BO_DM0005" sheetId="9" r:id="rId1"/>
    <sheet name="BO_DM0007" sheetId="10" r:id="rId2"/>
  </sheets>
  <definedNames>
    <definedName name="_xlnm.Print_Titles" localSheetId="0">BO_DM0005!$1:$6</definedName>
    <definedName name="_xlnm.Print_Titles" localSheetId="1">BO_DM0007!$1:$6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20" i="10" l="1"/>
  <c r="AC120" i="10"/>
  <c r="AB120" i="10"/>
  <c r="X120" i="10"/>
  <c r="U120" i="10"/>
  <c r="T120" i="10"/>
  <c r="AD119" i="10"/>
  <c r="AC119" i="10"/>
  <c r="AB119" i="10"/>
  <c r="X119" i="10"/>
  <c r="U119" i="10"/>
  <c r="T119" i="10"/>
  <c r="AD118" i="10"/>
  <c r="AC118" i="10"/>
  <c r="AB118" i="10"/>
  <c r="X118" i="10"/>
  <c r="U118" i="10"/>
  <c r="T118" i="10"/>
  <c r="AD117" i="10"/>
  <c r="AC117" i="10"/>
  <c r="AB117" i="10"/>
  <c r="X117" i="10"/>
  <c r="U117" i="10"/>
  <c r="T117" i="10"/>
  <c r="AD116" i="10"/>
  <c r="AC116" i="10"/>
  <c r="AB116" i="10"/>
  <c r="X116" i="10"/>
  <c r="U116" i="10"/>
  <c r="T116" i="10"/>
  <c r="AD115" i="10"/>
  <c r="AC115" i="10"/>
  <c r="AB115" i="10"/>
  <c r="X115" i="10"/>
  <c r="U115" i="10"/>
  <c r="T115" i="10"/>
  <c r="AD114" i="10"/>
  <c r="AC114" i="10"/>
  <c r="AB114" i="10"/>
  <c r="X114" i="10"/>
  <c r="U114" i="10"/>
  <c r="T114" i="10"/>
  <c r="AD113" i="10"/>
  <c r="AC113" i="10"/>
  <c r="AB113" i="10"/>
  <c r="X113" i="10"/>
  <c r="U113" i="10"/>
  <c r="T113" i="10"/>
  <c r="AD112" i="10"/>
  <c r="AC112" i="10"/>
  <c r="AB112" i="10"/>
  <c r="X112" i="10"/>
  <c r="U112" i="10"/>
  <c r="T112" i="10"/>
  <c r="AD111" i="10"/>
  <c r="AC111" i="10"/>
  <c r="AB111" i="10"/>
  <c r="X111" i="10"/>
  <c r="U111" i="10"/>
  <c r="T111" i="10"/>
  <c r="AD110" i="10"/>
  <c r="AC110" i="10"/>
  <c r="AB110" i="10"/>
  <c r="X110" i="10"/>
  <c r="U110" i="10"/>
  <c r="T110" i="10"/>
  <c r="AD109" i="10"/>
  <c r="AC109" i="10"/>
  <c r="AB109" i="10"/>
  <c r="X109" i="10"/>
  <c r="U109" i="10"/>
  <c r="T109" i="10"/>
  <c r="AD108" i="10"/>
  <c r="AC108" i="10"/>
  <c r="AB108" i="10"/>
  <c r="X108" i="10"/>
  <c r="U108" i="10"/>
  <c r="T108" i="10"/>
  <c r="AD107" i="10"/>
  <c r="AC107" i="10"/>
  <c r="AB107" i="10"/>
  <c r="X107" i="10"/>
  <c r="U107" i="10"/>
  <c r="T107" i="10"/>
  <c r="AD106" i="10"/>
  <c r="AC106" i="10"/>
  <c r="AB106" i="10"/>
  <c r="X106" i="10"/>
  <c r="U106" i="10"/>
  <c r="T106" i="10"/>
  <c r="AD105" i="10"/>
  <c r="AC105" i="10"/>
  <c r="AB105" i="10"/>
  <c r="X105" i="10"/>
  <c r="U105" i="10"/>
  <c r="T105" i="10"/>
  <c r="AD104" i="10"/>
  <c r="AC104" i="10"/>
  <c r="AB104" i="10"/>
  <c r="X104" i="10"/>
  <c r="U104" i="10"/>
  <c r="T104" i="10"/>
  <c r="AD103" i="10"/>
  <c r="AC103" i="10"/>
  <c r="AB103" i="10"/>
  <c r="X103" i="10"/>
  <c r="U103" i="10"/>
  <c r="T103" i="10"/>
  <c r="AD102" i="10"/>
  <c r="AC102" i="10"/>
  <c r="AB102" i="10"/>
  <c r="X102" i="10"/>
  <c r="U102" i="10"/>
  <c r="T102" i="10"/>
  <c r="AD101" i="10"/>
  <c r="AC101" i="10"/>
  <c r="AB101" i="10"/>
  <c r="X101" i="10"/>
  <c r="U101" i="10"/>
  <c r="T101" i="10"/>
  <c r="AD100" i="10"/>
  <c r="AC100" i="10"/>
  <c r="AB100" i="10"/>
  <c r="X100" i="10"/>
  <c r="U100" i="10"/>
  <c r="T100" i="10"/>
  <c r="AD99" i="10"/>
  <c r="AC99" i="10"/>
  <c r="AB99" i="10"/>
  <c r="X99" i="10"/>
  <c r="U99" i="10"/>
  <c r="T99" i="10"/>
  <c r="AD98" i="10"/>
  <c r="AC98" i="10"/>
  <c r="AB98" i="10"/>
  <c r="X98" i="10"/>
  <c r="U98" i="10"/>
  <c r="T98" i="10"/>
  <c r="AD97" i="10"/>
  <c r="AC97" i="10"/>
  <c r="AB97" i="10"/>
  <c r="X97" i="10"/>
  <c r="U97" i="10"/>
  <c r="T97" i="10"/>
  <c r="AD96" i="10"/>
  <c r="AC96" i="10"/>
  <c r="AB96" i="10"/>
  <c r="X96" i="10"/>
  <c r="U96" i="10"/>
  <c r="T96" i="10"/>
  <c r="AD95" i="10"/>
  <c r="AC95" i="10"/>
  <c r="AB95" i="10"/>
  <c r="X95" i="10"/>
  <c r="U95" i="10"/>
  <c r="T95" i="10"/>
  <c r="AD94" i="10"/>
  <c r="AC94" i="10"/>
  <c r="AB94" i="10"/>
  <c r="X94" i="10"/>
  <c r="U94" i="10"/>
  <c r="T94" i="10"/>
  <c r="AD93" i="10"/>
  <c r="AC93" i="10"/>
  <c r="AB93" i="10"/>
  <c r="X93" i="10"/>
  <c r="U93" i="10"/>
  <c r="T93" i="10"/>
  <c r="AD92" i="10"/>
  <c r="AC92" i="10"/>
  <c r="AB92" i="10"/>
  <c r="X92" i="10"/>
  <c r="U92" i="10"/>
  <c r="T92" i="10"/>
  <c r="AD91" i="10"/>
  <c r="AC91" i="10"/>
  <c r="AB91" i="10"/>
  <c r="X91" i="10"/>
  <c r="U91" i="10"/>
  <c r="T91" i="10"/>
  <c r="AD90" i="10"/>
  <c r="AC90" i="10"/>
  <c r="AB90" i="10"/>
  <c r="X90" i="10"/>
  <c r="U90" i="10"/>
  <c r="T90" i="10"/>
  <c r="AD89" i="10"/>
  <c r="AC89" i="10"/>
  <c r="AB89" i="10"/>
  <c r="X89" i="10"/>
  <c r="U89" i="10"/>
  <c r="T89" i="10"/>
  <c r="AD88" i="10"/>
  <c r="AC88" i="10"/>
  <c r="AB88" i="10"/>
  <c r="X88" i="10"/>
  <c r="U88" i="10"/>
  <c r="T88" i="10"/>
  <c r="AD87" i="10"/>
  <c r="AC87" i="10"/>
  <c r="AB87" i="10"/>
  <c r="X87" i="10"/>
  <c r="U87" i="10"/>
  <c r="T87" i="10"/>
  <c r="AD86" i="10"/>
  <c r="AC86" i="10"/>
  <c r="AB86" i="10"/>
  <c r="X86" i="10"/>
  <c r="U86" i="10"/>
  <c r="T86" i="10"/>
  <c r="AD85" i="10"/>
  <c r="AC85" i="10"/>
  <c r="AB85" i="10"/>
  <c r="X85" i="10"/>
  <c r="U85" i="10"/>
  <c r="T85" i="10"/>
  <c r="AD84" i="10"/>
  <c r="AC84" i="10"/>
  <c r="AB84" i="10"/>
  <c r="X84" i="10"/>
  <c r="U84" i="10"/>
  <c r="T84" i="10"/>
  <c r="AD83" i="10"/>
  <c r="AC83" i="10"/>
  <c r="AB83" i="10"/>
  <c r="X83" i="10"/>
  <c r="U83" i="10"/>
  <c r="T83" i="10"/>
  <c r="AD82" i="10"/>
  <c r="AC82" i="10"/>
  <c r="AB82" i="10"/>
  <c r="X82" i="10"/>
  <c r="U82" i="10"/>
  <c r="T82" i="10"/>
  <c r="AD81" i="10"/>
  <c r="AC81" i="10"/>
  <c r="AB81" i="10"/>
  <c r="X81" i="10"/>
  <c r="U81" i="10"/>
  <c r="T81" i="10"/>
  <c r="AD80" i="10"/>
  <c r="AC80" i="10"/>
  <c r="AB80" i="10"/>
  <c r="X80" i="10"/>
  <c r="U80" i="10"/>
  <c r="T80" i="10"/>
  <c r="AD79" i="10"/>
  <c r="AC79" i="10"/>
  <c r="AB79" i="10"/>
  <c r="X79" i="10"/>
  <c r="U79" i="10"/>
  <c r="T79" i="10"/>
  <c r="AD78" i="10"/>
  <c r="AC78" i="10"/>
  <c r="AB78" i="10"/>
  <c r="X78" i="10"/>
  <c r="U78" i="10"/>
  <c r="T78" i="10"/>
  <c r="AD77" i="10"/>
  <c r="AC77" i="10"/>
  <c r="AB77" i="10"/>
  <c r="X77" i="10"/>
  <c r="U77" i="10"/>
  <c r="T77" i="10"/>
  <c r="AD76" i="10"/>
  <c r="AC76" i="10"/>
  <c r="AB76" i="10"/>
  <c r="X76" i="10"/>
  <c r="U76" i="10"/>
  <c r="T76" i="10"/>
  <c r="AD75" i="10"/>
  <c r="AC75" i="10"/>
  <c r="AB75" i="10"/>
  <c r="X75" i="10"/>
  <c r="U75" i="10"/>
  <c r="T75" i="10"/>
  <c r="AD74" i="10"/>
  <c r="AC74" i="10"/>
  <c r="AB74" i="10"/>
  <c r="X74" i="10"/>
  <c r="U74" i="10"/>
  <c r="T74" i="10"/>
  <c r="AD73" i="10"/>
  <c r="AC73" i="10"/>
  <c r="AB73" i="10"/>
  <c r="X73" i="10"/>
  <c r="U73" i="10"/>
  <c r="T73" i="10"/>
  <c r="AD72" i="10"/>
  <c r="AC72" i="10"/>
  <c r="AB72" i="10"/>
  <c r="X72" i="10"/>
  <c r="U72" i="10"/>
  <c r="T72" i="10"/>
  <c r="AD71" i="10"/>
  <c r="AC71" i="10"/>
  <c r="AB71" i="10"/>
  <c r="X71" i="10"/>
  <c r="U71" i="10"/>
  <c r="T71" i="10"/>
  <c r="AD70" i="10"/>
  <c r="AC70" i="10"/>
  <c r="AB70" i="10"/>
  <c r="X70" i="10"/>
  <c r="U70" i="10"/>
  <c r="T70" i="10"/>
  <c r="AD69" i="10"/>
  <c r="AC69" i="10"/>
  <c r="AB69" i="10"/>
  <c r="X69" i="10"/>
  <c r="U69" i="10"/>
  <c r="T69" i="10"/>
  <c r="AD68" i="10"/>
  <c r="AC68" i="10"/>
  <c r="AB68" i="10"/>
  <c r="X68" i="10"/>
  <c r="U68" i="10"/>
  <c r="T68" i="10"/>
  <c r="AD67" i="10"/>
  <c r="AC67" i="10"/>
  <c r="AB67" i="10"/>
  <c r="X67" i="10"/>
  <c r="U67" i="10"/>
  <c r="T67" i="10"/>
  <c r="AD66" i="10"/>
  <c r="AC66" i="10"/>
  <c r="AB66" i="10"/>
  <c r="X66" i="10"/>
  <c r="U66" i="10"/>
  <c r="T66" i="10"/>
  <c r="AD65" i="10"/>
  <c r="AC65" i="10"/>
  <c r="AB65" i="10"/>
  <c r="X65" i="10"/>
  <c r="U65" i="10"/>
  <c r="T65" i="10"/>
  <c r="AD64" i="10"/>
  <c r="AC64" i="10"/>
  <c r="AB64" i="10"/>
  <c r="X64" i="10"/>
  <c r="U64" i="10"/>
  <c r="T64" i="10"/>
  <c r="AD63" i="10"/>
  <c r="AC63" i="10"/>
  <c r="AB63" i="10"/>
  <c r="X63" i="10"/>
  <c r="U63" i="10"/>
  <c r="T63" i="10"/>
  <c r="AD62" i="10"/>
  <c r="AC62" i="10"/>
  <c r="AB62" i="10"/>
  <c r="X62" i="10"/>
  <c r="U62" i="10"/>
  <c r="T62" i="10"/>
  <c r="AD61" i="10"/>
  <c r="AC61" i="10"/>
  <c r="AB61" i="10"/>
  <c r="X61" i="10"/>
  <c r="U61" i="10"/>
  <c r="T61" i="10"/>
  <c r="AD60" i="10"/>
  <c r="AC60" i="10"/>
  <c r="AB60" i="10"/>
  <c r="X60" i="10"/>
  <c r="U60" i="10"/>
  <c r="T60" i="10"/>
  <c r="AD59" i="10"/>
  <c r="AC59" i="10"/>
  <c r="AB59" i="10"/>
  <c r="X59" i="10"/>
  <c r="U59" i="10"/>
  <c r="T59" i="10"/>
  <c r="AD58" i="10"/>
  <c r="AC58" i="10"/>
  <c r="AB58" i="10"/>
  <c r="X58" i="10"/>
  <c r="U58" i="10"/>
  <c r="T58" i="10"/>
  <c r="AD57" i="10"/>
  <c r="AC57" i="10"/>
  <c r="AB57" i="10"/>
  <c r="X57" i="10"/>
  <c r="U57" i="10"/>
  <c r="T57" i="10"/>
  <c r="AD56" i="10"/>
  <c r="AC56" i="10"/>
  <c r="AB56" i="10"/>
  <c r="X56" i="10"/>
  <c r="U56" i="10"/>
  <c r="T56" i="10"/>
  <c r="AD55" i="10"/>
  <c r="AC55" i="10"/>
  <c r="AB55" i="10"/>
  <c r="X55" i="10"/>
  <c r="U55" i="10"/>
  <c r="T55" i="10"/>
  <c r="AD54" i="10"/>
  <c r="AC54" i="10"/>
  <c r="AB54" i="10"/>
  <c r="X54" i="10"/>
  <c r="U54" i="10"/>
  <c r="T54" i="10"/>
  <c r="AD53" i="10"/>
  <c r="AC53" i="10"/>
  <c r="AB53" i="10"/>
  <c r="X53" i="10"/>
  <c r="U53" i="10"/>
  <c r="T53" i="10"/>
  <c r="AD52" i="10"/>
  <c r="AC52" i="10"/>
  <c r="AB52" i="10"/>
  <c r="X52" i="10"/>
  <c r="U52" i="10"/>
  <c r="T52" i="10"/>
  <c r="AD51" i="10"/>
  <c r="AC51" i="10"/>
  <c r="AB51" i="10"/>
  <c r="X51" i="10"/>
  <c r="U51" i="10"/>
  <c r="T51" i="10"/>
  <c r="AD50" i="10"/>
  <c r="AC50" i="10"/>
  <c r="AB50" i="10"/>
  <c r="X50" i="10"/>
  <c r="U50" i="10"/>
  <c r="T50" i="10"/>
  <c r="AD49" i="10"/>
  <c r="AC49" i="10"/>
  <c r="AB49" i="10"/>
  <c r="X49" i="10"/>
  <c r="U49" i="10"/>
  <c r="T49" i="10"/>
  <c r="AD48" i="10"/>
  <c r="AC48" i="10"/>
  <c r="AB48" i="10"/>
  <c r="X48" i="10"/>
  <c r="U48" i="10"/>
  <c r="T48" i="10"/>
  <c r="AD47" i="10"/>
  <c r="AC47" i="10"/>
  <c r="AB47" i="10"/>
  <c r="X47" i="10"/>
  <c r="U47" i="10"/>
  <c r="T47" i="10"/>
  <c r="AD46" i="10"/>
  <c r="AC46" i="10"/>
  <c r="AB46" i="10"/>
  <c r="X46" i="10"/>
  <c r="U46" i="10"/>
  <c r="T46" i="10"/>
  <c r="AD45" i="10"/>
  <c r="AC45" i="10"/>
  <c r="AB45" i="10"/>
  <c r="X45" i="10"/>
  <c r="U45" i="10"/>
  <c r="T45" i="10"/>
  <c r="AD44" i="10"/>
  <c r="AC44" i="10"/>
  <c r="AB44" i="10"/>
  <c r="X44" i="10"/>
  <c r="U44" i="10"/>
  <c r="T44" i="10"/>
  <c r="AD43" i="10"/>
  <c r="AC43" i="10"/>
  <c r="AB43" i="10"/>
  <c r="X43" i="10"/>
  <c r="U43" i="10"/>
  <c r="T43" i="10"/>
  <c r="AD42" i="10"/>
  <c r="AC42" i="10"/>
  <c r="AB42" i="10"/>
  <c r="X42" i="10"/>
  <c r="U42" i="10"/>
  <c r="T42" i="10"/>
  <c r="AD41" i="10"/>
  <c r="AC41" i="10"/>
  <c r="AB41" i="10"/>
  <c r="X41" i="10"/>
  <c r="U41" i="10"/>
  <c r="T41" i="10"/>
  <c r="AD40" i="10"/>
  <c r="AC40" i="10"/>
  <c r="AB40" i="10"/>
  <c r="X40" i="10"/>
  <c r="U40" i="10"/>
  <c r="T40" i="10"/>
  <c r="AD39" i="10"/>
  <c r="AC39" i="10"/>
  <c r="AB39" i="10"/>
  <c r="X39" i="10"/>
  <c r="U39" i="10"/>
  <c r="T39" i="10"/>
  <c r="AD38" i="10"/>
  <c r="AC38" i="10"/>
  <c r="AB38" i="10"/>
  <c r="X38" i="10"/>
  <c r="U38" i="10"/>
  <c r="T38" i="10"/>
  <c r="AD37" i="10"/>
  <c r="AC37" i="10"/>
  <c r="AB37" i="10"/>
  <c r="X37" i="10"/>
  <c r="U37" i="10"/>
  <c r="T37" i="10"/>
  <c r="AD36" i="10"/>
  <c r="AC36" i="10"/>
  <c r="AB36" i="10"/>
  <c r="X36" i="10"/>
  <c r="U36" i="10"/>
  <c r="T36" i="10"/>
  <c r="AD35" i="10"/>
  <c r="AC35" i="10"/>
  <c r="AB35" i="10"/>
  <c r="X35" i="10"/>
  <c r="U35" i="10"/>
  <c r="T35" i="10"/>
  <c r="AD34" i="10"/>
  <c r="AC34" i="10"/>
  <c r="AB34" i="10"/>
  <c r="X34" i="10"/>
  <c r="U34" i="10"/>
  <c r="T34" i="10"/>
  <c r="AD33" i="10"/>
  <c r="AC33" i="10"/>
  <c r="AB33" i="10"/>
  <c r="X33" i="10"/>
  <c r="U33" i="10"/>
  <c r="T33" i="10"/>
  <c r="AD32" i="10"/>
  <c r="AC32" i="10"/>
  <c r="AB32" i="10"/>
  <c r="X32" i="10"/>
  <c r="U32" i="10"/>
  <c r="T32" i="10"/>
  <c r="AD31" i="10"/>
  <c r="AC31" i="10"/>
  <c r="AB31" i="10"/>
  <c r="X31" i="10"/>
  <c r="U31" i="10"/>
  <c r="T31" i="10"/>
  <c r="AD30" i="10"/>
  <c r="AC30" i="10"/>
  <c r="AB30" i="10"/>
  <c r="X30" i="10"/>
  <c r="U30" i="10"/>
  <c r="T30" i="10"/>
  <c r="AD29" i="10"/>
  <c r="AC29" i="10"/>
  <c r="AB29" i="10"/>
  <c r="X29" i="10"/>
  <c r="U29" i="10"/>
  <c r="T29" i="10"/>
  <c r="AD28" i="10"/>
  <c r="AC28" i="10"/>
  <c r="AB28" i="10"/>
  <c r="X28" i="10"/>
  <c r="U28" i="10"/>
  <c r="T28" i="10"/>
  <c r="AD27" i="10"/>
  <c r="AC27" i="10"/>
  <c r="AB27" i="10"/>
  <c r="X27" i="10"/>
  <c r="U27" i="10"/>
  <c r="T27" i="10"/>
  <c r="AD26" i="10"/>
  <c r="AC26" i="10"/>
  <c r="AB26" i="10"/>
  <c r="X26" i="10"/>
  <c r="U26" i="10"/>
  <c r="T26" i="10"/>
  <c r="AD25" i="10"/>
  <c r="AC25" i="10"/>
  <c r="AB25" i="10"/>
  <c r="X25" i="10"/>
  <c r="U25" i="10"/>
  <c r="T25" i="10"/>
  <c r="AD24" i="10"/>
  <c r="AC24" i="10"/>
  <c r="AB24" i="10"/>
  <c r="X24" i="10"/>
  <c r="U24" i="10"/>
  <c r="T24" i="10"/>
  <c r="AD23" i="10"/>
  <c r="AC23" i="10"/>
  <c r="AB23" i="10"/>
  <c r="X23" i="10"/>
  <c r="U23" i="10"/>
  <c r="T23" i="10"/>
  <c r="AD22" i="10"/>
  <c r="AC22" i="10"/>
  <c r="AB22" i="10"/>
  <c r="X22" i="10"/>
  <c r="U22" i="10"/>
  <c r="T22" i="10"/>
  <c r="AD21" i="10"/>
  <c r="AC21" i="10"/>
  <c r="AB21" i="10"/>
  <c r="X21" i="10"/>
  <c r="U21" i="10"/>
  <c r="T21" i="10"/>
  <c r="AD20" i="10"/>
  <c r="AC20" i="10"/>
  <c r="AB20" i="10"/>
  <c r="X20" i="10"/>
  <c r="U20" i="10"/>
  <c r="T20" i="10"/>
  <c r="AD19" i="10"/>
  <c r="AC19" i="10"/>
  <c r="AB19" i="10"/>
  <c r="X19" i="10"/>
  <c r="U19" i="10"/>
  <c r="T19" i="10"/>
  <c r="AD18" i="10"/>
  <c r="AC18" i="10"/>
  <c r="AB18" i="10"/>
  <c r="X18" i="10"/>
  <c r="U18" i="10"/>
  <c r="T18" i="10"/>
  <c r="AD17" i="10"/>
  <c r="AC17" i="10"/>
  <c r="AB17" i="10"/>
  <c r="X17" i="10"/>
  <c r="U17" i="10"/>
  <c r="T17" i="10"/>
  <c r="AD16" i="10"/>
  <c r="AC16" i="10"/>
  <c r="AB16" i="10"/>
  <c r="X16" i="10"/>
  <c r="U16" i="10"/>
  <c r="T16" i="10"/>
  <c r="AD15" i="10"/>
  <c r="AC15" i="10"/>
  <c r="AB15" i="10"/>
  <c r="X15" i="10"/>
  <c r="U15" i="10"/>
  <c r="T15" i="10"/>
  <c r="AD14" i="10"/>
  <c r="AC14" i="10"/>
  <c r="AB14" i="10"/>
  <c r="X14" i="10"/>
  <c r="U14" i="10"/>
  <c r="T14" i="10"/>
  <c r="AD13" i="10"/>
  <c r="AC13" i="10"/>
  <c r="AB13" i="10"/>
  <c r="X13" i="10"/>
  <c r="U13" i="10"/>
  <c r="T13" i="10"/>
  <c r="AD12" i="10"/>
  <c r="AC12" i="10"/>
  <c r="AB12" i="10"/>
  <c r="X12" i="10"/>
  <c r="U12" i="10"/>
  <c r="T12" i="10"/>
  <c r="AD11" i="10"/>
  <c r="AC11" i="10"/>
  <c r="AB11" i="10"/>
  <c r="X11" i="10"/>
  <c r="U11" i="10"/>
  <c r="T11" i="10"/>
  <c r="AD10" i="10"/>
  <c r="AC10" i="10"/>
  <c r="AB10" i="10"/>
  <c r="X10" i="10"/>
  <c r="U10" i="10"/>
  <c r="T10" i="10"/>
  <c r="AD9" i="10"/>
  <c r="AC9" i="10"/>
  <c r="AB9" i="10"/>
  <c r="X9" i="10"/>
  <c r="U9" i="10"/>
  <c r="T9" i="10"/>
  <c r="AD8" i="10"/>
  <c r="AC8" i="10"/>
  <c r="AB8" i="10"/>
  <c r="X8" i="10"/>
  <c r="U8" i="10"/>
  <c r="T8" i="10"/>
  <c r="AD7" i="10"/>
  <c r="AC7" i="10"/>
  <c r="AB7" i="10"/>
  <c r="X7" i="10"/>
  <c r="U7" i="10"/>
  <c r="T7" i="10"/>
  <c r="AA2" i="10"/>
  <c r="AC95" i="9"/>
  <c r="AB95" i="9"/>
  <c r="AA95" i="9"/>
  <c r="W95" i="9"/>
  <c r="T95" i="9"/>
  <c r="S95" i="9"/>
  <c r="AC94" i="9"/>
  <c r="AB94" i="9"/>
  <c r="AA94" i="9"/>
  <c r="W94" i="9"/>
  <c r="T94" i="9"/>
  <c r="S94" i="9"/>
  <c r="AC93" i="9"/>
  <c r="AB93" i="9"/>
  <c r="AA93" i="9"/>
  <c r="W93" i="9"/>
  <c r="T93" i="9"/>
  <c r="S93" i="9"/>
  <c r="AC92" i="9"/>
  <c r="AB92" i="9"/>
  <c r="AA92" i="9"/>
  <c r="W92" i="9"/>
  <c r="T92" i="9"/>
  <c r="S92" i="9"/>
  <c r="AC91" i="9"/>
  <c r="AB91" i="9"/>
  <c r="AA91" i="9"/>
  <c r="W91" i="9"/>
  <c r="T91" i="9"/>
  <c r="S91" i="9"/>
  <c r="AC90" i="9"/>
  <c r="AB90" i="9"/>
  <c r="AA90" i="9"/>
  <c r="W90" i="9"/>
  <c r="T90" i="9"/>
  <c r="S90" i="9"/>
  <c r="AC89" i="9"/>
  <c r="AB89" i="9"/>
  <c r="AA89" i="9"/>
  <c r="W89" i="9"/>
  <c r="T89" i="9"/>
  <c r="S89" i="9"/>
  <c r="AC88" i="9"/>
  <c r="AB88" i="9"/>
  <c r="AA88" i="9"/>
  <c r="W88" i="9"/>
  <c r="T88" i="9"/>
  <c r="S88" i="9"/>
  <c r="AC87" i="9"/>
  <c r="AB87" i="9"/>
  <c r="AA87" i="9"/>
  <c r="W87" i="9"/>
  <c r="T87" i="9"/>
  <c r="S87" i="9"/>
  <c r="AC86" i="9"/>
  <c r="AB86" i="9"/>
  <c r="AA86" i="9"/>
  <c r="W86" i="9"/>
  <c r="T86" i="9"/>
  <c r="S86" i="9"/>
  <c r="AC85" i="9"/>
  <c r="AB85" i="9"/>
  <c r="AA85" i="9"/>
  <c r="W85" i="9"/>
  <c r="T85" i="9"/>
  <c r="S85" i="9"/>
  <c r="AC84" i="9"/>
  <c r="AB84" i="9"/>
  <c r="AA84" i="9"/>
  <c r="W84" i="9"/>
  <c r="T84" i="9"/>
  <c r="S84" i="9"/>
  <c r="AC83" i="9"/>
  <c r="AB83" i="9"/>
  <c r="AA83" i="9"/>
  <c r="W83" i="9"/>
  <c r="T83" i="9"/>
  <c r="S83" i="9"/>
  <c r="AC82" i="9"/>
  <c r="AB82" i="9"/>
  <c r="AA82" i="9"/>
  <c r="W82" i="9"/>
  <c r="T82" i="9"/>
  <c r="S82" i="9"/>
  <c r="AC81" i="9"/>
  <c r="AB81" i="9"/>
  <c r="AA81" i="9"/>
  <c r="W81" i="9"/>
  <c r="T81" i="9"/>
  <c r="S81" i="9"/>
  <c r="AC80" i="9"/>
  <c r="AB80" i="9"/>
  <c r="AA80" i="9"/>
  <c r="W80" i="9"/>
  <c r="T80" i="9"/>
  <c r="S80" i="9"/>
  <c r="AC79" i="9"/>
  <c r="AB79" i="9"/>
  <c r="AA79" i="9"/>
  <c r="W79" i="9"/>
  <c r="T79" i="9"/>
  <c r="S79" i="9"/>
  <c r="AC78" i="9"/>
  <c r="AB78" i="9"/>
  <c r="AA78" i="9"/>
  <c r="W78" i="9"/>
  <c r="T78" i="9"/>
  <c r="S78" i="9"/>
  <c r="AC77" i="9"/>
  <c r="AB77" i="9"/>
  <c r="AA77" i="9"/>
  <c r="W77" i="9"/>
  <c r="T77" i="9"/>
  <c r="S77" i="9"/>
  <c r="AC76" i="9"/>
  <c r="AB76" i="9"/>
  <c r="AA76" i="9"/>
  <c r="W76" i="9"/>
  <c r="T76" i="9"/>
  <c r="S76" i="9"/>
  <c r="AC75" i="9"/>
  <c r="AB75" i="9"/>
  <c r="AA75" i="9"/>
  <c r="W75" i="9"/>
  <c r="T75" i="9"/>
  <c r="S75" i="9"/>
  <c r="AC74" i="9"/>
  <c r="AB74" i="9"/>
  <c r="AA74" i="9"/>
  <c r="W74" i="9"/>
  <c r="T74" i="9"/>
  <c r="S74" i="9"/>
  <c r="AC73" i="9"/>
  <c r="AB73" i="9"/>
  <c r="AA73" i="9"/>
  <c r="W73" i="9"/>
  <c r="T73" i="9"/>
  <c r="S73" i="9"/>
  <c r="AC72" i="9"/>
  <c r="AB72" i="9"/>
  <c r="AA72" i="9"/>
  <c r="W72" i="9"/>
  <c r="T72" i="9"/>
  <c r="S72" i="9"/>
  <c r="AC71" i="9"/>
  <c r="AB71" i="9"/>
  <c r="AA71" i="9"/>
  <c r="W71" i="9"/>
  <c r="T71" i="9"/>
  <c r="S71" i="9"/>
  <c r="AC70" i="9"/>
  <c r="AB70" i="9"/>
  <c r="AA70" i="9"/>
  <c r="W70" i="9"/>
  <c r="T70" i="9"/>
  <c r="S70" i="9"/>
  <c r="AC69" i="9"/>
  <c r="AB69" i="9"/>
  <c r="AA69" i="9"/>
  <c r="W69" i="9"/>
  <c r="T69" i="9"/>
  <c r="S69" i="9"/>
  <c r="AC68" i="9"/>
  <c r="AB68" i="9"/>
  <c r="AA68" i="9"/>
  <c r="W68" i="9"/>
  <c r="T68" i="9"/>
  <c r="S68" i="9"/>
  <c r="AC67" i="9"/>
  <c r="AB67" i="9"/>
  <c r="AA67" i="9"/>
  <c r="W67" i="9"/>
  <c r="T67" i="9"/>
  <c r="S67" i="9"/>
  <c r="AC66" i="9"/>
  <c r="AB66" i="9"/>
  <c r="AA66" i="9"/>
  <c r="W66" i="9"/>
  <c r="T66" i="9"/>
  <c r="S66" i="9"/>
  <c r="AC65" i="9"/>
  <c r="AB65" i="9"/>
  <c r="AA65" i="9"/>
  <c r="W65" i="9"/>
  <c r="T65" i="9"/>
  <c r="S65" i="9"/>
  <c r="AC64" i="9"/>
  <c r="AB64" i="9"/>
  <c r="AA64" i="9"/>
  <c r="W64" i="9"/>
  <c r="T64" i="9"/>
  <c r="S64" i="9"/>
  <c r="AC63" i="9"/>
  <c r="AB63" i="9"/>
  <c r="AA63" i="9"/>
  <c r="W63" i="9"/>
  <c r="T63" i="9"/>
  <c r="S63" i="9"/>
  <c r="AC62" i="9"/>
  <c r="AB62" i="9"/>
  <c r="AA62" i="9"/>
  <c r="W62" i="9"/>
  <c r="T62" i="9"/>
  <c r="S62" i="9"/>
  <c r="AC61" i="9"/>
  <c r="AB61" i="9"/>
  <c r="AA61" i="9"/>
  <c r="W61" i="9"/>
  <c r="T61" i="9"/>
  <c r="S61" i="9"/>
  <c r="AC60" i="9"/>
  <c r="AB60" i="9"/>
  <c r="AA60" i="9"/>
  <c r="W60" i="9"/>
  <c r="T60" i="9"/>
  <c r="S60" i="9"/>
  <c r="AC59" i="9"/>
  <c r="AB59" i="9"/>
  <c r="AA59" i="9"/>
  <c r="W59" i="9"/>
  <c r="T59" i="9"/>
  <c r="S59" i="9"/>
  <c r="AC58" i="9"/>
  <c r="AB58" i="9"/>
  <c r="AA58" i="9"/>
  <c r="W58" i="9"/>
  <c r="T58" i="9"/>
  <c r="S58" i="9"/>
  <c r="AC57" i="9"/>
  <c r="AB57" i="9"/>
  <c r="AA57" i="9"/>
  <c r="W57" i="9"/>
  <c r="T57" i="9"/>
  <c r="S57" i="9"/>
  <c r="AC56" i="9"/>
  <c r="AB56" i="9"/>
  <c r="AA56" i="9"/>
  <c r="W56" i="9"/>
  <c r="T56" i="9"/>
  <c r="S56" i="9"/>
  <c r="AC55" i="9"/>
  <c r="AB55" i="9"/>
  <c r="AA55" i="9"/>
  <c r="W55" i="9"/>
  <c r="T55" i="9"/>
  <c r="S55" i="9"/>
  <c r="AC54" i="9"/>
  <c r="AB54" i="9"/>
  <c r="AA54" i="9"/>
  <c r="W54" i="9"/>
  <c r="T54" i="9"/>
  <c r="S54" i="9"/>
  <c r="AC53" i="9"/>
  <c r="AB53" i="9"/>
  <c r="AA53" i="9"/>
  <c r="W53" i="9"/>
  <c r="T53" i="9"/>
  <c r="S53" i="9"/>
  <c r="AC52" i="9"/>
  <c r="AB52" i="9"/>
  <c r="AA52" i="9"/>
  <c r="W52" i="9"/>
  <c r="T52" i="9"/>
  <c r="S52" i="9"/>
  <c r="AC51" i="9"/>
  <c r="AB51" i="9"/>
  <c r="AA51" i="9"/>
  <c r="W51" i="9"/>
  <c r="T51" i="9"/>
  <c r="S51" i="9"/>
  <c r="AC50" i="9"/>
  <c r="AB50" i="9"/>
  <c r="AA50" i="9"/>
  <c r="W50" i="9"/>
  <c r="T50" i="9"/>
  <c r="S50" i="9"/>
  <c r="AC49" i="9"/>
  <c r="AB49" i="9"/>
  <c r="AA49" i="9"/>
  <c r="W49" i="9"/>
  <c r="T49" i="9"/>
  <c r="S49" i="9"/>
  <c r="AC48" i="9"/>
  <c r="AB48" i="9"/>
  <c r="AA48" i="9"/>
  <c r="W48" i="9"/>
  <c r="T48" i="9"/>
  <c r="S48" i="9"/>
  <c r="AC47" i="9"/>
  <c r="AB47" i="9"/>
  <c r="AA47" i="9"/>
  <c r="W47" i="9"/>
  <c r="T47" i="9"/>
  <c r="S47" i="9"/>
  <c r="AC46" i="9"/>
  <c r="AB46" i="9"/>
  <c r="AA46" i="9"/>
  <c r="W46" i="9"/>
  <c r="T46" i="9"/>
  <c r="S46" i="9"/>
  <c r="AC45" i="9"/>
  <c r="AB45" i="9"/>
  <c r="AA45" i="9"/>
  <c r="W45" i="9"/>
  <c r="T45" i="9"/>
  <c r="S45" i="9"/>
  <c r="AC44" i="9"/>
  <c r="AB44" i="9"/>
  <c r="AA44" i="9"/>
  <c r="W44" i="9"/>
  <c r="T44" i="9"/>
  <c r="S44" i="9"/>
  <c r="AC43" i="9"/>
  <c r="AB43" i="9"/>
  <c r="AA43" i="9"/>
  <c r="W43" i="9"/>
  <c r="T43" i="9"/>
  <c r="S43" i="9"/>
  <c r="AC42" i="9"/>
  <c r="AB42" i="9"/>
  <c r="AA42" i="9"/>
  <c r="W42" i="9"/>
  <c r="T42" i="9"/>
  <c r="S42" i="9"/>
  <c r="AC41" i="9"/>
  <c r="AB41" i="9"/>
  <c r="AA41" i="9"/>
  <c r="W41" i="9"/>
  <c r="T41" i="9"/>
  <c r="S41" i="9"/>
  <c r="AC40" i="9"/>
  <c r="AB40" i="9"/>
  <c r="AA40" i="9"/>
  <c r="W40" i="9"/>
  <c r="T40" i="9"/>
  <c r="S40" i="9"/>
  <c r="AC39" i="9"/>
  <c r="AB39" i="9"/>
  <c r="AA39" i="9"/>
  <c r="W39" i="9"/>
  <c r="T39" i="9"/>
  <c r="S39" i="9"/>
  <c r="AC38" i="9"/>
  <c r="AB38" i="9"/>
  <c r="AA38" i="9"/>
  <c r="W38" i="9"/>
  <c r="T38" i="9"/>
  <c r="S38" i="9"/>
  <c r="AC37" i="9"/>
  <c r="AB37" i="9"/>
  <c r="AA37" i="9"/>
  <c r="W37" i="9"/>
  <c r="T37" i="9"/>
  <c r="S37" i="9"/>
  <c r="AC36" i="9"/>
  <c r="AB36" i="9"/>
  <c r="AA36" i="9"/>
  <c r="W36" i="9"/>
  <c r="T36" i="9"/>
  <c r="S36" i="9"/>
  <c r="AC35" i="9"/>
  <c r="AB35" i="9"/>
  <c r="AA35" i="9"/>
  <c r="W35" i="9"/>
  <c r="T35" i="9"/>
  <c r="S35" i="9"/>
  <c r="AC34" i="9"/>
  <c r="AB34" i="9"/>
  <c r="AA34" i="9"/>
  <c r="W34" i="9"/>
  <c r="T34" i="9"/>
  <c r="S34" i="9"/>
  <c r="AC33" i="9"/>
  <c r="AB33" i="9"/>
  <c r="AA33" i="9"/>
  <c r="W33" i="9"/>
  <c r="T33" i="9"/>
  <c r="S33" i="9"/>
  <c r="AC32" i="9"/>
  <c r="AB32" i="9"/>
  <c r="AA32" i="9"/>
  <c r="W32" i="9"/>
  <c r="T32" i="9"/>
  <c r="S32" i="9"/>
  <c r="AC31" i="9"/>
  <c r="AB31" i="9"/>
  <c r="AA31" i="9"/>
  <c r="W31" i="9"/>
  <c r="T31" i="9"/>
  <c r="S31" i="9"/>
  <c r="AC30" i="9"/>
  <c r="AB30" i="9"/>
  <c r="AA30" i="9"/>
  <c r="W30" i="9"/>
  <c r="T30" i="9"/>
  <c r="S30" i="9"/>
  <c r="AC29" i="9"/>
  <c r="AB29" i="9"/>
  <c r="AA29" i="9"/>
  <c r="W29" i="9"/>
  <c r="T29" i="9"/>
  <c r="S29" i="9"/>
  <c r="AC28" i="9"/>
  <c r="AB28" i="9"/>
  <c r="AA28" i="9"/>
  <c r="W28" i="9"/>
  <c r="T28" i="9"/>
  <c r="S28" i="9"/>
  <c r="AC27" i="9"/>
  <c r="AB27" i="9"/>
  <c r="AA27" i="9"/>
  <c r="W27" i="9"/>
  <c r="T27" i="9"/>
  <c r="S27" i="9"/>
  <c r="AC26" i="9"/>
  <c r="AB26" i="9"/>
  <c r="AA26" i="9"/>
  <c r="W26" i="9"/>
  <c r="T26" i="9"/>
  <c r="S26" i="9"/>
  <c r="AC25" i="9"/>
  <c r="AB25" i="9"/>
  <c r="AA25" i="9"/>
  <c r="W25" i="9"/>
  <c r="T25" i="9"/>
  <c r="S25" i="9"/>
  <c r="AC24" i="9"/>
  <c r="AB24" i="9"/>
  <c r="AA24" i="9"/>
  <c r="W24" i="9"/>
  <c r="T24" i="9"/>
  <c r="S24" i="9"/>
  <c r="AC23" i="9"/>
  <c r="AB23" i="9"/>
  <c r="AA23" i="9"/>
  <c r="W23" i="9"/>
  <c r="T23" i="9"/>
  <c r="S23" i="9"/>
  <c r="AC22" i="9"/>
  <c r="AB22" i="9"/>
  <c r="AA22" i="9"/>
  <c r="W22" i="9"/>
  <c r="T22" i="9"/>
  <c r="S22" i="9"/>
  <c r="AC21" i="9"/>
  <c r="AB21" i="9"/>
  <c r="AA21" i="9"/>
  <c r="W21" i="9"/>
  <c r="T21" i="9"/>
  <c r="S21" i="9"/>
  <c r="AC20" i="9"/>
  <c r="AB20" i="9"/>
  <c r="AA20" i="9"/>
  <c r="W20" i="9"/>
  <c r="T20" i="9"/>
  <c r="S20" i="9"/>
  <c r="AC19" i="9"/>
  <c r="AB19" i="9"/>
  <c r="AA19" i="9"/>
  <c r="W19" i="9"/>
  <c r="T19" i="9"/>
  <c r="S19" i="9"/>
  <c r="AC18" i="9"/>
  <c r="AB18" i="9"/>
  <c r="AA18" i="9"/>
  <c r="W18" i="9"/>
  <c r="T18" i="9"/>
  <c r="S18" i="9"/>
  <c r="AC17" i="9"/>
  <c r="AB17" i="9"/>
  <c r="AA17" i="9"/>
  <c r="W17" i="9"/>
  <c r="T17" i="9"/>
  <c r="S17" i="9"/>
  <c r="AC16" i="9"/>
  <c r="AB16" i="9"/>
  <c r="AA16" i="9"/>
  <c r="W16" i="9"/>
  <c r="T16" i="9"/>
  <c r="S16" i="9"/>
  <c r="AC15" i="9"/>
  <c r="AB15" i="9"/>
  <c r="AA15" i="9"/>
  <c r="W15" i="9"/>
  <c r="T15" i="9"/>
  <c r="S15" i="9"/>
  <c r="AC14" i="9"/>
  <c r="AB14" i="9"/>
  <c r="AA14" i="9"/>
  <c r="W14" i="9"/>
  <c r="T14" i="9"/>
  <c r="S14" i="9"/>
  <c r="AC13" i="9"/>
  <c r="AB13" i="9"/>
  <c r="AA13" i="9"/>
  <c r="W13" i="9"/>
  <c r="T13" i="9"/>
  <c r="S13" i="9"/>
  <c r="AC12" i="9"/>
  <c r="AB12" i="9"/>
  <c r="AA12" i="9"/>
  <c r="W12" i="9"/>
  <c r="T12" i="9"/>
  <c r="S12" i="9"/>
  <c r="AC11" i="9"/>
  <c r="AB11" i="9"/>
  <c r="AA11" i="9"/>
  <c r="W11" i="9"/>
  <c r="T11" i="9"/>
  <c r="S11" i="9"/>
  <c r="AC10" i="9"/>
  <c r="AB10" i="9"/>
  <c r="AA10" i="9"/>
  <c r="W10" i="9"/>
  <c r="T10" i="9"/>
  <c r="S10" i="9"/>
  <c r="AC9" i="9"/>
  <c r="AB9" i="9"/>
  <c r="AA9" i="9"/>
  <c r="W9" i="9"/>
  <c r="T9" i="9"/>
  <c r="S9" i="9"/>
  <c r="AC8" i="9"/>
  <c r="AB8" i="9"/>
  <c r="AA8" i="9"/>
  <c r="W8" i="9"/>
  <c r="T8" i="9"/>
  <c r="S8" i="9"/>
  <c r="AC7" i="9"/>
  <c r="AB7" i="9"/>
  <c r="AA7" i="9"/>
  <c r="W7" i="9"/>
  <c r="T7" i="9"/>
  <c r="S7" i="9"/>
</calcChain>
</file>

<file path=xl/sharedStrings.xml><?xml version="1.0" encoding="utf-8"?>
<sst xmlns="http://schemas.openxmlformats.org/spreadsheetml/2006/main" count="2762" uniqueCount="629">
  <si>
    <t>年月</t>
  </si>
  <si>
    <t>限月取引</t>
  </si>
  <si>
    <t xml:space="preserve"> </t>
  </si>
  <si>
    <t>　</t>
  </si>
  <si>
    <t>Contract Month</t>
  </si>
  <si>
    <t>取引期間</t>
    <rPh sb="0" eb="2">
      <t>トリヒキ</t>
    </rPh>
    <rPh sb="2" eb="4">
      <t>キカン</t>
    </rPh>
    <phoneticPr fontId="6"/>
  </si>
  <si>
    <t>日</t>
    <rPh sb="0" eb="1">
      <t>ヒ</t>
    </rPh>
    <phoneticPr fontId="6"/>
  </si>
  <si>
    <t>商品等</t>
    <rPh sb="0" eb="2">
      <t>ショウヒン</t>
    </rPh>
    <rPh sb="2" eb="3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</si>
  <si>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</si>
  <si>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</si>
  <si>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</si>
  <si>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</si>
  <si>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</si>
  <si>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</si>
  <si>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</si>
  <si>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</si>
  <si>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</si>
  <si>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</si>
  <si>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</si>
  <si>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</si>
  <si>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</si>
  <si>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</si>
  <si>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</si>
  <si>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</si>
  <si>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</si>
  <si>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</si>
  <si>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sb="0" eb="2">
      <t>ショウヒン</t>
    </rPh>
    <rPh sb="2" eb="4">
      <t>サキモノ</t>
    </rPh>
    <phoneticPr fontId="6"/>
  </si>
  <si>
    <t>Commodity Futures Quotations</t>
    <phoneticPr fontId="6"/>
  </si>
  <si>
    <t>早受渡・申告受渡高
（単位）</t>
    <rPh sb="0" eb="1">
      <t>ハヤ</t>
    </rPh>
    <rPh sb="1" eb="3">
      <t>ウケワタシ</t>
    </rPh>
    <rPh sb="4" eb="6">
      <t>シンコク</t>
    </rPh>
    <rPh sb="6" eb="8">
      <t>ウケワタシ</t>
    </rPh>
    <rPh sb="8" eb="9">
      <t>ダカ</t>
    </rPh>
    <rPh sb="11" eb="13">
      <t>タンイ</t>
    </rPh>
    <phoneticPr fontId="6"/>
  </si>
  <si>
    <t>Early Delivery, Declared Delivery Volume(unit)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</si>
  <si>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</si>
  <si>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</si>
  <si>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</si>
  <si>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</si>
  <si>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始　値
（円/ポイント）</t>
    <phoneticPr fontId="6"/>
  </si>
  <si>
    <t>高　値
（円/ポイント）</t>
    <phoneticPr fontId="6"/>
  </si>
  <si>
    <t>うちJ-NET取引
（円/ポイント）</t>
    <phoneticPr fontId="6"/>
  </si>
  <si>
    <t>安　値
（円/ポイント）</t>
    <phoneticPr fontId="6"/>
  </si>
  <si>
    <t>終　値
（円/ポイント）</t>
    <phoneticPr fontId="6"/>
  </si>
  <si>
    <t>平均清算数値
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</si>
  <si>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</si>
  <si>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</si>
  <si>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</si>
  <si>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</si>
  <si>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</si>
  <si>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</si>
  <si>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2022/01</t>
  </si>
  <si>
    <t>金標準先物</t>
  </si>
  <si>
    <t>Gold Standard Futures</t>
  </si>
  <si>
    <t>2022/02</t>
  </si>
  <si>
    <t>2021/02/24</t>
  </si>
  <si>
    <t>2022/02/22</t>
  </si>
  <si>
    <t>04</t>
  </si>
  <si>
    <t>6,655</t>
  </si>
  <si>
    <t>06</t>
  </si>
  <si>
    <t>6,797</t>
  </si>
  <si>
    <t>31</t>
  </si>
  <si>
    <t>6,600</t>
  </si>
  <si>
    <t>6,640</t>
  </si>
  <si>
    <t>2022/04</t>
  </si>
  <si>
    <t>2021/04/27</t>
  </si>
  <si>
    <t>2022/04/25</t>
  </si>
  <si>
    <t>6,644</t>
  </si>
  <si>
    <t>6,793</t>
  </si>
  <si>
    <t>28</t>
  </si>
  <si>
    <t>6,667.0000</t>
  </si>
  <si>
    <t>6,602</t>
  </si>
  <si>
    <t>6,636</t>
  </si>
  <si>
    <t>2022/06</t>
  </si>
  <si>
    <t>2021/06/28</t>
  </si>
  <si>
    <t>2022/06/27</t>
  </si>
  <si>
    <t>6,649</t>
  </si>
  <si>
    <t>6,790</t>
  </si>
  <si>
    <t>6,633</t>
  </si>
  <si>
    <t>2022/08</t>
  </si>
  <si>
    <t>2021/08/27</t>
  </si>
  <si>
    <t>2022/08/26</t>
  </si>
  <si>
    <t>6,632</t>
  </si>
  <si>
    <t>6,784</t>
  </si>
  <si>
    <t>6,593</t>
  </si>
  <si>
    <t>6,631</t>
  </si>
  <si>
    <t>2022/10</t>
  </si>
  <si>
    <t>2021/10/27</t>
  </si>
  <si>
    <t>2022/10/26</t>
  </si>
  <si>
    <t>6,789</t>
  </si>
  <si>
    <t>6,597</t>
  </si>
  <si>
    <t>2022/12</t>
  </si>
  <si>
    <t>2021/12/24</t>
  </si>
  <si>
    <t>2022/12/23</t>
  </si>
  <si>
    <t>6,643</t>
  </si>
  <si>
    <t>6,792</t>
  </si>
  <si>
    <t>27</t>
  </si>
  <si>
    <t>6,765.0000</t>
  </si>
  <si>
    <t>6,666.0000</t>
  </si>
  <si>
    <t>6,637</t>
  </si>
  <si>
    <t>金ミニ先物</t>
  </si>
  <si>
    <t>Gold Mini Futures</t>
  </si>
  <si>
    <t>2022/02/21</t>
  </si>
  <si>
    <t>6,682</t>
  </si>
  <si>
    <t>6,780</t>
  </si>
  <si>
    <t>6,605</t>
  </si>
  <si>
    <t>6,623</t>
  </si>
  <si>
    <t>2022/04/22</t>
  </si>
  <si>
    <t>6,778</t>
  </si>
  <si>
    <t>6,607</t>
  </si>
  <si>
    <t>6,646</t>
  </si>
  <si>
    <t>2022/06/24</t>
  </si>
  <si>
    <t>6,653</t>
  </si>
  <si>
    <t>6,613</t>
  </si>
  <si>
    <t>2022/08/25</t>
  </si>
  <si>
    <t>6,638</t>
  </si>
  <si>
    <t>6,601</t>
  </si>
  <si>
    <t>2022/10/25</t>
  </si>
  <si>
    <t>6,630</t>
  </si>
  <si>
    <t>6,788</t>
  </si>
  <si>
    <t>6,596</t>
  </si>
  <si>
    <t>2022/12/22</t>
  </si>
  <si>
    <t>金限日先物</t>
  </si>
  <si>
    <t>Gold Rolling-Spot Futures</t>
  </si>
  <si>
    <t>－</t>
  </si>
  <si>
    <t>6,678</t>
  </si>
  <si>
    <t>6,812</t>
  </si>
  <si>
    <t>17</t>
  </si>
  <si>
    <t>6,715.0000</t>
  </si>
  <si>
    <t>6,674</t>
  </si>
  <si>
    <t>銀先物</t>
  </si>
  <si>
    <t>Silver Futures</t>
  </si>
  <si>
    <t>84.1</t>
  </si>
  <si>
    <t>21</t>
  </si>
  <si>
    <t>88.4</t>
  </si>
  <si>
    <t>11</t>
  </si>
  <si>
    <t>83.0</t>
  </si>
  <si>
    <t>84.7</t>
  </si>
  <si>
    <t>24</t>
  </si>
  <si>
    <t>89.5</t>
  </si>
  <si>
    <t>83.2</t>
  </si>
  <si>
    <t>85.8</t>
  </si>
  <si>
    <t>89.0</t>
  </si>
  <si>
    <t>82.9</t>
  </si>
  <si>
    <t>84.9</t>
  </si>
  <si>
    <t>89.1</t>
  </si>
  <si>
    <t>82.8</t>
  </si>
  <si>
    <t>85.0</t>
  </si>
  <si>
    <t>84.6</t>
  </si>
  <si>
    <t>89.4</t>
  </si>
  <si>
    <t>07</t>
  </si>
  <si>
    <t>81.7</t>
  </si>
  <si>
    <t>83.3</t>
  </si>
  <si>
    <t>89.6</t>
  </si>
  <si>
    <t>82.0</t>
  </si>
  <si>
    <t>白金標準先物</t>
  </si>
  <si>
    <t>Platinum Standard Futures</t>
  </si>
  <si>
    <t>3,565</t>
  </si>
  <si>
    <t>3,898</t>
  </si>
  <si>
    <t>3,530</t>
  </si>
  <si>
    <t>3,766</t>
  </si>
  <si>
    <t>3,577</t>
  </si>
  <si>
    <t>3,893</t>
  </si>
  <si>
    <t>12</t>
  </si>
  <si>
    <t>3,602.0000</t>
  </si>
  <si>
    <t>3,527</t>
  </si>
  <si>
    <t>3,770</t>
  </si>
  <si>
    <t>3,572</t>
  </si>
  <si>
    <t>3,875</t>
  </si>
  <si>
    <t>3,499</t>
  </si>
  <si>
    <t>3,736</t>
  </si>
  <si>
    <t>3,575</t>
  </si>
  <si>
    <t>3,866</t>
  </si>
  <si>
    <t>3,501</t>
  </si>
  <si>
    <t>3,739</t>
  </si>
  <si>
    <t>3,578</t>
  </si>
  <si>
    <t>3,854</t>
  </si>
  <si>
    <t>3,497</t>
  </si>
  <si>
    <t>3,731</t>
  </si>
  <si>
    <t>3,563</t>
  </si>
  <si>
    <t>3,850</t>
  </si>
  <si>
    <t>26</t>
  </si>
  <si>
    <t>3,735.0000</t>
  </si>
  <si>
    <t>3,486</t>
  </si>
  <si>
    <t>18</t>
  </si>
  <si>
    <t>3,585.0000</t>
  </si>
  <si>
    <t>3,729</t>
  </si>
  <si>
    <t>白金ミニ先物</t>
  </si>
  <si>
    <t>Platinum Mini Futures</t>
  </si>
  <si>
    <t>3,580</t>
  </si>
  <si>
    <t>3,567</t>
  </si>
  <si>
    <t>3,754</t>
  </si>
  <si>
    <t>3,566</t>
  </si>
  <si>
    <t>3,876</t>
  </si>
  <si>
    <t>3,841</t>
  </si>
  <si>
    <t>3,500</t>
  </si>
  <si>
    <t>3,734</t>
  </si>
  <si>
    <t>3,858</t>
  </si>
  <si>
    <t>3,503</t>
  </si>
  <si>
    <t>3,720</t>
  </si>
  <si>
    <t>3,744</t>
  </si>
  <si>
    <t>3,558</t>
  </si>
  <si>
    <t>3,848</t>
  </si>
  <si>
    <t>3,487</t>
  </si>
  <si>
    <t>3,723</t>
  </si>
  <si>
    <t>白金限日先物</t>
  </si>
  <si>
    <t>Platinum Rolling-Spot Futures</t>
  </si>
  <si>
    <t>3,629</t>
  </si>
  <si>
    <t>3,920</t>
  </si>
  <si>
    <t>3,838.0000</t>
  </si>
  <si>
    <t>3,564</t>
  </si>
  <si>
    <t>3,634.0000</t>
  </si>
  <si>
    <t>3,788</t>
  </si>
  <si>
    <t>パラジウム先物</t>
  </si>
  <si>
    <t>Palladium Futures</t>
  </si>
  <si>
    <t>6,583</t>
  </si>
  <si>
    <t>7,400</t>
  </si>
  <si>
    <t>7,600</t>
  </si>
  <si>
    <t>20</t>
  </si>
  <si>
    <t>7,200</t>
  </si>
  <si>
    <t>8,004</t>
  </si>
  <si>
    <t>7,192</t>
  </si>
  <si>
    <t>8,700</t>
  </si>
  <si>
    <t>7,652.0000</t>
  </si>
  <si>
    <t>13</t>
  </si>
  <si>
    <t>7,005</t>
  </si>
  <si>
    <t>7,190</t>
  </si>
  <si>
    <t>8,651</t>
  </si>
  <si>
    <t>8,600</t>
  </si>
  <si>
    <t>CME原油等指数先物</t>
  </si>
  <si>
    <t>CME Petroleum Index Futures</t>
  </si>
  <si>
    <t>2021/09/21</t>
  </si>
  <si>
    <t>2022/01/04</t>
  </si>
  <si>
    <t>187.30</t>
  </si>
  <si>
    <t>186.40</t>
  </si>
  <si>
    <t>186.55</t>
  </si>
  <si>
    <t>*</t>
  </si>
  <si>
    <t>2022/02/01</t>
  </si>
  <si>
    <t>186.65</t>
  </si>
  <si>
    <t>213.50</t>
  </si>
  <si>
    <t>05</t>
  </si>
  <si>
    <t>185.85</t>
  </si>
  <si>
    <t>2022/03</t>
  </si>
  <si>
    <t>2022/03/01</t>
  </si>
  <si>
    <t>200.00</t>
  </si>
  <si>
    <t>211.80</t>
  </si>
  <si>
    <t>186.5000</t>
  </si>
  <si>
    <t>2021/10/04</t>
  </si>
  <si>
    <t>2022/04/01</t>
  </si>
  <si>
    <t>185.15</t>
  </si>
  <si>
    <t>207.80</t>
  </si>
  <si>
    <t>206.35</t>
  </si>
  <si>
    <t>2022/05</t>
  </si>
  <si>
    <t>2021/11/02</t>
  </si>
  <si>
    <t>2022/05/02</t>
  </si>
  <si>
    <t>184.10</t>
  </si>
  <si>
    <t>19</t>
  </si>
  <si>
    <t>203.60</t>
  </si>
  <si>
    <t>199.25</t>
  </si>
  <si>
    <t>2021/12/02</t>
  </si>
  <si>
    <t>2022/06/01</t>
  </si>
  <si>
    <t>188.25</t>
  </si>
  <si>
    <t>203.00</t>
  </si>
  <si>
    <t>182.70</t>
  </si>
  <si>
    <t>201.60</t>
  </si>
  <si>
    <t>2022/07</t>
  </si>
  <si>
    <t>2022/01/05</t>
  </si>
  <si>
    <t>2022/07/01</t>
  </si>
  <si>
    <t>183.90</t>
  </si>
  <si>
    <t>202.60</t>
  </si>
  <si>
    <t>183.00</t>
  </si>
  <si>
    <t>202.40</t>
  </si>
  <si>
    <t>ゴム（RSS3）先物</t>
  </si>
  <si>
    <t>RSS3 Rubber Futures</t>
  </si>
  <si>
    <t>2021/07/27</t>
  </si>
  <si>
    <t>2022/01/25</t>
  </si>
  <si>
    <t>222.8</t>
  </si>
  <si>
    <t>238.5</t>
  </si>
  <si>
    <t>25</t>
  </si>
  <si>
    <t>228.2000</t>
  </si>
  <si>
    <t>219.8</t>
  </si>
  <si>
    <t>228.2</t>
  </si>
  <si>
    <t>2021/08/26</t>
  </si>
  <si>
    <t>224.2</t>
  </si>
  <si>
    <t>239.7</t>
  </si>
  <si>
    <t>233.5000</t>
  </si>
  <si>
    <t>219.3</t>
  </si>
  <si>
    <t>231.0</t>
  </si>
  <si>
    <t>2022/03/25</t>
  </si>
  <si>
    <t>228.3</t>
  </si>
  <si>
    <t>242.5</t>
  </si>
  <si>
    <t>226.5000</t>
  </si>
  <si>
    <t>222.5</t>
  </si>
  <si>
    <t>232.6</t>
  </si>
  <si>
    <t>230.9</t>
  </si>
  <si>
    <t>245.5</t>
  </si>
  <si>
    <t>234.7000</t>
  </si>
  <si>
    <t>224.0</t>
  </si>
  <si>
    <t>234.2</t>
  </si>
  <si>
    <t>2022/05/25</t>
  </si>
  <si>
    <t>234.9</t>
  </si>
  <si>
    <t>249.6</t>
  </si>
  <si>
    <t>245.9000</t>
  </si>
  <si>
    <t>226.4</t>
  </si>
  <si>
    <t>232.9000</t>
  </si>
  <si>
    <t>238.9</t>
  </si>
  <si>
    <t>238.8</t>
  </si>
  <si>
    <t>253.1</t>
  </si>
  <si>
    <t>250.3000</t>
  </si>
  <si>
    <t>228.1</t>
  </si>
  <si>
    <t>241.4000</t>
  </si>
  <si>
    <t>241.3</t>
  </si>
  <si>
    <t>2022/07/25</t>
  </si>
  <si>
    <t>242.0</t>
  </si>
  <si>
    <t>253.4</t>
  </si>
  <si>
    <t>232.0</t>
  </si>
  <si>
    <t>244.8</t>
  </si>
  <si>
    <t>242.7</t>
  </si>
  <si>
    <t>237.5</t>
  </si>
  <si>
    <t>245.0</t>
  </si>
  <si>
    <t>2022/09</t>
  </si>
  <si>
    <t>2021/09/27</t>
  </si>
  <si>
    <t>2022/09/26</t>
  </si>
  <si>
    <t>254.9</t>
  </si>
  <si>
    <t>239.3</t>
  </si>
  <si>
    <t>2021/10/26</t>
  </si>
  <si>
    <t>243.0</t>
  </si>
  <si>
    <t>253.6</t>
  </si>
  <si>
    <t>238.0</t>
  </si>
  <si>
    <t>239.1</t>
  </si>
  <si>
    <t>2022/11</t>
  </si>
  <si>
    <t>2021/11/25</t>
  </si>
  <si>
    <t>2022/11/24</t>
  </si>
  <si>
    <t>245.8</t>
  </si>
  <si>
    <t>257.0</t>
  </si>
  <si>
    <t>243.1</t>
  </si>
  <si>
    <t>2021/12/23</t>
  </si>
  <si>
    <t>248.0</t>
  </si>
  <si>
    <t>14</t>
  </si>
  <si>
    <t>257.9</t>
  </si>
  <si>
    <t>242.9</t>
  </si>
  <si>
    <t>251.9</t>
  </si>
  <si>
    <t>2023/01</t>
  </si>
  <si>
    <t>2022/01/26</t>
  </si>
  <si>
    <t>2023/01/25</t>
  </si>
  <si>
    <t>247.7</t>
  </si>
  <si>
    <t>254.3</t>
  </si>
  <si>
    <t>251.4</t>
  </si>
  <si>
    <t>ゴム（TSR20）先物</t>
  </si>
  <si>
    <t>TSR20 Rubber Futures</t>
  </si>
  <si>
    <t>2021/08/02</t>
  </si>
  <si>
    <t>2022/01/31</t>
  </si>
  <si>
    <t>2021/09/01</t>
  </si>
  <si>
    <t>2022/02/28</t>
  </si>
  <si>
    <t>2022/03/31</t>
  </si>
  <si>
    <t>202.0</t>
  </si>
  <si>
    <t>209.5</t>
  </si>
  <si>
    <t>204.6000</t>
  </si>
  <si>
    <t>197.1</t>
  </si>
  <si>
    <t>2022/04/28</t>
  </si>
  <si>
    <t>202.9</t>
  </si>
  <si>
    <t>208.4</t>
  </si>
  <si>
    <t>196.1</t>
  </si>
  <si>
    <t>197.4</t>
  </si>
  <si>
    <t>2022/05/31</t>
  </si>
  <si>
    <t>2022/06/30</t>
  </si>
  <si>
    <t>2022/07/29</t>
  </si>
  <si>
    <t>2022/08/31</t>
  </si>
  <si>
    <t>2021/10/01</t>
  </si>
  <si>
    <t>2022/09/30</t>
  </si>
  <si>
    <t>2021/11/01</t>
  </si>
  <si>
    <t>2022/10/31</t>
  </si>
  <si>
    <t>2021/12/01</t>
  </si>
  <si>
    <t>2022/11/30</t>
  </si>
  <si>
    <t>2022/12/30</t>
  </si>
  <si>
    <t>とうもろこし先物</t>
  </si>
  <si>
    <t>Corn Futures</t>
  </si>
  <si>
    <t>2021/02/16</t>
  </si>
  <si>
    <t>2022/02/15</t>
  </si>
  <si>
    <t>39,710</t>
  </si>
  <si>
    <t>42,180</t>
  </si>
  <si>
    <t>40,610.0000</t>
  </si>
  <si>
    <t>41,410</t>
  </si>
  <si>
    <t>2021/04/16</t>
  </si>
  <si>
    <t>2022/04/15</t>
  </si>
  <si>
    <t>40,710</t>
  </si>
  <si>
    <t>41,980</t>
  </si>
  <si>
    <t>40,500.0000</t>
  </si>
  <si>
    <t>40,010</t>
  </si>
  <si>
    <t>2021/06/16</t>
  </si>
  <si>
    <t>2022/06/15</t>
  </si>
  <si>
    <t>40,990</t>
  </si>
  <si>
    <t>41,500</t>
  </si>
  <si>
    <t>40,200</t>
  </si>
  <si>
    <t>2021/08/16</t>
  </si>
  <si>
    <t>2022/08/15</t>
  </si>
  <si>
    <t>40,080</t>
  </si>
  <si>
    <t>41,490</t>
  </si>
  <si>
    <t>39,600</t>
  </si>
  <si>
    <t>2021/10/18</t>
  </si>
  <si>
    <t>2022/10/14</t>
  </si>
  <si>
    <t>39,220</t>
  </si>
  <si>
    <t>41,420</t>
  </si>
  <si>
    <t>38,900</t>
  </si>
  <si>
    <t>2021/12/16</t>
  </si>
  <si>
    <t>2022/12/15</t>
  </si>
  <si>
    <t>39,890</t>
  </si>
  <si>
    <t>41,550</t>
  </si>
  <si>
    <t>39,200</t>
  </si>
  <si>
    <t>41,480</t>
  </si>
  <si>
    <t>一般大豆先物</t>
  </si>
  <si>
    <t>Soybean Futures</t>
  </si>
  <si>
    <t>小豆先物</t>
  </si>
  <si>
    <t>Azuki (Red Bean) Futures</t>
  </si>
  <si>
    <t>2021/07/28</t>
  </si>
  <si>
    <t>2021/09/28</t>
  </si>
  <si>
    <t>2022/03/28</t>
  </si>
  <si>
    <t>2021/11/26</t>
  </si>
  <si>
    <t>2022/05/26</t>
  </si>
  <si>
    <t>2022/01/27</t>
  </si>
  <si>
    <t>2022/07/26</t>
  </si>
  <si>
    <t>月末日：</t>
    <phoneticPr fontId="6"/>
  </si>
  <si>
    <t>（株）東京商品取引所</t>
    <phoneticPr fontId="6"/>
  </si>
  <si>
    <t>取引単位</t>
    <phoneticPr fontId="6"/>
  </si>
  <si>
    <t>平均帳入値段
（円）</t>
    <phoneticPr fontId="6"/>
  </si>
  <si>
    <t>取組高
（単位）</t>
    <phoneticPr fontId="6"/>
  </si>
  <si>
    <t>立会
日数</t>
    <rPh sb="0" eb="2">
      <t>タチアイ</t>
    </rPh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</si>
  <si>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</si>
  <si>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</si>
  <si>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</si>
  <si>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</si>
  <si>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うち立会外
取引（単位）</t>
    <rPh sb="2" eb="4">
      <t>タチアイ</t>
    </rPh>
    <rPh sb="4" eb="5">
      <t>ガイ</t>
    </rPh>
    <phoneticPr fontId="6"/>
  </si>
  <si>
    <t>うち立会外
取引（円）</t>
    <rPh sb="2" eb="4">
      <t>タチアイ</t>
    </rPh>
    <rPh sb="4" eb="5">
      <t>ガイ</t>
    </rPh>
    <phoneticPr fontId="6"/>
  </si>
  <si>
    <t>うち立会外（円）</t>
    <rPh sb="2" eb="4">
      <t>タチアイ</t>
    </rPh>
    <rPh sb="4" eb="5">
      <t>ガイ</t>
    </rPh>
    <phoneticPr fontId="6"/>
  </si>
  <si>
    <t>Trading
unit</t>
    <phoneticPr fontId="6"/>
  </si>
  <si>
    <t>Open(￥)</t>
    <phoneticPr fontId="6"/>
  </si>
  <si>
    <t>High(￥)</t>
    <phoneticPr fontId="6"/>
  </si>
  <si>
    <t>Block Trades(￥)</t>
    <phoneticPr fontId="6"/>
  </si>
  <si>
    <t>Low(￥)</t>
    <phoneticPr fontId="6"/>
  </si>
  <si>
    <t>Close(￥)</t>
    <phoneticPr fontId="6"/>
  </si>
  <si>
    <t>Average
Settlement
Price(￥)</t>
    <phoneticPr fontId="6"/>
  </si>
  <si>
    <t>Block Trades(unit)</t>
    <phoneticPr fontId="6"/>
  </si>
  <si>
    <t>バージガソリン先物</t>
  </si>
  <si>
    <t>Gasoline Futures</t>
  </si>
  <si>
    <t>2021/07/26</t>
  </si>
  <si>
    <t>71,510</t>
  </si>
  <si>
    <t>74,770</t>
  </si>
  <si>
    <t>76,500.0000</t>
  </si>
  <si>
    <t>71,270</t>
  </si>
  <si>
    <t>71,500.0000</t>
  </si>
  <si>
    <t>74,000</t>
  </si>
  <si>
    <t>2022/02/25</t>
  </si>
  <si>
    <t>70,490</t>
  </si>
  <si>
    <t>77,370</t>
  </si>
  <si>
    <t>70,660.0000</t>
  </si>
  <si>
    <t>70,410</t>
  </si>
  <si>
    <t>76,780</t>
  </si>
  <si>
    <t>71,450.0000</t>
  </si>
  <si>
    <t>76,700</t>
  </si>
  <si>
    <t>70,570</t>
  </si>
  <si>
    <t>75,350</t>
  </si>
  <si>
    <t>74,820</t>
  </si>
  <si>
    <t>69,800</t>
  </si>
  <si>
    <t>75,720</t>
  </si>
  <si>
    <t>73,000.0000</t>
  </si>
  <si>
    <t>2021/12/27</t>
  </si>
  <si>
    <t>69,990</t>
  </si>
  <si>
    <t>75,330</t>
  </si>
  <si>
    <t>69,870</t>
  </si>
  <si>
    <t>75,200</t>
  </si>
  <si>
    <t>73,360</t>
  </si>
  <si>
    <t>75,290</t>
  </si>
  <si>
    <t>72,620</t>
  </si>
  <si>
    <t>74,850</t>
  </si>
  <si>
    <t>バージ灯油先物</t>
  </si>
  <si>
    <t>Kerosene Futures</t>
  </si>
  <si>
    <t>73,200</t>
  </si>
  <si>
    <t>78,500</t>
  </si>
  <si>
    <t>78,000.0000</t>
  </si>
  <si>
    <t>74,000.0000</t>
  </si>
  <si>
    <t>75,600</t>
  </si>
  <si>
    <t>72,600</t>
  </si>
  <si>
    <t>78,980</t>
  </si>
  <si>
    <t>77,500.0000</t>
  </si>
  <si>
    <t>74,500.0000</t>
  </si>
  <si>
    <t>78,600</t>
  </si>
  <si>
    <t>72,000</t>
  </si>
  <si>
    <t>71,360</t>
  </si>
  <si>
    <t>77,930</t>
  </si>
  <si>
    <t>71,430</t>
  </si>
  <si>
    <t>77,240</t>
  </si>
  <si>
    <t>71,200</t>
  </si>
  <si>
    <t>77,110</t>
  </si>
  <si>
    <t>71,030</t>
  </si>
  <si>
    <t>76,770</t>
  </si>
  <si>
    <t>76,520</t>
  </si>
  <si>
    <t>74,970</t>
  </si>
  <si>
    <t>バージ軽油先物</t>
  </si>
  <si>
    <t>Gas Oil Futures</t>
  </si>
  <si>
    <t>プラッツドバイ原油先物</t>
  </si>
  <si>
    <t>Platts Dubai Crude Oil Futures</t>
  </si>
  <si>
    <t>56,000</t>
  </si>
  <si>
    <t>60,850</t>
  </si>
  <si>
    <t>60,400.0000</t>
  </si>
  <si>
    <t>55,780</t>
  </si>
  <si>
    <t>56,350.0000</t>
  </si>
  <si>
    <t>60,300</t>
  </si>
  <si>
    <t>54,820</t>
  </si>
  <si>
    <t>63,980</t>
  </si>
  <si>
    <t>63,950.0000</t>
  </si>
  <si>
    <t>55,150.0000</t>
  </si>
  <si>
    <t>63,650</t>
  </si>
  <si>
    <t>54,790</t>
  </si>
  <si>
    <t>62,610</t>
  </si>
  <si>
    <t>62,610.0000</t>
  </si>
  <si>
    <t>54,610</t>
  </si>
  <si>
    <t>56,190.0000</t>
  </si>
  <si>
    <t>62,260</t>
  </si>
  <si>
    <t>54,520</t>
  </si>
  <si>
    <t>61,710</t>
  </si>
  <si>
    <t>61,650.0000</t>
  </si>
  <si>
    <t>54,270</t>
  </si>
  <si>
    <t>55,710.0000</t>
  </si>
  <si>
    <t>61,350</t>
  </si>
  <si>
    <t>54,040</t>
  </si>
  <si>
    <t>61,100</t>
  </si>
  <si>
    <t>60,630.0000</t>
  </si>
  <si>
    <t>53,630</t>
  </si>
  <si>
    <t>51,780.0000</t>
  </si>
  <si>
    <t>60,530</t>
  </si>
  <si>
    <t>53,620</t>
  </si>
  <si>
    <t>60,440</t>
  </si>
  <si>
    <t>59,900.0000</t>
  </si>
  <si>
    <t>53,570</t>
  </si>
  <si>
    <t>51,280.0000</t>
  </si>
  <si>
    <t>59,780</t>
  </si>
  <si>
    <t>54,190</t>
  </si>
  <si>
    <t>59,830</t>
  </si>
  <si>
    <t>59,020</t>
  </si>
  <si>
    <t>57,280</t>
  </si>
  <si>
    <t>53,880</t>
  </si>
  <si>
    <t>56,500</t>
  </si>
  <si>
    <t>51,480</t>
  </si>
  <si>
    <t>55,800</t>
  </si>
  <si>
    <t>55,250</t>
  </si>
  <si>
    <t>2023/01/31</t>
  </si>
  <si>
    <t>51,330</t>
  </si>
  <si>
    <t>55,640</t>
  </si>
  <si>
    <t>51,270</t>
  </si>
  <si>
    <t>55,580</t>
  </si>
  <si>
    <t>2023/02</t>
  </si>
  <si>
    <t>2023/02/28</t>
  </si>
  <si>
    <t>50,630</t>
  </si>
  <si>
    <t>55,080</t>
  </si>
  <si>
    <t>50,620</t>
  </si>
  <si>
    <t>55,050</t>
  </si>
  <si>
    <t>2023/03</t>
  </si>
  <si>
    <t>2023/03/31</t>
  </si>
  <si>
    <t>50,350</t>
  </si>
  <si>
    <t>55,980</t>
  </si>
  <si>
    <t>54,840</t>
  </si>
  <si>
    <t>東エリア・ベースロード電力先物</t>
  </si>
  <si>
    <t>East Area Baseload Electricity Futures</t>
  </si>
  <si>
    <t>2020/11/02</t>
  </si>
  <si>
    <t>2022/01/28</t>
  </si>
  <si>
    <t>25.00</t>
  </si>
  <si>
    <t>26.50</t>
  </si>
  <si>
    <t>2020/11/30</t>
  </si>
  <si>
    <t>23.05</t>
  </si>
  <si>
    <t>24.00</t>
  </si>
  <si>
    <t>24.8000</t>
  </si>
  <si>
    <t>22.50</t>
  </si>
  <si>
    <t>23.8000</t>
  </si>
  <si>
    <t>2021/01/04</t>
  </si>
  <si>
    <t>2022/03/30</t>
  </si>
  <si>
    <t>16.80</t>
  </si>
  <si>
    <t>16.50</t>
  </si>
  <si>
    <t>2021/02/01</t>
  </si>
  <si>
    <t>2021/03/01</t>
  </si>
  <si>
    <t>2022/05/30</t>
  </si>
  <si>
    <t>2021/03/31</t>
  </si>
  <si>
    <t>2022/06/29</t>
  </si>
  <si>
    <t>2021/04/30</t>
  </si>
  <si>
    <t>2021/05/31</t>
  </si>
  <si>
    <t>2022/08/30</t>
  </si>
  <si>
    <t>2021/06/30</t>
  </si>
  <si>
    <t>2022/09/29</t>
  </si>
  <si>
    <t>2022/10/28</t>
  </si>
  <si>
    <t>2021/08/31</t>
  </si>
  <si>
    <t>2022/11/29</t>
  </si>
  <si>
    <t>2021/09/30</t>
  </si>
  <si>
    <t>2023/01/30</t>
  </si>
  <si>
    <t>2021/11/30</t>
  </si>
  <si>
    <t>2023/02/27</t>
  </si>
  <si>
    <t>16.00</t>
  </si>
  <si>
    <t>2023/03/30</t>
  </si>
  <si>
    <t>2023/04</t>
  </si>
  <si>
    <t>2023/04/28</t>
  </si>
  <si>
    <t>西エリア・ベースロード電力先物</t>
  </si>
  <si>
    <t>West Area Baseload Electricity Futures</t>
  </si>
  <si>
    <t>23.0000</t>
  </si>
  <si>
    <t>16.70</t>
  </si>
  <si>
    <t>14.5500</t>
  </si>
  <si>
    <t>東エリア・日中ロード電力先物</t>
  </si>
  <si>
    <t>East Area Peakload Electricity Futures</t>
  </si>
  <si>
    <t>2020/10/30</t>
  </si>
  <si>
    <t>27.00</t>
  </si>
  <si>
    <t>30.00</t>
  </si>
  <si>
    <t>2020/12/29</t>
  </si>
  <si>
    <t>2021/01/29</t>
  </si>
  <si>
    <t>2022/04/27</t>
  </si>
  <si>
    <t>2021/02/26</t>
  </si>
  <si>
    <t>2022/07/28</t>
  </si>
  <si>
    <t>2021/07/30</t>
  </si>
  <si>
    <t>2022/12/28</t>
  </si>
  <si>
    <t>2021/10/29</t>
  </si>
  <si>
    <t>20.00</t>
  </si>
  <si>
    <t>2021/12/29</t>
  </si>
  <si>
    <t>2023/04/27</t>
  </si>
  <si>
    <t>西エリア・日中ロード電力先物</t>
  </si>
  <si>
    <t>West Area Peakload Electricity Futures</t>
  </si>
  <si>
    <t>中京ローリーガソリン先物</t>
  </si>
  <si>
    <t>Chukyo Gasoline Futures</t>
  </si>
  <si>
    <t>77,000</t>
  </si>
  <si>
    <t>79,500</t>
  </si>
  <si>
    <t>78,500.0000</t>
  </si>
  <si>
    <t>77,000.0000</t>
  </si>
  <si>
    <t>73,700</t>
  </si>
  <si>
    <t>中京ローリー灯油先物</t>
  </si>
  <si>
    <t>Chukyo Kerosene Futures</t>
  </si>
  <si>
    <t>75,000</t>
  </si>
  <si>
    <t>80,000</t>
  </si>
  <si>
    <t>79,000.0000</t>
  </si>
  <si>
    <t>77,300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</si>
</sst>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  <font>
      <sz val="1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4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25">
    <xf numFmtId="0" fontId="0" fillId="0" borderId="0" xfId="0"/>
    <xf numFmtId="189" fontId="7" fillId="0" borderId="37" xfId="1946" applyNumberFormat="1" applyFont="1" applyFill="1" applyBorder="1" applyAlignment="1">
      <alignment horizontal="right" vertical="center"/>
    </xf>
    <xf numFmtId="3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horizontal="right" vertical="center"/>
    </xf>
    <xf numFmtId="3" fontId="7" fillId="0" borderId="21" xfId="1946" applyNumberFormat="1" applyFont="1" applyFill="1" applyBorder="1" applyAlignment="1">
      <alignment horizontal="right" vertical="center"/>
    </xf>
    <xf numFmtId="4" fontId="7" fillId="0" borderId="21" xfId="1946" applyNumberFormat="1" applyFont="1" applyFill="1" applyBorder="1" applyAlignment="1">
      <alignment horizontal="right" vertical="center"/>
    </xf>
    <xf numFmtId="49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vertical="center"/>
    </xf>
    <xf numFmtId="49" fontId="7" fillId="0" borderId="21" xfId="1946" applyNumberFormat="1" applyFont="1" applyFill="1" applyBorder="1" applyAlignment="1">
      <alignment vertical="center"/>
    </xf>
    <xf numFmtId="49" fontId="7" fillId="0" borderId="36" xfId="1946" applyNumberFormat="1" applyFont="1" applyFill="1" applyBorder="1" applyAlignment="1">
      <alignment vertical="center"/>
    </xf>
    <xf numFmtId="0" fontId="95" fillId="0" borderId="0" xfId="1946" applyFont="1" applyFill="1">
      <alignment vertical="center"/>
    </xf>
    <xf numFmtId="0" fontId="19" fillId="0" borderId="9" xfId="1946" applyFont="1" applyFill="1" applyBorder="1">
      <alignment vertical="center"/>
    </xf>
    <xf numFmtId="0" fontId="19" fillId="0" borderId="20" xfId="1946" applyFont="1" applyFill="1" applyBorder="1">
      <alignment vertical="center"/>
    </xf>
    <xf numFmtId="0" fontId="19" fillId="0" borderId="8" xfId="1946" applyFont="1" applyFill="1" applyBorder="1">
      <alignment vertical="center"/>
    </xf>
    <xf numFmtId="0" fontId="7" fillId="0" borderId="39" xfId="1946" applyNumberFormat="1" applyFont="1" applyFill="1" applyBorder="1" applyAlignment="1">
      <alignment horizontal="center" vertical="center" wrapText="1"/>
    </xf>
    <xf numFmtId="0" fontId="7" fillId="0" borderId="44" xfId="1946" applyNumberFormat="1" applyFont="1" applyFill="1" applyBorder="1" applyAlignment="1">
      <alignment horizontal="center" vertical="center" wrapText="1"/>
    </xf>
    <xf numFmtId="0" fontId="19" fillId="0" borderId="0" xfId="1946" applyFont="1" applyFill="1">
      <alignment vertical="center"/>
    </xf>
    <xf numFmtId="0" fontId="94" fillId="0" borderId="9" xfId="1946" applyFont="1" applyFill="1" applyBorder="1" applyAlignment="1">
      <alignment vertical="center" wrapText="1"/>
    </xf>
    <xf numFmtId="0" fontId="94" fillId="0" borderId="9" xfId="1946" applyFont="1" applyFill="1" applyBorder="1">
      <alignment vertical="center"/>
    </xf>
    <xf numFmtId="0" fontId="94" fillId="0" borderId="6" xfId="1946" applyFont="1" applyFill="1" applyBorder="1">
      <alignment vertical="center"/>
    </xf>
    <xf numFmtId="0" fontId="7" fillId="0" borderId="44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93" fillId="0" borderId="5" xfId="1946" applyFont="1" applyFill="1" applyBorder="1" applyAlignment="1">
      <alignment vertical="center" wrapText="1"/>
    </xf>
    <xf numFmtId="0" fontId="93" fillId="0" borderId="9" xfId="1946" applyFont="1" applyFill="1" applyBorder="1" applyAlignment="1">
      <alignment vertical="center" wrapText="1"/>
    </xf>
    <xf numFmtId="0" fontId="93" fillId="0" borderId="7" xfId="1946" applyFont="1" applyFill="1" applyBorder="1" applyAlignment="1">
      <alignment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5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40" xfId="1946" applyNumberFormat="1" applyFont="1" applyFill="1" applyBorder="1" applyAlignment="1">
      <alignment horizontal="center" vertical="center" wrapText="1"/>
    </xf>
    <xf numFmtId="0" fontId="7" fillId="0" borderId="41" xfId="1946" applyNumberFormat="1" applyFont="1" applyFill="1" applyBorder="1" applyAlignment="1">
      <alignment horizontal="center" vertical="center" wrapText="1"/>
    </xf>
    <xf numFmtId="0" fontId="7" fillId="0" borderId="38" xfId="1946" applyFont="1" applyFill="1" applyBorder="1" applyAlignment="1">
      <alignment horizontal="center" vertical="center" wrapText="1"/>
    </xf>
    <xf numFmtId="0" fontId="7" fillId="0" borderId="29" xfId="1946" applyFont="1" applyFill="1" applyBorder="1" applyAlignment="1">
      <alignment horizontal="center" vertical="center" wrapText="1"/>
    </xf>
    <xf numFmtId="0" fontId="96" fillId="0" borderId="23" xfId="1946" applyNumberFormat="1" applyFont="1" applyFill="1" applyBorder="1" applyAlignment="1">
      <alignment horizontal="center" vertical="center" wrapText="1"/>
    </xf>
    <xf numFmtId="0" fontId="7" fillId="0" borderId="24" xfId="1946" applyNumberFormat="1" applyFont="1" applyFill="1" applyBorder="1" applyAlignment="1">
      <alignment horizontal="center" vertical="center" wrapText="1"/>
    </xf>
    <xf numFmtId="0" fontId="7" fillId="0" borderId="42" xfId="1946" applyFont="1" applyFill="1" applyBorder="1" applyAlignment="1">
      <alignment horizontal="center" vertical="center" wrapText="1"/>
    </xf>
    <xf numFmtId="0" fontId="7" fillId="0" borderId="43" xfId="1946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4" xfId="1946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7" fillId="0" borderId="25" xfId="1946" applyNumberFormat="1" applyFont="1" applyFill="1" applyBorder="1" applyAlignment="1">
      <alignment horizontal="center" vertical="center" wrapText="1"/>
    </xf>
    <xf numFmtId="0" fontId="7" fillId="0" borderId="28" xfId="1946" applyNumberFormat="1" applyFont="1" applyFill="1" applyBorder="1" applyAlignment="1">
      <alignment horizontal="center" vertical="center" wrapText="1"/>
    </xf>
    <xf numFmtId="0" fontId="7" fillId="0" borderId="29" xfId="1946" applyNumberFormat="1" applyFont="1" applyFill="1" applyBorder="1" applyAlignment="1">
      <alignment horizontal="center" vertical="center" wrapText="1"/>
    </xf>
    <xf numFmtId="0" fontId="7" fillId="0" borderId="45" xfId="1946" applyNumberFormat="1" applyFont="1" applyFill="1" applyBorder="1" applyAlignment="1">
      <alignment horizontal="center" vertical="center" wrapText="1"/>
    </xf>
    <xf numFmtId="0" fontId="7" fillId="0" borderId="27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top" wrapText="1"/>
    </xf>
    <xf numFmtId="0" fontId="7" fillId="0" borderId="9" xfId="1946" applyNumberFormat="1" applyFont="1" applyFill="1" applyBorder="1" applyAlignment="1">
      <alignment horizontal="center" vertical="top" wrapText="1"/>
    </xf>
    <xf numFmtId="0" fontId="7" fillId="0" borderId="33" xfId="1946" applyNumberFormat="1" applyFont="1" applyFill="1" applyBorder="1" applyAlignment="1">
      <alignment horizontal="center" vertical="top" wrapText="1"/>
    </xf>
    <xf numFmtId="0" fontId="7" fillId="0" borderId="34" xfId="1946" applyNumberFormat="1" applyFont="1" applyFill="1" applyBorder="1" applyAlignment="1">
      <alignment horizontal="center"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center" wrapText="1"/>
    </xf>
    <xf numFmtId="0" fontId="7" fillId="0" borderId="33" xfId="1946" applyNumberFormat="1" applyFont="1" applyFill="1" applyBorder="1" applyAlignment="1">
      <alignment horizontal="center" vertical="center" wrapText="1"/>
    </xf>
    <xf numFmtId="0" fontId="7" fillId="0" borderId="26" xfId="1946" applyNumberFormat="1" applyFont="1" applyFill="1" applyBorder="1" applyAlignment="1">
      <alignment horizontal="center" vertical="center" wrapText="1"/>
    </xf>
    <xf numFmtId="0" fontId="7" fillId="0" borderId="22" xfId="1946" applyNumberFormat="1" applyFont="1" applyFill="1" applyBorder="1" applyAlignment="1">
      <alignment horizontal="center" vertical="center" wrapText="1"/>
    </xf>
    <xf numFmtId="0" fontId="7" fillId="0" borderId="23" xfId="1946" applyNumberFormat="1" applyFont="1" applyFill="1" applyBorder="1" applyAlignment="1">
      <alignment horizontal="center" vertical="center" wrapText="1"/>
    </xf>
    <xf numFmtId="0" fontId="7" fillId="0" borderId="30" xfId="1946" applyNumberFormat="1" applyFont="1" applyFill="1" applyBorder="1" applyAlignment="1">
      <alignment horizontal="center" vertical="top" wrapText="1"/>
    </xf>
    <xf numFmtId="0" fontId="7" fillId="0" borderId="31" xfId="1946" applyNumberFormat="1" applyFont="1" applyFill="1" applyBorder="1" applyAlignment="1">
      <alignment horizontal="center" vertical="top" wrapText="1"/>
    </xf>
    <xf numFmtId="0" fontId="93" fillId="0" borderId="5" xfId="1946" applyFont="1" applyBorder="1" applyAlignment="1">
      <alignment vertical="center" wrapText="1"/>
    </xf>
    <xf numFmtId="0" fontId="93" fillId="0" borderId="9" xfId="1946" applyFont="1" applyBorder="1" applyAlignment="1">
      <alignment vertical="center" wrapText="1"/>
    </xf>
    <xf numFmtId="0" fontId="19" fillId="0" borderId="9" xfId="1946" applyFont="1" applyBorder="1">
      <alignment vertical="center"/>
    </xf>
    <xf numFmtId="0" fontId="94" fillId="0" borderId="9" xfId="1946" applyFont="1" applyBorder="1" applyAlignment="1">
      <alignment vertical="center" wrapText="1"/>
    </xf>
    <xf numFmtId="0" fontId="94" fillId="0" borderId="9" xfId="1946" applyFont="1" applyBorder="1">
      <alignment vertical="center"/>
    </xf>
    <xf numFmtId="0" fontId="94" fillId="0" borderId="6" xfId="1946" applyFont="1" applyBorder="1">
      <alignment vertical="center"/>
    </xf>
    <xf numFmtId="0" fontId="95" fillId="0" borderId="0" xfId="1946" applyFont="1">
      <alignment vertical="center"/>
    </xf>
    <xf numFmtId="0" fontId="93" fillId="0" borderId="7" xfId="1946" applyFont="1" applyBorder="1" applyAlignment="1">
      <alignment vertical="center" wrapText="1"/>
    </xf>
    <xf numFmtId="0" fontId="93" fillId="0" borderId="20" xfId="1946" applyFont="1" applyBorder="1" applyAlignment="1">
      <alignment vertical="center" wrapText="1"/>
    </xf>
    <xf numFmtId="0" fontId="93" fillId="0" borderId="20" xfId="1946" applyFont="1" applyBorder="1" applyAlignment="1">
      <alignment horizontal="right" vertical="center"/>
    </xf>
    <xf numFmtId="14" fontId="93" fillId="0" borderId="20" xfId="1946" applyNumberFormat="1" applyFont="1" applyBorder="1">
      <alignment vertical="center"/>
    </xf>
    <xf numFmtId="14" fontId="93" fillId="0" borderId="20" xfId="1946" applyNumberFormat="1" applyFont="1" applyBorder="1" applyAlignment="1">
      <alignment horizontal="right" vertical="center"/>
    </xf>
    <xf numFmtId="0" fontId="93" fillId="0" borderId="20" xfId="1946" applyFont="1" applyBorder="1" applyAlignment="1">
      <alignment vertical="center" wrapText="1"/>
    </xf>
    <xf numFmtId="0" fontId="19" fillId="0" borderId="20" xfId="1946" applyFont="1" applyBorder="1">
      <alignment vertical="center"/>
    </xf>
    <xf numFmtId="0" fontId="97" fillId="0" borderId="20" xfId="1946" applyFont="1" applyBorder="1" applyAlignment="1">
      <alignment horizontal="right" vertical="center"/>
    </xf>
    <xf numFmtId="14" fontId="19" fillId="0" borderId="20" xfId="1946" applyNumberFormat="1" applyFont="1" applyBorder="1" applyAlignment="1">
      <alignment horizontal="right" vertical="center"/>
    </xf>
    <xf numFmtId="14" fontId="19" fillId="0" borderId="20" xfId="1946" applyNumberFormat="1" applyFont="1" applyBorder="1" applyAlignment="1">
      <alignment horizontal="left" vertical="center"/>
    </xf>
    <xf numFmtId="14" fontId="97" fillId="0" borderId="20" xfId="1946" applyNumberFormat="1" applyFont="1" applyBorder="1">
      <alignment vertical="center"/>
    </xf>
    <xf numFmtId="0" fontId="19" fillId="0" borderId="8" xfId="1946" applyFont="1" applyBorder="1" applyAlignment="1">
      <alignment horizontal="right" vertical="center"/>
    </xf>
    <xf numFmtId="0" fontId="7" fillId="0" borderId="34" xfId="1946" applyFont="1" applyBorder="1" applyAlignment="1">
      <alignment horizontal="center" vertical="center" wrapText="1"/>
    </xf>
    <xf numFmtId="0" fontId="7" fillId="0" borderId="45" xfId="1946" applyFont="1" applyBorder="1" applyAlignment="1">
      <alignment horizontal="center" vertical="center" wrapText="1"/>
    </xf>
    <xf numFmtId="0" fontId="7" fillId="0" borderId="24" xfId="1946" applyFont="1" applyBorder="1" applyAlignment="1">
      <alignment horizontal="center" vertical="center" wrapText="1"/>
    </xf>
    <xf numFmtId="0" fontId="7" fillId="0" borderId="32" xfId="1946" applyFont="1" applyBorder="1" applyAlignment="1">
      <alignment horizontal="center" vertical="center" wrapText="1"/>
    </xf>
    <xf numFmtId="0" fontId="7" fillId="0" borderId="33" xfId="1946" applyFont="1" applyBorder="1" applyAlignment="1">
      <alignment horizontal="center" vertical="center" wrapText="1"/>
    </xf>
    <xf numFmtId="0" fontId="7" fillId="0" borderId="30" xfId="1946" applyFont="1" applyBorder="1" applyAlignment="1">
      <alignment horizontal="center" vertical="top" wrapText="1"/>
    </xf>
    <xf numFmtId="0" fontId="7" fillId="0" borderId="31" xfId="1946" applyFont="1" applyBorder="1" applyAlignment="1">
      <alignment horizontal="center" vertical="top" wrapText="1"/>
    </xf>
    <xf numFmtId="0" fontId="7" fillId="0" borderId="32" xfId="1946" applyFont="1" applyBorder="1" applyAlignment="1">
      <alignment horizontal="center" vertical="top" wrapText="1"/>
    </xf>
    <xf numFmtId="0" fontId="7" fillId="0" borderId="9" xfId="1946" applyFont="1" applyBorder="1" applyAlignment="1">
      <alignment horizontal="center" vertical="top" wrapText="1"/>
    </xf>
    <xf numFmtId="0" fontId="7" fillId="0" borderId="33" xfId="1946" applyFont="1" applyBorder="1" applyAlignment="1">
      <alignment horizontal="center" vertical="top" wrapText="1"/>
    </xf>
    <xf numFmtId="0" fontId="7" fillId="0" borderId="25" xfId="1946" applyFont="1" applyBorder="1" applyAlignment="1">
      <alignment horizontal="center" vertical="center" wrapText="1"/>
    </xf>
    <xf numFmtId="0" fontId="7" fillId="0" borderId="28" xfId="1946" applyFont="1" applyBorder="1" applyAlignment="1">
      <alignment horizontal="center" vertical="center" wrapText="1"/>
    </xf>
    <xf numFmtId="0" fontId="7" fillId="0" borderId="35" xfId="1946" applyFont="1" applyBorder="1" applyAlignment="1">
      <alignment horizontal="center" vertical="center" wrapText="1"/>
    </xf>
    <xf numFmtId="0" fontId="7" fillId="0" borderId="36" xfId="1946" applyFont="1" applyBorder="1" applyAlignment="1">
      <alignment horizontal="center" vertical="center" wrapText="1"/>
    </xf>
    <xf numFmtId="0" fontId="7" fillId="0" borderId="27" xfId="1946" applyFont="1" applyBorder="1" applyAlignment="1">
      <alignment horizontal="center" vertical="center" wrapText="1"/>
    </xf>
    <xf numFmtId="0" fontId="7" fillId="0" borderId="21" xfId="1946" applyFont="1" applyBorder="1" applyAlignment="1">
      <alignment horizontal="center" vertical="center" wrapText="1"/>
    </xf>
    <xf numFmtId="0" fontId="7" fillId="0" borderId="40" xfId="1946" applyFont="1" applyBorder="1" applyAlignment="1">
      <alignment horizontal="center" vertical="center" wrapText="1"/>
    </xf>
    <xf numFmtId="0" fontId="7" fillId="0" borderId="38" xfId="1946" applyFont="1" applyBorder="1" applyAlignment="1">
      <alignment horizontal="center" vertical="center" wrapText="1"/>
    </xf>
    <xf numFmtId="0" fontId="7" fillId="0" borderId="42" xfId="1946" applyFont="1" applyBorder="1" applyAlignment="1">
      <alignment horizontal="center" vertical="center" wrapText="1"/>
    </xf>
    <xf numFmtId="0" fontId="96" fillId="0" borderId="23" xfId="1946" applyFont="1" applyBorder="1" applyAlignment="1">
      <alignment horizontal="center" vertical="center" wrapText="1"/>
    </xf>
    <xf numFmtId="0" fontId="7" fillId="0" borderId="37" xfId="1946" applyFont="1" applyBorder="1" applyAlignment="1">
      <alignment horizontal="center" vertical="center" wrapText="1"/>
    </xf>
    <xf numFmtId="0" fontId="7" fillId="0" borderId="26" xfId="1946" applyFont="1" applyBorder="1" applyAlignment="1">
      <alignment horizontal="center" vertical="center" wrapText="1"/>
    </xf>
    <xf numFmtId="0" fontId="7" fillId="0" borderId="29" xfId="1946" applyFont="1" applyBorder="1" applyAlignment="1">
      <alignment horizontal="center" vertical="center" wrapText="1"/>
    </xf>
    <xf numFmtId="0" fontId="7" fillId="0" borderId="41" xfId="1946" applyFont="1" applyBorder="1" applyAlignment="1">
      <alignment horizontal="center" vertical="center" wrapText="1"/>
    </xf>
    <xf numFmtId="0" fontId="7" fillId="0" borderId="43" xfId="1946" applyFont="1" applyBorder="1" applyAlignment="1">
      <alignment horizontal="center" vertical="center" wrapText="1"/>
    </xf>
    <xf numFmtId="0" fontId="7" fillId="0" borderId="39" xfId="1946" applyFont="1" applyBorder="1" applyAlignment="1">
      <alignment horizontal="center" vertical="center" wrapText="1"/>
    </xf>
    <xf numFmtId="0" fontId="7" fillId="0" borderId="44" xfId="1946" applyFont="1" applyBorder="1" applyAlignment="1">
      <alignment horizontal="center" vertical="center" wrapText="1"/>
    </xf>
    <xf numFmtId="0" fontId="7" fillId="0" borderId="36" xfId="1946" applyFont="1" applyBorder="1" applyAlignment="1">
      <alignment horizontal="center" vertical="center" wrapText="1"/>
    </xf>
    <xf numFmtId="0" fontId="7" fillId="0" borderId="21" xfId="1946" applyFont="1" applyBorder="1" applyAlignment="1">
      <alignment horizontal="center" vertical="center" wrapText="1"/>
    </xf>
    <xf numFmtId="0" fontId="7" fillId="0" borderId="22" xfId="1946" applyFont="1" applyBorder="1" applyAlignment="1">
      <alignment horizontal="center" vertical="center" wrapText="1"/>
    </xf>
    <xf numFmtId="0" fontId="7" fillId="0" borderId="23" xfId="1946" applyFont="1" applyBorder="1" applyAlignment="1">
      <alignment horizontal="center" vertical="center" wrapText="1"/>
    </xf>
    <xf numFmtId="0" fontId="7" fillId="0" borderId="23" xfId="1946" applyFont="1" applyBorder="1" applyAlignment="1">
      <alignment horizontal="center" vertical="center" wrapText="1"/>
    </xf>
    <xf numFmtId="0" fontId="7" fillId="0" borderId="37" xfId="1946" applyFont="1" applyBorder="1" applyAlignment="1">
      <alignment horizontal="center" vertical="center" wrapText="1"/>
    </xf>
    <xf numFmtId="49" fontId="7" fillId="0" borderId="36" xfId="1946" applyNumberFormat="1" applyFont="1" applyBorder="1">
      <alignment vertical="center"/>
    </xf>
    <xf numFmtId="49" fontId="7" fillId="0" borderId="21" xfId="1946" applyNumberFormat="1" applyFont="1" applyBorder="1">
      <alignment vertical="center"/>
    </xf>
    <xf numFmtId="49" fontId="7" fillId="0" borderId="22" xfId="1946" applyNumberFormat="1" applyFont="1" applyBorder="1">
      <alignment vertical="center"/>
    </xf>
    <xf numFmtId="38" fontId="7" fillId="0" borderId="21" xfId="1953" applyFont="1" applyBorder="1" applyAlignment="1">
      <alignment horizontal="right" vertical="center"/>
    </xf>
    <xf numFmtId="49" fontId="7" fillId="0" borderId="22" xfId="1946" applyNumberFormat="1" applyFont="1" applyBorder="1" applyAlignment="1">
      <alignment horizontal="right" vertical="center"/>
    </xf>
    <xf numFmtId="49" fontId="7" fillId="0" borderId="23" xfId="1946" applyNumberFormat="1" applyFont="1" applyBorder="1" applyAlignment="1">
      <alignment horizontal="right" vertical="center"/>
    </xf>
    <xf numFmtId="4" fontId="7" fillId="0" borderId="21" xfId="1946" applyNumberFormat="1" applyFont="1" applyBorder="1" applyAlignment="1">
      <alignment horizontal="right" vertical="center"/>
    </xf>
    <xf numFmtId="3" fontId="7" fillId="0" borderId="21" xfId="1946" applyNumberFormat="1" applyFont="1" applyBorder="1" applyAlignment="1">
      <alignment horizontal="right" vertical="center"/>
    </xf>
    <xf numFmtId="3" fontId="7" fillId="0" borderId="22" xfId="1946" applyNumberFormat="1" applyFont="1" applyBorder="1" applyAlignment="1">
      <alignment horizontal="right" vertical="center"/>
    </xf>
    <xf numFmtId="3" fontId="7" fillId="0" borderId="23" xfId="1946" applyNumberFormat="1" applyFont="1" applyBorder="1" applyAlignment="1">
      <alignment horizontal="right" vertical="center"/>
    </xf>
    <xf numFmtId="189" fontId="7" fillId="0" borderId="37" xfId="1946" applyNumberFormat="1" applyFont="1" applyBorder="1" applyAlignment="1">
      <alignment horizontal="right" vertical="center"/>
    </xf>
    <xf numFmtId="0" fontId="19" fillId="0" borderId="0" xfId="1946" applyFont="1">
      <alignment vertical="center"/>
    </xf>
  </cellXfs>
  <cellStyles count="1954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" xfId="1953" builtinId="6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733425</xdr:colOff>
      <xdr:row>0</xdr:row>
      <xdr:rowOff>28575</xdr:rowOff>
    </xdr:from>
    <xdr:ext cx="9830920" cy="67235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5845CDA-DD77-4264-9402-267472E40A43}"/>
            </a:ext>
          </a:extLst>
        </xdr:cNvPr>
        <xdr:cNvSpPr/>
      </xdr:nvSpPr>
      <xdr:spPr>
        <a:xfrm>
          <a:off x="19011900" y="28575"/>
          <a:ext cx="9830920" cy="6723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t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month.The final position for Commodity futures (physically-delivered futures) means "Basic Delivery Volume".</a:t>
          </a:r>
          <a:endParaRPr kumimoji="1" lang="en-US" altLang="ja-JP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金限日先物、白金限日先物の希望受渡高は、「早受渡・申告受渡高」に出力する。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28576</xdr:colOff>
      <xdr:row>0</xdr:row>
      <xdr:rowOff>28575</xdr:rowOff>
    </xdr:from>
    <xdr:ext cx="9486900" cy="33337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CD13B34-2D54-4889-AD3A-4C4585E780A8}"/>
            </a:ext>
          </a:extLst>
        </xdr:cNvPr>
        <xdr:cNvSpPr/>
      </xdr:nvSpPr>
      <xdr:spPr>
        <a:xfrm>
          <a:off x="20231101" y="28575"/>
          <a:ext cx="9486900" cy="3333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 The final position for Commodity futures (physically-delivered futures) means "Basic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vertOverflow="clip" horzOverflow="clip" rtlCol="0" anchor="t"/>
      <a:lstStyle>
        <a:defPPr algn="l">
          <a:defRPr kumimoji="1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95"/>
  <sheetViews>
    <sheetView showGridLines="0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6" customWidth="1"/>
    <col min="2" max="2" width="25.75" style="16" bestFit="1" customWidth="1"/>
    <col min="3" max="3" width="34.5" style="16" bestFit="1" customWidth="1"/>
    <col min="4" max="6" width="10.25" style="16" bestFit="1" customWidth="1"/>
    <col min="7" max="7" width="5.25" style="16" customWidth="1"/>
    <col min="8" max="8" width="15.25" style="16" customWidth="1"/>
    <col min="9" max="9" width="5.25" style="16" customWidth="1"/>
    <col min="10" max="10" width="15.25" style="16" customWidth="1"/>
    <col min="11" max="11" width="5.25" style="16" customWidth="1"/>
    <col min="12" max="12" width="15.25" style="16" customWidth="1"/>
    <col min="13" max="13" width="5.25" style="16" customWidth="1"/>
    <col min="14" max="14" width="15.25" style="16" customWidth="1"/>
    <col min="15" max="15" width="5.25" style="16" customWidth="1"/>
    <col min="16" max="16" width="15.25" style="16" customWidth="1"/>
    <col min="17" max="17" width="5.25" style="16" customWidth="1"/>
    <col min="18" max="19" width="15.25" style="16" customWidth="1"/>
    <col min="20" max="22" width="15" style="16" customWidth="1"/>
    <col min="23" max="25" width="21.25" style="16" customWidth="1"/>
    <col min="26" max="26" width="2.375" style="16" bestFit="1" customWidth="1"/>
    <col min="27" max="27" width="15.25" style="16" customWidth="1"/>
    <col min="28" max="28" width="17.625" style="16" customWidth="1"/>
    <col min="29" max="29" width="7" style="16" bestFit="1" customWidth="1"/>
    <col min="30" max="16384" width="9" style="10"/>
  </cols>
  <sheetData>
    <row r="1" spans="1:29" ht="30" customHeight="1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11"/>
      <c r="L1" s="11"/>
      <c r="M1" s="11"/>
      <c r="N1" s="11"/>
      <c r="O1" s="11"/>
      <c r="P1" s="11"/>
      <c r="Q1" s="11"/>
      <c r="R1" s="11"/>
      <c r="S1" s="11"/>
      <c r="T1" s="11"/>
      <c r="U1" s="17"/>
      <c r="V1" s="17"/>
      <c r="W1" s="17"/>
      <c r="X1" s="18"/>
      <c r="Y1" s="18"/>
      <c r="Z1" s="18"/>
      <c r="AA1" s="18"/>
      <c r="AB1" s="18"/>
      <c r="AC1" s="19"/>
    </row>
    <row r="2" spans="1:29" ht="30" customHeight="1">
      <c r="A2" s="29" t="s">
        <v>27</v>
      </c>
      <c r="B2" s="30"/>
      <c r="C2" s="30"/>
      <c r="D2" s="25"/>
      <c r="E2" s="25"/>
      <c r="F2" s="25"/>
      <c r="G2" s="25"/>
      <c r="H2" s="25"/>
      <c r="I2" s="25"/>
      <c r="J2" s="25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1:29" ht="14.1" customHeight="1">
      <c r="A3" s="52" t="s">
        <v>0</v>
      </c>
      <c r="B3" s="47" t="s">
        <v>7</v>
      </c>
      <c r="C3" s="47" t="s">
        <v>25</v>
      </c>
      <c r="D3" s="38" t="s">
        <v>1</v>
      </c>
      <c r="E3" s="54" t="s">
        <v>5</v>
      </c>
      <c r="F3" s="55"/>
      <c r="G3" s="59" t="s">
        <v>24</v>
      </c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42" t="s">
        <v>39</v>
      </c>
      <c r="T3" s="49" t="s">
        <v>23</v>
      </c>
      <c r="U3" s="50"/>
      <c r="V3" s="51"/>
      <c r="W3" s="49" t="s">
        <v>22</v>
      </c>
      <c r="X3" s="50"/>
      <c r="Y3" s="51"/>
      <c r="Z3" s="44" t="s">
        <v>21</v>
      </c>
      <c r="AA3" s="45"/>
      <c r="AB3" s="47" t="s">
        <v>28</v>
      </c>
      <c r="AC3" s="31" t="s">
        <v>20</v>
      </c>
    </row>
    <row r="4" spans="1:29" ht="9" customHeight="1">
      <c r="A4" s="53"/>
      <c r="B4" s="48"/>
      <c r="C4" s="48"/>
      <c r="D4" s="41"/>
      <c r="E4" s="44"/>
      <c r="F4" s="45"/>
      <c r="G4" s="33" t="s">
        <v>6</v>
      </c>
      <c r="H4" s="35" t="s">
        <v>34</v>
      </c>
      <c r="I4" s="33" t="s">
        <v>6</v>
      </c>
      <c r="J4" s="39" t="s">
        <v>35</v>
      </c>
      <c r="K4" s="37" t="s">
        <v>2</v>
      </c>
      <c r="L4" s="37"/>
      <c r="M4" s="33" t="s">
        <v>6</v>
      </c>
      <c r="N4" s="39" t="s">
        <v>37</v>
      </c>
      <c r="O4" s="37" t="s">
        <v>2</v>
      </c>
      <c r="P4" s="37"/>
      <c r="Q4" s="33" t="s">
        <v>6</v>
      </c>
      <c r="R4" s="35" t="s">
        <v>38</v>
      </c>
      <c r="S4" s="43"/>
      <c r="T4" s="38" t="s">
        <v>3</v>
      </c>
      <c r="U4" s="41" t="s">
        <v>19</v>
      </c>
      <c r="V4" s="43" t="s">
        <v>30</v>
      </c>
      <c r="W4" s="38" t="s">
        <v>3</v>
      </c>
      <c r="X4" s="41" t="s">
        <v>18</v>
      </c>
      <c r="Y4" s="43" t="s">
        <v>32</v>
      </c>
      <c r="Z4" s="44"/>
      <c r="AA4" s="45"/>
      <c r="AB4" s="48"/>
      <c r="AC4" s="32"/>
    </row>
    <row r="5" spans="1:29" ht="27" customHeight="1">
      <c r="A5" s="53"/>
      <c r="B5" s="48"/>
      <c r="C5" s="48"/>
      <c r="D5" s="41"/>
      <c r="E5" s="56"/>
      <c r="F5" s="46"/>
      <c r="G5" s="34"/>
      <c r="H5" s="36"/>
      <c r="I5" s="34"/>
      <c r="J5" s="40"/>
      <c r="K5" s="14" t="s">
        <v>17</v>
      </c>
      <c r="L5" s="20" t="s">
        <v>36</v>
      </c>
      <c r="M5" s="34"/>
      <c r="N5" s="40"/>
      <c r="O5" s="14" t="s">
        <v>17</v>
      </c>
      <c r="P5" s="20" t="s">
        <v>36</v>
      </c>
      <c r="Q5" s="34"/>
      <c r="R5" s="36"/>
      <c r="S5" s="43"/>
      <c r="T5" s="38"/>
      <c r="U5" s="41"/>
      <c r="V5" s="43"/>
      <c r="W5" s="38"/>
      <c r="X5" s="41"/>
      <c r="Y5" s="43"/>
      <c r="Z5" s="44"/>
      <c r="AA5" s="46"/>
      <c r="AB5" s="38"/>
      <c r="AC5" s="32"/>
    </row>
    <row r="6" spans="1:29" ht="36" customHeight="1">
      <c r="A6" s="26" t="s">
        <v>16</v>
      </c>
      <c r="B6" s="38"/>
      <c r="C6" s="38"/>
      <c r="D6" s="23" t="s">
        <v>4</v>
      </c>
      <c r="E6" s="57" t="s">
        <v>15</v>
      </c>
      <c r="F6" s="58"/>
      <c r="G6" s="14" t="s">
        <v>14</v>
      </c>
      <c r="H6" s="21" t="s">
        <v>40</v>
      </c>
      <c r="I6" s="14" t="s">
        <v>14</v>
      </c>
      <c r="J6" s="20" t="s">
        <v>41</v>
      </c>
      <c r="K6" s="14" t="s">
        <v>14</v>
      </c>
      <c r="L6" s="20" t="s">
        <v>42</v>
      </c>
      <c r="M6" s="14" t="s">
        <v>14</v>
      </c>
      <c r="N6" s="20" t="s">
        <v>43</v>
      </c>
      <c r="O6" s="14" t="s">
        <v>14</v>
      </c>
      <c r="P6" s="20" t="s">
        <v>42</v>
      </c>
      <c r="Q6" s="14" t="s">
        <v>14</v>
      </c>
      <c r="R6" s="20" t="s">
        <v>44</v>
      </c>
      <c r="S6" s="24" t="s">
        <v>45</v>
      </c>
      <c r="T6" s="23" t="s">
        <v>13</v>
      </c>
      <c r="U6" s="23" t="s">
        <v>12</v>
      </c>
      <c r="V6" s="24" t="s">
        <v>31</v>
      </c>
      <c r="W6" s="23" t="s">
        <v>11</v>
      </c>
      <c r="X6" s="23" t="s">
        <v>10</v>
      </c>
      <c r="Y6" s="24" t="s">
        <v>33</v>
      </c>
      <c r="Z6" s="57" t="s">
        <v>9</v>
      </c>
      <c r="AA6" s="58"/>
      <c r="AB6" s="15" t="s">
        <v>29</v>
      </c>
      <c r="AC6" s="22" t="s">
        <v>8</v>
      </c>
    </row>
    <row r="7" spans="1:29">
      <c r="A7" s="9" t="s">
        <v>46</v>
      </c>
      <c r="B7" s="8" t="s">
        <v>47</v>
      </c>
      <c r="C7" s="8" t="s">
        <v>48</v>
      </c>
      <c r="D7" s="8" t="s">
        <v>49</v>
      </c>
      <c r="E7" s="7" t="s">
        <v>50</v>
      </c>
      <c r="F7" s="7" t="s">
        <v>51</v>
      </c>
      <c r="G7" s="3" t="s">
        <v>52</v>
      </c>
      <c r="H7" s="6" t="s">
        <v>53</v>
      </c>
      <c r="I7" s="3" t="s">
        <v>54</v>
      </c>
      <c r="J7" s="6" t="s">
        <v>55</v>
      </c>
      <c r="K7" s="3"/>
      <c r="L7" s="6"/>
      <c r="M7" s="3" t="s">
        <v>56</v>
      </c>
      <c r="N7" s="6" t="s">
        <v>57</v>
      </c>
      <c r="O7" s="3"/>
      <c r="P7" s="6"/>
      <c r="Q7" s="3" t="s">
        <v>56</v>
      </c>
      <c r="R7" s="6" t="s">
        <v>58</v>
      </c>
      <c r="S7" s="5">
        <f>6707.42</f>
        <v>6707.42</v>
      </c>
      <c r="T7" s="4">
        <f>1830</f>
        <v>1830</v>
      </c>
      <c r="U7" s="4"/>
      <c r="V7" s="4">
        <v>448</v>
      </c>
      <c r="W7" s="4">
        <f>12271172000</f>
        <v>12271172000</v>
      </c>
      <c r="X7" s="4"/>
      <c r="Y7" s="4">
        <v>3003965000</v>
      </c>
      <c r="Z7" s="3"/>
      <c r="AA7" s="2">
        <f>2176</f>
        <v>2176</v>
      </c>
      <c r="AB7" s="2" t="str">
        <f t="shared" ref="AB7:AB38" si="0">"－"</f>
        <v>－</v>
      </c>
      <c r="AC7" s="1">
        <f>19</f>
        <v>19</v>
      </c>
    </row>
    <row r="8" spans="1:29">
      <c r="A8" s="9" t="s">
        <v>46</v>
      </c>
      <c r="B8" s="8" t="s">
        <v>47</v>
      </c>
      <c r="C8" s="8" t="s">
        <v>48</v>
      </c>
      <c r="D8" s="8" t="s">
        <v>59</v>
      </c>
      <c r="E8" s="7" t="s">
        <v>60</v>
      </c>
      <c r="F8" s="7" t="s">
        <v>61</v>
      </c>
      <c r="G8" s="3" t="s">
        <v>52</v>
      </c>
      <c r="H8" s="6" t="s">
        <v>62</v>
      </c>
      <c r="I8" s="3" t="s">
        <v>54</v>
      </c>
      <c r="J8" s="6" t="s">
        <v>63</v>
      </c>
      <c r="K8" s="3" t="s">
        <v>64</v>
      </c>
      <c r="L8" s="6" t="s">
        <v>65</v>
      </c>
      <c r="M8" s="3" t="s">
        <v>56</v>
      </c>
      <c r="N8" s="6" t="s">
        <v>66</v>
      </c>
      <c r="O8" s="3" t="s">
        <v>64</v>
      </c>
      <c r="P8" s="6" t="s">
        <v>65</v>
      </c>
      <c r="Q8" s="3" t="s">
        <v>56</v>
      </c>
      <c r="R8" s="6" t="s">
        <v>67</v>
      </c>
      <c r="S8" s="5">
        <f>6705.26</f>
        <v>6705.26</v>
      </c>
      <c r="T8" s="4">
        <f>3230</f>
        <v>3230</v>
      </c>
      <c r="U8" s="4">
        <v>1</v>
      </c>
      <c r="V8" s="4">
        <v>240</v>
      </c>
      <c r="W8" s="4">
        <f>21680541000</f>
        <v>21680541000</v>
      </c>
      <c r="X8" s="4">
        <v>6667000</v>
      </c>
      <c r="Y8" s="4">
        <v>1612252000</v>
      </c>
      <c r="Z8" s="3"/>
      <c r="AA8" s="2">
        <f>1612</f>
        <v>1612</v>
      </c>
      <c r="AB8" s="2" t="str">
        <f t="shared" si="0"/>
        <v>－</v>
      </c>
      <c r="AC8" s="1">
        <f>19</f>
        <v>19</v>
      </c>
    </row>
    <row r="9" spans="1:29">
      <c r="A9" s="9" t="s">
        <v>46</v>
      </c>
      <c r="B9" s="8" t="s">
        <v>47</v>
      </c>
      <c r="C9" s="8" t="s">
        <v>48</v>
      </c>
      <c r="D9" s="8" t="s">
        <v>68</v>
      </c>
      <c r="E9" s="7" t="s">
        <v>69</v>
      </c>
      <c r="F9" s="7" t="s">
        <v>70</v>
      </c>
      <c r="G9" s="3" t="s">
        <v>52</v>
      </c>
      <c r="H9" s="6" t="s">
        <v>71</v>
      </c>
      <c r="I9" s="3" t="s">
        <v>54</v>
      </c>
      <c r="J9" s="6" t="s">
        <v>72</v>
      </c>
      <c r="K9" s="3"/>
      <c r="L9" s="6"/>
      <c r="M9" s="3" t="s">
        <v>56</v>
      </c>
      <c r="N9" s="6" t="s">
        <v>57</v>
      </c>
      <c r="O9" s="3"/>
      <c r="P9" s="6"/>
      <c r="Q9" s="3" t="s">
        <v>56</v>
      </c>
      <c r="R9" s="6" t="s">
        <v>73</v>
      </c>
      <c r="S9" s="5">
        <f>6701.68</f>
        <v>6701.68</v>
      </c>
      <c r="T9" s="4">
        <f>2092</f>
        <v>2092</v>
      </c>
      <c r="U9" s="4"/>
      <c r="V9" s="4">
        <v>405</v>
      </c>
      <c r="W9" s="4">
        <f>14014339000</f>
        <v>14014339000</v>
      </c>
      <c r="X9" s="4"/>
      <c r="Y9" s="4">
        <v>2713975000</v>
      </c>
      <c r="Z9" s="3"/>
      <c r="AA9" s="2">
        <f>2215</f>
        <v>2215</v>
      </c>
      <c r="AB9" s="2" t="str">
        <f t="shared" si="0"/>
        <v>－</v>
      </c>
      <c r="AC9" s="1">
        <f>19</f>
        <v>19</v>
      </c>
    </row>
    <row r="10" spans="1:29">
      <c r="A10" s="9" t="s">
        <v>46</v>
      </c>
      <c r="B10" s="8" t="s">
        <v>47</v>
      </c>
      <c r="C10" s="8" t="s">
        <v>48</v>
      </c>
      <c r="D10" s="8" t="s">
        <v>74</v>
      </c>
      <c r="E10" s="7" t="s">
        <v>75</v>
      </c>
      <c r="F10" s="7" t="s">
        <v>76</v>
      </c>
      <c r="G10" s="3" t="s">
        <v>52</v>
      </c>
      <c r="H10" s="6" t="s">
        <v>77</v>
      </c>
      <c r="I10" s="3" t="s">
        <v>54</v>
      </c>
      <c r="J10" s="6" t="s">
        <v>78</v>
      </c>
      <c r="K10" s="3"/>
      <c r="L10" s="6"/>
      <c r="M10" s="3" t="s">
        <v>56</v>
      </c>
      <c r="N10" s="6" t="s">
        <v>79</v>
      </c>
      <c r="O10" s="3"/>
      <c r="P10" s="6"/>
      <c r="Q10" s="3" t="s">
        <v>56</v>
      </c>
      <c r="R10" s="6" t="s">
        <v>80</v>
      </c>
      <c r="S10" s="5">
        <f>6696.84</f>
        <v>6696.84</v>
      </c>
      <c r="T10" s="4">
        <f>7314</f>
        <v>7314</v>
      </c>
      <c r="U10" s="4"/>
      <c r="V10" s="4">
        <v>1325</v>
      </c>
      <c r="W10" s="4">
        <f>48952778000</f>
        <v>48952778000</v>
      </c>
      <c r="X10" s="4"/>
      <c r="Y10" s="4">
        <v>8865388000</v>
      </c>
      <c r="Z10" s="3"/>
      <c r="AA10" s="2">
        <f>5976</f>
        <v>5976</v>
      </c>
      <c r="AB10" s="2" t="str">
        <f t="shared" si="0"/>
        <v>－</v>
      </c>
      <c r="AC10" s="1">
        <f>19</f>
        <v>19</v>
      </c>
    </row>
    <row r="11" spans="1:29">
      <c r="A11" s="9" t="s">
        <v>46</v>
      </c>
      <c r="B11" s="8" t="s">
        <v>47</v>
      </c>
      <c r="C11" s="8" t="s">
        <v>48</v>
      </c>
      <c r="D11" s="8" t="s">
        <v>81</v>
      </c>
      <c r="E11" s="7" t="s">
        <v>82</v>
      </c>
      <c r="F11" s="7" t="s">
        <v>83</v>
      </c>
      <c r="G11" s="3" t="s">
        <v>52</v>
      </c>
      <c r="H11" s="6" t="s">
        <v>58</v>
      </c>
      <c r="I11" s="3" t="s">
        <v>54</v>
      </c>
      <c r="J11" s="6" t="s">
        <v>84</v>
      </c>
      <c r="K11" s="3"/>
      <c r="L11" s="6"/>
      <c r="M11" s="3" t="s">
        <v>56</v>
      </c>
      <c r="N11" s="6" t="s">
        <v>85</v>
      </c>
      <c r="O11" s="3"/>
      <c r="P11" s="6"/>
      <c r="Q11" s="3" t="s">
        <v>56</v>
      </c>
      <c r="R11" s="6" t="s">
        <v>77</v>
      </c>
      <c r="S11" s="5">
        <f>6698.21</f>
        <v>6698.21</v>
      </c>
      <c r="T11" s="4">
        <f>54549</f>
        <v>54549</v>
      </c>
      <c r="U11" s="4"/>
      <c r="V11" s="4">
        <v>8049</v>
      </c>
      <c r="W11" s="4">
        <f>365505618000</f>
        <v>365505618000</v>
      </c>
      <c r="X11" s="4"/>
      <c r="Y11" s="4">
        <v>53932730000</v>
      </c>
      <c r="Z11" s="3"/>
      <c r="AA11" s="2">
        <f>10214</f>
        <v>10214</v>
      </c>
      <c r="AB11" s="2" t="str">
        <f t="shared" si="0"/>
        <v>－</v>
      </c>
      <c r="AC11" s="1">
        <f>19</f>
        <v>19</v>
      </c>
    </row>
    <row r="12" spans="1:29">
      <c r="A12" s="9" t="s">
        <v>46</v>
      </c>
      <c r="B12" s="8" t="s">
        <v>47</v>
      </c>
      <c r="C12" s="8" t="s">
        <v>48</v>
      </c>
      <c r="D12" s="8" t="s">
        <v>86</v>
      </c>
      <c r="E12" s="7" t="s">
        <v>87</v>
      </c>
      <c r="F12" s="7" t="s">
        <v>88</v>
      </c>
      <c r="G12" s="3" t="s">
        <v>52</v>
      </c>
      <c r="H12" s="6" t="s">
        <v>89</v>
      </c>
      <c r="I12" s="3" t="s">
        <v>54</v>
      </c>
      <c r="J12" s="6" t="s">
        <v>90</v>
      </c>
      <c r="K12" s="3" t="s">
        <v>91</v>
      </c>
      <c r="L12" s="6" t="s">
        <v>92</v>
      </c>
      <c r="M12" s="3" t="s">
        <v>56</v>
      </c>
      <c r="N12" s="6" t="s">
        <v>57</v>
      </c>
      <c r="O12" s="3" t="s">
        <v>64</v>
      </c>
      <c r="P12" s="6" t="s">
        <v>93</v>
      </c>
      <c r="Q12" s="3" t="s">
        <v>56</v>
      </c>
      <c r="R12" s="6" t="s">
        <v>94</v>
      </c>
      <c r="S12" s="5">
        <f>6701.47</f>
        <v>6701.47</v>
      </c>
      <c r="T12" s="4">
        <f>368612</f>
        <v>368612</v>
      </c>
      <c r="U12" s="4">
        <v>11</v>
      </c>
      <c r="V12" s="4">
        <v>7501</v>
      </c>
      <c r="W12" s="4">
        <f>2469280114000</f>
        <v>2469280114000</v>
      </c>
      <c r="X12" s="4">
        <v>74316000</v>
      </c>
      <c r="Y12" s="4">
        <v>50293263000</v>
      </c>
      <c r="Z12" s="3"/>
      <c r="AA12" s="2">
        <f>23620</f>
        <v>23620</v>
      </c>
      <c r="AB12" s="2" t="str">
        <f t="shared" si="0"/>
        <v>－</v>
      </c>
      <c r="AC12" s="1">
        <f>19</f>
        <v>19</v>
      </c>
    </row>
    <row r="13" spans="1:29">
      <c r="A13" s="9" t="s">
        <v>46</v>
      </c>
      <c r="B13" s="8" t="s">
        <v>95</v>
      </c>
      <c r="C13" s="8" t="s">
        <v>96</v>
      </c>
      <c r="D13" s="8" t="s">
        <v>49</v>
      </c>
      <c r="E13" s="7" t="s">
        <v>50</v>
      </c>
      <c r="F13" s="7" t="s">
        <v>97</v>
      </c>
      <c r="G13" s="3" t="s">
        <v>52</v>
      </c>
      <c r="H13" s="6" t="s">
        <v>98</v>
      </c>
      <c r="I13" s="3" t="s">
        <v>54</v>
      </c>
      <c r="J13" s="6" t="s">
        <v>99</v>
      </c>
      <c r="K13" s="3"/>
      <c r="L13" s="6"/>
      <c r="M13" s="3" t="s">
        <v>56</v>
      </c>
      <c r="N13" s="6" t="s">
        <v>100</v>
      </c>
      <c r="O13" s="3"/>
      <c r="P13" s="6"/>
      <c r="Q13" s="3" t="s">
        <v>56</v>
      </c>
      <c r="R13" s="6" t="s">
        <v>101</v>
      </c>
      <c r="S13" s="5">
        <f>6707.42</f>
        <v>6707.42</v>
      </c>
      <c r="T13" s="4">
        <f>584</f>
        <v>584</v>
      </c>
      <c r="U13" s="4"/>
      <c r="V13" s="4"/>
      <c r="W13" s="4">
        <f>392874100</f>
        <v>392874100</v>
      </c>
      <c r="X13" s="4"/>
      <c r="Y13" s="4"/>
      <c r="Z13" s="3"/>
      <c r="AA13" s="2">
        <f>2729</f>
        <v>2729</v>
      </c>
      <c r="AB13" s="2" t="str">
        <f t="shared" si="0"/>
        <v>－</v>
      </c>
      <c r="AC13" s="1">
        <f>18</f>
        <v>18</v>
      </c>
    </row>
    <row r="14" spans="1:29">
      <c r="A14" s="9" t="s">
        <v>46</v>
      </c>
      <c r="B14" s="8" t="s">
        <v>95</v>
      </c>
      <c r="C14" s="8" t="s">
        <v>96</v>
      </c>
      <c r="D14" s="8" t="s">
        <v>59</v>
      </c>
      <c r="E14" s="7" t="s">
        <v>60</v>
      </c>
      <c r="F14" s="7" t="s">
        <v>102</v>
      </c>
      <c r="G14" s="3" t="s">
        <v>52</v>
      </c>
      <c r="H14" s="6" t="s">
        <v>53</v>
      </c>
      <c r="I14" s="3" t="s">
        <v>91</v>
      </c>
      <c r="J14" s="6" t="s">
        <v>103</v>
      </c>
      <c r="K14" s="3"/>
      <c r="L14" s="6"/>
      <c r="M14" s="3" t="s">
        <v>56</v>
      </c>
      <c r="N14" s="6" t="s">
        <v>104</v>
      </c>
      <c r="O14" s="3"/>
      <c r="P14" s="6"/>
      <c r="Q14" s="3" t="s">
        <v>56</v>
      </c>
      <c r="R14" s="6" t="s">
        <v>105</v>
      </c>
      <c r="S14" s="5">
        <f>6705.26</f>
        <v>6705.26</v>
      </c>
      <c r="T14" s="4">
        <f>413</f>
        <v>413</v>
      </c>
      <c r="U14" s="4"/>
      <c r="V14" s="4"/>
      <c r="W14" s="4">
        <f>276623900</f>
        <v>276623900</v>
      </c>
      <c r="X14" s="4"/>
      <c r="Y14" s="4"/>
      <c r="Z14" s="3"/>
      <c r="AA14" s="2">
        <f>1359</f>
        <v>1359</v>
      </c>
      <c r="AB14" s="2" t="str">
        <f t="shared" si="0"/>
        <v>－</v>
      </c>
      <c r="AC14" s="1">
        <f>17</f>
        <v>17</v>
      </c>
    </row>
    <row r="15" spans="1:29">
      <c r="A15" s="9" t="s">
        <v>46</v>
      </c>
      <c r="B15" s="8" t="s">
        <v>95</v>
      </c>
      <c r="C15" s="8" t="s">
        <v>96</v>
      </c>
      <c r="D15" s="8" t="s">
        <v>68</v>
      </c>
      <c r="E15" s="7" t="s">
        <v>69</v>
      </c>
      <c r="F15" s="7" t="s">
        <v>106</v>
      </c>
      <c r="G15" s="3" t="s">
        <v>52</v>
      </c>
      <c r="H15" s="6" t="s">
        <v>107</v>
      </c>
      <c r="I15" s="3" t="s">
        <v>54</v>
      </c>
      <c r="J15" s="6" t="s">
        <v>84</v>
      </c>
      <c r="K15" s="3"/>
      <c r="L15" s="6"/>
      <c r="M15" s="3" t="s">
        <v>56</v>
      </c>
      <c r="N15" s="6" t="s">
        <v>108</v>
      </c>
      <c r="O15" s="3"/>
      <c r="P15" s="6"/>
      <c r="Q15" s="3" t="s">
        <v>56</v>
      </c>
      <c r="R15" s="6" t="s">
        <v>108</v>
      </c>
      <c r="S15" s="5">
        <f>6701.68</f>
        <v>6701.68</v>
      </c>
      <c r="T15" s="4">
        <f>189</f>
        <v>189</v>
      </c>
      <c r="U15" s="4"/>
      <c r="V15" s="4">
        <v>1</v>
      </c>
      <c r="W15" s="4">
        <f>126616700</f>
        <v>126616700</v>
      </c>
      <c r="X15" s="4"/>
      <c r="Y15" s="4">
        <v>670600</v>
      </c>
      <c r="Z15" s="3"/>
      <c r="AA15" s="2">
        <f>1299</f>
        <v>1299</v>
      </c>
      <c r="AB15" s="2" t="str">
        <f t="shared" si="0"/>
        <v>－</v>
      </c>
      <c r="AC15" s="1">
        <f>16</f>
        <v>16</v>
      </c>
    </row>
    <row r="16" spans="1:29">
      <c r="A16" s="9" t="s">
        <v>46</v>
      </c>
      <c r="B16" s="8" t="s">
        <v>95</v>
      </c>
      <c r="C16" s="8" t="s">
        <v>96</v>
      </c>
      <c r="D16" s="8" t="s">
        <v>74</v>
      </c>
      <c r="E16" s="7" t="s">
        <v>75</v>
      </c>
      <c r="F16" s="7" t="s">
        <v>109</v>
      </c>
      <c r="G16" s="3" t="s">
        <v>52</v>
      </c>
      <c r="H16" s="6" t="s">
        <v>110</v>
      </c>
      <c r="I16" s="3" t="s">
        <v>54</v>
      </c>
      <c r="J16" s="6" t="s">
        <v>99</v>
      </c>
      <c r="K16" s="3"/>
      <c r="L16" s="6"/>
      <c r="M16" s="3" t="s">
        <v>56</v>
      </c>
      <c r="N16" s="6" t="s">
        <v>111</v>
      </c>
      <c r="O16" s="3"/>
      <c r="P16" s="6"/>
      <c r="Q16" s="3" t="s">
        <v>56</v>
      </c>
      <c r="R16" s="6" t="s">
        <v>101</v>
      </c>
      <c r="S16" s="5">
        <f>6696.84</f>
        <v>6696.84</v>
      </c>
      <c r="T16" s="4">
        <f>508</f>
        <v>508</v>
      </c>
      <c r="U16" s="4"/>
      <c r="V16" s="4">
        <v>1</v>
      </c>
      <c r="W16" s="4">
        <f>339892700</f>
        <v>339892700</v>
      </c>
      <c r="X16" s="4"/>
      <c r="Y16" s="4">
        <v>669400</v>
      </c>
      <c r="Z16" s="3"/>
      <c r="AA16" s="2">
        <f>2762</f>
        <v>2762</v>
      </c>
      <c r="AB16" s="2" t="str">
        <f t="shared" si="0"/>
        <v>－</v>
      </c>
      <c r="AC16" s="1">
        <f>19</f>
        <v>19</v>
      </c>
    </row>
    <row r="17" spans="1:29">
      <c r="A17" s="9" t="s">
        <v>46</v>
      </c>
      <c r="B17" s="8" t="s">
        <v>95</v>
      </c>
      <c r="C17" s="8" t="s">
        <v>96</v>
      </c>
      <c r="D17" s="8" t="s">
        <v>81</v>
      </c>
      <c r="E17" s="7" t="s">
        <v>82</v>
      </c>
      <c r="F17" s="7" t="s">
        <v>112</v>
      </c>
      <c r="G17" s="3" t="s">
        <v>52</v>
      </c>
      <c r="H17" s="6" t="s">
        <v>113</v>
      </c>
      <c r="I17" s="3" t="s">
        <v>54</v>
      </c>
      <c r="J17" s="6" t="s">
        <v>114</v>
      </c>
      <c r="K17" s="3"/>
      <c r="L17" s="6"/>
      <c r="M17" s="3" t="s">
        <v>56</v>
      </c>
      <c r="N17" s="6" t="s">
        <v>115</v>
      </c>
      <c r="O17" s="3"/>
      <c r="P17" s="6"/>
      <c r="Q17" s="3" t="s">
        <v>56</v>
      </c>
      <c r="R17" s="6" t="s">
        <v>73</v>
      </c>
      <c r="S17" s="5">
        <f>6698.21</f>
        <v>6698.21</v>
      </c>
      <c r="T17" s="4">
        <f>8220</f>
        <v>8220</v>
      </c>
      <c r="U17" s="4"/>
      <c r="V17" s="4"/>
      <c r="W17" s="4">
        <f>5504741700</f>
        <v>5504741700</v>
      </c>
      <c r="X17" s="4"/>
      <c r="Y17" s="4"/>
      <c r="Z17" s="3"/>
      <c r="AA17" s="2">
        <f>1832</f>
        <v>1832</v>
      </c>
      <c r="AB17" s="2" t="str">
        <f t="shared" si="0"/>
        <v>－</v>
      </c>
      <c r="AC17" s="1">
        <f>19</f>
        <v>19</v>
      </c>
    </row>
    <row r="18" spans="1:29">
      <c r="A18" s="9" t="s">
        <v>46</v>
      </c>
      <c r="B18" s="8" t="s">
        <v>95</v>
      </c>
      <c r="C18" s="8" t="s">
        <v>96</v>
      </c>
      <c r="D18" s="8" t="s">
        <v>86</v>
      </c>
      <c r="E18" s="7" t="s">
        <v>87</v>
      </c>
      <c r="F18" s="7" t="s">
        <v>116</v>
      </c>
      <c r="G18" s="3" t="s">
        <v>52</v>
      </c>
      <c r="H18" s="6" t="s">
        <v>67</v>
      </c>
      <c r="I18" s="3" t="s">
        <v>54</v>
      </c>
      <c r="J18" s="6" t="s">
        <v>72</v>
      </c>
      <c r="K18" s="3"/>
      <c r="L18" s="6"/>
      <c r="M18" s="3" t="s">
        <v>56</v>
      </c>
      <c r="N18" s="6" t="s">
        <v>111</v>
      </c>
      <c r="O18" s="3"/>
      <c r="P18" s="6"/>
      <c r="Q18" s="3" t="s">
        <v>56</v>
      </c>
      <c r="R18" s="6" t="s">
        <v>110</v>
      </c>
      <c r="S18" s="5">
        <f>6701.47</f>
        <v>6701.47</v>
      </c>
      <c r="T18" s="4">
        <f>108275</f>
        <v>108275</v>
      </c>
      <c r="U18" s="4"/>
      <c r="V18" s="4"/>
      <c r="W18" s="4">
        <f>72527661700</f>
        <v>72527661700</v>
      </c>
      <c r="X18" s="4"/>
      <c r="Y18" s="4"/>
      <c r="Z18" s="3"/>
      <c r="AA18" s="2">
        <f>3033</f>
        <v>3033</v>
      </c>
      <c r="AB18" s="2" t="str">
        <f t="shared" si="0"/>
        <v>－</v>
      </c>
      <c r="AC18" s="1">
        <f>19</f>
        <v>19</v>
      </c>
    </row>
    <row r="19" spans="1:29">
      <c r="A19" s="9" t="s">
        <v>46</v>
      </c>
      <c r="B19" s="8" t="s">
        <v>117</v>
      </c>
      <c r="C19" s="8" t="s">
        <v>118</v>
      </c>
      <c r="D19" s="8" t="s">
        <v>119</v>
      </c>
      <c r="E19" s="7" t="s">
        <v>119</v>
      </c>
      <c r="F19" s="7" t="s">
        <v>119</v>
      </c>
      <c r="G19" s="3" t="s">
        <v>52</v>
      </c>
      <c r="H19" s="6" t="s">
        <v>120</v>
      </c>
      <c r="I19" s="3" t="s">
        <v>54</v>
      </c>
      <c r="J19" s="6" t="s">
        <v>121</v>
      </c>
      <c r="K19" s="3" t="s">
        <v>122</v>
      </c>
      <c r="L19" s="6" t="s">
        <v>123</v>
      </c>
      <c r="M19" s="3" t="s">
        <v>56</v>
      </c>
      <c r="N19" s="6" t="s">
        <v>58</v>
      </c>
      <c r="O19" s="3" t="s">
        <v>122</v>
      </c>
      <c r="P19" s="6" t="s">
        <v>123</v>
      </c>
      <c r="Q19" s="3" t="s">
        <v>56</v>
      </c>
      <c r="R19" s="6" t="s">
        <v>124</v>
      </c>
      <c r="S19" s="5">
        <f>6706.79</f>
        <v>6706.79</v>
      </c>
      <c r="T19" s="4">
        <f>68803</f>
        <v>68803</v>
      </c>
      <c r="U19" s="4">
        <v>162</v>
      </c>
      <c r="V19" s="4"/>
      <c r="W19" s="4">
        <f>46271589300</f>
        <v>46271589300</v>
      </c>
      <c r="X19" s="4">
        <v>108783000</v>
      </c>
      <c r="Y19" s="4"/>
      <c r="Z19" s="3"/>
      <c r="AA19" s="2">
        <f>51636</f>
        <v>51636</v>
      </c>
      <c r="AB19" s="2" t="str">
        <f t="shared" si="0"/>
        <v>－</v>
      </c>
      <c r="AC19" s="1">
        <f>19</f>
        <v>19</v>
      </c>
    </row>
    <row r="20" spans="1:29">
      <c r="A20" s="9" t="s">
        <v>46</v>
      </c>
      <c r="B20" s="8" t="s">
        <v>125</v>
      </c>
      <c r="C20" s="8" t="s">
        <v>126</v>
      </c>
      <c r="D20" s="8" t="s">
        <v>49</v>
      </c>
      <c r="E20" s="7" t="s">
        <v>50</v>
      </c>
      <c r="F20" s="7" t="s">
        <v>51</v>
      </c>
      <c r="G20" s="3" t="s">
        <v>52</v>
      </c>
      <c r="H20" s="6" t="s">
        <v>127</v>
      </c>
      <c r="I20" s="3" t="s">
        <v>128</v>
      </c>
      <c r="J20" s="6" t="s">
        <v>129</v>
      </c>
      <c r="K20" s="3"/>
      <c r="L20" s="6"/>
      <c r="M20" s="3" t="s">
        <v>130</v>
      </c>
      <c r="N20" s="6" t="s">
        <v>131</v>
      </c>
      <c r="O20" s="3"/>
      <c r="P20" s="6"/>
      <c r="Q20" s="3" t="s">
        <v>128</v>
      </c>
      <c r="R20" s="6" t="s">
        <v>129</v>
      </c>
      <c r="S20" s="5">
        <f>85.67</f>
        <v>85.67</v>
      </c>
      <c r="T20" s="4">
        <f>154</f>
        <v>154</v>
      </c>
      <c r="U20" s="4"/>
      <c r="V20" s="4"/>
      <c r="W20" s="4">
        <f>131423000</f>
        <v>131423000</v>
      </c>
      <c r="X20" s="4"/>
      <c r="Y20" s="4"/>
      <c r="Z20" s="3"/>
      <c r="AA20" s="2">
        <f>70</f>
        <v>70</v>
      </c>
      <c r="AB20" s="2" t="str">
        <f t="shared" si="0"/>
        <v>－</v>
      </c>
      <c r="AC20" s="1">
        <f>11</f>
        <v>11</v>
      </c>
    </row>
    <row r="21" spans="1:29">
      <c r="A21" s="9" t="s">
        <v>46</v>
      </c>
      <c r="B21" s="8" t="s">
        <v>125</v>
      </c>
      <c r="C21" s="8" t="s">
        <v>126</v>
      </c>
      <c r="D21" s="8" t="s">
        <v>59</v>
      </c>
      <c r="E21" s="7" t="s">
        <v>60</v>
      </c>
      <c r="F21" s="7" t="s">
        <v>61</v>
      </c>
      <c r="G21" s="3" t="s">
        <v>52</v>
      </c>
      <c r="H21" s="6" t="s">
        <v>132</v>
      </c>
      <c r="I21" s="3" t="s">
        <v>133</v>
      </c>
      <c r="J21" s="6" t="s">
        <v>134</v>
      </c>
      <c r="K21" s="3"/>
      <c r="L21" s="6"/>
      <c r="M21" s="3" t="s">
        <v>130</v>
      </c>
      <c r="N21" s="6" t="s">
        <v>135</v>
      </c>
      <c r="O21" s="3"/>
      <c r="P21" s="6"/>
      <c r="Q21" s="3" t="s">
        <v>91</v>
      </c>
      <c r="R21" s="6" t="s">
        <v>136</v>
      </c>
      <c r="S21" s="5">
        <f>85.4</f>
        <v>85.4</v>
      </c>
      <c r="T21" s="4">
        <f>97</f>
        <v>97</v>
      </c>
      <c r="U21" s="4"/>
      <c r="V21" s="4"/>
      <c r="W21" s="4">
        <f>83554000</f>
        <v>83554000</v>
      </c>
      <c r="X21" s="4"/>
      <c r="Y21" s="4"/>
      <c r="Z21" s="3"/>
      <c r="AA21" s="2">
        <f>175</f>
        <v>175</v>
      </c>
      <c r="AB21" s="2" t="str">
        <f t="shared" si="0"/>
        <v>－</v>
      </c>
      <c r="AC21" s="1">
        <f>11</f>
        <v>11</v>
      </c>
    </row>
    <row r="22" spans="1:29">
      <c r="A22" s="9" t="s">
        <v>46</v>
      </c>
      <c r="B22" s="8" t="s">
        <v>125</v>
      </c>
      <c r="C22" s="8" t="s">
        <v>126</v>
      </c>
      <c r="D22" s="8" t="s">
        <v>68</v>
      </c>
      <c r="E22" s="7" t="s">
        <v>69</v>
      </c>
      <c r="F22" s="7" t="s">
        <v>70</v>
      </c>
      <c r="G22" s="3" t="s">
        <v>52</v>
      </c>
      <c r="H22" s="6" t="s">
        <v>132</v>
      </c>
      <c r="I22" s="3" t="s">
        <v>128</v>
      </c>
      <c r="J22" s="6" t="s">
        <v>137</v>
      </c>
      <c r="K22" s="3"/>
      <c r="L22" s="6"/>
      <c r="M22" s="3" t="s">
        <v>130</v>
      </c>
      <c r="N22" s="6" t="s">
        <v>138</v>
      </c>
      <c r="O22" s="3"/>
      <c r="P22" s="6"/>
      <c r="Q22" s="3" t="s">
        <v>56</v>
      </c>
      <c r="R22" s="6" t="s">
        <v>138</v>
      </c>
      <c r="S22" s="5">
        <f>85.49</f>
        <v>85.49</v>
      </c>
      <c r="T22" s="4">
        <f>49</f>
        <v>49</v>
      </c>
      <c r="U22" s="4"/>
      <c r="V22" s="4">
        <v>2</v>
      </c>
      <c r="W22" s="4">
        <f>42530000</f>
        <v>42530000</v>
      </c>
      <c r="X22" s="4"/>
      <c r="Y22" s="4">
        <v>1730000</v>
      </c>
      <c r="Z22" s="3"/>
      <c r="AA22" s="2">
        <f>175</f>
        <v>175</v>
      </c>
      <c r="AB22" s="2" t="str">
        <f t="shared" si="0"/>
        <v>－</v>
      </c>
      <c r="AC22" s="1">
        <f>12</f>
        <v>12</v>
      </c>
    </row>
    <row r="23" spans="1:29">
      <c r="A23" s="9" t="s">
        <v>46</v>
      </c>
      <c r="B23" s="8" t="s">
        <v>125</v>
      </c>
      <c r="C23" s="8" t="s">
        <v>126</v>
      </c>
      <c r="D23" s="8" t="s">
        <v>74</v>
      </c>
      <c r="E23" s="7" t="s">
        <v>75</v>
      </c>
      <c r="F23" s="7" t="s">
        <v>76</v>
      </c>
      <c r="G23" s="3" t="s">
        <v>52</v>
      </c>
      <c r="H23" s="6" t="s">
        <v>139</v>
      </c>
      <c r="I23" s="3" t="s">
        <v>128</v>
      </c>
      <c r="J23" s="6" t="s">
        <v>140</v>
      </c>
      <c r="K23" s="3"/>
      <c r="L23" s="6"/>
      <c r="M23" s="3" t="s">
        <v>130</v>
      </c>
      <c r="N23" s="6" t="s">
        <v>141</v>
      </c>
      <c r="O23" s="3"/>
      <c r="P23" s="6"/>
      <c r="Q23" s="3" t="s">
        <v>64</v>
      </c>
      <c r="R23" s="6" t="s">
        <v>142</v>
      </c>
      <c r="S23" s="5">
        <f>85.28</f>
        <v>85.28</v>
      </c>
      <c r="T23" s="4">
        <f>117</f>
        <v>117</v>
      </c>
      <c r="U23" s="4"/>
      <c r="V23" s="4">
        <v>9</v>
      </c>
      <c r="W23" s="4">
        <f>100788000</f>
        <v>100788000</v>
      </c>
      <c r="X23" s="4"/>
      <c r="Y23" s="4">
        <v>7690000</v>
      </c>
      <c r="Z23" s="3"/>
      <c r="AA23" s="2">
        <f>147</f>
        <v>147</v>
      </c>
      <c r="AB23" s="2" t="str">
        <f t="shared" si="0"/>
        <v>－</v>
      </c>
      <c r="AC23" s="1">
        <f>16</f>
        <v>16</v>
      </c>
    </row>
    <row r="24" spans="1:29">
      <c r="A24" s="9" t="s">
        <v>46</v>
      </c>
      <c r="B24" s="8" t="s">
        <v>125</v>
      </c>
      <c r="C24" s="8" t="s">
        <v>126</v>
      </c>
      <c r="D24" s="8" t="s">
        <v>81</v>
      </c>
      <c r="E24" s="7" t="s">
        <v>82</v>
      </c>
      <c r="F24" s="7" t="s">
        <v>83</v>
      </c>
      <c r="G24" s="3" t="s">
        <v>52</v>
      </c>
      <c r="H24" s="6" t="s">
        <v>143</v>
      </c>
      <c r="I24" s="3" t="s">
        <v>133</v>
      </c>
      <c r="J24" s="6" t="s">
        <v>144</v>
      </c>
      <c r="K24" s="3"/>
      <c r="L24" s="6"/>
      <c r="M24" s="3" t="s">
        <v>145</v>
      </c>
      <c r="N24" s="6" t="s">
        <v>146</v>
      </c>
      <c r="O24" s="3"/>
      <c r="P24" s="6"/>
      <c r="Q24" s="3" t="s">
        <v>56</v>
      </c>
      <c r="R24" s="6" t="s">
        <v>147</v>
      </c>
      <c r="S24" s="5">
        <f>85.26</f>
        <v>85.26</v>
      </c>
      <c r="T24" s="4">
        <f>925</f>
        <v>925</v>
      </c>
      <c r="U24" s="4"/>
      <c r="V24" s="4">
        <v>37</v>
      </c>
      <c r="W24" s="4">
        <f>793554000</f>
        <v>793554000</v>
      </c>
      <c r="X24" s="4"/>
      <c r="Y24" s="4">
        <v>31582000</v>
      </c>
      <c r="Z24" s="3"/>
      <c r="AA24" s="2">
        <f>518</f>
        <v>518</v>
      </c>
      <c r="AB24" s="2" t="str">
        <f t="shared" si="0"/>
        <v>－</v>
      </c>
      <c r="AC24" s="1">
        <f>19</f>
        <v>19</v>
      </c>
    </row>
    <row r="25" spans="1:29">
      <c r="A25" s="9" t="s">
        <v>46</v>
      </c>
      <c r="B25" s="8" t="s">
        <v>125</v>
      </c>
      <c r="C25" s="8" t="s">
        <v>126</v>
      </c>
      <c r="D25" s="8" t="s">
        <v>86</v>
      </c>
      <c r="E25" s="7" t="s">
        <v>87</v>
      </c>
      <c r="F25" s="7" t="s">
        <v>88</v>
      </c>
      <c r="G25" s="3" t="s">
        <v>52</v>
      </c>
      <c r="H25" s="6" t="s">
        <v>139</v>
      </c>
      <c r="I25" s="3" t="s">
        <v>128</v>
      </c>
      <c r="J25" s="6" t="s">
        <v>148</v>
      </c>
      <c r="K25" s="3"/>
      <c r="L25" s="6"/>
      <c r="M25" s="3" t="s">
        <v>145</v>
      </c>
      <c r="N25" s="6" t="s">
        <v>149</v>
      </c>
      <c r="O25" s="3"/>
      <c r="P25" s="6"/>
      <c r="Q25" s="3" t="s">
        <v>56</v>
      </c>
      <c r="R25" s="6" t="s">
        <v>138</v>
      </c>
      <c r="S25" s="5">
        <f>85.37</f>
        <v>85.37</v>
      </c>
      <c r="T25" s="4">
        <f>2728</f>
        <v>2728</v>
      </c>
      <c r="U25" s="4"/>
      <c r="V25" s="4">
        <v>30</v>
      </c>
      <c r="W25" s="4">
        <f>2343441000</f>
        <v>2343441000</v>
      </c>
      <c r="X25" s="4"/>
      <c r="Y25" s="4">
        <v>25742000</v>
      </c>
      <c r="Z25" s="3"/>
      <c r="AA25" s="2">
        <f>636</f>
        <v>636</v>
      </c>
      <c r="AB25" s="2" t="str">
        <f t="shared" si="0"/>
        <v>－</v>
      </c>
      <c r="AC25" s="1">
        <f>19</f>
        <v>19</v>
      </c>
    </row>
    <row r="26" spans="1:29">
      <c r="A26" s="9" t="s">
        <v>46</v>
      </c>
      <c r="B26" s="8" t="s">
        <v>150</v>
      </c>
      <c r="C26" s="8" t="s">
        <v>151</v>
      </c>
      <c r="D26" s="8" t="s">
        <v>49</v>
      </c>
      <c r="E26" s="7" t="s">
        <v>50</v>
      </c>
      <c r="F26" s="7" t="s">
        <v>51</v>
      </c>
      <c r="G26" s="3" t="s">
        <v>52</v>
      </c>
      <c r="H26" s="6" t="s">
        <v>152</v>
      </c>
      <c r="I26" s="3" t="s">
        <v>91</v>
      </c>
      <c r="J26" s="6" t="s">
        <v>153</v>
      </c>
      <c r="K26" s="3"/>
      <c r="L26" s="6"/>
      <c r="M26" s="3" t="s">
        <v>130</v>
      </c>
      <c r="N26" s="6" t="s">
        <v>154</v>
      </c>
      <c r="O26" s="3"/>
      <c r="P26" s="6"/>
      <c r="Q26" s="3" t="s">
        <v>56</v>
      </c>
      <c r="R26" s="6" t="s">
        <v>155</v>
      </c>
      <c r="S26" s="5">
        <f>3676.05</f>
        <v>3676.05</v>
      </c>
      <c r="T26" s="4">
        <f>1097</f>
        <v>1097</v>
      </c>
      <c r="U26" s="4"/>
      <c r="V26" s="4">
        <v>5</v>
      </c>
      <c r="W26" s="4">
        <f>2028354000</f>
        <v>2028354000</v>
      </c>
      <c r="X26" s="4"/>
      <c r="Y26" s="4">
        <v>9268500</v>
      </c>
      <c r="Z26" s="3"/>
      <c r="AA26" s="2">
        <f>1268</f>
        <v>1268</v>
      </c>
      <c r="AB26" s="2" t="str">
        <f t="shared" si="0"/>
        <v>－</v>
      </c>
      <c r="AC26" s="1">
        <f>19</f>
        <v>19</v>
      </c>
    </row>
    <row r="27" spans="1:29">
      <c r="A27" s="9" t="s">
        <v>46</v>
      </c>
      <c r="B27" s="8" t="s">
        <v>150</v>
      </c>
      <c r="C27" s="8" t="s">
        <v>151</v>
      </c>
      <c r="D27" s="8" t="s">
        <v>59</v>
      </c>
      <c r="E27" s="7" t="s">
        <v>60</v>
      </c>
      <c r="F27" s="7" t="s">
        <v>61</v>
      </c>
      <c r="G27" s="3" t="s">
        <v>52</v>
      </c>
      <c r="H27" s="6" t="s">
        <v>156</v>
      </c>
      <c r="I27" s="3" t="s">
        <v>91</v>
      </c>
      <c r="J27" s="6" t="s">
        <v>157</v>
      </c>
      <c r="K27" s="3" t="s">
        <v>158</v>
      </c>
      <c r="L27" s="6" t="s">
        <v>159</v>
      </c>
      <c r="M27" s="3" t="s">
        <v>158</v>
      </c>
      <c r="N27" s="6" t="s">
        <v>160</v>
      </c>
      <c r="O27" s="3" t="s">
        <v>158</v>
      </c>
      <c r="P27" s="6" t="s">
        <v>159</v>
      </c>
      <c r="Q27" s="3" t="s">
        <v>56</v>
      </c>
      <c r="R27" s="6" t="s">
        <v>161</v>
      </c>
      <c r="S27" s="5">
        <f>3675.84</f>
        <v>3675.84</v>
      </c>
      <c r="T27" s="4">
        <f>2119</f>
        <v>2119</v>
      </c>
      <c r="U27" s="4">
        <v>2</v>
      </c>
      <c r="V27" s="4">
        <v>69</v>
      </c>
      <c r="W27" s="4">
        <f>3939771000</f>
        <v>3939771000</v>
      </c>
      <c r="X27" s="4">
        <v>3602000</v>
      </c>
      <c r="Y27" s="4">
        <v>129463000</v>
      </c>
      <c r="Z27" s="3"/>
      <c r="AA27" s="2">
        <f>6291</f>
        <v>6291</v>
      </c>
      <c r="AB27" s="2" t="str">
        <f t="shared" si="0"/>
        <v>－</v>
      </c>
      <c r="AC27" s="1">
        <f>19</f>
        <v>19</v>
      </c>
    </row>
    <row r="28" spans="1:29">
      <c r="A28" s="9" t="s">
        <v>46</v>
      </c>
      <c r="B28" s="8" t="s">
        <v>150</v>
      </c>
      <c r="C28" s="8" t="s">
        <v>151</v>
      </c>
      <c r="D28" s="8" t="s">
        <v>68</v>
      </c>
      <c r="E28" s="7" t="s">
        <v>69</v>
      </c>
      <c r="F28" s="7" t="s">
        <v>70</v>
      </c>
      <c r="G28" s="3" t="s">
        <v>52</v>
      </c>
      <c r="H28" s="6" t="s">
        <v>162</v>
      </c>
      <c r="I28" s="3" t="s">
        <v>91</v>
      </c>
      <c r="J28" s="6" t="s">
        <v>163</v>
      </c>
      <c r="K28" s="3"/>
      <c r="L28" s="6"/>
      <c r="M28" s="3" t="s">
        <v>158</v>
      </c>
      <c r="N28" s="6" t="s">
        <v>164</v>
      </c>
      <c r="O28" s="3"/>
      <c r="P28" s="6"/>
      <c r="Q28" s="3" t="s">
        <v>56</v>
      </c>
      <c r="R28" s="6" t="s">
        <v>165</v>
      </c>
      <c r="S28" s="5">
        <f>3656.21</f>
        <v>3656.21</v>
      </c>
      <c r="T28" s="4">
        <f>1522</f>
        <v>1522</v>
      </c>
      <c r="U28" s="4"/>
      <c r="V28" s="4">
        <v>97</v>
      </c>
      <c r="W28" s="4">
        <f>2803325000</f>
        <v>2803325000</v>
      </c>
      <c r="X28" s="4"/>
      <c r="Y28" s="4">
        <v>179214000</v>
      </c>
      <c r="Z28" s="3"/>
      <c r="AA28" s="2">
        <f>2238</f>
        <v>2238</v>
      </c>
      <c r="AB28" s="2" t="str">
        <f t="shared" si="0"/>
        <v>－</v>
      </c>
      <c r="AC28" s="1">
        <f>19</f>
        <v>19</v>
      </c>
    </row>
    <row r="29" spans="1:29">
      <c r="A29" s="9" t="s">
        <v>46</v>
      </c>
      <c r="B29" s="8" t="s">
        <v>150</v>
      </c>
      <c r="C29" s="8" t="s">
        <v>151</v>
      </c>
      <c r="D29" s="8" t="s">
        <v>74</v>
      </c>
      <c r="E29" s="7" t="s">
        <v>75</v>
      </c>
      <c r="F29" s="7" t="s">
        <v>76</v>
      </c>
      <c r="G29" s="3" t="s">
        <v>52</v>
      </c>
      <c r="H29" s="6" t="s">
        <v>166</v>
      </c>
      <c r="I29" s="3" t="s">
        <v>91</v>
      </c>
      <c r="J29" s="6" t="s">
        <v>167</v>
      </c>
      <c r="K29" s="3"/>
      <c r="L29" s="6"/>
      <c r="M29" s="3" t="s">
        <v>158</v>
      </c>
      <c r="N29" s="6" t="s">
        <v>168</v>
      </c>
      <c r="O29" s="3"/>
      <c r="P29" s="6"/>
      <c r="Q29" s="3" t="s">
        <v>56</v>
      </c>
      <c r="R29" s="6" t="s">
        <v>169</v>
      </c>
      <c r="S29" s="5">
        <f>3656.95</f>
        <v>3656.95</v>
      </c>
      <c r="T29" s="4">
        <f>4917</f>
        <v>4917</v>
      </c>
      <c r="U29" s="4"/>
      <c r="V29" s="4">
        <v>1022</v>
      </c>
      <c r="W29" s="4">
        <f>9068779500</f>
        <v>9068779500</v>
      </c>
      <c r="X29" s="4"/>
      <c r="Y29" s="4">
        <v>1901156500</v>
      </c>
      <c r="Z29" s="3"/>
      <c r="AA29" s="2">
        <f>4461</f>
        <v>4461</v>
      </c>
      <c r="AB29" s="2" t="str">
        <f t="shared" si="0"/>
        <v>－</v>
      </c>
      <c r="AC29" s="1">
        <f>19</f>
        <v>19</v>
      </c>
    </row>
    <row r="30" spans="1:29">
      <c r="A30" s="9" t="s">
        <v>46</v>
      </c>
      <c r="B30" s="8" t="s">
        <v>150</v>
      </c>
      <c r="C30" s="8" t="s">
        <v>151</v>
      </c>
      <c r="D30" s="8" t="s">
        <v>81</v>
      </c>
      <c r="E30" s="7" t="s">
        <v>82</v>
      </c>
      <c r="F30" s="7" t="s">
        <v>83</v>
      </c>
      <c r="G30" s="3" t="s">
        <v>52</v>
      </c>
      <c r="H30" s="6" t="s">
        <v>170</v>
      </c>
      <c r="I30" s="3" t="s">
        <v>91</v>
      </c>
      <c r="J30" s="6" t="s">
        <v>171</v>
      </c>
      <c r="K30" s="3"/>
      <c r="L30" s="6"/>
      <c r="M30" s="3" t="s">
        <v>158</v>
      </c>
      <c r="N30" s="6" t="s">
        <v>172</v>
      </c>
      <c r="O30" s="3"/>
      <c r="P30" s="6"/>
      <c r="Q30" s="3" t="s">
        <v>56</v>
      </c>
      <c r="R30" s="6" t="s">
        <v>173</v>
      </c>
      <c r="S30" s="5">
        <f>3650.47</f>
        <v>3650.47</v>
      </c>
      <c r="T30" s="4">
        <f>24825</f>
        <v>24825</v>
      </c>
      <c r="U30" s="4"/>
      <c r="V30" s="4">
        <v>5524</v>
      </c>
      <c r="W30" s="4">
        <f>45532762500</f>
        <v>45532762500</v>
      </c>
      <c r="X30" s="4"/>
      <c r="Y30" s="4">
        <v>10117587500</v>
      </c>
      <c r="Z30" s="3"/>
      <c r="AA30" s="2">
        <f>8221</f>
        <v>8221</v>
      </c>
      <c r="AB30" s="2" t="str">
        <f t="shared" si="0"/>
        <v>－</v>
      </c>
      <c r="AC30" s="1">
        <f>19</f>
        <v>19</v>
      </c>
    </row>
    <row r="31" spans="1:29">
      <c r="A31" s="9" t="s">
        <v>46</v>
      </c>
      <c r="B31" s="8" t="s">
        <v>150</v>
      </c>
      <c r="C31" s="8" t="s">
        <v>151</v>
      </c>
      <c r="D31" s="8" t="s">
        <v>86</v>
      </c>
      <c r="E31" s="7" t="s">
        <v>87</v>
      </c>
      <c r="F31" s="7" t="s">
        <v>88</v>
      </c>
      <c r="G31" s="3" t="s">
        <v>52</v>
      </c>
      <c r="H31" s="6" t="s">
        <v>174</v>
      </c>
      <c r="I31" s="3" t="s">
        <v>91</v>
      </c>
      <c r="J31" s="6" t="s">
        <v>175</v>
      </c>
      <c r="K31" s="3" t="s">
        <v>176</v>
      </c>
      <c r="L31" s="6" t="s">
        <v>177</v>
      </c>
      <c r="M31" s="3" t="s">
        <v>158</v>
      </c>
      <c r="N31" s="6" t="s">
        <v>178</v>
      </c>
      <c r="O31" s="3" t="s">
        <v>179</v>
      </c>
      <c r="P31" s="6" t="s">
        <v>180</v>
      </c>
      <c r="Q31" s="3" t="s">
        <v>56</v>
      </c>
      <c r="R31" s="6" t="s">
        <v>181</v>
      </c>
      <c r="S31" s="5">
        <f>3643.95</f>
        <v>3643.95</v>
      </c>
      <c r="T31" s="4">
        <f>152440</f>
        <v>152440</v>
      </c>
      <c r="U31" s="4">
        <v>3</v>
      </c>
      <c r="V31" s="4">
        <v>5431</v>
      </c>
      <c r="W31" s="4">
        <f>279415895000</f>
        <v>279415895000</v>
      </c>
      <c r="X31" s="4">
        <v>5525000</v>
      </c>
      <c r="Y31" s="4">
        <v>9938226500</v>
      </c>
      <c r="Z31" s="3"/>
      <c r="AA31" s="2">
        <f>11751</f>
        <v>11751</v>
      </c>
      <c r="AB31" s="2" t="str">
        <f t="shared" si="0"/>
        <v>－</v>
      </c>
      <c r="AC31" s="1">
        <f>19</f>
        <v>19</v>
      </c>
    </row>
    <row r="32" spans="1:29">
      <c r="A32" s="9" t="s">
        <v>46</v>
      </c>
      <c r="B32" s="8" t="s">
        <v>182</v>
      </c>
      <c r="C32" s="8" t="s">
        <v>183</v>
      </c>
      <c r="D32" s="8" t="s">
        <v>49</v>
      </c>
      <c r="E32" s="7" t="s">
        <v>50</v>
      </c>
      <c r="F32" s="7" t="s">
        <v>97</v>
      </c>
      <c r="G32" s="3" t="s">
        <v>52</v>
      </c>
      <c r="H32" s="6" t="s">
        <v>184</v>
      </c>
      <c r="I32" s="3" t="s">
        <v>91</v>
      </c>
      <c r="J32" s="6" t="s">
        <v>167</v>
      </c>
      <c r="K32" s="3"/>
      <c r="L32" s="6"/>
      <c r="M32" s="3" t="s">
        <v>52</v>
      </c>
      <c r="N32" s="6" t="s">
        <v>185</v>
      </c>
      <c r="O32" s="3"/>
      <c r="P32" s="6"/>
      <c r="Q32" s="3" t="s">
        <v>56</v>
      </c>
      <c r="R32" s="6" t="s">
        <v>186</v>
      </c>
      <c r="S32" s="5">
        <f>3676.05</f>
        <v>3676.05</v>
      </c>
      <c r="T32" s="4">
        <f>176</f>
        <v>176</v>
      </c>
      <c r="U32" s="4"/>
      <c r="V32" s="4"/>
      <c r="W32" s="4">
        <f>65502100</f>
        <v>65502100</v>
      </c>
      <c r="X32" s="4"/>
      <c r="Y32" s="4"/>
      <c r="Z32" s="3"/>
      <c r="AA32" s="2">
        <f>187</f>
        <v>187</v>
      </c>
      <c r="AB32" s="2" t="str">
        <f t="shared" si="0"/>
        <v>－</v>
      </c>
      <c r="AC32" s="1">
        <f>13</f>
        <v>13</v>
      </c>
    </row>
    <row r="33" spans="1:29">
      <c r="A33" s="9" t="s">
        <v>46</v>
      </c>
      <c r="B33" s="8" t="s">
        <v>182</v>
      </c>
      <c r="C33" s="8" t="s">
        <v>183</v>
      </c>
      <c r="D33" s="8" t="s">
        <v>59</v>
      </c>
      <c r="E33" s="7" t="s">
        <v>60</v>
      </c>
      <c r="F33" s="7" t="s">
        <v>102</v>
      </c>
      <c r="G33" s="3" t="s">
        <v>52</v>
      </c>
      <c r="H33" s="6" t="s">
        <v>187</v>
      </c>
      <c r="I33" s="3" t="s">
        <v>128</v>
      </c>
      <c r="J33" s="6" t="s">
        <v>188</v>
      </c>
      <c r="K33" s="3"/>
      <c r="L33" s="6"/>
      <c r="M33" s="3" t="s">
        <v>52</v>
      </c>
      <c r="N33" s="6" t="s">
        <v>187</v>
      </c>
      <c r="O33" s="3"/>
      <c r="P33" s="6"/>
      <c r="Q33" s="3" t="s">
        <v>56</v>
      </c>
      <c r="R33" s="6" t="s">
        <v>161</v>
      </c>
      <c r="S33" s="5">
        <f>3675.84</f>
        <v>3675.84</v>
      </c>
      <c r="T33" s="4">
        <f>198</f>
        <v>198</v>
      </c>
      <c r="U33" s="4"/>
      <c r="V33" s="4"/>
      <c r="W33" s="4">
        <f>73639800</f>
        <v>73639800</v>
      </c>
      <c r="X33" s="4"/>
      <c r="Y33" s="4"/>
      <c r="Z33" s="3"/>
      <c r="AA33" s="2">
        <f>581</f>
        <v>581</v>
      </c>
      <c r="AB33" s="2" t="str">
        <f t="shared" si="0"/>
        <v>－</v>
      </c>
      <c r="AC33" s="1">
        <f>14</f>
        <v>14</v>
      </c>
    </row>
    <row r="34" spans="1:29">
      <c r="A34" s="9" t="s">
        <v>46</v>
      </c>
      <c r="B34" s="8" t="s">
        <v>182</v>
      </c>
      <c r="C34" s="8" t="s">
        <v>183</v>
      </c>
      <c r="D34" s="8" t="s">
        <v>68</v>
      </c>
      <c r="E34" s="7" t="s">
        <v>69</v>
      </c>
      <c r="F34" s="7" t="s">
        <v>106</v>
      </c>
      <c r="G34" s="3" t="s">
        <v>52</v>
      </c>
      <c r="H34" s="6" t="s">
        <v>152</v>
      </c>
      <c r="I34" s="3" t="s">
        <v>91</v>
      </c>
      <c r="J34" s="6" t="s">
        <v>189</v>
      </c>
      <c r="K34" s="3"/>
      <c r="L34" s="6"/>
      <c r="M34" s="3" t="s">
        <v>158</v>
      </c>
      <c r="N34" s="6" t="s">
        <v>190</v>
      </c>
      <c r="O34" s="3"/>
      <c r="P34" s="6"/>
      <c r="Q34" s="3" t="s">
        <v>56</v>
      </c>
      <c r="R34" s="6" t="s">
        <v>191</v>
      </c>
      <c r="S34" s="5">
        <f>3656.21</f>
        <v>3656.21</v>
      </c>
      <c r="T34" s="4">
        <f>138</f>
        <v>138</v>
      </c>
      <c r="U34" s="4"/>
      <c r="V34" s="4"/>
      <c r="W34" s="4">
        <f>50450200</f>
        <v>50450200</v>
      </c>
      <c r="X34" s="4"/>
      <c r="Y34" s="4"/>
      <c r="Z34" s="3"/>
      <c r="AA34" s="2">
        <f>422</f>
        <v>422</v>
      </c>
      <c r="AB34" s="2" t="str">
        <f t="shared" si="0"/>
        <v>－</v>
      </c>
      <c r="AC34" s="1">
        <f>15</f>
        <v>15</v>
      </c>
    </row>
    <row r="35" spans="1:29">
      <c r="A35" s="9" t="s">
        <v>46</v>
      </c>
      <c r="B35" s="8" t="s">
        <v>182</v>
      </c>
      <c r="C35" s="8" t="s">
        <v>183</v>
      </c>
      <c r="D35" s="8" t="s">
        <v>74</v>
      </c>
      <c r="E35" s="7" t="s">
        <v>75</v>
      </c>
      <c r="F35" s="7" t="s">
        <v>109</v>
      </c>
      <c r="G35" s="3" t="s">
        <v>52</v>
      </c>
      <c r="H35" s="6" t="s">
        <v>152</v>
      </c>
      <c r="I35" s="3" t="s">
        <v>91</v>
      </c>
      <c r="J35" s="6" t="s">
        <v>192</v>
      </c>
      <c r="K35" s="3"/>
      <c r="L35" s="6"/>
      <c r="M35" s="3" t="s">
        <v>158</v>
      </c>
      <c r="N35" s="6" t="s">
        <v>193</v>
      </c>
      <c r="O35" s="3"/>
      <c r="P35" s="6"/>
      <c r="Q35" s="3" t="s">
        <v>56</v>
      </c>
      <c r="R35" s="6" t="s">
        <v>194</v>
      </c>
      <c r="S35" s="5">
        <f>3656.95</f>
        <v>3656.95</v>
      </c>
      <c r="T35" s="4">
        <f>122</f>
        <v>122</v>
      </c>
      <c r="U35" s="4"/>
      <c r="V35" s="4"/>
      <c r="W35" s="4">
        <f>45099900</f>
        <v>45099900</v>
      </c>
      <c r="X35" s="4"/>
      <c r="Y35" s="4"/>
      <c r="Z35" s="3"/>
      <c r="AA35" s="2">
        <f>360</f>
        <v>360</v>
      </c>
      <c r="AB35" s="2" t="str">
        <f t="shared" si="0"/>
        <v>－</v>
      </c>
      <c r="AC35" s="1">
        <f>17</f>
        <v>17</v>
      </c>
    </row>
    <row r="36" spans="1:29">
      <c r="A36" s="9" t="s">
        <v>46</v>
      </c>
      <c r="B36" s="8" t="s">
        <v>182</v>
      </c>
      <c r="C36" s="8" t="s">
        <v>183</v>
      </c>
      <c r="D36" s="8" t="s">
        <v>81</v>
      </c>
      <c r="E36" s="7" t="s">
        <v>82</v>
      </c>
      <c r="F36" s="7" t="s">
        <v>112</v>
      </c>
      <c r="G36" s="3" t="s">
        <v>52</v>
      </c>
      <c r="H36" s="6" t="s">
        <v>174</v>
      </c>
      <c r="I36" s="3" t="s">
        <v>91</v>
      </c>
      <c r="J36" s="6" t="s">
        <v>175</v>
      </c>
      <c r="K36" s="3"/>
      <c r="L36" s="6"/>
      <c r="M36" s="3" t="s">
        <v>158</v>
      </c>
      <c r="N36" s="6" t="s">
        <v>172</v>
      </c>
      <c r="O36" s="3"/>
      <c r="P36" s="6"/>
      <c r="Q36" s="3" t="s">
        <v>56</v>
      </c>
      <c r="R36" s="6" t="s">
        <v>195</v>
      </c>
      <c r="S36" s="5">
        <f>3650.47</f>
        <v>3650.47</v>
      </c>
      <c r="T36" s="4">
        <f>2083</f>
        <v>2083</v>
      </c>
      <c r="U36" s="4"/>
      <c r="V36" s="4"/>
      <c r="W36" s="4">
        <f>764743800</f>
        <v>764743800</v>
      </c>
      <c r="X36" s="4"/>
      <c r="Y36" s="4"/>
      <c r="Z36" s="3"/>
      <c r="AA36" s="2">
        <f>673</f>
        <v>673</v>
      </c>
      <c r="AB36" s="2" t="str">
        <f t="shared" si="0"/>
        <v>－</v>
      </c>
      <c r="AC36" s="1">
        <f>19</f>
        <v>19</v>
      </c>
    </row>
    <row r="37" spans="1:29">
      <c r="A37" s="9" t="s">
        <v>46</v>
      </c>
      <c r="B37" s="8" t="s">
        <v>182</v>
      </c>
      <c r="C37" s="8" t="s">
        <v>183</v>
      </c>
      <c r="D37" s="8" t="s">
        <v>86</v>
      </c>
      <c r="E37" s="7" t="s">
        <v>87</v>
      </c>
      <c r="F37" s="7" t="s">
        <v>116</v>
      </c>
      <c r="G37" s="3" t="s">
        <v>52</v>
      </c>
      <c r="H37" s="6" t="s">
        <v>196</v>
      </c>
      <c r="I37" s="3" t="s">
        <v>91</v>
      </c>
      <c r="J37" s="6" t="s">
        <v>197</v>
      </c>
      <c r="K37" s="3"/>
      <c r="L37" s="6"/>
      <c r="M37" s="3" t="s">
        <v>158</v>
      </c>
      <c r="N37" s="6" t="s">
        <v>198</v>
      </c>
      <c r="O37" s="3"/>
      <c r="P37" s="6"/>
      <c r="Q37" s="3" t="s">
        <v>56</v>
      </c>
      <c r="R37" s="6" t="s">
        <v>199</v>
      </c>
      <c r="S37" s="5">
        <f>3643.95</f>
        <v>3643.95</v>
      </c>
      <c r="T37" s="4">
        <f>38493</f>
        <v>38493</v>
      </c>
      <c r="U37" s="4"/>
      <c r="V37" s="4"/>
      <c r="W37" s="4">
        <f>14106677100</f>
        <v>14106677100</v>
      </c>
      <c r="X37" s="4"/>
      <c r="Y37" s="4"/>
      <c r="Z37" s="3"/>
      <c r="AA37" s="2">
        <f>956</f>
        <v>956</v>
      </c>
      <c r="AB37" s="2" t="str">
        <f t="shared" si="0"/>
        <v>－</v>
      </c>
      <c r="AC37" s="1">
        <f>19</f>
        <v>19</v>
      </c>
    </row>
    <row r="38" spans="1:29">
      <c r="A38" s="9" t="s">
        <v>46</v>
      </c>
      <c r="B38" s="8" t="s">
        <v>200</v>
      </c>
      <c r="C38" s="8" t="s">
        <v>201</v>
      </c>
      <c r="D38" s="8" t="s">
        <v>119</v>
      </c>
      <c r="E38" s="7" t="s">
        <v>119</v>
      </c>
      <c r="F38" s="7" t="s">
        <v>119</v>
      </c>
      <c r="G38" s="3" t="s">
        <v>52</v>
      </c>
      <c r="H38" s="6" t="s">
        <v>202</v>
      </c>
      <c r="I38" s="3" t="s">
        <v>91</v>
      </c>
      <c r="J38" s="6" t="s">
        <v>203</v>
      </c>
      <c r="K38" s="3" t="s">
        <v>91</v>
      </c>
      <c r="L38" s="6" t="s">
        <v>204</v>
      </c>
      <c r="M38" s="3" t="s">
        <v>158</v>
      </c>
      <c r="N38" s="6" t="s">
        <v>205</v>
      </c>
      <c r="O38" s="3" t="s">
        <v>122</v>
      </c>
      <c r="P38" s="6" t="s">
        <v>206</v>
      </c>
      <c r="Q38" s="3" t="s">
        <v>56</v>
      </c>
      <c r="R38" s="6" t="s">
        <v>207</v>
      </c>
      <c r="S38" s="5">
        <f>3688.58</f>
        <v>3688.58</v>
      </c>
      <c r="T38" s="4">
        <f>8160</f>
        <v>8160</v>
      </c>
      <c r="U38" s="4">
        <v>12</v>
      </c>
      <c r="V38" s="4"/>
      <c r="W38" s="4">
        <f>3061435200</f>
        <v>3061435200</v>
      </c>
      <c r="X38" s="4">
        <v>4401600</v>
      </c>
      <c r="Y38" s="4"/>
      <c r="Z38" s="3"/>
      <c r="AA38" s="2">
        <f>13616</f>
        <v>13616</v>
      </c>
      <c r="AB38" s="2" t="str">
        <f t="shared" si="0"/>
        <v>－</v>
      </c>
      <c r="AC38" s="1">
        <f>19</f>
        <v>19</v>
      </c>
    </row>
    <row r="39" spans="1:29">
      <c r="A39" s="9" t="s">
        <v>46</v>
      </c>
      <c r="B39" s="8" t="s">
        <v>208</v>
      </c>
      <c r="C39" s="8" t="s">
        <v>209</v>
      </c>
      <c r="D39" s="8" t="s">
        <v>49</v>
      </c>
      <c r="E39" s="7" t="s">
        <v>50</v>
      </c>
      <c r="F39" s="7" t="s">
        <v>51</v>
      </c>
      <c r="G39" s="3"/>
      <c r="H39" s="6" t="s">
        <v>119</v>
      </c>
      <c r="I39" s="3"/>
      <c r="J39" s="6" t="s">
        <v>119</v>
      </c>
      <c r="K39" s="3"/>
      <c r="L39" s="6"/>
      <c r="M39" s="3"/>
      <c r="N39" s="6" t="s">
        <v>119</v>
      </c>
      <c r="O39" s="3"/>
      <c r="P39" s="6"/>
      <c r="Q39" s="3"/>
      <c r="R39" s="6" t="s">
        <v>119</v>
      </c>
      <c r="S39" s="5">
        <f>7521.05</f>
        <v>7521.05</v>
      </c>
      <c r="T39" s="4" t="str">
        <f>"－"</f>
        <v>－</v>
      </c>
      <c r="U39" s="4"/>
      <c r="V39" s="4"/>
      <c r="W39" s="4" t="str">
        <f>"－"</f>
        <v>－</v>
      </c>
      <c r="X39" s="4"/>
      <c r="Y39" s="4"/>
      <c r="Z39" s="3"/>
      <c r="AA39" s="2">
        <f>72</f>
        <v>72</v>
      </c>
      <c r="AB39" s="2" t="str">
        <f t="shared" ref="AB39:AB70" si="1">"－"</f>
        <v>－</v>
      </c>
      <c r="AC39" s="1" t="str">
        <f>"－"</f>
        <v>－</v>
      </c>
    </row>
    <row r="40" spans="1:29">
      <c r="A40" s="9" t="s">
        <v>46</v>
      </c>
      <c r="B40" s="8" t="s">
        <v>208</v>
      </c>
      <c r="C40" s="8" t="s">
        <v>209</v>
      </c>
      <c r="D40" s="8" t="s">
        <v>59</v>
      </c>
      <c r="E40" s="7" t="s">
        <v>60</v>
      </c>
      <c r="F40" s="7" t="s">
        <v>61</v>
      </c>
      <c r="G40" s="3" t="s">
        <v>122</v>
      </c>
      <c r="H40" s="6" t="s">
        <v>210</v>
      </c>
      <c r="I40" s="3" t="s">
        <v>128</v>
      </c>
      <c r="J40" s="6" t="s">
        <v>211</v>
      </c>
      <c r="K40" s="3"/>
      <c r="L40" s="6"/>
      <c r="M40" s="3" t="s">
        <v>122</v>
      </c>
      <c r="N40" s="6" t="s">
        <v>210</v>
      </c>
      <c r="O40" s="3"/>
      <c r="P40" s="6"/>
      <c r="Q40" s="3" t="s">
        <v>128</v>
      </c>
      <c r="R40" s="6" t="s">
        <v>211</v>
      </c>
      <c r="S40" s="5">
        <f>7442.11</f>
        <v>7442.11</v>
      </c>
      <c r="T40" s="4">
        <f>7</f>
        <v>7</v>
      </c>
      <c r="U40" s="4"/>
      <c r="V40" s="4"/>
      <c r="W40" s="4">
        <f>24141500</f>
        <v>24141500</v>
      </c>
      <c r="X40" s="4"/>
      <c r="Y40" s="4"/>
      <c r="Z40" s="3"/>
      <c r="AA40" s="2">
        <f>5</f>
        <v>5</v>
      </c>
      <c r="AB40" s="2" t="str">
        <f t="shared" si="1"/>
        <v>－</v>
      </c>
      <c r="AC40" s="1">
        <f>3</f>
        <v>3</v>
      </c>
    </row>
    <row r="41" spans="1:29">
      <c r="A41" s="9" t="s">
        <v>46</v>
      </c>
      <c r="B41" s="8" t="s">
        <v>208</v>
      </c>
      <c r="C41" s="8" t="s">
        <v>209</v>
      </c>
      <c r="D41" s="8" t="s">
        <v>68</v>
      </c>
      <c r="E41" s="7" t="s">
        <v>69</v>
      </c>
      <c r="F41" s="7" t="s">
        <v>70</v>
      </c>
      <c r="G41" s="3" t="s">
        <v>133</v>
      </c>
      <c r="H41" s="6" t="s">
        <v>211</v>
      </c>
      <c r="I41" s="3" t="s">
        <v>133</v>
      </c>
      <c r="J41" s="6" t="s">
        <v>212</v>
      </c>
      <c r="K41" s="3"/>
      <c r="L41" s="6"/>
      <c r="M41" s="3" t="s">
        <v>133</v>
      </c>
      <c r="N41" s="6" t="s">
        <v>211</v>
      </c>
      <c r="O41" s="3"/>
      <c r="P41" s="6"/>
      <c r="Q41" s="3" t="s">
        <v>133</v>
      </c>
      <c r="R41" s="6" t="s">
        <v>212</v>
      </c>
      <c r="S41" s="5">
        <f>7521.05</f>
        <v>7521.05</v>
      </c>
      <c r="T41" s="4">
        <f>2</f>
        <v>2</v>
      </c>
      <c r="U41" s="4"/>
      <c r="V41" s="4"/>
      <c r="W41" s="4">
        <f>7500000</f>
        <v>7500000</v>
      </c>
      <c r="X41" s="4"/>
      <c r="Y41" s="4"/>
      <c r="Z41" s="3"/>
      <c r="AA41" s="2">
        <f>5</f>
        <v>5</v>
      </c>
      <c r="AB41" s="2" t="str">
        <f t="shared" si="1"/>
        <v>－</v>
      </c>
      <c r="AC41" s="1">
        <f>1</f>
        <v>1</v>
      </c>
    </row>
    <row r="42" spans="1:29">
      <c r="A42" s="9" t="s">
        <v>46</v>
      </c>
      <c r="B42" s="8" t="s">
        <v>208</v>
      </c>
      <c r="C42" s="8" t="s">
        <v>209</v>
      </c>
      <c r="D42" s="8" t="s">
        <v>74</v>
      </c>
      <c r="E42" s="7" t="s">
        <v>75</v>
      </c>
      <c r="F42" s="7" t="s">
        <v>76</v>
      </c>
      <c r="G42" s="3" t="s">
        <v>213</v>
      </c>
      <c r="H42" s="6" t="s">
        <v>214</v>
      </c>
      <c r="I42" s="3" t="s">
        <v>176</v>
      </c>
      <c r="J42" s="6" t="s">
        <v>215</v>
      </c>
      <c r="K42" s="3"/>
      <c r="L42" s="6"/>
      <c r="M42" s="3" t="s">
        <v>213</v>
      </c>
      <c r="N42" s="6" t="s">
        <v>216</v>
      </c>
      <c r="O42" s="3"/>
      <c r="P42" s="6"/>
      <c r="Q42" s="3" t="s">
        <v>176</v>
      </c>
      <c r="R42" s="6" t="s">
        <v>215</v>
      </c>
      <c r="S42" s="5">
        <f>7478.05</f>
        <v>7478.05</v>
      </c>
      <c r="T42" s="4">
        <f>7</f>
        <v>7</v>
      </c>
      <c r="U42" s="4"/>
      <c r="V42" s="4"/>
      <c r="W42" s="4">
        <f>26307500</f>
        <v>26307500</v>
      </c>
      <c r="X42" s="4"/>
      <c r="Y42" s="4"/>
      <c r="Z42" s="3"/>
      <c r="AA42" s="2">
        <f>5</f>
        <v>5</v>
      </c>
      <c r="AB42" s="2" t="str">
        <f t="shared" si="1"/>
        <v>－</v>
      </c>
      <c r="AC42" s="1">
        <f>2</f>
        <v>2</v>
      </c>
    </row>
    <row r="43" spans="1:29">
      <c r="A43" s="9" t="s">
        <v>46</v>
      </c>
      <c r="B43" s="8" t="s">
        <v>208</v>
      </c>
      <c r="C43" s="8" t="s">
        <v>209</v>
      </c>
      <c r="D43" s="8" t="s">
        <v>81</v>
      </c>
      <c r="E43" s="7" t="s">
        <v>82</v>
      </c>
      <c r="F43" s="7" t="s">
        <v>83</v>
      </c>
      <c r="G43" s="3" t="s">
        <v>158</v>
      </c>
      <c r="H43" s="6" t="s">
        <v>214</v>
      </c>
      <c r="I43" s="3" t="s">
        <v>56</v>
      </c>
      <c r="J43" s="6" t="s">
        <v>217</v>
      </c>
      <c r="K43" s="3" t="s">
        <v>176</v>
      </c>
      <c r="L43" s="6" t="s">
        <v>218</v>
      </c>
      <c r="M43" s="3" t="s">
        <v>219</v>
      </c>
      <c r="N43" s="6" t="s">
        <v>220</v>
      </c>
      <c r="O43" s="3" t="s">
        <v>176</v>
      </c>
      <c r="P43" s="6" t="s">
        <v>218</v>
      </c>
      <c r="Q43" s="3" t="s">
        <v>56</v>
      </c>
      <c r="R43" s="6" t="s">
        <v>217</v>
      </c>
      <c r="S43" s="5">
        <f>7463.26</f>
        <v>7463.26</v>
      </c>
      <c r="T43" s="4">
        <f>13</f>
        <v>13</v>
      </c>
      <c r="U43" s="4">
        <v>1</v>
      </c>
      <c r="V43" s="4"/>
      <c r="W43" s="4">
        <f>47674000</f>
        <v>47674000</v>
      </c>
      <c r="X43" s="4">
        <v>3826000</v>
      </c>
      <c r="Y43" s="4"/>
      <c r="Z43" s="3"/>
      <c r="AA43" s="2">
        <f>8</f>
        <v>8</v>
      </c>
      <c r="AB43" s="2" t="str">
        <f t="shared" si="1"/>
        <v>－</v>
      </c>
      <c r="AC43" s="1">
        <f>7</f>
        <v>7</v>
      </c>
    </row>
    <row r="44" spans="1:29">
      <c r="A44" s="9" t="s">
        <v>46</v>
      </c>
      <c r="B44" s="8" t="s">
        <v>208</v>
      </c>
      <c r="C44" s="8" t="s">
        <v>209</v>
      </c>
      <c r="D44" s="8" t="s">
        <v>86</v>
      </c>
      <c r="E44" s="7" t="s">
        <v>87</v>
      </c>
      <c r="F44" s="7" t="s">
        <v>88</v>
      </c>
      <c r="G44" s="3" t="s">
        <v>130</v>
      </c>
      <c r="H44" s="6" t="s">
        <v>221</v>
      </c>
      <c r="I44" s="3" t="s">
        <v>56</v>
      </c>
      <c r="J44" s="6" t="s">
        <v>222</v>
      </c>
      <c r="K44" s="3"/>
      <c r="L44" s="6"/>
      <c r="M44" s="3" t="s">
        <v>122</v>
      </c>
      <c r="N44" s="6" t="s">
        <v>103</v>
      </c>
      <c r="O44" s="3"/>
      <c r="P44" s="6"/>
      <c r="Q44" s="3" t="s">
        <v>56</v>
      </c>
      <c r="R44" s="6" t="s">
        <v>223</v>
      </c>
      <c r="S44" s="5">
        <f>7373.84</f>
        <v>7373.84</v>
      </c>
      <c r="T44" s="4">
        <f>37</f>
        <v>37</v>
      </c>
      <c r="U44" s="4"/>
      <c r="V44" s="4"/>
      <c r="W44" s="4">
        <f>141953500</f>
        <v>141953500</v>
      </c>
      <c r="X44" s="4"/>
      <c r="Y44" s="4"/>
      <c r="Z44" s="3"/>
      <c r="AA44" s="2">
        <f>15</f>
        <v>15</v>
      </c>
      <c r="AB44" s="2" t="str">
        <f t="shared" si="1"/>
        <v>－</v>
      </c>
      <c r="AC44" s="1">
        <f>12</f>
        <v>12</v>
      </c>
    </row>
    <row r="45" spans="1:29">
      <c r="A45" s="9" t="s">
        <v>46</v>
      </c>
      <c r="B45" s="8" t="s">
        <v>224</v>
      </c>
      <c r="C45" s="8" t="s">
        <v>225</v>
      </c>
      <c r="D45" s="8" t="s">
        <v>46</v>
      </c>
      <c r="E45" s="7" t="s">
        <v>226</v>
      </c>
      <c r="F45" s="7" t="s">
        <v>227</v>
      </c>
      <c r="G45" s="3" t="s">
        <v>52</v>
      </c>
      <c r="H45" s="6" t="s">
        <v>228</v>
      </c>
      <c r="I45" s="3" t="s">
        <v>52</v>
      </c>
      <c r="J45" s="6" t="s">
        <v>228</v>
      </c>
      <c r="K45" s="3"/>
      <c r="L45" s="6"/>
      <c r="M45" s="3" t="s">
        <v>52</v>
      </c>
      <c r="N45" s="6" t="s">
        <v>229</v>
      </c>
      <c r="O45" s="3"/>
      <c r="P45" s="6"/>
      <c r="Q45" s="3" t="s">
        <v>52</v>
      </c>
      <c r="R45" s="6" t="s">
        <v>230</v>
      </c>
      <c r="S45" s="5">
        <f>186.55</f>
        <v>186.55</v>
      </c>
      <c r="T45" s="4">
        <f>27</f>
        <v>27</v>
      </c>
      <c r="U45" s="4"/>
      <c r="V45" s="4"/>
      <c r="W45" s="4">
        <f>50411000</f>
        <v>50411000</v>
      </c>
      <c r="X45" s="4"/>
      <c r="Y45" s="4"/>
      <c r="Z45" s="3" t="s">
        <v>231</v>
      </c>
      <c r="AA45" s="2" t="str">
        <f>"－"</f>
        <v>－</v>
      </c>
      <c r="AB45" s="2" t="str">
        <f t="shared" si="1"/>
        <v>－</v>
      </c>
      <c r="AC45" s="1">
        <f>1</f>
        <v>1</v>
      </c>
    </row>
    <row r="46" spans="1:29">
      <c r="A46" s="9" t="s">
        <v>46</v>
      </c>
      <c r="B46" s="8" t="s">
        <v>224</v>
      </c>
      <c r="C46" s="8" t="s">
        <v>225</v>
      </c>
      <c r="D46" s="8" t="s">
        <v>49</v>
      </c>
      <c r="E46" s="7" t="s">
        <v>226</v>
      </c>
      <c r="F46" s="7" t="s">
        <v>232</v>
      </c>
      <c r="G46" s="3" t="s">
        <v>52</v>
      </c>
      <c r="H46" s="6" t="s">
        <v>233</v>
      </c>
      <c r="I46" s="3" t="s">
        <v>64</v>
      </c>
      <c r="J46" s="6" t="s">
        <v>234</v>
      </c>
      <c r="K46" s="3"/>
      <c r="L46" s="6"/>
      <c r="M46" s="3" t="s">
        <v>235</v>
      </c>
      <c r="N46" s="6" t="s">
        <v>236</v>
      </c>
      <c r="O46" s="3"/>
      <c r="P46" s="6"/>
      <c r="Q46" s="3" t="s">
        <v>64</v>
      </c>
      <c r="R46" s="6" t="s">
        <v>234</v>
      </c>
      <c r="S46" s="5">
        <f>202.05</f>
        <v>202.05</v>
      </c>
      <c r="T46" s="4">
        <f>349</f>
        <v>349</v>
      </c>
      <c r="U46" s="4"/>
      <c r="V46" s="4"/>
      <c r="W46" s="4">
        <f>699743000</f>
        <v>699743000</v>
      </c>
      <c r="X46" s="4"/>
      <c r="Y46" s="4"/>
      <c r="Z46" s="3"/>
      <c r="AA46" s="2">
        <f>4</f>
        <v>4</v>
      </c>
      <c r="AB46" s="2" t="str">
        <f t="shared" si="1"/>
        <v>－</v>
      </c>
      <c r="AC46" s="1">
        <f>17</f>
        <v>17</v>
      </c>
    </row>
    <row r="47" spans="1:29">
      <c r="A47" s="9" t="s">
        <v>46</v>
      </c>
      <c r="B47" s="8" t="s">
        <v>224</v>
      </c>
      <c r="C47" s="8" t="s">
        <v>225</v>
      </c>
      <c r="D47" s="8" t="s">
        <v>237</v>
      </c>
      <c r="E47" s="7" t="s">
        <v>226</v>
      </c>
      <c r="F47" s="7" t="s">
        <v>238</v>
      </c>
      <c r="G47" s="3" t="s">
        <v>219</v>
      </c>
      <c r="H47" s="6" t="s">
        <v>239</v>
      </c>
      <c r="I47" s="3" t="s">
        <v>64</v>
      </c>
      <c r="J47" s="6" t="s">
        <v>240</v>
      </c>
      <c r="K47" s="3" t="s">
        <v>52</v>
      </c>
      <c r="L47" s="6" t="s">
        <v>241</v>
      </c>
      <c r="M47" s="3" t="s">
        <v>219</v>
      </c>
      <c r="N47" s="6" t="s">
        <v>239</v>
      </c>
      <c r="O47" s="3" t="s">
        <v>52</v>
      </c>
      <c r="P47" s="6" t="s">
        <v>241</v>
      </c>
      <c r="Q47" s="3" t="s">
        <v>64</v>
      </c>
      <c r="R47" s="6" t="s">
        <v>240</v>
      </c>
      <c r="S47" s="5">
        <f>200.86</f>
        <v>200.86</v>
      </c>
      <c r="T47" s="4">
        <f>71</f>
        <v>71</v>
      </c>
      <c r="U47" s="4">
        <v>9</v>
      </c>
      <c r="V47" s="4"/>
      <c r="W47" s="4">
        <f>145071000</f>
        <v>145071000</v>
      </c>
      <c r="X47" s="4">
        <v>16785000</v>
      </c>
      <c r="Y47" s="4"/>
      <c r="Z47" s="3"/>
      <c r="AA47" s="2">
        <f>127</f>
        <v>127</v>
      </c>
      <c r="AB47" s="2" t="str">
        <f t="shared" si="1"/>
        <v>－</v>
      </c>
      <c r="AC47" s="1">
        <f>5</f>
        <v>5</v>
      </c>
    </row>
    <row r="48" spans="1:29">
      <c r="A48" s="9" t="s">
        <v>46</v>
      </c>
      <c r="B48" s="8" t="s">
        <v>224</v>
      </c>
      <c r="C48" s="8" t="s">
        <v>225</v>
      </c>
      <c r="D48" s="8" t="s">
        <v>59</v>
      </c>
      <c r="E48" s="7" t="s">
        <v>242</v>
      </c>
      <c r="F48" s="7" t="s">
        <v>243</v>
      </c>
      <c r="G48" s="3" t="s">
        <v>235</v>
      </c>
      <c r="H48" s="6" t="s">
        <v>244</v>
      </c>
      <c r="I48" s="3" t="s">
        <v>91</v>
      </c>
      <c r="J48" s="6" t="s">
        <v>245</v>
      </c>
      <c r="K48" s="3"/>
      <c r="L48" s="6"/>
      <c r="M48" s="3" t="s">
        <v>235</v>
      </c>
      <c r="N48" s="6" t="s">
        <v>244</v>
      </c>
      <c r="O48" s="3"/>
      <c r="P48" s="6"/>
      <c r="Q48" s="3" t="s">
        <v>91</v>
      </c>
      <c r="R48" s="6" t="s">
        <v>246</v>
      </c>
      <c r="S48" s="5">
        <f>198.88</f>
        <v>198.88</v>
      </c>
      <c r="T48" s="4">
        <f>165</f>
        <v>165</v>
      </c>
      <c r="U48" s="4"/>
      <c r="V48" s="4"/>
      <c r="W48" s="4">
        <f>327831000</f>
        <v>327831000</v>
      </c>
      <c r="X48" s="4"/>
      <c r="Y48" s="4"/>
      <c r="Z48" s="3"/>
      <c r="AA48" s="2">
        <f>71</f>
        <v>71</v>
      </c>
      <c r="AB48" s="2" t="str">
        <f t="shared" si="1"/>
        <v>－</v>
      </c>
      <c r="AC48" s="1">
        <f>12</f>
        <v>12</v>
      </c>
    </row>
    <row r="49" spans="1:29">
      <c r="A49" s="9" t="s">
        <v>46</v>
      </c>
      <c r="B49" s="8" t="s">
        <v>224</v>
      </c>
      <c r="C49" s="8" t="s">
        <v>225</v>
      </c>
      <c r="D49" s="8" t="s">
        <v>247</v>
      </c>
      <c r="E49" s="7" t="s">
        <v>248</v>
      </c>
      <c r="F49" s="7" t="s">
        <v>249</v>
      </c>
      <c r="G49" s="3" t="s">
        <v>52</v>
      </c>
      <c r="H49" s="6" t="s">
        <v>250</v>
      </c>
      <c r="I49" s="3" t="s">
        <v>251</v>
      </c>
      <c r="J49" s="6" t="s">
        <v>252</v>
      </c>
      <c r="K49" s="3"/>
      <c r="L49" s="6"/>
      <c r="M49" s="3" t="s">
        <v>52</v>
      </c>
      <c r="N49" s="6" t="s">
        <v>250</v>
      </c>
      <c r="O49" s="3"/>
      <c r="P49" s="6"/>
      <c r="Q49" s="3" t="s">
        <v>133</v>
      </c>
      <c r="R49" s="6" t="s">
        <v>253</v>
      </c>
      <c r="S49" s="5">
        <f>196.71</f>
        <v>196.71</v>
      </c>
      <c r="T49" s="4">
        <f>40</f>
        <v>40</v>
      </c>
      <c r="U49" s="4"/>
      <c r="V49" s="4"/>
      <c r="W49" s="4">
        <f>77482500</f>
        <v>77482500</v>
      </c>
      <c r="X49" s="4"/>
      <c r="Y49" s="4"/>
      <c r="Z49" s="3"/>
      <c r="AA49" s="2">
        <f>48</f>
        <v>48</v>
      </c>
      <c r="AB49" s="2" t="str">
        <f t="shared" si="1"/>
        <v>－</v>
      </c>
      <c r="AC49" s="1">
        <f>12</f>
        <v>12</v>
      </c>
    </row>
    <row r="50" spans="1:29">
      <c r="A50" s="9" t="s">
        <v>46</v>
      </c>
      <c r="B50" s="8" t="s">
        <v>224</v>
      </c>
      <c r="C50" s="8" t="s">
        <v>225</v>
      </c>
      <c r="D50" s="8" t="s">
        <v>68</v>
      </c>
      <c r="E50" s="7" t="s">
        <v>254</v>
      </c>
      <c r="F50" s="7" t="s">
        <v>255</v>
      </c>
      <c r="G50" s="3" t="s">
        <v>52</v>
      </c>
      <c r="H50" s="6" t="s">
        <v>256</v>
      </c>
      <c r="I50" s="3" t="s">
        <v>91</v>
      </c>
      <c r="J50" s="6" t="s">
        <v>257</v>
      </c>
      <c r="K50" s="3"/>
      <c r="L50" s="6"/>
      <c r="M50" s="3" t="s">
        <v>52</v>
      </c>
      <c r="N50" s="6" t="s">
        <v>258</v>
      </c>
      <c r="O50" s="3"/>
      <c r="P50" s="6"/>
      <c r="Q50" s="3" t="s">
        <v>91</v>
      </c>
      <c r="R50" s="6" t="s">
        <v>259</v>
      </c>
      <c r="S50" s="5">
        <f>195.07</f>
        <v>195.07</v>
      </c>
      <c r="T50" s="4">
        <f>44</f>
        <v>44</v>
      </c>
      <c r="U50" s="4"/>
      <c r="V50" s="4"/>
      <c r="W50" s="4">
        <f>84358500</f>
        <v>84358500</v>
      </c>
      <c r="X50" s="4"/>
      <c r="Y50" s="4"/>
      <c r="Z50" s="3"/>
      <c r="AA50" s="2">
        <f>10</f>
        <v>10</v>
      </c>
      <c r="AB50" s="2" t="str">
        <f t="shared" si="1"/>
        <v>－</v>
      </c>
      <c r="AC50" s="1">
        <f>10</f>
        <v>10</v>
      </c>
    </row>
    <row r="51" spans="1:29">
      <c r="A51" s="9" t="s">
        <v>46</v>
      </c>
      <c r="B51" s="8" t="s">
        <v>224</v>
      </c>
      <c r="C51" s="8" t="s">
        <v>225</v>
      </c>
      <c r="D51" s="8" t="s">
        <v>260</v>
      </c>
      <c r="E51" s="7" t="s">
        <v>261</v>
      </c>
      <c r="F51" s="7" t="s">
        <v>262</v>
      </c>
      <c r="G51" s="3" t="s">
        <v>235</v>
      </c>
      <c r="H51" s="6" t="s">
        <v>263</v>
      </c>
      <c r="I51" s="3" t="s">
        <v>56</v>
      </c>
      <c r="J51" s="6" t="s">
        <v>264</v>
      </c>
      <c r="K51" s="3"/>
      <c r="L51" s="6"/>
      <c r="M51" s="3" t="s">
        <v>54</v>
      </c>
      <c r="N51" s="6" t="s">
        <v>265</v>
      </c>
      <c r="O51" s="3"/>
      <c r="P51" s="6"/>
      <c r="Q51" s="3" t="s">
        <v>56</v>
      </c>
      <c r="R51" s="6" t="s">
        <v>266</v>
      </c>
      <c r="S51" s="5">
        <f>194.23</f>
        <v>194.23</v>
      </c>
      <c r="T51" s="4">
        <f>147</f>
        <v>147</v>
      </c>
      <c r="U51" s="4"/>
      <c r="V51" s="4"/>
      <c r="W51" s="4">
        <f>288254500</f>
        <v>288254500</v>
      </c>
      <c r="X51" s="4"/>
      <c r="Y51" s="4"/>
      <c r="Z51" s="3"/>
      <c r="AA51" s="2">
        <f>57</f>
        <v>57</v>
      </c>
      <c r="AB51" s="2" t="str">
        <f t="shared" si="1"/>
        <v>－</v>
      </c>
      <c r="AC51" s="1">
        <f>18</f>
        <v>18</v>
      </c>
    </row>
    <row r="52" spans="1:29">
      <c r="A52" s="9" t="s">
        <v>46</v>
      </c>
      <c r="B52" s="8" t="s">
        <v>267</v>
      </c>
      <c r="C52" s="8" t="s">
        <v>268</v>
      </c>
      <c r="D52" s="8" t="s">
        <v>46</v>
      </c>
      <c r="E52" s="7" t="s">
        <v>269</v>
      </c>
      <c r="F52" s="7" t="s">
        <v>270</v>
      </c>
      <c r="G52" s="3" t="s">
        <v>52</v>
      </c>
      <c r="H52" s="6" t="s">
        <v>271</v>
      </c>
      <c r="I52" s="3" t="s">
        <v>251</v>
      </c>
      <c r="J52" s="6" t="s">
        <v>272</v>
      </c>
      <c r="K52" s="3" t="s">
        <v>273</v>
      </c>
      <c r="L52" s="6" t="s">
        <v>274</v>
      </c>
      <c r="M52" s="3" t="s">
        <v>52</v>
      </c>
      <c r="N52" s="6" t="s">
        <v>275</v>
      </c>
      <c r="O52" s="3" t="s">
        <v>273</v>
      </c>
      <c r="P52" s="6" t="s">
        <v>274</v>
      </c>
      <c r="Q52" s="3" t="s">
        <v>133</v>
      </c>
      <c r="R52" s="6" t="s">
        <v>276</v>
      </c>
      <c r="S52" s="5">
        <f>229.89</f>
        <v>229.89</v>
      </c>
      <c r="T52" s="4">
        <f>962</f>
        <v>962</v>
      </c>
      <c r="U52" s="4">
        <v>2</v>
      </c>
      <c r="V52" s="4">
        <v>276</v>
      </c>
      <c r="W52" s="4">
        <f>1097991000</f>
        <v>1097991000</v>
      </c>
      <c r="X52" s="4">
        <v>2282000</v>
      </c>
      <c r="Y52" s="4">
        <v>313232500</v>
      </c>
      <c r="Z52" s="3" t="s">
        <v>231</v>
      </c>
      <c r="AA52" s="2">
        <f>110</f>
        <v>110</v>
      </c>
      <c r="AB52" s="2" t="str">
        <f t="shared" si="1"/>
        <v>－</v>
      </c>
      <c r="AC52" s="1">
        <f>14</f>
        <v>14</v>
      </c>
    </row>
    <row r="53" spans="1:29">
      <c r="A53" s="9" t="s">
        <v>46</v>
      </c>
      <c r="B53" s="8" t="s">
        <v>267</v>
      </c>
      <c r="C53" s="8" t="s">
        <v>268</v>
      </c>
      <c r="D53" s="8" t="s">
        <v>49</v>
      </c>
      <c r="E53" s="7" t="s">
        <v>277</v>
      </c>
      <c r="F53" s="7" t="s">
        <v>97</v>
      </c>
      <c r="G53" s="3" t="s">
        <v>52</v>
      </c>
      <c r="H53" s="6" t="s">
        <v>278</v>
      </c>
      <c r="I53" s="3" t="s">
        <v>251</v>
      </c>
      <c r="J53" s="6" t="s">
        <v>279</v>
      </c>
      <c r="K53" s="3" t="s">
        <v>128</v>
      </c>
      <c r="L53" s="6" t="s">
        <v>280</v>
      </c>
      <c r="M53" s="3" t="s">
        <v>64</v>
      </c>
      <c r="N53" s="6" t="s">
        <v>281</v>
      </c>
      <c r="O53" s="3" t="s">
        <v>128</v>
      </c>
      <c r="P53" s="6" t="s">
        <v>280</v>
      </c>
      <c r="Q53" s="3" t="s">
        <v>56</v>
      </c>
      <c r="R53" s="6" t="s">
        <v>282</v>
      </c>
      <c r="S53" s="5">
        <f>229.46</f>
        <v>229.46</v>
      </c>
      <c r="T53" s="4">
        <f>1384</f>
        <v>1384</v>
      </c>
      <c r="U53" s="4">
        <v>2</v>
      </c>
      <c r="V53" s="4">
        <v>811</v>
      </c>
      <c r="W53" s="4">
        <f>1581262500</f>
        <v>1581262500</v>
      </c>
      <c r="X53" s="4">
        <v>2335000</v>
      </c>
      <c r="Y53" s="4">
        <v>921792000</v>
      </c>
      <c r="Z53" s="3"/>
      <c r="AA53" s="2">
        <f>568</f>
        <v>568</v>
      </c>
      <c r="AB53" s="2" t="str">
        <f t="shared" si="1"/>
        <v>－</v>
      </c>
      <c r="AC53" s="1">
        <f>19</f>
        <v>19</v>
      </c>
    </row>
    <row r="54" spans="1:29">
      <c r="A54" s="9" t="s">
        <v>46</v>
      </c>
      <c r="B54" s="8" t="s">
        <v>267</v>
      </c>
      <c r="C54" s="8" t="s">
        <v>268</v>
      </c>
      <c r="D54" s="8" t="s">
        <v>237</v>
      </c>
      <c r="E54" s="7" t="s">
        <v>226</v>
      </c>
      <c r="F54" s="7" t="s">
        <v>283</v>
      </c>
      <c r="G54" s="3" t="s">
        <v>52</v>
      </c>
      <c r="H54" s="6" t="s">
        <v>284</v>
      </c>
      <c r="I54" s="3" t="s">
        <v>213</v>
      </c>
      <c r="J54" s="6" t="s">
        <v>285</v>
      </c>
      <c r="K54" s="3" t="s">
        <v>64</v>
      </c>
      <c r="L54" s="6" t="s">
        <v>286</v>
      </c>
      <c r="M54" s="3" t="s">
        <v>64</v>
      </c>
      <c r="N54" s="6" t="s">
        <v>287</v>
      </c>
      <c r="O54" s="3" t="s">
        <v>64</v>
      </c>
      <c r="P54" s="6" t="s">
        <v>286</v>
      </c>
      <c r="Q54" s="3" t="s">
        <v>56</v>
      </c>
      <c r="R54" s="6" t="s">
        <v>288</v>
      </c>
      <c r="S54" s="5">
        <f>232.5</f>
        <v>232.5</v>
      </c>
      <c r="T54" s="4">
        <f>1128</f>
        <v>1128</v>
      </c>
      <c r="U54" s="4">
        <v>4</v>
      </c>
      <c r="V54" s="4">
        <v>538</v>
      </c>
      <c r="W54" s="4">
        <f>1309747500</f>
        <v>1309747500</v>
      </c>
      <c r="X54" s="4">
        <v>4530000</v>
      </c>
      <c r="Y54" s="4">
        <v>620465500</v>
      </c>
      <c r="Z54" s="3"/>
      <c r="AA54" s="2">
        <f>1132</f>
        <v>1132</v>
      </c>
      <c r="AB54" s="2" t="str">
        <f t="shared" si="1"/>
        <v>－</v>
      </c>
      <c r="AC54" s="1">
        <f>19</f>
        <v>19</v>
      </c>
    </row>
    <row r="55" spans="1:29">
      <c r="A55" s="9" t="s">
        <v>46</v>
      </c>
      <c r="B55" s="8" t="s">
        <v>267</v>
      </c>
      <c r="C55" s="8" t="s">
        <v>268</v>
      </c>
      <c r="D55" s="8" t="s">
        <v>59</v>
      </c>
      <c r="E55" s="7" t="s">
        <v>226</v>
      </c>
      <c r="F55" s="7" t="s">
        <v>102</v>
      </c>
      <c r="G55" s="3" t="s">
        <v>52</v>
      </c>
      <c r="H55" s="6" t="s">
        <v>289</v>
      </c>
      <c r="I55" s="3" t="s">
        <v>251</v>
      </c>
      <c r="J55" s="6" t="s">
        <v>290</v>
      </c>
      <c r="K55" s="3" t="s">
        <v>54</v>
      </c>
      <c r="L55" s="6" t="s">
        <v>291</v>
      </c>
      <c r="M55" s="3" t="s">
        <v>64</v>
      </c>
      <c r="N55" s="6" t="s">
        <v>292</v>
      </c>
      <c r="O55" s="3" t="s">
        <v>54</v>
      </c>
      <c r="P55" s="6" t="s">
        <v>291</v>
      </c>
      <c r="Q55" s="3" t="s">
        <v>56</v>
      </c>
      <c r="R55" s="6" t="s">
        <v>293</v>
      </c>
      <c r="S55" s="5">
        <f>234.68</f>
        <v>234.68</v>
      </c>
      <c r="T55" s="4">
        <f>2370</f>
        <v>2370</v>
      </c>
      <c r="U55" s="4">
        <v>20</v>
      </c>
      <c r="V55" s="4">
        <v>792</v>
      </c>
      <c r="W55" s="4">
        <f>2801222500</f>
        <v>2801222500</v>
      </c>
      <c r="X55" s="4">
        <v>23470000</v>
      </c>
      <c r="Y55" s="4">
        <v>935773500</v>
      </c>
      <c r="Z55" s="3"/>
      <c r="AA55" s="2">
        <f>1026</f>
        <v>1026</v>
      </c>
      <c r="AB55" s="2" t="str">
        <f t="shared" si="1"/>
        <v>－</v>
      </c>
      <c r="AC55" s="1">
        <f>19</f>
        <v>19</v>
      </c>
    </row>
    <row r="56" spans="1:29">
      <c r="A56" s="9" t="s">
        <v>46</v>
      </c>
      <c r="B56" s="8" t="s">
        <v>267</v>
      </c>
      <c r="C56" s="8" t="s">
        <v>268</v>
      </c>
      <c r="D56" s="8" t="s">
        <v>247</v>
      </c>
      <c r="E56" s="7" t="s">
        <v>226</v>
      </c>
      <c r="F56" s="7" t="s">
        <v>294</v>
      </c>
      <c r="G56" s="3" t="s">
        <v>52</v>
      </c>
      <c r="H56" s="6" t="s">
        <v>295</v>
      </c>
      <c r="I56" s="3" t="s">
        <v>251</v>
      </c>
      <c r="J56" s="6" t="s">
        <v>296</v>
      </c>
      <c r="K56" s="3" t="s">
        <v>213</v>
      </c>
      <c r="L56" s="6" t="s">
        <v>297</v>
      </c>
      <c r="M56" s="3" t="s">
        <v>64</v>
      </c>
      <c r="N56" s="6" t="s">
        <v>298</v>
      </c>
      <c r="O56" s="3" t="s">
        <v>273</v>
      </c>
      <c r="P56" s="6" t="s">
        <v>299</v>
      </c>
      <c r="Q56" s="3" t="s">
        <v>56</v>
      </c>
      <c r="R56" s="6" t="s">
        <v>300</v>
      </c>
      <c r="S56" s="5">
        <f>237.61</f>
        <v>237.61</v>
      </c>
      <c r="T56" s="4">
        <f>9300</f>
        <v>9300</v>
      </c>
      <c r="U56" s="4">
        <v>33</v>
      </c>
      <c r="V56" s="4">
        <v>3238</v>
      </c>
      <c r="W56" s="4">
        <f>11083811000</f>
        <v>11083811000</v>
      </c>
      <c r="X56" s="4">
        <v>39387500</v>
      </c>
      <c r="Y56" s="4">
        <v>3860046000</v>
      </c>
      <c r="Z56" s="3"/>
      <c r="AA56" s="2">
        <f>1495</f>
        <v>1495</v>
      </c>
      <c r="AB56" s="2" t="str">
        <f t="shared" si="1"/>
        <v>－</v>
      </c>
      <c r="AC56" s="1">
        <f>19</f>
        <v>19</v>
      </c>
    </row>
    <row r="57" spans="1:29">
      <c r="A57" s="9" t="s">
        <v>46</v>
      </c>
      <c r="B57" s="8" t="s">
        <v>267</v>
      </c>
      <c r="C57" s="8" t="s">
        <v>268</v>
      </c>
      <c r="D57" s="8" t="s">
        <v>68</v>
      </c>
      <c r="E57" s="7" t="s">
        <v>226</v>
      </c>
      <c r="F57" s="7" t="s">
        <v>106</v>
      </c>
      <c r="G57" s="3" t="s">
        <v>52</v>
      </c>
      <c r="H57" s="6" t="s">
        <v>301</v>
      </c>
      <c r="I57" s="3" t="s">
        <v>251</v>
      </c>
      <c r="J57" s="6" t="s">
        <v>302</v>
      </c>
      <c r="K57" s="3" t="s">
        <v>251</v>
      </c>
      <c r="L57" s="6" t="s">
        <v>303</v>
      </c>
      <c r="M57" s="3" t="s">
        <v>64</v>
      </c>
      <c r="N57" s="6" t="s">
        <v>304</v>
      </c>
      <c r="O57" s="3" t="s">
        <v>145</v>
      </c>
      <c r="P57" s="6" t="s">
        <v>305</v>
      </c>
      <c r="Q57" s="3" t="s">
        <v>56</v>
      </c>
      <c r="R57" s="6" t="s">
        <v>306</v>
      </c>
      <c r="S57" s="5">
        <f>241.22</f>
        <v>241.22</v>
      </c>
      <c r="T57" s="4">
        <f>28557</f>
        <v>28557</v>
      </c>
      <c r="U57" s="4">
        <v>32</v>
      </c>
      <c r="V57" s="4">
        <v>5593</v>
      </c>
      <c r="W57" s="4">
        <f>34415612500</f>
        <v>34415612500</v>
      </c>
      <c r="X57" s="4">
        <v>39348500</v>
      </c>
      <c r="Y57" s="4">
        <v>6692017000</v>
      </c>
      <c r="Z57" s="3"/>
      <c r="AA57" s="2">
        <f>2729</f>
        <v>2729</v>
      </c>
      <c r="AB57" s="2" t="str">
        <f t="shared" si="1"/>
        <v>－</v>
      </c>
      <c r="AC57" s="1">
        <f>19</f>
        <v>19</v>
      </c>
    </row>
    <row r="58" spans="1:29">
      <c r="A58" s="9" t="s">
        <v>46</v>
      </c>
      <c r="B58" s="8" t="s">
        <v>267</v>
      </c>
      <c r="C58" s="8" t="s">
        <v>268</v>
      </c>
      <c r="D58" s="8" t="s">
        <v>260</v>
      </c>
      <c r="E58" s="7" t="s">
        <v>226</v>
      </c>
      <c r="F58" s="7" t="s">
        <v>307</v>
      </c>
      <c r="G58" s="3" t="s">
        <v>52</v>
      </c>
      <c r="H58" s="6" t="s">
        <v>308</v>
      </c>
      <c r="I58" s="3" t="s">
        <v>251</v>
      </c>
      <c r="J58" s="6" t="s">
        <v>309</v>
      </c>
      <c r="K58" s="3"/>
      <c r="L58" s="6"/>
      <c r="M58" s="3" t="s">
        <v>64</v>
      </c>
      <c r="N58" s="6" t="s">
        <v>310</v>
      </c>
      <c r="O58" s="3"/>
      <c r="P58" s="6"/>
      <c r="Q58" s="3" t="s">
        <v>56</v>
      </c>
      <c r="R58" s="6" t="s">
        <v>311</v>
      </c>
      <c r="S58" s="5">
        <f>243.62</f>
        <v>243.62</v>
      </c>
      <c r="T58" s="4">
        <f>6042</f>
        <v>6042</v>
      </c>
      <c r="U58" s="4"/>
      <c r="V58" s="4">
        <v>2786</v>
      </c>
      <c r="W58" s="4">
        <f>7217767500</f>
        <v>7217767500</v>
      </c>
      <c r="X58" s="4"/>
      <c r="Y58" s="4">
        <v>3341597000</v>
      </c>
      <c r="Z58" s="3"/>
      <c r="AA58" s="2">
        <f>1853</f>
        <v>1853</v>
      </c>
      <c r="AB58" s="2" t="str">
        <f t="shared" si="1"/>
        <v>－</v>
      </c>
      <c r="AC58" s="1">
        <f>19</f>
        <v>19</v>
      </c>
    </row>
    <row r="59" spans="1:29">
      <c r="A59" s="9" t="s">
        <v>46</v>
      </c>
      <c r="B59" s="8" t="s">
        <v>267</v>
      </c>
      <c r="C59" s="8" t="s">
        <v>268</v>
      </c>
      <c r="D59" s="8" t="s">
        <v>74</v>
      </c>
      <c r="E59" s="7" t="s">
        <v>226</v>
      </c>
      <c r="F59" s="7" t="s">
        <v>109</v>
      </c>
      <c r="G59" s="3" t="s">
        <v>52</v>
      </c>
      <c r="H59" s="6" t="s">
        <v>312</v>
      </c>
      <c r="I59" s="3" t="s">
        <v>251</v>
      </c>
      <c r="J59" s="6" t="s">
        <v>309</v>
      </c>
      <c r="K59" s="3"/>
      <c r="L59" s="6"/>
      <c r="M59" s="3" t="s">
        <v>91</v>
      </c>
      <c r="N59" s="6" t="s">
        <v>313</v>
      </c>
      <c r="O59" s="3"/>
      <c r="P59" s="6"/>
      <c r="Q59" s="3" t="s">
        <v>56</v>
      </c>
      <c r="R59" s="6" t="s">
        <v>314</v>
      </c>
      <c r="S59" s="5">
        <f>244.62</f>
        <v>244.62</v>
      </c>
      <c r="T59" s="4">
        <f>94</f>
        <v>94</v>
      </c>
      <c r="U59" s="4"/>
      <c r="V59" s="4">
        <v>60</v>
      </c>
      <c r="W59" s="4">
        <f>113707500</f>
        <v>113707500</v>
      </c>
      <c r="X59" s="4"/>
      <c r="Y59" s="4">
        <v>72346500</v>
      </c>
      <c r="Z59" s="3"/>
      <c r="AA59" s="2">
        <f>84</f>
        <v>84</v>
      </c>
      <c r="AB59" s="2" t="str">
        <f t="shared" si="1"/>
        <v>－</v>
      </c>
      <c r="AC59" s="1">
        <f>15</f>
        <v>15</v>
      </c>
    </row>
    <row r="60" spans="1:29">
      <c r="A60" s="9" t="s">
        <v>46</v>
      </c>
      <c r="B60" s="8" t="s">
        <v>267</v>
      </c>
      <c r="C60" s="8" t="s">
        <v>268</v>
      </c>
      <c r="D60" s="8" t="s">
        <v>315</v>
      </c>
      <c r="E60" s="7" t="s">
        <v>316</v>
      </c>
      <c r="F60" s="7" t="s">
        <v>317</v>
      </c>
      <c r="G60" s="3" t="s">
        <v>52</v>
      </c>
      <c r="H60" s="6" t="s">
        <v>312</v>
      </c>
      <c r="I60" s="3" t="s">
        <v>128</v>
      </c>
      <c r="J60" s="6" t="s">
        <v>318</v>
      </c>
      <c r="K60" s="3"/>
      <c r="L60" s="6"/>
      <c r="M60" s="3" t="s">
        <v>64</v>
      </c>
      <c r="N60" s="6" t="s">
        <v>319</v>
      </c>
      <c r="O60" s="3"/>
      <c r="P60" s="6"/>
      <c r="Q60" s="3" t="s">
        <v>64</v>
      </c>
      <c r="R60" s="6" t="s">
        <v>319</v>
      </c>
      <c r="S60" s="5">
        <f>244.87</f>
        <v>244.87</v>
      </c>
      <c r="T60" s="4">
        <f>35</f>
        <v>35</v>
      </c>
      <c r="U60" s="4"/>
      <c r="V60" s="4">
        <v>13</v>
      </c>
      <c r="W60" s="4">
        <f>43040000</f>
        <v>43040000</v>
      </c>
      <c r="X60" s="4"/>
      <c r="Y60" s="4">
        <v>15962000</v>
      </c>
      <c r="Z60" s="3"/>
      <c r="AA60" s="2">
        <f>87</f>
        <v>87</v>
      </c>
      <c r="AB60" s="2" t="str">
        <f t="shared" si="1"/>
        <v>－</v>
      </c>
      <c r="AC60" s="1">
        <f>12</f>
        <v>12</v>
      </c>
    </row>
    <row r="61" spans="1:29">
      <c r="A61" s="9" t="s">
        <v>46</v>
      </c>
      <c r="B61" s="8" t="s">
        <v>267</v>
      </c>
      <c r="C61" s="8" t="s">
        <v>268</v>
      </c>
      <c r="D61" s="8" t="s">
        <v>81</v>
      </c>
      <c r="E61" s="7" t="s">
        <v>320</v>
      </c>
      <c r="F61" s="7" t="s">
        <v>112</v>
      </c>
      <c r="G61" s="3" t="s">
        <v>52</v>
      </c>
      <c r="H61" s="6" t="s">
        <v>321</v>
      </c>
      <c r="I61" s="3" t="s">
        <v>251</v>
      </c>
      <c r="J61" s="6" t="s">
        <v>322</v>
      </c>
      <c r="K61" s="3"/>
      <c r="L61" s="6"/>
      <c r="M61" s="3" t="s">
        <v>64</v>
      </c>
      <c r="N61" s="6" t="s">
        <v>323</v>
      </c>
      <c r="O61" s="3"/>
      <c r="P61" s="6"/>
      <c r="Q61" s="3" t="s">
        <v>64</v>
      </c>
      <c r="R61" s="6" t="s">
        <v>324</v>
      </c>
      <c r="S61" s="5">
        <f>245.84</f>
        <v>245.84</v>
      </c>
      <c r="T61" s="4">
        <f>36</f>
        <v>36</v>
      </c>
      <c r="U61" s="4"/>
      <c r="V61" s="4">
        <v>10</v>
      </c>
      <c r="W61" s="4">
        <f>44307500</f>
        <v>44307500</v>
      </c>
      <c r="X61" s="4"/>
      <c r="Y61" s="4">
        <v>12257500</v>
      </c>
      <c r="Z61" s="3"/>
      <c r="AA61" s="2">
        <f>57</f>
        <v>57</v>
      </c>
      <c r="AB61" s="2" t="str">
        <f t="shared" si="1"/>
        <v>－</v>
      </c>
      <c r="AC61" s="1">
        <f>12</f>
        <v>12</v>
      </c>
    </row>
    <row r="62" spans="1:29">
      <c r="A62" s="9" t="s">
        <v>46</v>
      </c>
      <c r="B62" s="8" t="s">
        <v>267</v>
      </c>
      <c r="C62" s="8" t="s">
        <v>268</v>
      </c>
      <c r="D62" s="8" t="s">
        <v>325</v>
      </c>
      <c r="E62" s="7" t="s">
        <v>326</v>
      </c>
      <c r="F62" s="7" t="s">
        <v>327</v>
      </c>
      <c r="G62" s="3" t="s">
        <v>52</v>
      </c>
      <c r="H62" s="6" t="s">
        <v>328</v>
      </c>
      <c r="I62" s="3" t="s">
        <v>251</v>
      </c>
      <c r="J62" s="6" t="s">
        <v>329</v>
      </c>
      <c r="K62" s="3"/>
      <c r="L62" s="6"/>
      <c r="M62" s="3" t="s">
        <v>64</v>
      </c>
      <c r="N62" s="6" t="s">
        <v>306</v>
      </c>
      <c r="O62" s="3"/>
      <c r="P62" s="6"/>
      <c r="Q62" s="3" t="s">
        <v>64</v>
      </c>
      <c r="R62" s="6" t="s">
        <v>330</v>
      </c>
      <c r="S62" s="5">
        <f>248.24</f>
        <v>248.24</v>
      </c>
      <c r="T62" s="4">
        <f>54</f>
        <v>54</v>
      </c>
      <c r="U62" s="4"/>
      <c r="V62" s="4">
        <v>14</v>
      </c>
      <c r="W62" s="4">
        <f>67431000</f>
        <v>67431000</v>
      </c>
      <c r="X62" s="4"/>
      <c r="Y62" s="4">
        <v>17294500</v>
      </c>
      <c r="Z62" s="3"/>
      <c r="AA62" s="2">
        <f>30</f>
        <v>30</v>
      </c>
      <c r="AB62" s="2" t="str">
        <f t="shared" si="1"/>
        <v>－</v>
      </c>
      <c r="AC62" s="1">
        <f>13</f>
        <v>13</v>
      </c>
    </row>
    <row r="63" spans="1:29">
      <c r="A63" s="9" t="s">
        <v>46</v>
      </c>
      <c r="B63" s="8" t="s">
        <v>267</v>
      </c>
      <c r="C63" s="8" t="s">
        <v>268</v>
      </c>
      <c r="D63" s="8" t="s">
        <v>86</v>
      </c>
      <c r="E63" s="7" t="s">
        <v>331</v>
      </c>
      <c r="F63" s="7" t="s">
        <v>116</v>
      </c>
      <c r="G63" s="3" t="s">
        <v>52</v>
      </c>
      <c r="H63" s="6" t="s">
        <v>332</v>
      </c>
      <c r="I63" s="3" t="s">
        <v>333</v>
      </c>
      <c r="J63" s="6" t="s">
        <v>334</v>
      </c>
      <c r="K63" s="3"/>
      <c r="L63" s="6"/>
      <c r="M63" s="3" t="s">
        <v>130</v>
      </c>
      <c r="N63" s="6" t="s">
        <v>335</v>
      </c>
      <c r="O63" s="3"/>
      <c r="P63" s="6"/>
      <c r="Q63" s="3" t="s">
        <v>56</v>
      </c>
      <c r="R63" s="6" t="s">
        <v>336</v>
      </c>
      <c r="S63" s="5">
        <f>249.11</f>
        <v>249.11</v>
      </c>
      <c r="T63" s="4">
        <f>135</f>
        <v>135</v>
      </c>
      <c r="U63" s="4"/>
      <c r="V63" s="4">
        <v>5</v>
      </c>
      <c r="W63" s="4">
        <f>168546500</f>
        <v>168546500</v>
      </c>
      <c r="X63" s="4"/>
      <c r="Y63" s="4">
        <v>6251000</v>
      </c>
      <c r="Z63" s="3"/>
      <c r="AA63" s="2">
        <f>39</f>
        <v>39</v>
      </c>
      <c r="AB63" s="2" t="str">
        <f t="shared" si="1"/>
        <v>－</v>
      </c>
      <c r="AC63" s="1">
        <f>17</f>
        <v>17</v>
      </c>
    </row>
    <row r="64" spans="1:29">
      <c r="A64" s="9" t="s">
        <v>46</v>
      </c>
      <c r="B64" s="8" t="s">
        <v>267</v>
      </c>
      <c r="C64" s="8" t="s">
        <v>268</v>
      </c>
      <c r="D64" s="8" t="s">
        <v>337</v>
      </c>
      <c r="E64" s="7" t="s">
        <v>338</v>
      </c>
      <c r="F64" s="7" t="s">
        <v>339</v>
      </c>
      <c r="G64" s="3" t="s">
        <v>91</v>
      </c>
      <c r="H64" s="6" t="s">
        <v>340</v>
      </c>
      <c r="I64" s="3" t="s">
        <v>56</v>
      </c>
      <c r="J64" s="6" t="s">
        <v>341</v>
      </c>
      <c r="K64" s="3"/>
      <c r="L64" s="6"/>
      <c r="M64" s="3" t="s">
        <v>91</v>
      </c>
      <c r="N64" s="6" t="s">
        <v>321</v>
      </c>
      <c r="O64" s="3"/>
      <c r="P64" s="6"/>
      <c r="Q64" s="3" t="s">
        <v>56</v>
      </c>
      <c r="R64" s="6" t="s">
        <v>342</v>
      </c>
      <c r="S64" s="5">
        <f>247.85</f>
        <v>247.85</v>
      </c>
      <c r="T64" s="4">
        <f>7</f>
        <v>7</v>
      </c>
      <c r="U64" s="4"/>
      <c r="V64" s="4"/>
      <c r="W64" s="4">
        <f>8690000</f>
        <v>8690000</v>
      </c>
      <c r="X64" s="4"/>
      <c r="Y64" s="4"/>
      <c r="Z64" s="3"/>
      <c r="AA64" s="2">
        <f>4</f>
        <v>4</v>
      </c>
      <c r="AB64" s="2" t="str">
        <f t="shared" si="1"/>
        <v>－</v>
      </c>
      <c r="AC64" s="1">
        <f>2</f>
        <v>2</v>
      </c>
    </row>
    <row r="65" spans="1:29">
      <c r="A65" s="9" t="s">
        <v>46</v>
      </c>
      <c r="B65" s="8" t="s">
        <v>343</v>
      </c>
      <c r="C65" s="8" t="s">
        <v>344</v>
      </c>
      <c r="D65" s="8" t="s">
        <v>49</v>
      </c>
      <c r="E65" s="7" t="s">
        <v>345</v>
      </c>
      <c r="F65" s="7" t="s">
        <v>346</v>
      </c>
      <c r="G65" s="3"/>
      <c r="H65" s="6" t="s">
        <v>119</v>
      </c>
      <c r="I65" s="3"/>
      <c r="J65" s="6" t="s">
        <v>119</v>
      </c>
      <c r="K65" s="3"/>
      <c r="L65" s="6"/>
      <c r="M65" s="3"/>
      <c r="N65" s="6" t="s">
        <v>119</v>
      </c>
      <c r="O65" s="3"/>
      <c r="P65" s="6"/>
      <c r="Q65" s="3"/>
      <c r="R65" s="6" t="s">
        <v>119</v>
      </c>
      <c r="S65" s="5">
        <f>201.79</f>
        <v>201.79</v>
      </c>
      <c r="T65" s="4" t="str">
        <f>"－"</f>
        <v>－</v>
      </c>
      <c r="U65" s="4"/>
      <c r="V65" s="4"/>
      <c r="W65" s="4" t="str">
        <f>"－"</f>
        <v>－</v>
      </c>
      <c r="X65" s="4"/>
      <c r="Y65" s="4"/>
      <c r="Z65" s="3" t="s">
        <v>231</v>
      </c>
      <c r="AA65" s="2" t="str">
        <f t="shared" ref="AA65:AA76" si="2">"－"</f>
        <v>－</v>
      </c>
      <c r="AB65" s="2" t="str">
        <f t="shared" si="1"/>
        <v>－</v>
      </c>
      <c r="AC65" s="1" t="str">
        <f>"－"</f>
        <v>－</v>
      </c>
    </row>
    <row r="66" spans="1:29">
      <c r="A66" s="9" t="s">
        <v>46</v>
      </c>
      <c r="B66" s="8" t="s">
        <v>343</v>
      </c>
      <c r="C66" s="8" t="s">
        <v>344</v>
      </c>
      <c r="D66" s="8" t="s">
        <v>237</v>
      </c>
      <c r="E66" s="7" t="s">
        <v>347</v>
      </c>
      <c r="F66" s="7" t="s">
        <v>348</v>
      </c>
      <c r="G66" s="3"/>
      <c r="H66" s="6" t="s">
        <v>119</v>
      </c>
      <c r="I66" s="3"/>
      <c r="J66" s="6" t="s">
        <v>119</v>
      </c>
      <c r="K66" s="3"/>
      <c r="L66" s="6"/>
      <c r="M66" s="3"/>
      <c r="N66" s="6" t="s">
        <v>119</v>
      </c>
      <c r="O66" s="3"/>
      <c r="P66" s="6"/>
      <c r="Q66" s="3"/>
      <c r="R66" s="6" t="s">
        <v>119</v>
      </c>
      <c r="S66" s="5">
        <f>202.37</f>
        <v>202.37</v>
      </c>
      <c r="T66" s="4" t="str">
        <f>"－"</f>
        <v>－</v>
      </c>
      <c r="U66" s="4"/>
      <c r="V66" s="4"/>
      <c r="W66" s="4" t="str">
        <f>"－"</f>
        <v>－</v>
      </c>
      <c r="X66" s="4"/>
      <c r="Y66" s="4"/>
      <c r="Z66" s="3"/>
      <c r="AA66" s="2" t="str">
        <f t="shared" si="2"/>
        <v>－</v>
      </c>
      <c r="AB66" s="2" t="str">
        <f t="shared" si="1"/>
        <v>－</v>
      </c>
      <c r="AC66" s="1" t="str">
        <f>"－"</f>
        <v>－</v>
      </c>
    </row>
    <row r="67" spans="1:29">
      <c r="A67" s="9" t="s">
        <v>46</v>
      </c>
      <c r="B67" s="8" t="s">
        <v>343</v>
      </c>
      <c r="C67" s="8" t="s">
        <v>344</v>
      </c>
      <c r="D67" s="8" t="s">
        <v>59</v>
      </c>
      <c r="E67" s="7" t="s">
        <v>226</v>
      </c>
      <c r="F67" s="7" t="s">
        <v>349</v>
      </c>
      <c r="G67" s="3" t="s">
        <v>52</v>
      </c>
      <c r="H67" s="6" t="s">
        <v>350</v>
      </c>
      <c r="I67" s="3" t="s">
        <v>251</v>
      </c>
      <c r="J67" s="6" t="s">
        <v>351</v>
      </c>
      <c r="K67" s="3" t="s">
        <v>235</v>
      </c>
      <c r="L67" s="6" t="s">
        <v>352</v>
      </c>
      <c r="M67" s="3" t="s">
        <v>64</v>
      </c>
      <c r="N67" s="6" t="s">
        <v>353</v>
      </c>
      <c r="O67" s="3" t="s">
        <v>235</v>
      </c>
      <c r="P67" s="6" t="s">
        <v>352</v>
      </c>
      <c r="Q67" s="3" t="s">
        <v>64</v>
      </c>
      <c r="R67" s="6" t="s">
        <v>353</v>
      </c>
      <c r="S67" s="5">
        <f>203.11</f>
        <v>203.11</v>
      </c>
      <c r="T67" s="4">
        <f>63</f>
        <v>63</v>
      </c>
      <c r="U67" s="4">
        <v>3</v>
      </c>
      <c r="V67" s="4"/>
      <c r="W67" s="4">
        <f>64590000</f>
        <v>64590000</v>
      </c>
      <c r="X67" s="4">
        <v>3069000</v>
      </c>
      <c r="Y67" s="4"/>
      <c r="Z67" s="3"/>
      <c r="AA67" s="2" t="str">
        <f t="shared" si="2"/>
        <v>－</v>
      </c>
      <c r="AB67" s="2" t="str">
        <f t="shared" si="1"/>
        <v>－</v>
      </c>
      <c r="AC67" s="1">
        <f>8</f>
        <v>8</v>
      </c>
    </row>
    <row r="68" spans="1:29">
      <c r="A68" s="9" t="s">
        <v>46</v>
      </c>
      <c r="B68" s="8" t="s">
        <v>343</v>
      </c>
      <c r="C68" s="8" t="s">
        <v>344</v>
      </c>
      <c r="D68" s="8" t="s">
        <v>247</v>
      </c>
      <c r="E68" s="7" t="s">
        <v>226</v>
      </c>
      <c r="F68" s="7" t="s">
        <v>354</v>
      </c>
      <c r="G68" s="3" t="s">
        <v>52</v>
      </c>
      <c r="H68" s="6" t="s">
        <v>355</v>
      </c>
      <c r="I68" s="3" t="s">
        <v>213</v>
      </c>
      <c r="J68" s="6" t="s">
        <v>356</v>
      </c>
      <c r="K68" s="3"/>
      <c r="L68" s="6"/>
      <c r="M68" s="3" t="s">
        <v>64</v>
      </c>
      <c r="N68" s="6" t="s">
        <v>357</v>
      </c>
      <c r="O68" s="3"/>
      <c r="P68" s="6"/>
      <c r="Q68" s="3" t="s">
        <v>64</v>
      </c>
      <c r="R68" s="6" t="s">
        <v>358</v>
      </c>
      <c r="S68" s="5">
        <f>203.41</f>
        <v>203.41</v>
      </c>
      <c r="T68" s="4">
        <f>111</f>
        <v>111</v>
      </c>
      <c r="U68" s="4"/>
      <c r="V68" s="4"/>
      <c r="W68" s="4">
        <f>112479000</f>
        <v>112479000</v>
      </c>
      <c r="X68" s="4"/>
      <c r="Y68" s="4"/>
      <c r="Z68" s="3"/>
      <c r="AA68" s="2" t="str">
        <f t="shared" si="2"/>
        <v>－</v>
      </c>
      <c r="AB68" s="2" t="str">
        <f t="shared" si="1"/>
        <v>－</v>
      </c>
      <c r="AC68" s="1">
        <f>8</f>
        <v>8</v>
      </c>
    </row>
    <row r="69" spans="1:29">
      <c r="A69" s="9" t="s">
        <v>46</v>
      </c>
      <c r="B69" s="8" t="s">
        <v>343</v>
      </c>
      <c r="C69" s="8" t="s">
        <v>344</v>
      </c>
      <c r="D69" s="8" t="s">
        <v>68</v>
      </c>
      <c r="E69" s="7" t="s">
        <v>226</v>
      </c>
      <c r="F69" s="7" t="s">
        <v>359</v>
      </c>
      <c r="G69" s="3"/>
      <c r="H69" s="6" t="s">
        <v>119</v>
      </c>
      <c r="I69" s="3"/>
      <c r="J69" s="6" t="s">
        <v>119</v>
      </c>
      <c r="K69" s="3"/>
      <c r="L69" s="6"/>
      <c r="M69" s="3"/>
      <c r="N69" s="6" t="s">
        <v>119</v>
      </c>
      <c r="O69" s="3"/>
      <c r="P69" s="6"/>
      <c r="Q69" s="3"/>
      <c r="R69" s="6" t="s">
        <v>119</v>
      </c>
      <c r="S69" s="5">
        <f>204.74</f>
        <v>204.74</v>
      </c>
      <c r="T69" s="4" t="str">
        <f t="shared" ref="T69:T76" si="3">"－"</f>
        <v>－</v>
      </c>
      <c r="U69" s="4"/>
      <c r="V69" s="4"/>
      <c r="W69" s="4" t="str">
        <f t="shared" ref="W69:W76" si="4">"－"</f>
        <v>－</v>
      </c>
      <c r="X69" s="4"/>
      <c r="Y69" s="4"/>
      <c r="Z69" s="3"/>
      <c r="AA69" s="2" t="str">
        <f t="shared" si="2"/>
        <v>－</v>
      </c>
      <c r="AB69" s="2" t="str">
        <f t="shared" si="1"/>
        <v>－</v>
      </c>
      <c r="AC69" s="1" t="str">
        <f t="shared" ref="AC69:AC76" si="5">"－"</f>
        <v>－</v>
      </c>
    </row>
    <row r="70" spans="1:29">
      <c r="A70" s="9" t="s">
        <v>46</v>
      </c>
      <c r="B70" s="8" t="s">
        <v>343</v>
      </c>
      <c r="C70" s="8" t="s">
        <v>344</v>
      </c>
      <c r="D70" s="8" t="s">
        <v>260</v>
      </c>
      <c r="E70" s="7" t="s">
        <v>226</v>
      </c>
      <c r="F70" s="7" t="s">
        <v>360</v>
      </c>
      <c r="G70" s="3"/>
      <c r="H70" s="6" t="s">
        <v>119</v>
      </c>
      <c r="I70" s="3"/>
      <c r="J70" s="6" t="s">
        <v>119</v>
      </c>
      <c r="K70" s="3"/>
      <c r="L70" s="6"/>
      <c r="M70" s="3"/>
      <c r="N70" s="6" t="s">
        <v>119</v>
      </c>
      <c r="O70" s="3"/>
      <c r="P70" s="6"/>
      <c r="Q70" s="3"/>
      <c r="R70" s="6" t="s">
        <v>119</v>
      </c>
      <c r="S70" s="5">
        <f>205.42</f>
        <v>205.42</v>
      </c>
      <c r="T70" s="4" t="str">
        <f t="shared" si="3"/>
        <v>－</v>
      </c>
      <c r="U70" s="4"/>
      <c r="V70" s="4"/>
      <c r="W70" s="4" t="str">
        <f t="shared" si="4"/>
        <v>－</v>
      </c>
      <c r="X70" s="4"/>
      <c r="Y70" s="4"/>
      <c r="Z70" s="3"/>
      <c r="AA70" s="2" t="str">
        <f t="shared" si="2"/>
        <v>－</v>
      </c>
      <c r="AB70" s="2" t="str">
        <f t="shared" si="1"/>
        <v>－</v>
      </c>
      <c r="AC70" s="1" t="str">
        <f t="shared" si="5"/>
        <v>－</v>
      </c>
    </row>
    <row r="71" spans="1:29">
      <c r="A71" s="9" t="s">
        <v>46</v>
      </c>
      <c r="B71" s="8" t="s">
        <v>343</v>
      </c>
      <c r="C71" s="8" t="s">
        <v>344</v>
      </c>
      <c r="D71" s="8" t="s">
        <v>74</v>
      </c>
      <c r="E71" s="7" t="s">
        <v>226</v>
      </c>
      <c r="F71" s="7" t="s">
        <v>361</v>
      </c>
      <c r="G71" s="3"/>
      <c r="H71" s="6" t="s">
        <v>119</v>
      </c>
      <c r="I71" s="3"/>
      <c r="J71" s="6" t="s">
        <v>119</v>
      </c>
      <c r="K71" s="3"/>
      <c r="L71" s="6"/>
      <c r="M71" s="3"/>
      <c r="N71" s="6" t="s">
        <v>119</v>
      </c>
      <c r="O71" s="3"/>
      <c r="P71" s="6"/>
      <c r="Q71" s="3"/>
      <c r="R71" s="6" t="s">
        <v>119</v>
      </c>
      <c r="S71" s="5">
        <f>206</f>
        <v>206</v>
      </c>
      <c r="T71" s="4" t="str">
        <f t="shared" si="3"/>
        <v>－</v>
      </c>
      <c r="U71" s="4"/>
      <c r="V71" s="4"/>
      <c r="W71" s="4" t="str">
        <f t="shared" si="4"/>
        <v>－</v>
      </c>
      <c r="X71" s="4"/>
      <c r="Y71" s="4"/>
      <c r="Z71" s="3"/>
      <c r="AA71" s="2" t="str">
        <f t="shared" si="2"/>
        <v>－</v>
      </c>
      <c r="AB71" s="2" t="str">
        <f t="shared" ref="AB71:AB95" si="6">"－"</f>
        <v>－</v>
      </c>
      <c r="AC71" s="1" t="str">
        <f t="shared" si="5"/>
        <v>－</v>
      </c>
    </row>
    <row r="72" spans="1:29">
      <c r="A72" s="9" t="s">
        <v>46</v>
      </c>
      <c r="B72" s="8" t="s">
        <v>343</v>
      </c>
      <c r="C72" s="8" t="s">
        <v>344</v>
      </c>
      <c r="D72" s="8" t="s">
        <v>315</v>
      </c>
      <c r="E72" s="7" t="s">
        <v>226</v>
      </c>
      <c r="F72" s="7" t="s">
        <v>362</v>
      </c>
      <c r="G72" s="3"/>
      <c r="H72" s="6" t="s">
        <v>119</v>
      </c>
      <c r="I72" s="3"/>
      <c r="J72" s="6" t="s">
        <v>119</v>
      </c>
      <c r="K72" s="3"/>
      <c r="L72" s="6"/>
      <c r="M72" s="3"/>
      <c r="N72" s="6" t="s">
        <v>119</v>
      </c>
      <c r="O72" s="3"/>
      <c r="P72" s="6"/>
      <c r="Q72" s="3"/>
      <c r="R72" s="6" t="s">
        <v>119</v>
      </c>
      <c r="S72" s="5">
        <f>206.68</f>
        <v>206.68</v>
      </c>
      <c r="T72" s="4" t="str">
        <f t="shared" si="3"/>
        <v>－</v>
      </c>
      <c r="U72" s="4"/>
      <c r="V72" s="4"/>
      <c r="W72" s="4" t="str">
        <f t="shared" si="4"/>
        <v>－</v>
      </c>
      <c r="X72" s="4"/>
      <c r="Y72" s="4"/>
      <c r="Z72" s="3"/>
      <c r="AA72" s="2" t="str">
        <f t="shared" si="2"/>
        <v>－</v>
      </c>
      <c r="AB72" s="2" t="str">
        <f t="shared" si="6"/>
        <v>－</v>
      </c>
      <c r="AC72" s="1" t="str">
        <f t="shared" si="5"/>
        <v>－</v>
      </c>
    </row>
    <row r="73" spans="1:29">
      <c r="A73" s="9" t="s">
        <v>46</v>
      </c>
      <c r="B73" s="8" t="s">
        <v>343</v>
      </c>
      <c r="C73" s="8" t="s">
        <v>344</v>
      </c>
      <c r="D73" s="8" t="s">
        <v>81</v>
      </c>
      <c r="E73" s="7" t="s">
        <v>363</v>
      </c>
      <c r="F73" s="7" t="s">
        <v>364</v>
      </c>
      <c r="G73" s="3"/>
      <c r="H73" s="6" t="s">
        <v>119</v>
      </c>
      <c r="I73" s="3"/>
      <c r="J73" s="6" t="s">
        <v>119</v>
      </c>
      <c r="K73" s="3"/>
      <c r="L73" s="6"/>
      <c r="M73" s="3"/>
      <c r="N73" s="6" t="s">
        <v>119</v>
      </c>
      <c r="O73" s="3"/>
      <c r="P73" s="6"/>
      <c r="Q73" s="3"/>
      <c r="R73" s="6" t="s">
        <v>119</v>
      </c>
      <c r="S73" s="5">
        <f>207.26</f>
        <v>207.26</v>
      </c>
      <c r="T73" s="4" t="str">
        <f t="shared" si="3"/>
        <v>－</v>
      </c>
      <c r="U73" s="4"/>
      <c r="V73" s="4"/>
      <c r="W73" s="4" t="str">
        <f t="shared" si="4"/>
        <v>－</v>
      </c>
      <c r="X73" s="4"/>
      <c r="Y73" s="4"/>
      <c r="Z73" s="3"/>
      <c r="AA73" s="2" t="str">
        <f t="shared" si="2"/>
        <v>－</v>
      </c>
      <c r="AB73" s="2" t="str">
        <f t="shared" si="6"/>
        <v>－</v>
      </c>
      <c r="AC73" s="1" t="str">
        <f t="shared" si="5"/>
        <v>－</v>
      </c>
    </row>
    <row r="74" spans="1:29">
      <c r="A74" s="9" t="s">
        <v>46</v>
      </c>
      <c r="B74" s="8" t="s">
        <v>343</v>
      </c>
      <c r="C74" s="8" t="s">
        <v>344</v>
      </c>
      <c r="D74" s="8" t="s">
        <v>325</v>
      </c>
      <c r="E74" s="7" t="s">
        <v>365</v>
      </c>
      <c r="F74" s="7" t="s">
        <v>366</v>
      </c>
      <c r="G74" s="3"/>
      <c r="H74" s="6" t="s">
        <v>119</v>
      </c>
      <c r="I74" s="3"/>
      <c r="J74" s="6" t="s">
        <v>119</v>
      </c>
      <c r="K74" s="3"/>
      <c r="L74" s="6"/>
      <c r="M74" s="3"/>
      <c r="N74" s="6" t="s">
        <v>119</v>
      </c>
      <c r="O74" s="3"/>
      <c r="P74" s="6"/>
      <c r="Q74" s="3"/>
      <c r="R74" s="6" t="s">
        <v>119</v>
      </c>
      <c r="S74" s="5">
        <f>207.95</f>
        <v>207.95</v>
      </c>
      <c r="T74" s="4" t="str">
        <f t="shared" si="3"/>
        <v>－</v>
      </c>
      <c r="U74" s="4"/>
      <c r="V74" s="4"/>
      <c r="W74" s="4" t="str">
        <f t="shared" si="4"/>
        <v>－</v>
      </c>
      <c r="X74" s="4"/>
      <c r="Y74" s="4"/>
      <c r="Z74" s="3"/>
      <c r="AA74" s="2" t="str">
        <f t="shared" si="2"/>
        <v>－</v>
      </c>
      <c r="AB74" s="2" t="str">
        <f t="shared" si="6"/>
        <v>－</v>
      </c>
      <c r="AC74" s="1" t="str">
        <f t="shared" si="5"/>
        <v>－</v>
      </c>
    </row>
    <row r="75" spans="1:29">
      <c r="A75" s="9" t="s">
        <v>46</v>
      </c>
      <c r="B75" s="8" t="s">
        <v>343</v>
      </c>
      <c r="C75" s="8" t="s">
        <v>344</v>
      </c>
      <c r="D75" s="8" t="s">
        <v>86</v>
      </c>
      <c r="E75" s="7" t="s">
        <v>367</v>
      </c>
      <c r="F75" s="7" t="s">
        <v>368</v>
      </c>
      <c r="G75" s="3"/>
      <c r="H75" s="6" t="s">
        <v>119</v>
      </c>
      <c r="I75" s="3"/>
      <c r="J75" s="6" t="s">
        <v>119</v>
      </c>
      <c r="K75" s="3"/>
      <c r="L75" s="6"/>
      <c r="M75" s="3"/>
      <c r="N75" s="6" t="s">
        <v>119</v>
      </c>
      <c r="O75" s="3"/>
      <c r="P75" s="6"/>
      <c r="Q75" s="3"/>
      <c r="R75" s="6" t="s">
        <v>119</v>
      </c>
      <c r="S75" s="5">
        <f>208.95</f>
        <v>208.95</v>
      </c>
      <c r="T75" s="4" t="str">
        <f t="shared" si="3"/>
        <v>－</v>
      </c>
      <c r="U75" s="4"/>
      <c r="V75" s="4"/>
      <c r="W75" s="4" t="str">
        <f t="shared" si="4"/>
        <v>－</v>
      </c>
      <c r="X75" s="4"/>
      <c r="Y75" s="4"/>
      <c r="Z75" s="3"/>
      <c r="AA75" s="2" t="str">
        <f t="shared" si="2"/>
        <v>－</v>
      </c>
      <c r="AB75" s="2" t="str">
        <f t="shared" si="6"/>
        <v>－</v>
      </c>
      <c r="AC75" s="1" t="str">
        <f t="shared" si="5"/>
        <v>－</v>
      </c>
    </row>
    <row r="76" spans="1:29">
      <c r="A76" s="9" t="s">
        <v>46</v>
      </c>
      <c r="B76" s="8" t="s">
        <v>343</v>
      </c>
      <c r="C76" s="8" t="s">
        <v>344</v>
      </c>
      <c r="D76" s="8" t="s">
        <v>337</v>
      </c>
      <c r="E76" s="7" t="s">
        <v>227</v>
      </c>
      <c r="F76" s="7" t="s">
        <v>369</v>
      </c>
      <c r="G76" s="3"/>
      <c r="H76" s="6" t="s">
        <v>119</v>
      </c>
      <c r="I76" s="3"/>
      <c r="J76" s="6" t="s">
        <v>119</v>
      </c>
      <c r="K76" s="3"/>
      <c r="L76" s="6"/>
      <c r="M76" s="3"/>
      <c r="N76" s="6" t="s">
        <v>119</v>
      </c>
      <c r="O76" s="3"/>
      <c r="P76" s="6"/>
      <c r="Q76" s="3"/>
      <c r="R76" s="6" t="s">
        <v>119</v>
      </c>
      <c r="S76" s="5">
        <f>209.58</f>
        <v>209.58</v>
      </c>
      <c r="T76" s="4" t="str">
        <f t="shared" si="3"/>
        <v>－</v>
      </c>
      <c r="U76" s="4"/>
      <c r="V76" s="4"/>
      <c r="W76" s="4" t="str">
        <f t="shared" si="4"/>
        <v>－</v>
      </c>
      <c r="X76" s="4"/>
      <c r="Y76" s="4"/>
      <c r="Z76" s="3"/>
      <c r="AA76" s="2" t="str">
        <f t="shared" si="2"/>
        <v>－</v>
      </c>
      <c r="AB76" s="2" t="str">
        <f t="shared" si="6"/>
        <v>－</v>
      </c>
      <c r="AC76" s="1" t="str">
        <f t="shared" si="5"/>
        <v>－</v>
      </c>
    </row>
    <row r="77" spans="1:29">
      <c r="A77" s="9" t="s">
        <v>46</v>
      </c>
      <c r="B77" s="8" t="s">
        <v>370</v>
      </c>
      <c r="C77" s="8" t="s">
        <v>371</v>
      </c>
      <c r="D77" s="8" t="s">
        <v>237</v>
      </c>
      <c r="E77" s="7" t="s">
        <v>372</v>
      </c>
      <c r="F77" s="7" t="s">
        <v>373</v>
      </c>
      <c r="G77" s="3" t="s">
        <v>52</v>
      </c>
      <c r="H77" s="6" t="s">
        <v>374</v>
      </c>
      <c r="I77" s="3" t="s">
        <v>52</v>
      </c>
      <c r="J77" s="6" t="s">
        <v>375</v>
      </c>
      <c r="K77" s="3" t="s">
        <v>176</v>
      </c>
      <c r="L77" s="6" t="s">
        <v>376</v>
      </c>
      <c r="M77" s="3" t="s">
        <v>52</v>
      </c>
      <c r="N77" s="6" t="s">
        <v>374</v>
      </c>
      <c r="O77" s="3" t="s">
        <v>176</v>
      </c>
      <c r="P77" s="6" t="s">
        <v>376</v>
      </c>
      <c r="Q77" s="3" t="s">
        <v>56</v>
      </c>
      <c r="R77" s="6" t="s">
        <v>377</v>
      </c>
      <c r="S77" s="5">
        <f>40791.05</f>
        <v>40791.050000000003</v>
      </c>
      <c r="T77" s="4">
        <f>99</f>
        <v>99</v>
      </c>
      <c r="U77" s="4">
        <v>1</v>
      </c>
      <c r="V77" s="4"/>
      <c r="W77" s="4">
        <f>200499000</f>
        <v>200499000</v>
      </c>
      <c r="X77" s="4">
        <v>2030500</v>
      </c>
      <c r="Y77" s="4"/>
      <c r="Z77" s="3"/>
      <c r="AA77" s="2">
        <f>80</f>
        <v>80</v>
      </c>
      <c r="AB77" s="2" t="str">
        <f t="shared" si="6"/>
        <v>－</v>
      </c>
      <c r="AC77" s="1">
        <f>18</f>
        <v>18</v>
      </c>
    </row>
    <row r="78" spans="1:29">
      <c r="A78" s="9" t="s">
        <v>46</v>
      </c>
      <c r="B78" s="8" t="s">
        <v>370</v>
      </c>
      <c r="C78" s="8" t="s">
        <v>371</v>
      </c>
      <c r="D78" s="8" t="s">
        <v>247</v>
      </c>
      <c r="E78" s="7" t="s">
        <v>378</v>
      </c>
      <c r="F78" s="7" t="s">
        <v>379</v>
      </c>
      <c r="G78" s="3" t="s">
        <v>52</v>
      </c>
      <c r="H78" s="6" t="s">
        <v>380</v>
      </c>
      <c r="I78" s="3" t="s">
        <v>56</v>
      </c>
      <c r="J78" s="6" t="s">
        <v>381</v>
      </c>
      <c r="K78" s="3" t="s">
        <v>176</v>
      </c>
      <c r="L78" s="6" t="s">
        <v>382</v>
      </c>
      <c r="M78" s="3" t="s">
        <v>54</v>
      </c>
      <c r="N78" s="6" t="s">
        <v>383</v>
      </c>
      <c r="O78" s="3" t="s">
        <v>176</v>
      </c>
      <c r="P78" s="6" t="s">
        <v>382</v>
      </c>
      <c r="Q78" s="3" t="s">
        <v>56</v>
      </c>
      <c r="R78" s="6" t="s">
        <v>381</v>
      </c>
      <c r="S78" s="5">
        <f>40384.21</f>
        <v>40384.21</v>
      </c>
      <c r="T78" s="4">
        <f>85</f>
        <v>85</v>
      </c>
      <c r="U78" s="4">
        <v>1</v>
      </c>
      <c r="V78" s="4"/>
      <c r="W78" s="4">
        <f>173061500</f>
        <v>173061500</v>
      </c>
      <c r="X78" s="4">
        <v>2025000</v>
      </c>
      <c r="Y78" s="4"/>
      <c r="Z78" s="3"/>
      <c r="AA78" s="2">
        <f>415</f>
        <v>415</v>
      </c>
      <c r="AB78" s="2" t="str">
        <f t="shared" si="6"/>
        <v>－</v>
      </c>
      <c r="AC78" s="1">
        <f>12</f>
        <v>12</v>
      </c>
    </row>
    <row r="79" spans="1:29">
      <c r="A79" s="9" t="s">
        <v>46</v>
      </c>
      <c r="B79" s="8" t="s">
        <v>370</v>
      </c>
      <c r="C79" s="8" t="s">
        <v>371</v>
      </c>
      <c r="D79" s="8" t="s">
        <v>260</v>
      </c>
      <c r="E79" s="7" t="s">
        <v>384</v>
      </c>
      <c r="F79" s="7" t="s">
        <v>385</v>
      </c>
      <c r="G79" s="3" t="s">
        <v>52</v>
      </c>
      <c r="H79" s="6" t="s">
        <v>386</v>
      </c>
      <c r="I79" s="3" t="s">
        <v>56</v>
      </c>
      <c r="J79" s="6" t="s">
        <v>387</v>
      </c>
      <c r="K79" s="3"/>
      <c r="L79" s="6"/>
      <c r="M79" s="3" t="s">
        <v>333</v>
      </c>
      <c r="N79" s="6" t="s">
        <v>388</v>
      </c>
      <c r="O79" s="3"/>
      <c r="P79" s="6"/>
      <c r="Q79" s="3" t="s">
        <v>56</v>
      </c>
      <c r="R79" s="6" t="s">
        <v>387</v>
      </c>
      <c r="S79" s="5">
        <f>40543.68</f>
        <v>40543.68</v>
      </c>
      <c r="T79" s="4">
        <f>29</f>
        <v>29</v>
      </c>
      <c r="U79" s="4"/>
      <c r="V79" s="4"/>
      <c r="W79" s="4">
        <f>58857000</f>
        <v>58857000</v>
      </c>
      <c r="X79" s="4"/>
      <c r="Y79" s="4"/>
      <c r="Z79" s="3"/>
      <c r="AA79" s="2">
        <f>177</f>
        <v>177</v>
      </c>
      <c r="AB79" s="2" t="str">
        <f t="shared" si="6"/>
        <v>－</v>
      </c>
      <c r="AC79" s="1">
        <f>12</f>
        <v>12</v>
      </c>
    </row>
    <row r="80" spans="1:29">
      <c r="A80" s="9" t="s">
        <v>46</v>
      </c>
      <c r="B80" s="8" t="s">
        <v>370</v>
      </c>
      <c r="C80" s="8" t="s">
        <v>371</v>
      </c>
      <c r="D80" s="8" t="s">
        <v>315</v>
      </c>
      <c r="E80" s="7" t="s">
        <v>389</v>
      </c>
      <c r="F80" s="7" t="s">
        <v>390</v>
      </c>
      <c r="G80" s="3" t="s">
        <v>52</v>
      </c>
      <c r="H80" s="6" t="s">
        <v>391</v>
      </c>
      <c r="I80" s="3" t="s">
        <v>56</v>
      </c>
      <c r="J80" s="6" t="s">
        <v>392</v>
      </c>
      <c r="K80" s="3"/>
      <c r="L80" s="6"/>
      <c r="M80" s="3" t="s">
        <v>52</v>
      </c>
      <c r="N80" s="6" t="s">
        <v>393</v>
      </c>
      <c r="O80" s="3"/>
      <c r="P80" s="6"/>
      <c r="Q80" s="3" t="s">
        <v>56</v>
      </c>
      <c r="R80" s="6" t="s">
        <v>392</v>
      </c>
      <c r="S80" s="5">
        <f>40456.84</f>
        <v>40456.839999999997</v>
      </c>
      <c r="T80" s="4">
        <f>58</f>
        <v>58</v>
      </c>
      <c r="U80" s="4"/>
      <c r="V80" s="4"/>
      <c r="W80" s="4">
        <f>117395000</f>
        <v>117395000</v>
      </c>
      <c r="X80" s="4"/>
      <c r="Y80" s="4"/>
      <c r="Z80" s="3"/>
      <c r="AA80" s="2">
        <f>322</f>
        <v>322</v>
      </c>
      <c r="AB80" s="2" t="str">
        <f t="shared" si="6"/>
        <v>－</v>
      </c>
      <c r="AC80" s="1">
        <f>14</f>
        <v>14</v>
      </c>
    </row>
    <row r="81" spans="1:29">
      <c r="A81" s="9" t="s">
        <v>46</v>
      </c>
      <c r="B81" s="8" t="s">
        <v>370</v>
      </c>
      <c r="C81" s="8" t="s">
        <v>371</v>
      </c>
      <c r="D81" s="8" t="s">
        <v>325</v>
      </c>
      <c r="E81" s="7" t="s">
        <v>394</v>
      </c>
      <c r="F81" s="7" t="s">
        <v>395</v>
      </c>
      <c r="G81" s="3" t="s">
        <v>52</v>
      </c>
      <c r="H81" s="6" t="s">
        <v>396</v>
      </c>
      <c r="I81" s="3" t="s">
        <v>56</v>
      </c>
      <c r="J81" s="6" t="s">
        <v>397</v>
      </c>
      <c r="K81" s="3"/>
      <c r="L81" s="6"/>
      <c r="M81" s="3" t="s">
        <v>52</v>
      </c>
      <c r="N81" s="6" t="s">
        <v>398</v>
      </c>
      <c r="O81" s="3"/>
      <c r="P81" s="6"/>
      <c r="Q81" s="3" t="s">
        <v>56</v>
      </c>
      <c r="R81" s="6" t="s">
        <v>397</v>
      </c>
      <c r="S81" s="5">
        <f>40213.68</f>
        <v>40213.68</v>
      </c>
      <c r="T81" s="4">
        <f>541</f>
        <v>541</v>
      </c>
      <c r="U81" s="4"/>
      <c r="V81" s="4">
        <v>35</v>
      </c>
      <c r="W81" s="4">
        <f>1085473000</f>
        <v>1085473000</v>
      </c>
      <c r="X81" s="4"/>
      <c r="Y81" s="4">
        <v>68959000</v>
      </c>
      <c r="Z81" s="3"/>
      <c r="AA81" s="2">
        <f>447</f>
        <v>447</v>
      </c>
      <c r="AB81" s="2" t="str">
        <f t="shared" si="6"/>
        <v>－</v>
      </c>
      <c r="AC81" s="1">
        <f>19</f>
        <v>19</v>
      </c>
    </row>
    <row r="82" spans="1:29">
      <c r="A82" s="9" t="s">
        <v>46</v>
      </c>
      <c r="B82" s="8" t="s">
        <v>370</v>
      </c>
      <c r="C82" s="8" t="s">
        <v>371</v>
      </c>
      <c r="D82" s="8" t="s">
        <v>337</v>
      </c>
      <c r="E82" s="7" t="s">
        <v>399</v>
      </c>
      <c r="F82" s="7" t="s">
        <v>400</v>
      </c>
      <c r="G82" s="3" t="s">
        <v>52</v>
      </c>
      <c r="H82" s="6" t="s">
        <v>401</v>
      </c>
      <c r="I82" s="3" t="s">
        <v>56</v>
      </c>
      <c r="J82" s="6" t="s">
        <v>402</v>
      </c>
      <c r="K82" s="3"/>
      <c r="L82" s="6"/>
      <c r="M82" s="3" t="s">
        <v>333</v>
      </c>
      <c r="N82" s="6" t="s">
        <v>403</v>
      </c>
      <c r="O82" s="3"/>
      <c r="P82" s="6"/>
      <c r="Q82" s="3" t="s">
        <v>56</v>
      </c>
      <c r="R82" s="6" t="s">
        <v>404</v>
      </c>
      <c r="S82" s="5">
        <f>40307.89</f>
        <v>40307.89</v>
      </c>
      <c r="T82" s="4">
        <f>1835</f>
        <v>1835</v>
      </c>
      <c r="U82" s="4"/>
      <c r="V82" s="4">
        <v>35</v>
      </c>
      <c r="W82" s="4">
        <f>3695408000</f>
        <v>3695408000</v>
      </c>
      <c r="X82" s="4"/>
      <c r="Y82" s="4">
        <v>69719000</v>
      </c>
      <c r="Z82" s="3"/>
      <c r="AA82" s="2">
        <f>480</f>
        <v>480</v>
      </c>
      <c r="AB82" s="2" t="str">
        <f t="shared" si="6"/>
        <v>－</v>
      </c>
      <c r="AC82" s="1">
        <f>19</f>
        <v>19</v>
      </c>
    </row>
    <row r="83" spans="1:29">
      <c r="A83" s="9" t="s">
        <v>46</v>
      </c>
      <c r="B83" s="8" t="s">
        <v>405</v>
      </c>
      <c r="C83" s="8" t="s">
        <v>406</v>
      </c>
      <c r="D83" s="8" t="s">
        <v>49</v>
      </c>
      <c r="E83" s="7" t="s">
        <v>372</v>
      </c>
      <c r="F83" s="7" t="s">
        <v>373</v>
      </c>
      <c r="G83" s="3"/>
      <c r="H83" s="6" t="s">
        <v>119</v>
      </c>
      <c r="I83" s="3"/>
      <c r="J83" s="6" t="s">
        <v>119</v>
      </c>
      <c r="K83" s="3"/>
      <c r="L83" s="6"/>
      <c r="M83" s="3"/>
      <c r="N83" s="6" t="s">
        <v>119</v>
      </c>
      <c r="O83" s="3"/>
      <c r="P83" s="6"/>
      <c r="Q83" s="3"/>
      <c r="R83" s="6" t="s">
        <v>119</v>
      </c>
      <c r="S83" s="5">
        <f>64000</f>
        <v>64000</v>
      </c>
      <c r="T83" s="4" t="str">
        <f t="shared" ref="T83:T95" si="7">"－"</f>
        <v>－</v>
      </c>
      <c r="U83" s="4"/>
      <c r="V83" s="4"/>
      <c r="W83" s="4" t="str">
        <f t="shared" ref="W83:W95" si="8">"－"</f>
        <v>－</v>
      </c>
      <c r="X83" s="4"/>
      <c r="Y83" s="4"/>
      <c r="Z83" s="3"/>
      <c r="AA83" s="2" t="str">
        <f t="shared" ref="AA83:AA95" si="9">"－"</f>
        <v>－</v>
      </c>
      <c r="AB83" s="2" t="str">
        <f t="shared" si="6"/>
        <v>－</v>
      </c>
      <c r="AC83" s="1" t="str">
        <f t="shared" ref="AC83:AC95" si="10">"－"</f>
        <v>－</v>
      </c>
    </row>
    <row r="84" spans="1:29">
      <c r="A84" s="9" t="s">
        <v>46</v>
      </c>
      <c r="B84" s="8" t="s">
        <v>405</v>
      </c>
      <c r="C84" s="8" t="s">
        <v>406</v>
      </c>
      <c r="D84" s="8" t="s">
        <v>59</v>
      </c>
      <c r="E84" s="7" t="s">
        <v>378</v>
      </c>
      <c r="F84" s="7" t="s">
        <v>379</v>
      </c>
      <c r="G84" s="3"/>
      <c r="H84" s="6" t="s">
        <v>119</v>
      </c>
      <c r="I84" s="3"/>
      <c r="J84" s="6" t="s">
        <v>119</v>
      </c>
      <c r="K84" s="3"/>
      <c r="L84" s="6"/>
      <c r="M84" s="3"/>
      <c r="N84" s="6" t="s">
        <v>119</v>
      </c>
      <c r="O84" s="3"/>
      <c r="P84" s="6"/>
      <c r="Q84" s="3"/>
      <c r="R84" s="6" t="s">
        <v>119</v>
      </c>
      <c r="S84" s="5">
        <f>64000</f>
        <v>64000</v>
      </c>
      <c r="T84" s="4" t="str">
        <f t="shared" si="7"/>
        <v>－</v>
      </c>
      <c r="U84" s="4"/>
      <c r="V84" s="4"/>
      <c r="W84" s="4" t="str">
        <f t="shared" si="8"/>
        <v>－</v>
      </c>
      <c r="X84" s="4"/>
      <c r="Y84" s="4"/>
      <c r="Z84" s="3"/>
      <c r="AA84" s="2" t="str">
        <f t="shared" si="9"/>
        <v>－</v>
      </c>
      <c r="AB84" s="2" t="str">
        <f t="shared" si="6"/>
        <v>－</v>
      </c>
      <c r="AC84" s="1" t="str">
        <f t="shared" si="10"/>
        <v>－</v>
      </c>
    </row>
    <row r="85" spans="1:29">
      <c r="A85" s="9" t="s">
        <v>46</v>
      </c>
      <c r="B85" s="8" t="s">
        <v>405</v>
      </c>
      <c r="C85" s="8" t="s">
        <v>406</v>
      </c>
      <c r="D85" s="8" t="s">
        <v>68</v>
      </c>
      <c r="E85" s="7" t="s">
        <v>384</v>
      </c>
      <c r="F85" s="7" t="s">
        <v>385</v>
      </c>
      <c r="G85" s="3"/>
      <c r="H85" s="6" t="s">
        <v>119</v>
      </c>
      <c r="I85" s="3"/>
      <c r="J85" s="6" t="s">
        <v>119</v>
      </c>
      <c r="K85" s="3"/>
      <c r="L85" s="6"/>
      <c r="M85" s="3"/>
      <c r="N85" s="6" t="s">
        <v>119</v>
      </c>
      <c r="O85" s="3"/>
      <c r="P85" s="6"/>
      <c r="Q85" s="3"/>
      <c r="R85" s="6" t="s">
        <v>119</v>
      </c>
      <c r="S85" s="5">
        <f>64000</f>
        <v>64000</v>
      </c>
      <c r="T85" s="4" t="str">
        <f t="shared" si="7"/>
        <v>－</v>
      </c>
      <c r="U85" s="4"/>
      <c r="V85" s="4"/>
      <c r="W85" s="4" t="str">
        <f t="shared" si="8"/>
        <v>－</v>
      </c>
      <c r="X85" s="4"/>
      <c r="Y85" s="4"/>
      <c r="Z85" s="3"/>
      <c r="AA85" s="2" t="str">
        <f t="shared" si="9"/>
        <v>－</v>
      </c>
      <c r="AB85" s="2" t="str">
        <f t="shared" si="6"/>
        <v>－</v>
      </c>
      <c r="AC85" s="1" t="str">
        <f t="shared" si="10"/>
        <v>－</v>
      </c>
    </row>
    <row r="86" spans="1:29">
      <c r="A86" s="9" t="s">
        <v>46</v>
      </c>
      <c r="B86" s="8" t="s">
        <v>405</v>
      </c>
      <c r="C86" s="8" t="s">
        <v>406</v>
      </c>
      <c r="D86" s="8" t="s">
        <v>74</v>
      </c>
      <c r="E86" s="7" t="s">
        <v>389</v>
      </c>
      <c r="F86" s="7" t="s">
        <v>390</v>
      </c>
      <c r="G86" s="3"/>
      <c r="H86" s="6" t="s">
        <v>119</v>
      </c>
      <c r="I86" s="3"/>
      <c r="J86" s="6" t="s">
        <v>119</v>
      </c>
      <c r="K86" s="3"/>
      <c r="L86" s="6"/>
      <c r="M86" s="3"/>
      <c r="N86" s="6" t="s">
        <v>119</v>
      </c>
      <c r="O86" s="3"/>
      <c r="P86" s="6"/>
      <c r="Q86" s="3"/>
      <c r="R86" s="6" t="s">
        <v>119</v>
      </c>
      <c r="S86" s="5">
        <f>64000</f>
        <v>64000</v>
      </c>
      <c r="T86" s="4" t="str">
        <f t="shared" si="7"/>
        <v>－</v>
      </c>
      <c r="U86" s="4"/>
      <c r="V86" s="4"/>
      <c r="W86" s="4" t="str">
        <f t="shared" si="8"/>
        <v>－</v>
      </c>
      <c r="X86" s="4"/>
      <c r="Y86" s="4"/>
      <c r="Z86" s="3"/>
      <c r="AA86" s="2" t="str">
        <f t="shared" si="9"/>
        <v>－</v>
      </c>
      <c r="AB86" s="2" t="str">
        <f t="shared" si="6"/>
        <v>－</v>
      </c>
      <c r="AC86" s="1" t="str">
        <f t="shared" si="10"/>
        <v>－</v>
      </c>
    </row>
    <row r="87" spans="1:29">
      <c r="A87" s="9" t="s">
        <v>46</v>
      </c>
      <c r="B87" s="8" t="s">
        <v>405</v>
      </c>
      <c r="C87" s="8" t="s">
        <v>406</v>
      </c>
      <c r="D87" s="8" t="s">
        <v>81</v>
      </c>
      <c r="E87" s="7" t="s">
        <v>394</v>
      </c>
      <c r="F87" s="7" t="s">
        <v>395</v>
      </c>
      <c r="G87" s="3"/>
      <c r="H87" s="6" t="s">
        <v>119</v>
      </c>
      <c r="I87" s="3"/>
      <c r="J87" s="6" t="s">
        <v>119</v>
      </c>
      <c r="K87" s="3"/>
      <c r="L87" s="6"/>
      <c r="M87" s="3"/>
      <c r="N87" s="6" t="s">
        <v>119</v>
      </c>
      <c r="O87" s="3"/>
      <c r="P87" s="6"/>
      <c r="Q87" s="3"/>
      <c r="R87" s="6" t="s">
        <v>119</v>
      </c>
      <c r="S87" s="5">
        <f>64000</f>
        <v>64000</v>
      </c>
      <c r="T87" s="4" t="str">
        <f t="shared" si="7"/>
        <v>－</v>
      </c>
      <c r="U87" s="4"/>
      <c r="V87" s="4"/>
      <c r="W87" s="4" t="str">
        <f t="shared" si="8"/>
        <v>－</v>
      </c>
      <c r="X87" s="4"/>
      <c r="Y87" s="4"/>
      <c r="Z87" s="3"/>
      <c r="AA87" s="2" t="str">
        <f t="shared" si="9"/>
        <v>－</v>
      </c>
      <c r="AB87" s="2" t="str">
        <f t="shared" si="6"/>
        <v>－</v>
      </c>
      <c r="AC87" s="1" t="str">
        <f t="shared" si="10"/>
        <v>－</v>
      </c>
    </row>
    <row r="88" spans="1:29">
      <c r="A88" s="9" t="s">
        <v>46</v>
      </c>
      <c r="B88" s="8" t="s">
        <v>405</v>
      </c>
      <c r="C88" s="8" t="s">
        <v>406</v>
      </c>
      <c r="D88" s="8" t="s">
        <v>86</v>
      </c>
      <c r="E88" s="7" t="s">
        <v>399</v>
      </c>
      <c r="F88" s="7" t="s">
        <v>400</v>
      </c>
      <c r="G88" s="3"/>
      <c r="H88" s="6" t="s">
        <v>119</v>
      </c>
      <c r="I88" s="3"/>
      <c r="J88" s="6" t="s">
        <v>119</v>
      </c>
      <c r="K88" s="3"/>
      <c r="L88" s="6"/>
      <c r="M88" s="3"/>
      <c r="N88" s="6" t="s">
        <v>119</v>
      </c>
      <c r="O88" s="3"/>
      <c r="P88" s="6"/>
      <c r="Q88" s="3"/>
      <c r="R88" s="6" t="s">
        <v>119</v>
      </c>
      <c r="S88" s="5">
        <f>64000</f>
        <v>64000</v>
      </c>
      <c r="T88" s="4" t="str">
        <f t="shared" si="7"/>
        <v>－</v>
      </c>
      <c r="U88" s="4"/>
      <c r="V88" s="4"/>
      <c r="W88" s="4" t="str">
        <f t="shared" si="8"/>
        <v>－</v>
      </c>
      <c r="X88" s="4"/>
      <c r="Y88" s="4"/>
      <c r="Z88" s="3"/>
      <c r="AA88" s="2" t="str">
        <f t="shared" si="9"/>
        <v>－</v>
      </c>
      <c r="AB88" s="2" t="str">
        <f t="shared" si="6"/>
        <v>－</v>
      </c>
      <c r="AC88" s="1" t="str">
        <f t="shared" si="10"/>
        <v>－</v>
      </c>
    </row>
    <row r="89" spans="1:29">
      <c r="A89" s="9" t="s">
        <v>46</v>
      </c>
      <c r="B89" s="8" t="s">
        <v>407</v>
      </c>
      <c r="C89" s="8" t="s">
        <v>408</v>
      </c>
      <c r="D89" s="8" t="s">
        <v>46</v>
      </c>
      <c r="E89" s="7" t="s">
        <v>409</v>
      </c>
      <c r="F89" s="7" t="s">
        <v>338</v>
      </c>
      <c r="G89" s="3"/>
      <c r="H89" s="6" t="s">
        <v>119</v>
      </c>
      <c r="I89" s="3"/>
      <c r="J89" s="6" t="s">
        <v>119</v>
      </c>
      <c r="K89" s="3"/>
      <c r="L89" s="6"/>
      <c r="M89" s="3"/>
      <c r="N89" s="6" t="s">
        <v>119</v>
      </c>
      <c r="O89" s="3"/>
      <c r="P89" s="6"/>
      <c r="Q89" s="3"/>
      <c r="R89" s="6" t="s">
        <v>119</v>
      </c>
      <c r="S89" s="5">
        <f>12300</f>
        <v>12300</v>
      </c>
      <c r="T89" s="4" t="str">
        <f t="shared" si="7"/>
        <v>－</v>
      </c>
      <c r="U89" s="4"/>
      <c r="V89" s="4"/>
      <c r="W89" s="4" t="str">
        <f t="shared" si="8"/>
        <v>－</v>
      </c>
      <c r="X89" s="4"/>
      <c r="Y89" s="4"/>
      <c r="Z89" s="3" t="s">
        <v>231</v>
      </c>
      <c r="AA89" s="2" t="str">
        <f t="shared" si="9"/>
        <v>－</v>
      </c>
      <c r="AB89" s="2" t="str">
        <f t="shared" si="6"/>
        <v>－</v>
      </c>
      <c r="AC89" s="1" t="str">
        <f t="shared" si="10"/>
        <v>－</v>
      </c>
    </row>
    <row r="90" spans="1:29">
      <c r="A90" s="9" t="s">
        <v>46</v>
      </c>
      <c r="B90" s="8" t="s">
        <v>407</v>
      </c>
      <c r="C90" s="8" t="s">
        <v>408</v>
      </c>
      <c r="D90" s="8" t="s">
        <v>49</v>
      </c>
      <c r="E90" s="7" t="s">
        <v>75</v>
      </c>
      <c r="F90" s="7" t="s">
        <v>51</v>
      </c>
      <c r="G90" s="3"/>
      <c r="H90" s="6" t="s">
        <v>119</v>
      </c>
      <c r="I90" s="3"/>
      <c r="J90" s="6" t="s">
        <v>119</v>
      </c>
      <c r="K90" s="3"/>
      <c r="L90" s="6"/>
      <c r="M90" s="3"/>
      <c r="N90" s="6" t="s">
        <v>119</v>
      </c>
      <c r="O90" s="3"/>
      <c r="P90" s="6"/>
      <c r="Q90" s="3"/>
      <c r="R90" s="6" t="s">
        <v>119</v>
      </c>
      <c r="S90" s="5">
        <f>12300</f>
        <v>12300</v>
      </c>
      <c r="T90" s="4" t="str">
        <f t="shared" si="7"/>
        <v>－</v>
      </c>
      <c r="U90" s="4"/>
      <c r="V90" s="4"/>
      <c r="W90" s="4" t="str">
        <f t="shared" si="8"/>
        <v>－</v>
      </c>
      <c r="X90" s="4"/>
      <c r="Y90" s="4"/>
      <c r="Z90" s="3"/>
      <c r="AA90" s="2" t="str">
        <f t="shared" si="9"/>
        <v>－</v>
      </c>
      <c r="AB90" s="2" t="str">
        <f t="shared" si="6"/>
        <v>－</v>
      </c>
      <c r="AC90" s="1" t="str">
        <f t="shared" si="10"/>
        <v>－</v>
      </c>
    </row>
    <row r="91" spans="1:29">
      <c r="A91" s="9" t="s">
        <v>46</v>
      </c>
      <c r="B91" s="8" t="s">
        <v>407</v>
      </c>
      <c r="C91" s="8" t="s">
        <v>408</v>
      </c>
      <c r="D91" s="8" t="s">
        <v>237</v>
      </c>
      <c r="E91" s="7" t="s">
        <v>410</v>
      </c>
      <c r="F91" s="7" t="s">
        <v>411</v>
      </c>
      <c r="G91" s="3"/>
      <c r="H91" s="6" t="s">
        <v>119</v>
      </c>
      <c r="I91" s="3"/>
      <c r="J91" s="6" t="s">
        <v>119</v>
      </c>
      <c r="K91" s="3"/>
      <c r="L91" s="6"/>
      <c r="M91" s="3"/>
      <c r="N91" s="6" t="s">
        <v>119</v>
      </c>
      <c r="O91" s="3"/>
      <c r="P91" s="6"/>
      <c r="Q91" s="3"/>
      <c r="R91" s="6" t="s">
        <v>119</v>
      </c>
      <c r="S91" s="5">
        <f>12300</f>
        <v>12300</v>
      </c>
      <c r="T91" s="4" t="str">
        <f t="shared" si="7"/>
        <v>－</v>
      </c>
      <c r="U91" s="4"/>
      <c r="V91" s="4"/>
      <c r="W91" s="4" t="str">
        <f t="shared" si="8"/>
        <v>－</v>
      </c>
      <c r="X91" s="4"/>
      <c r="Y91" s="4"/>
      <c r="Z91" s="3"/>
      <c r="AA91" s="2" t="str">
        <f t="shared" si="9"/>
        <v>－</v>
      </c>
      <c r="AB91" s="2" t="str">
        <f t="shared" si="6"/>
        <v>－</v>
      </c>
      <c r="AC91" s="1" t="str">
        <f t="shared" si="10"/>
        <v>－</v>
      </c>
    </row>
    <row r="92" spans="1:29">
      <c r="A92" s="9" t="s">
        <v>46</v>
      </c>
      <c r="B92" s="8" t="s">
        <v>407</v>
      </c>
      <c r="C92" s="8" t="s">
        <v>408</v>
      </c>
      <c r="D92" s="8" t="s">
        <v>59</v>
      </c>
      <c r="E92" s="7" t="s">
        <v>82</v>
      </c>
      <c r="F92" s="7" t="s">
        <v>61</v>
      </c>
      <c r="G92" s="3"/>
      <c r="H92" s="6" t="s">
        <v>119</v>
      </c>
      <c r="I92" s="3"/>
      <c r="J92" s="6" t="s">
        <v>119</v>
      </c>
      <c r="K92" s="3"/>
      <c r="L92" s="6"/>
      <c r="M92" s="3"/>
      <c r="N92" s="6" t="s">
        <v>119</v>
      </c>
      <c r="O92" s="3"/>
      <c r="P92" s="6"/>
      <c r="Q92" s="3"/>
      <c r="R92" s="6" t="s">
        <v>119</v>
      </c>
      <c r="S92" s="5">
        <f>12300</f>
        <v>12300</v>
      </c>
      <c r="T92" s="4" t="str">
        <f t="shared" si="7"/>
        <v>－</v>
      </c>
      <c r="U92" s="4"/>
      <c r="V92" s="4"/>
      <c r="W92" s="4" t="str">
        <f t="shared" si="8"/>
        <v>－</v>
      </c>
      <c r="X92" s="4"/>
      <c r="Y92" s="4"/>
      <c r="Z92" s="3"/>
      <c r="AA92" s="2" t="str">
        <f t="shared" si="9"/>
        <v>－</v>
      </c>
      <c r="AB92" s="2" t="str">
        <f t="shared" si="6"/>
        <v>－</v>
      </c>
      <c r="AC92" s="1" t="str">
        <f t="shared" si="10"/>
        <v>－</v>
      </c>
    </row>
    <row r="93" spans="1:29">
      <c r="A93" s="9" t="s">
        <v>46</v>
      </c>
      <c r="B93" s="8" t="s">
        <v>407</v>
      </c>
      <c r="C93" s="8" t="s">
        <v>408</v>
      </c>
      <c r="D93" s="8" t="s">
        <v>247</v>
      </c>
      <c r="E93" s="7" t="s">
        <v>412</v>
      </c>
      <c r="F93" s="7" t="s">
        <v>413</v>
      </c>
      <c r="G93" s="3"/>
      <c r="H93" s="6" t="s">
        <v>119</v>
      </c>
      <c r="I93" s="3"/>
      <c r="J93" s="6" t="s">
        <v>119</v>
      </c>
      <c r="K93" s="3"/>
      <c r="L93" s="6"/>
      <c r="M93" s="3"/>
      <c r="N93" s="6" t="s">
        <v>119</v>
      </c>
      <c r="O93" s="3"/>
      <c r="P93" s="6"/>
      <c r="Q93" s="3"/>
      <c r="R93" s="6" t="s">
        <v>119</v>
      </c>
      <c r="S93" s="5">
        <f>12300</f>
        <v>12300</v>
      </c>
      <c r="T93" s="4" t="str">
        <f t="shared" si="7"/>
        <v>－</v>
      </c>
      <c r="U93" s="4"/>
      <c r="V93" s="4"/>
      <c r="W93" s="4" t="str">
        <f t="shared" si="8"/>
        <v>－</v>
      </c>
      <c r="X93" s="4"/>
      <c r="Y93" s="4"/>
      <c r="Z93" s="3"/>
      <c r="AA93" s="2" t="str">
        <f t="shared" si="9"/>
        <v>－</v>
      </c>
      <c r="AB93" s="2" t="str">
        <f t="shared" si="6"/>
        <v>－</v>
      </c>
      <c r="AC93" s="1" t="str">
        <f t="shared" si="10"/>
        <v>－</v>
      </c>
    </row>
    <row r="94" spans="1:29">
      <c r="A94" s="9" t="s">
        <v>46</v>
      </c>
      <c r="B94" s="8" t="s">
        <v>407</v>
      </c>
      <c r="C94" s="8" t="s">
        <v>408</v>
      </c>
      <c r="D94" s="8" t="s">
        <v>68</v>
      </c>
      <c r="E94" s="7" t="s">
        <v>331</v>
      </c>
      <c r="F94" s="7" t="s">
        <v>70</v>
      </c>
      <c r="G94" s="3"/>
      <c r="H94" s="6" t="s">
        <v>119</v>
      </c>
      <c r="I94" s="3"/>
      <c r="J94" s="6" t="s">
        <v>119</v>
      </c>
      <c r="K94" s="3"/>
      <c r="L94" s="6"/>
      <c r="M94" s="3"/>
      <c r="N94" s="6" t="s">
        <v>119</v>
      </c>
      <c r="O94" s="3"/>
      <c r="P94" s="6"/>
      <c r="Q94" s="3"/>
      <c r="R94" s="6" t="s">
        <v>119</v>
      </c>
      <c r="S94" s="5">
        <f>12300</f>
        <v>12300</v>
      </c>
      <c r="T94" s="4" t="str">
        <f t="shared" si="7"/>
        <v>－</v>
      </c>
      <c r="U94" s="4"/>
      <c r="V94" s="4"/>
      <c r="W94" s="4" t="str">
        <f t="shared" si="8"/>
        <v>－</v>
      </c>
      <c r="X94" s="4"/>
      <c r="Y94" s="4"/>
      <c r="Z94" s="3"/>
      <c r="AA94" s="2" t="str">
        <f t="shared" si="9"/>
        <v>－</v>
      </c>
      <c r="AB94" s="2" t="str">
        <f t="shared" si="6"/>
        <v>－</v>
      </c>
      <c r="AC94" s="1" t="str">
        <f t="shared" si="10"/>
        <v>－</v>
      </c>
    </row>
    <row r="95" spans="1:29">
      <c r="A95" s="9" t="s">
        <v>46</v>
      </c>
      <c r="B95" s="8" t="s">
        <v>407</v>
      </c>
      <c r="C95" s="8" t="s">
        <v>408</v>
      </c>
      <c r="D95" s="8" t="s">
        <v>260</v>
      </c>
      <c r="E95" s="7" t="s">
        <v>414</v>
      </c>
      <c r="F95" s="7" t="s">
        <v>415</v>
      </c>
      <c r="G95" s="3"/>
      <c r="H95" s="6" t="s">
        <v>119</v>
      </c>
      <c r="I95" s="3"/>
      <c r="J95" s="6" t="s">
        <v>119</v>
      </c>
      <c r="K95" s="3"/>
      <c r="L95" s="6"/>
      <c r="M95" s="3"/>
      <c r="N95" s="6" t="s">
        <v>119</v>
      </c>
      <c r="O95" s="3"/>
      <c r="P95" s="6"/>
      <c r="Q95" s="3"/>
      <c r="R95" s="6" t="s">
        <v>119</v>
      </c>
      <c r="S95" s="5">
        <f>12300</f>
        <v>12300</v>
      </c>
      <c r="T95" s="4" t="str">
        <f t="shared" si="7"/>
        <v>－</v>
      </c>
      <c r="U95" s="4"/>
      <c r="V95" s="4"/>
      <c r="W95" s="4" t="str">
        <f t="shared" si="8"/>
        <v>－</v>
      </c>
      <c r="X95" s="4"/>
      <c r="Y95" s="4"/>
      <c r="Z95" s="3"/>
      <c r="AA95" s="2" t="str">
        <f t="shared" si="9"/>
        <v>－</v>
      </c>
      <c r="AB95" s="2" t="str">
        <f t="shared" si="6"/>
        <v>－</v>
      </c>
      <c r="AC95" s="1" t="str">
        <f t="shared" si="10"/>
        <v>－</v>
      </c>
    </row>
  </sheetData>
  <mergeCells count="32">
    <mergeCell ref="Z6:AA6"/>
    <mergeCell ref="V4:V5"/>
    <mergeCell ref="Y4:Y5"/>
    <mergeCell ref="G3:R3"/>
    <mergeCell ref="X4:X5"/>
    <mergeCell ref="A3:A5"/>
    <mergeCell ref="B3:B6"/>
    <mergeCell ref="C3:C6"/>
    <mergeCell ref="D3:D5"/>
    <mergeCell ref="E3:F5"/>
    <mergeCell ref="E6:F6"/>
    <mergeCell ref="S3:S5"/>
    <mergeCell ref="Z3:AA5"/>
    <mergeCell ref="AB3:AB5"/>
    <mergeCell ref="T3:V3"/>
    <mergeCell ref="W3:Y3"/>
    <mergeCell ref="A1:J1"/>
    <mergeCell ref="A2:C2"/>
    <mergeCell ref="AC3:AC5"/>
    <mergeCell ref="G4:G5"/>
    <mergeCell ref="H4:H5"/>
    <mergeCell ref="K4:L4"/>
    <mergeCell ref="M4:M5"/>
    <mergeCell ref="W4:W5"/>
    <mergeCell ref="I4:I5"/>
    <mergeCell ref="J4:J5"/>
    <mergeCell ref="N4:N5"/>
    <mergeCell ref="O4:P4"/>
    <mergeCell ref="Q4:Q5"/>
    <mergeCell ref="R4:R5"/>
    <mergeCell ref="T4:T5"/>
    <mergeCell ref="U4:U5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5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D13B9-B35D-4CDE-ACA4-C28A8B0A06EB}">
  <sheetPr>
    <pageSetUpPr fitToPage="1"/>
  </sheetPr>
  <dimension ref="A1:AD120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24" customWidth="1"/>
    <col min="2" max="2" width="25.75" style="124" bestFit="1" customWidth="1"/>
    <col min="3" max="3" width="34.5" style="124" bestFit="1" customWidth="1"/>
    <col min="4" max="4" width="10.25" style="124" bestFit="1" customWidth="1"/>
    <col min="5" max="5" width="10.25" style="124" customWidth="1"/>
    <col min="6" max="6" width="10.25" style="124" bestFit="1" customWidth="1"/>
    <col min="7" max="7" width="10.25" style="124" customWidth="1"/>
    <col min="8" max="8" width="5.25" style="124" customWidth="1"/>
    <col min="9" max="9" width="15.25" style="124" customWidth="1"/>
    <col min="10" max="10" width="5.25" style="124" customWidth="1"/>
    <col min="11" max="11" width="15.25" style="124" customWidth="1"/>
    <col min="12" max="12" width="5.25" style="124" customWidth="1"/>
    <col min="13" max="13" width="15.25" style="124" customWidth="1"/>
    <col min="14" max="14" width="5.25" style="124" customWidth="1"/>
    <col min="15" max="15" width="15.25" style="124" customWidth="1"/>
    <col min="16" max="16" width="5.25" style="124" customWidth="1"/>
    <col min="17" max="17" width="15.25" style="124" customWidth="1"/>
    <col min="18" max="18" width="5.25" style="124" customWidth="1"/>
    <col min="19" max="20" width="15.25" style="124" customWidth="1"/>
    <col min="21" max="23" width="15" style="124" customWidth="1"/>
    <col min="24" max="26" width="21.25" style="124" customWidth="1"/>
    <col min="27" max="27" width="2.375" style="124" bestFit="1" customWidth="1"/>
    <col min="28" max="28" width="15.25" style="124" customWidth="1"/>
    <col min="29" max="29" width="17.625" style="124" customWidth="1"/>
    <col min="30" max="30" width="7" style="124" bestFit="1" customWidth="1"/>
    <col min="31" max="16384" width="9" style="67"/>
  </cols>
  <sheetData>
    <row r="1" spans="1:30" ht="30" customHeight="1">
      <c r="A1" s="61" t="s">
        <v>26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  <c r="M1" s="63"/>
      <c r="N1" s="63"/>
      <c r="O1" s="63"/>
      <c r="P1" s="63"/>
      <c r="Q1" s="63"/>
      <c r="R1" s="63"/>
      <c r="S1" s="63"/>
      <c r="T1" s="63"/>
      <c r="U1" s="63"/>
      <c r="V1" s="64"/>
      <c r="W1" s="64"/>
      <c r="X1" s="64"/>
      <c r="Y1" s="65"/>
      <c r="Z1" s="65"/>
      <c r="AA1" s="65"/>
      <c r="AB1" s="65"/>
      <c r="AC1" s="65"/>
      <c r="AD1" s="66"/>
    </row>
    <row r="2" spans="1:30" ht="30" customHeight="1">
      <c r="A2" s="68" t="s">
        <v>27</v>
      </c>
      <c r="B2" s="69"/>
      <c r="C2" s="69"/>
      <c r="D2" s="70"/>
      <c r="E2" s="71"/>
      <c r="F2" s="72"/>
      <c r="G2" s="71"/>
      <c r="H2" s="71"/>
      <c r="I2" s="71"/>
      <c r="J2" s="73"/>
      <c r="K2" s="73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2"/>
      <c r="Y2" s="75"/>
      <c r="Z2" s="76" t="s">
        <v>416</v>
      </c>
      <c r="AA2" s="77">
        <f>DATE(LEFT(A7,4),RIGHT(A7,2)+1,1)-1</f>
        <v>44592</v>
      </c>
      <c r="AB2" s="77"/>
      <c r="AC2" s="78"/>
      <c r="AD2" s="79" t="s">
        <v>417</v>
      </c>
    </row>
    <row r="3" spans="1:30" ht="14.1" customHeight="1">
      <c r="A3" s="80" t="s">
        <v>0</v>
      </c>
      <c r="B3" s="81" t="s">
        <v>7</v>
      </c>
      <c r="C3" s="81" t="s">
        <v>25</v>
      </c>
      <c r="D3" s="82" t="s">
        <v>1</v>
      </c>
      <c r="E3" s="83" t="s">
        <v>5</v>
      </c>
      <c r="F3" s="84"/>
      <c r="G3" s="82" t="s">
        <v>418</v>
      </c>
      <c r="H3" s="85" t="s">
        <v>24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2" t="s">
        <v>419</v>
      </c>
      <c r="U3" s="87" t="s">
        <v>23</v>
      </c>
      <c r="V3" s="88"/>
      <c r="W3" s="89"/>
      <c r="X3" s="87" t="s">
        <v>22</v>
      </c>
      <c r="Y3" s="88"/>
      <c r="Z3" s="89"/>
      <c r="AA3" s="90" t="s">
        <v>420</v>
      </c>
      <c r="AB3" s="91"/>
      <c r="AC3" s="81" t="s">
        <v>28</v>
      </c>
      <c r="AD3" s="92" t="s">
        <v>421</v>
      </c>
    </row>
    <row r="4" spans="1:30" ht="9" customHeight="1">
      <c r="A4" s="93"/>
      <c r="B4" s="94"/>
      <c r="C4" s="94"/>
      <c r="D4" s="95"/>
      <c r="E4" s="90"/>
      <c r="F4" s="91"/>
      <c r="G4" s="95"/>
      <c r="H4" s="96" t="s">
        <v>6</v>
      </c>
      <c r="I4" s="97" t="s">
        <v>422</v>
      </c>
      <c r="J4" s="96" t="s">
        <v>6</v>
      </c>
      <c r="K4" s="98" t="s">
        <v>423</v>
      </c>
      <c r="L4" s="99" t="s">
        <v>2</v>
      </c>
      <c r="M4" s="99"/>
      <c r="N4" s="96" t="s">
        <v>6</v>
      </c>
      <c r="O4" s="98" t="s">
        <v>424</v>
      </c>
      <c r="P4" s="99" t="s">
        <v>2</v>
      </c>
      <c r="Q4" s="99"/>
      <c r="R4" s="96" t="s">
        <v>6</v>
      </c>
      <c r="S4" s="97" t="s">
        <v>425</v>
      </c>
      <c r="T4" s="95"/>
      <c r="U4" s="82" t="s">
        <v>3</v>
      </c>
      <c r="V4" s="95" t="s">
        <v>426</v>
      </c>
      <c r="W4" s="95" t="s">
        <v>30</v>
      </c>
      <c r="X4" s="82" t="s">
        <v>3</v>
      </c>
      <c r="Y4" s="95" t="s">
        <v>427</v>
      </c>
      <c r="Z4" s="95" t="s">
        <v>32</v>
      </c>
      <c r="AA4" s="90"/>
      <c r="AB4" s="91"/>
      <c r="AC4" s="94"/>
      <c r="AD4" s="100"/>
    </row>
    <row r="5" spans="1:30" ht="27" customHeight="1">
      <c r="A5" s="93"/>
      <c r="B5" s="94"/>
      <c r="C5" s="94"/>
      <c r="D5" s="95"/>
      <c r="E5" s="101"/>
      <c r="F5" s="102"/>
      <c r="G5" s="95"/>
      <c r="H5" s="103"/>
      <c r="I5" s="102"/>
      <c r="J5" s="103"/>
      <c r="K5" s="104"/>
      <c r="L5" s="105" t="s">
        <v>17</v>
      </c>
      <c r="M5" s="106" t="s">
        <v>428</v>
      </c>
      <c r="N5" s="103"/>
      <c r="O5" s="104"/>
      <c r="P5" s="105" t="s">
        <v>17</v>
      </c>
      <c r="Q5" s="106" t="s">
        <v>428</v>
      </c>
      <c r="R5" s="103"/>
      <c r="S5" s="102"/>
      <c r="T5" s="95"/>
      <c r="U5" s="82"/>
      <c r="V5" s="95"/>
      <c r="W5" s="95"/>
      <c r="X5" s="82"/>
      <c r="Y5" s="95"/>
      <c r="Z5" s="95"/>
      <c r="AA5" s="90"/>
      <c r="AB5" s="102"/>
      <c r="AC5" s="82"/>
      <c r="AD5" s="100"/>
    </row>
    <row r="6" spans="1:30" ht="36" customHeight="1">
      <c r="A6" s="107" t="s">
        <v>16</v>
      </c>
      <c r="B6" s="82"/>
      <c r="C6" s="82"/>
      <c r="D6" s="108" t="s">
        <v>4</v>
      </c>
      <c r="E6" s="109" t="s">
        <v>15</v>
      </c>
      <c r="F6" s="110"/>
      <c r="G6" s="108" t="s">
        <v>429</v>
      </c>
      <c r="H6" s="105" t="s">
        <v>14</v>
      </c>
      <c r="I6" s="111" t="s">
        <v>430</v>
      </c>
      <c r="J6" s="105" t="s">
        <v>14</v>
      </c>
      <c r="K6" s="106" t="s">
        <v>431</v>
      </c>
      <c r="L6" s="105" t="s">
        <v>14</v>
      </c>
      <c r="M6" s="106" t="s">
        <v>432</v>
      </c>
      <c r="N6" s="105" t="s">
        <v>14</v>
      </c>
      <c r="O6" s="106" t="s">
        <v>433</v>
      </c>
      <c r="P6" s="105" t="s">
        <v>14</v>
      </c>
      <c r="Q6" s="106" t="s">
        <v>432</v>
      </c>
      <c r="R6" s="105" t="s">
        <v>14</v>
      </c>
      <c r="S6" s="106" t="s">
        <v>434</v>
      </c>
      <c r="T6" s="108" t="s">
        <v>435</v>
      </c>
      <c r="U6" s="108" t="s">
        <v>13</v>
      </c>
      <c r="V6" s="108" t="s">
        <v>436</v>
      </c>
      <c r="W6" s="108" t="s">
        <v>31</v>
      </c>
      <c r="X6" s="108" t="s">
        <v>11</v>
      </c>
      <c r="Y6" s="108" t="s">
        <v>432</v>
      </c>
      <c r="Z6" s="108" t="s">
        <v>33</v>
      </c>
      <c r="AA6" s="109" t="s">
        <v>9</v>
      </c>
      <c r="AB6" s="110"/>
      <c r="AC6" s="106" t="s">
        <v>29</v>
      </c>
      <c r="AD6" s="112" t="s">
        <v>8</v>
      </c>
    </row>
    <row r="7" spans="1:30">
      <c r="A7" s="113" t="s">
        <v>46</v>
      </c>
      <c r="B7" s="114" t="s">
        <v>437</v>
      </c>
      <c r="C7" s="114" t="s">
        <v>438</v>
      </c>
      <c r="D7" s="114" t="s">
        <v>49</v>
      </c>
      <c r="E7" s="115" t="s">
        <v>439</v>
      </c>
      <c r="F7" s="115" t="s">
        <v>270</v>
      </c>
      <c r="G7" s="116">
        <v>50</v>
      </c>
      <c r="H7" s="117" t="s">
        <v>235</v>
      </c>
      <c r="I7" s="118" t="s">
        <v>440</v>
      </c>
      <c r="J7" s="117" t="s">
        <v>251</v>
      </c>
      <c r="K7" s="118" t="s">
        <v>441</v>
      </c>
      <c r="L7" s="117" t="s">
        <v>273</v>
      </c>
      <c r="M7" s="118" t="s">
        <v>442</v>
      </c>
      <c r="N7" s="117" t="s">
        <v>54</v>
      </c>
      <c r="O7" s="118" t="s">
        <v>443</v>
      </c>
      <c r="P7" s="117" t="s">
        <v>251</v>
      </c>
      <c r="Q7" s="118" t="s">
        <v>444</v>
      </c>
      <c r="R7" s="117" t="s">
        <v>273</v>
      </c>
      <c r="S7" s="118" t="s">
        <v>445</v>
      </c>
      <c r="T7" s="119">
        <f>72946.67</f>
        <v>72946.67</v>
      </c>
      <c r="U7" s="120">
        <f>122</f>
        <v>122</v>
      </c>
      <c r="V7" s="120">
        <v>95</v>
      </c>
      <c r="W7" s="120"/>
      <c r="X7" s="120">
        <f>455008000</f>
        <v>455008000</v>
      </c>
      <c r="Y7" s="120">
        <v>356455000</v>
      </c>
      <c r="Z7" s="121"/>
      <c r="AA7" s="117" t="s">
        <v>231</v>
      </c>
      <c r="AB7" s="122">
        <f>112</f>
        <v>112</v>
      </c>
      <c r="AC7" s="122" t="str">
        <f t="shared" ref="AC7:AD38" si="0">"－"</f>
        <v>－</v>
      </c>
      <c r="AD7" s="123">
        <f>10</f>
        <v>10</v>
      </c>
    </row>
    <row r="8" spans="1:30">
      <c r="A8" s="113" t="s">
        <v>46</v>
      </c>
      <c r="B8" s="114" t="s">
        <v>437</v>
      </c>
      <c r="C8" s="114" t="s">
        <v>438</v>
      </c>
      <c r="D8" s="114" t="s">
        <v>237</v>
      </c>
      <c r="E8" s="115" t="s">
        <v>277</v>
      </c>
      <c r="F8" s="115" t="s">
        <v>446</v>
      </c>
      <c r="G8" s="116">
        <v>50</v>
      </c>
      <c r="H8" s="117" t="s">
        <v>52</v>
      </c>
      <c r="I8" s="118" t="s">
        <v>447</v>
      </c>
      <c r="J8" s="117" t="s">
        <v>56</v>
      </c>
      <c r="K8" s="118" t="s">
        <v>448</v>
      </c>
      <c r="L8" s="117" t="s">
        <v>52</v>
      </c>
      <c r="M8" s="118" t="s">
        <v>449</v>
      </c>
      <c r="N8" s="117" t="s">
        <v>52</v>
      </c>
      <c r="O8" s="118" t="s">
        <v>447</v>
      </c>
      <c r="P8" s="117" t="s">
        <v>52</v>
      </c>
      <c r="Q8" s="118" t="s">
        <v>449</v>
      </c>
      <c r="R8" s="117" t="s">
        <v>56</v>
      </c>
      <c r="S8" s="118" t="s">
        <v>448</v>
      </c>
      <c r="T8" s="119">
        <f>73369.47</f>
        <v>73369.47</v>
      </c>
      <c r="U8" s="120">
        <f>52</f>
        <v>52</v>
      </c>
      <c r="V8" s="120">
        <v>1</v>
      </c>
      <c r="W8" s="120">
        <v>1</v>
      </c>
      <c r="X8" s="120">
        <f>189361000</f>
        <v>189361000</v>
      </c>
      <c r="Y8" s="120">
        <v>3533000</v>
      </c>
      <c r="Z8" s="121">
        <v>3593000</v>
      </c>
      <c r="AA8" s="117"/>
      <c r="AB8" s="122">
        <f>185</f>
        <v>185</v>
      </c>
      <c r="AC8" s="122" t="str">
        <f t="shared" si="0"/>
        <v>－</v>
      </c>
      <c r="AD8" s="123">
        <f>13</f>
        <v>13</v>
      </c>
    </row>
    <row r="9" spans="1:30">
      <c r="A9" s="113" t="s">
        <v>46</v>
      </c>
      <c r="B9" s="114" t="s">
        <v>437</v>
      </c>
      <c r="C9" s="114" t="s">
        <v>438</v>
      </c>
      <c r="D9" s="114" t="s">
        <v>59</v>
      </c>
      <c r="E9" s="115" t="s">
        <v>316</v>
      </c>
      <c r="F9" s="115" t="s">
        <v>283</v>
      </c>
      <c r="G9" s="116">
        <v>50</v>
      </c>
      <c r="H9" s="117" t="s">
        <v>52</v>
      </c>
      <c r="I9" s="118" t="s">
        <v>450</v>
      </c>
      <c r="J9" s="117" t="s">
        <v>56</v>
      </c>
      <c r="K9" s="118" t="s">
        <v>451</v>
      </c>
      <c r="L9" s="117" t="s">
        <v>54</v>
      </c>
      <c r="M9" s="118" t="s">
        <v>452</v>
      </c>
      <c r="N9" s="117" t="s">
        <v>52</v>
      </c>
      <c r="O9" s="118" t="s">
        <v>450</v>
      </c>
      <c r="P9" s="117" t="s">
        <v>54</v>
      </c>
      <c r="Q9" s="118" t="s">
        <v>452</v>
      </c>
      <c r="R9" s="117" t="s">
        <v>56</v>
      </c>
      <c r="S9" s="118" t="s">
        <v>453</v>
      </c>
      <c r="T9" s="119">
        <f>73877.37</f>
        <v>73877.37</v>
      </c>
      <c r="U9" s="120">
        <f>87</f>
        <v>87</v>
      </c>
      <c r="V9" s="120">
        <v>1</v>
      </c>
      <c r="W9" s="120">
        <v>2</v>
      </c>
      <c r="X9" s="120">
        <f>319725000</f>
        <v>319725000</v>
      </c>
      <c r="Y9" s="120">
        <v>3572500</v>
      </c>
      <c r="Z9" s="121">
        <v>7292000</v>
      </c>
      <c r="AA9" s="117"/>
      <c r="AB9" s="122">
        <f>109</f>
        <v>109</v>
      </c>
      <c r="AC9" s="122" t="str">
        <f t="shared" si="0"/>
        <v>－</v>
      </c>
      <c r="AD9" s="123">
        <f>16</f>
        <v>16</v>
      </c>
    </row>
    <row r="10" spans="1:30">
      <c r="A10" s="113" t="s">
        <v>46</v>
      </c>
      <c r="B10" s="114" t="s">
        <v>437</v>
      </c>
      <c r="C10" s="114" t="s">
        <v>438</v>
      </c>
      <c r="D10" s="114" t="s">
        <v>247</v>
      </c>
      <c r="E10" s="115" t="s">
        <v>320</v>
      </c>
      <c r="F10" s="115" t="s">
        <v>61</v>
      </c>
      <c r="G10" s="116">
        <v>50</v>
      </c>
      <c r="H10" s="117" t="s">
        <v>52</v>
      </c>
      <c r="I10" s="118" t="s">
        <v>454</v>
      </c>
      <c r="J10" s="117" t="s">
        <v>251</v>
      </c>
      <c r="K10" s="118" t="s">
        <v>455</v>
      </c>
      <c r="L10" s="117"/>
      <c r="M10" s="118"/>
      <c r="N10" s="117" t="s">
        <v>52</v>
      </c>
      <c r="O10" s="118" t="s">
        <v>454</v>
      </c>
      <c r="P10" s="117"/>
      <c r="Q10" s="118"/>
      <c r="R10" s="117" t="s">
        <v>176</v>
      </c>
      <c r="S10" s="118" t="s">
        <v>456</v>
      </c>
      <c r="T10" s="119">
        <f>73431.05</f>
        <v>73431.05</v>
      </c>
      <c r="U10" s="120">
        <f>85</f>
        <v>85</v>
      </c>
      <c r="V10" s="120"/>
      <c r="W10" s="120"/>
      <c r="X10" s="120">
        <f>310600000</f>
        <v>310600000</v>
      </c>
      <c r="Y10" s="120"/>
      <c r="Z10" s="121"/>
      <c r="AA10" s="117"/>
      <c r="AB10" s="122">
        <f>64</f>
        <v>64</v>
      </c>
      <c r="AC10" s="122" t="str">
        <f t="shared" si="0"/>
        <v>－</v>
      </c>
      <c r="AD10" s="123">
        <f>16</f>
        <v>16</v>
      </c>
    </row>
    <row r="11" spans="1:30">
      <c r="A11" s="113" t="s">
        <v>46</v>
      </c>
      <c r="B11" s="114" t="s">
        <v>437</v>
      </c>
      <c r="C11" s="114" t="s">
        <v>438</v>
      </c>
      <c r="D11" s="114" t="s">
        <v>68</v>
      </c>
      <c r="E11" s="115" t="s">
        <v>412</v>
      </c>
      <c r="F11" s="115" t="s">
        <v>294</v>
      </c>
      <c r="G11" s="116">
        <v>50</v>
      </c>
      <c r="H11" s="117" t="s">
        <v>52</v>
      </c>
      <c r="I11" s="118" t="s">
        <v>457</v>
      </c>
      <c r="J11" s="117" t="s">
        <v>56</v>
      </c>
      <c r="K11" s="118" t="s">
        <v>458</v>
      </c>
      <c r="L11" s="117" t="s">
        <v>122</v>
      </c>
      <c r="M11" s="118" t="s">
        <v>459</v>
      </c>
      <c r="N11" s="117" t="s">
        <v>52</v>
      </c>
      <c r="O11" s="118" t="s">
        <v>457</v>
      </c>
      <c r="P11" s="117" t="s">
        <v>122</v>
      </c>
      <c r="Q11" s="118" t="s">
        <v>459</v>
      </c>
      <c r="R11" s="117" t="s">
        <v>56</v>
      </c>
      <c r="S11" s="118" t="s">
        <v>458</v>
      </c>
      <c r="T11" s="119">
        <f>73141.05</f>
        <v>73141.05</v>
      </c>
      <c r="U11" s="120">
        <f>126</f>
        <v>126</v>
      </c>
      <c r="V11" s="120">
        <v>1</v>
      </c>
      <c r="W11" s="120">
        <v>3</v>
      </c>
      <c r="X11" s="120">
        <f>457801500</f>
        <v>457801500</v>
      </c>
      <c r="Y11" s="120">
        <v>3650000</v>
      </c>
      <c r="Z11" s="121">
        <v>11007000</v>
      </c>
      <c r="AA11" s="117"/>
      <c r="AB11" s="122">
        <f>86</f>
        <v>86</v>
      </c>
      <c r="AC11" s="122" t="str">
        <f t="shared" si="0"/>
        <v>－</v>
      </c>
      <c r="AD11" s="123">
        <f>19</f>
        <v>19</v>
      </c>
    </row>
    <row r="12" spans="1:30">
      <c r="A12" s="113" t="s">
        <v>46</v>
      </c>
      <c r="B12" s="114" t="s">
        <v>437</v>
      </c>
      <c r="C12" s="114" t="s">
        <v>438</v>
      </c>
      <c r="D12" s="114" t="s">
        <v>260</v>
      </c>
      <c r="E12" s="115" t="s">
        <v>460</v>
      </c>
      <c r="F12" s="115" t="s">
        <v>106</v>
      </c>
      <c r="G12" s="116">
        <v>50</v>
      </c>
      <c r="H12" s="117" t="s">
        <v>52</v>
      </c>
      <c r="I12" s="118" t="s">
        <v>461</v>
      </c>
      <c r="J12" s="117" t="s">
        <v>64</v>
      </c>
      <c r="K12" s="118" t="s">
        <v>462</v>
      </c>
      <c r="L12" s="117"/>
      <c r="M12" s="118"/>
      <c r="N12" s="117" t="s">
        <v>52</v>
      </c>
      <c r="O12" s="118" t="s">
        <v>463</v>
      </c>
      <c r="P12" s="117"/>
      <c r="Q12" s="118"/>
      <c r="R12" s="117" t="s">
        <v>56</v>
      </c>
      <c r="S12" s="118" t="s">
        <v>464</v>
      </c>
      <c r="T12" s="119">
        <f>72883.16</f>
        <v>72883.16</v>
      </c>
      <c r="U12" s="120">
        <f>486</f>
        <v>486</v>
      </c>
      <c r="V12" s="120"/>
      <c r="W12" s="120"/>
      <c r="X12" s="120">
        <f>1769743500</f>
        <v>1769743500</v>
      </c>
      <c r="Y12" s="120"/>
      <c r="Z12" s="121"/>
      <c r="AA12" s="117"/>
      <c r="AB12" s="122">
        <f>97</f>
        <v>97</v>
      </c>
      <c r="AC12" s="122" t="str">
        <f t="shared" si="0"/>
        <v>－</v>
      </c>
      <c r="AD12" s="123">
        <f>19</f>
        <v>19</v>
      </c>
    </row>
    <row r="13" spans="1:30">
      <c r="A13" s="113" t="s">
        <v>46</v>
      </c>
      <c r="B13" s="114" t="s">
        <v>437</v>
      </c>
      <c r="C13" s="114" t="s">
        <v>438</v>
      </c>
      <c r="D13" s="114" t="s">
        <v>74</v>
      </c>
      <c r="E13" s="115" t="s">
        <v>338</v>
      </c>
      <c r="F13" s="115" t="s">
        <v>307</v>
      </c>
      <c r="G13" s="116">
        <v>50</v>
      </c>
      <c r="H13" s="117" t="s">
        <v>176</v>
      </c>
      <c r="I13" s="118" t="s">
        <v>465</v>
      </c>
      <c r="J13" s="117" t="s">
        <v>64</v>
      </c>
      <c r="K13" s="118" t="s">
        <v>466</v>
      </c>
      <c r="L13" s="117"/>
      <c r="M13" s="118"/>
      <c r="N13" s="117" t="s">
        <v>176</v>
      </c>
      <c r="O13" s="118" t="s">
        <v>467</v>
      </c>
      <c r="P13" s="117"/>
      <c r="Q13" s="118"/>
      <c r="R13" s="117" t="s">
        <v>56</v>
      </c>
      <c r="S13" s="118" t="s">
        <v>468</v>
      </c>
      <c r="T13" s="119">
        <f>74265</f>
        <v>74265</v>
      </c>
      <c r="U13" s="120">
        <f>43</f>
        <v>43</v>
      </c>
      <c r="V13" s="120"/>
      <c r="W13" s="120"/>
      <c r="X13" s="120">
        <f>159923000</f>
        <v>159923000</v>
      </c>
      <c r="Y13" s="120"/>
      <c r="Z13" s="121"/>
      <c r="AA13" s="117"/>
      <c r="AB13" s="122">
        <f>17</f>
        <v>17</v>
      </c>
      <c r="AC13" s="122" t="str">
        <f t="shared" si="0"/>
        <v>－</v>
      </c>
      <c r="AD13" s="123">
        <f>4</f>
        <v>4</v>
      </c>
    </row>
    <row r="14" spans="1:30">
      <c r="A14" s="113" t="s">
        <v>46</v>
      </c>
      <c r="B14" s="114" t="s">
        <v>469</v>
      </c>
      <c r="C14" s="114" t="s">
        <v>470</v>
      </c>
      <c r="D14" s="114" t="s">
        <v>49</v>
      </c>
      <c r="E14" s="115" t="s">
        <v>439</v>
      </c>
      <c r="F14" s="115" t="s">
        <v>270</v>
      </c>
      <c r="G14" s="116">
        <v>50</v>
      </c>
      <c r="H14" s="117" t="s">
        <v>52</v>
      </c>
      <c r="I14" s="118" t="s">
        <v>471</v>
      </c>
      <c r="J14" s="117" t="s">
        <v>128</v>
      </c>
      <c r="K14" s="118" t="s">
        <v>472</v>
      </c>
      <c r="L14" s="117" t="s">
        <v>213</v>
      </c>
      <c r="M14" s="118" t="s">
        <v>473</v>
      </c>
      <c r="N14" s="117" t="s">
        <v>52</v>
      </c>
      <c r="O14" s="118" t="s">
        <v>471</v>
      </c>
      <c r="P14" s="117" t="s">
        <v>251</v>
      </c>
      <c r="Q14" s="118" t="s">
        <v>474</v>
      </c>
      <c r="R14" s="117" t="s">
        <v>273</v>
      </c>
      <c r="S14" s="118" t="s">
        <v>475</v>
      </c>
      <c r="T14" s="119">
        <f>75733.33</f>
        <v>75733.33</v>
      </c>
      <c r="U14" s="120">
        <f>369</f>
        <v>369</v>
      </c>
      <c r="V14" s="120">
        <v>140</v>
      </c>
      <c r="W14" s="120">
        <v>55</v>
      </c>
      <c r="X14" s="120">
        <f>1402699000</f>
        <v>1402699000</v>
      </c>
      <c r="Y14" s="120">
        <v>534084500</v>
      </c>
      <c r="Z14" s="121">
        <v>206379000</v>
      </c>
      <c r="AA14" s="117" t="s">
        <v>231</v>
      </c>
      <c r="AB14" s="122">
        <f>312</f>
        <v>312</v>
      </c>
      <c r="AC14" s="122" t="str">
        <f t="shared" si="0"/>
        <v>－</v>
      </c>
      <c r="AD14" s="123">
        <f>15</f>
        <v>15</v>
      </c>
    </row>
    <row r="15" spans="1:30">
      <c r="A15" s="113" t="s">
        <v>46</v>
      </c>
      <c r="B15" s="114" t="s">
        <v>469</v>
      </c>
      <c r="C15" s="114" t="s">
        <v>470</v>
      </c>
      <c r="D15" s="114" t="s">
        <v>237</v>
      </c>
      <c r="E15" s="115" t="s">
        <v>277</v>
      </c>
      <c r="F15" s="115" t="s">
        <v>446</v>
      </c>
      <c r="G15" s="116">
        <v>50</v>
      </c>
      <c r="H15" s="117" t="s">
        <v>52</v>
      </c>
      <c r="I15" s="118" t="s">
        <v>476</v>
      </c>
      <c r="J15" s="117" t="s">
        <v>56</v>
      </c>
      <c r="K15" s="118" t="s">
        <v>477</v>
      </c>
      <c r="L15" s="117" t="s">
        <v>213</v>
      </c>
      <c r="M15" s="118" t="s">
        <v>478</v>
      </c>
      <c r="N15" s="117" t="s">
        <v>52</v>
      </c>
      <c r="O15" s="118" t="s">
        <v>476</v>
      </c>
      <c r="P15" s="117" t="s">
        <v>145</v>
      </c>
      <c r="Q15" s="118" t="s">
        <v>479</v>
      </c>
      <c r="R15" s="117" t="s">
        <v>56</v>
      </c>
      <c r="S15" s="118" t="s">
        <v>480</v>
      </c>
      <c r="T15" s="119">
        <f>75693.16</f>
        <v>75693.16</v>
      </c>
      <c r="U15" s="120">
        <f>201</f>
        <v>201</v>
      </c>
      <c r="V15" s="120">
        <v>4</v>
      </c>
      <c r="W15" s="120">
        <v>91</v>
      </c>
      <c r="X15" s="120">
        <f>754459500</f>
        <v>754459500</v>
      </c>
      <c r="Y15" s="120">
        <v>15350000</v>
      </c>
      <c r="Z15" s="121">
        <v>338279000</v>
      </c>
      <c r="AA15" s="117"/>
      <c r="AB15" s="122">
        <f>112</f>
        <v>112</v>
      </c>
      <c r="AC15" s="122" t="str">
        <f t="shared" si="0"/>
        <v>－</v>
      </c>
      <c r="AD15" s="123">
        <f>17</f>
        <v>17</v>
      </c>
    </row>
    <row r="16" spans="1:30">
      <c r="A16" s="113" t="s">
        <v>46</v>
      </c>
      <c r="B16" s="114" t="s">
        <v>469</v>
      </c>
      <c r="C16" s="114" t="s">
        <v>470</v>
      </c>
      <c r="D16" s="114" t="s">
        <v>59</v>
      </c>
      <c r="E16" s="115" t="s">
        <v>316</v>
      </c>
      <c r="F16" s="115" t="s">
        <v>283</v>
      </c>
      <c r="G16" s="116">
        <v>50</v>
      </c>
      <c r="H16" s="117" t="s">
        <v>52</v>
      </c>
      <c r="I16" s="118" t="s">
        <v>481</v>
      </c>
      <c r="J16" s="117" t="s">
        <v>56</v>
      </c>
      <c r="K16" s="118" t="s">
        <v>477</v>
      </c>
      <c r="L16" s="117"/>
      <c r="M16" s="118"/>
      <c r="N16" s="117" t="s">
        <v>52</v>
      </c>
      <c r="O16" s="118" t="s">
        <v>481</v>
      </c>
      <c r="P16" s="117"/>
      <c r="Q16" s="118"/>
      <c r="R16" s="117" t="s">
        <v>56</v>
      </c>
      <c r="S16" s="118" t="s">
        <v>477</v>
      </c>
      <c r="T16" s="119">
        <f>75682.63</f>
        <v>75682.63</v>
      </c>
      <c r="U16" s="120">
        <f>114</f>
        <v>114</v>
      </c>
      <c r="V16" s="120"/>
      <c r="W16" s="120">
        <v>37</v>
      </c>
      <c r="X16" s="120">
        <f>431122500</f>
        <v>431122500</v>
      </c>
      <c r="Y16" s="120"/>
      <c r="Z16" s="121">
        <v>138026500</v>
      </c>
      <c r="AA16" s="117"/>
      <c r="AB16" s="122">
        <f>53</f>
        <v>53</v>
      </c>
      <c r="AC16" s="122" t="str">
        <f t="shared" si="0"/>
        <v>－</v>
      </c>
      <c r="AD16" s="123">
        <f>17</f>
        <v>17</v>
      </c>
    </row>
    <row r="17" spans="1:30">
      <c r="A17" s="113" t="s">
        <v>46</v>
      </c>
      <c r="B17" s="114" t="s">
        <v>469</v>
      </c>
      <c r="C17" s="114" t="s">
        <v>470</v>
      </c>
      <c r="D17" s="114" t="s">
        <v>247</v>
      </c>
      <c r="E17" s="115" t="s">
        <v>320</v>
      </c>
      <c r="F17" s="115" t="s">
        <v>61</v>
      </c>
      <c r="G17" s="116">
        <v>50</v>
      </c>
      <c r="H17" s="117" t="s">
        <v>52</v>
      </c>
      <c r="I17" s="118" t="s">
        <v>482</v>
      </c>
      <c r="J17" s="117" t="s">
        <v>56</v>
      </c>
      <c r="K17" s="118" t="s">
        <v>483</v>
      </c>
      <c r="L17" s="117"/>
      <c r="M17" s="118"/>
      <c r="N17" s="117" t="s">
        <v>52</v>
      </c>
      <c r="O17" s="118" t="s">
        <v>482</v>
      </c>
      <c r="P17" s="117"/>
      <c r="Q17" s="118"/>
      <c r="R17" s="117" t="s">
        <v>56</v>
      </c>
      <c r="S17" s="118" t="s">
        <v>483</v>
      </c>
      <c r="T17" s="119">
        <f>74854.21</f>
        <v>74854.210000000006</v>
      </c>
      <c r="U17" s="120">
        <f>38</f>
        <v>38</v>
      </c>
      <c r="V17" s="120"/>
      <c r="W17" s="120">
        <v>2</v>
      </c>
      <c r="X17" s="120">
        <f>142557500</f>
        <v>142557500</v>
      </c>
      <c r="Y17" s="120"/>
      <c r="Z17" s="121">
        <v>7467500</v>
      </c>
      <c r="AA17" s="117"/>
      <c r="AB17" s="122">
        <f>14</f>
        <v>14</v>
      </c>
      <c r="AC17" s="122" t="str">
        <f t="shared" si="0"/>
        <v>－</v>
      </c>
      <c r="AD17" s="123">
        <f>15</f>
        <v>15</v>
      </c>
    </row>
    <row r="18" spans="1:30">
      <c r="A18" s="113" t="s">
        <v>46</v>
      </c>
      <c r="B18" s="114" t="s">
        <v>469</v>
      </c>
      <c r="C18" s="114" t="s">
        <v>470</v>
      </c>
      <c r="D18" s="114" t="s">
        <v>68</v>
      </c>
      <c r="E18" s="115" t="s">
        <v>412</v>
      </c>
      <c r="F18" s="115" t="s">
        <v>294</v>
      </c>
      <c r="G18" s="116">
        <v>50</v>
      </c>
      <c r="H18" s="117" t="s">
        <v>52</v>
      </c>
      <c r="I18" s="118" t="s">
        <v>484</v>
      </c>
      <c r="J18" s="117" t="s">
        <v>56</v>
      </c>
      <c r="K18" s="118" t="s">
        <v>485</v>
      </c>
      <c r="L18" s="117"/>
      <c r="M18" s="118"/>
      <c r="N18" s="117" t="s">
        <v>52</v>
      </c>
      <c r="O18" s="118" t="s">
        <v>486</v>
      </c>
      <c r="P18" s="117"/>
      <c r="Q18" s="118"/>
      <c r="R18" s="117" t="s">
        <v>56</v>
      </c>
      <c r="S18" s="118" t="s">
        <v>487</v>
      </c>
      <c r="T18" s="119">
        <f>74143.68</f>
        <v>74143.679999999993</v>
      </c>
      <c r="U18" s="120">
        <f>83</f>
        <v>83</v>
      </c>
      <c r="V18" s="120"/>
      <c r="W18" s="120">
        <v>3</v>
      </c>
      <c r="X18" s="120">
        <f>306748500</f>
        <v>306748500</v>
      </c>
      <c r="Y18" s="120"/>
      <c r="Z18" s="121">
        <v>10948500</v>
      </c>
      <c r="AA18" s="117"/>
      <c r="AB18" s="122">
        <f>17</f>
        <v>17</v>
      </c>
      <c r="AC18" s="122" t="str">
        <f t="shared" si="0"/>
        <v>－</v>
      </c>
      <c r="AD18" s="123">
        <f>15</f>
        <v>15</v>
      </c>
    </row>
    <row r="19" spans="1:30">
      <c r="A19" s="113" t="s">
        <v>46</v>
      </c>
      <c r="B19" s="114" t="s">
        <v>469</v>
      </c>
      <c r="C19" s="114" t="s">
        <v>470</v>
      </c>
      <c r="D19" s="114" t="s">
        <v>260</v>
      </c>
      <c r="E19" s="115" t="s">
        <v>460</v>
      </c>
      <c r="F19" s="115" t="s">
        <v>106</v>
      </c>
      <c r="G19" s="116">
        <v>50</v>
      </c>
      <c r="H19" s="117" t="s">
        <v>52</v>
      </c>
      <c r="I19" s="118" t="s">
        <v>488</v>
      </c>
      <c r="J19" s="117" t="s">
        <v>64</v>
      </c>
      <c r="K19" s="118" t="s">
        <v>489</v>
      </c>
      <c r="L19" s="117"/>
      <c r="M19" s="118"/>
      <c r="N19" s="117" t="s">
        <v>52</v>
      </c>
      <c r="O19" s="118" t="s">
        <v>488</v>
      </c>
      <c r="P19" s="117"/>
      <c r="Q19" s="118"/>
      <c r="R19" s="117" t="s">
        <v>56</v>
      </c>
      <c r="S19" s="118" t="s">
        <v>490</v>
      </c>
      <c r="T19" s="119">
        <f>73706.32</f>
        <v>73706.320000000007</v>
      </c>
      <c r="U19" s="120">
        <f>205</f>
        <v>205</v>
      </c>
      <c r="V19" s="120"/>
      <c r="W19" s="120">
        <v>3</v>
      </c>
      <c r="X19" s="120">
        <f>762019000</f>
        <v>762019000</v>
      </c>
      <c r="Y19" s="120"/>
      <c r="Z19" s="121">
        <v>10923000</v>
      </c>
      <c r="AA19" s="117"/>
      <c r="AB19" s="122">
        <f>29</f>
        <v>29</v>
      </c>
      <c r="AC19" s="122" t="str">
        <f t="shared" si="0"/>
        <v>－</v>
      </c>
      <c r="AD19" s="123">
        <f>18</f>
        <v>18</v>
      </c>
    </row>
    <row r="20" spans="1:30">
      <c r="A20" s="113" t="s">
        <v>46</v>
      </c>
      <c r="B20" s="114" t="s">
        <v>469</v>
      </c>
      <c r="C20" s="114" t="s">
        <v>470</v>
      </c>
      <c r="D20" s="114" t="s">
        <v>74</v>
      </c>
      <c r="E20" s="115" t="s">
        <v>338</v>
      </c>
      <c r="F20" s="115" t="s">
        <v>307</v>
      </c>
      <c r="G20" s="116">
        <v>50</v>
      </c>
      <c r="H20" s="117" t="s">
        <v>176</v>
      </c>
      <c r="I20" s="118" t="s">
        <v>491</v>
      </c>
      <c r="J20" s="117" t="s">
        <v>56</v>
      </c>
      <c r="K20" s="118" t="s">
        <v>490</v>
      </c>
      <c r="L20" s="117"/>
      <c r="M20" s="118"/>
      <c r="N20" s="117" t="s">
        <v>176</v>
      </c>
      <c r="O20" s="118" t="s">
        <v>491</v>
      </c>
      <c r="P20" s="117"/>
      <c r="Q20" s="118"/>
      <c r="R20" s="117" t="s">
        <v>56</v>
      </c>
      <c r="S20" s="118" t="s">
        <v>490</v>
      </c>
      <c r="T20" s="119">
        <f>75907.5</f>
        <v>75907.5</v>
      </c>
      <c r="U20" s="120">
        <f>9</f>
        <v>9</v>
      </c>
      <c r="V20" s="120"/>
      <c r="W20" s="120"/>
      <c r="X20" s="120">
        <f>34094500</f>
        <v>34094500</v>
      </c>
      <c r="Y20" s="120"/>
      <c r="Z20" s="121"/>
      <c r="AA20" s="117"/>
      <c r="AB20" s="122">
        <f>5</f>
        <v>5</v>
      </c>
      <c r="AC20" s="122" t="str">
        <f t="shared" si="0"/>
        <v>－</v>
      </c>
      <c r="AD20" s="123">
        <f>3</f>
        <v>3</v>
      </c>
    </row>
    <row r="21" spans="1:30">
      <c r="A21" s="113" t="s">
        <v>46</v>
      </c>
      <c r="B21" s="114" t="s">
        <v>492</v>
      </c>
      <c r="C21" s="114" t="s">
        <v>493</v>
      </c>
      <c r="D21" s="114" t="s">
        <v>49</v>
      </c>
      <c r="E21" s="115" t="s">
        <v>439</v>
      </c>
      <c r="F21" s="115" t="s">
        <v>270</v>
      </c>
      <c r="G21" s="116">
        <v>50</v>
      </c>
      <c r="H21" s="117"/>
      <c r="I21" s="118" t="s">
        <v>119</v>
      </c>
      <c r="J21" s="117"/>
      <c r="K21" s="118" t="s">
        <v>119</v>
      </c>
      <c r="L21" s="117"/>
      <c r="M21" s="118"/>
      <c r="N21" s="117"/>
      <c r="O21" s="118" t="s">
        <v>119</v>
      </c>
      <c r="P21" s="117"/>
      <c r="Q21" s="118"/>
      <c r="R21" s="117"/>
      <c r="S21" s="118" t="s">
        <v>119</v>
      </c>
      <c r="T21" s="119">
        <f>78100</f>
        <v>78100</v>
      </c>
      <c r="U21" s="120" t="str">
        <f t="shared" ref="U21:U27" si="1">"－"</f>
        <v>－</v>
      </c>
      <c r="V21" s="120"/>
      <c r="W21" s="120"/>
      <c r="X21" s="120" t="str">
        <f t="shared" ref="X21:X27" si="2">"－"</f>
        <v>－</v>
      </c>
      <c r="Y21" s="120"/>
      <c r="Z21" s="121"/>
      <c r="AA21" s="117" t="s">
        <v>231</v>
      </c>
      <c r="AB21" s="122" t="str">
        <f t="shared" ref="AB21:AB27" si="3">"－"</f>
        <v>－</v>
      </c>
      <c r="AC21" s="122" t="str">
        <f t="shared" si="0"/>
        <v>－</v>
      </c>
      <c r="AD21" s="123" t="str">
        <f t="shared" si="0"/>
        <v>－</v>
      </c>
    </row>
    <row r="22" spans="1:30">
      <c r="A22" s="113" t="s">
        <v>46</v>
      </c>
      <c r="B22" s="114" t="s">
        <v>492</v>
      </c>
      <c r="C22" s="114" t="s">
        <v>493</v>
      </c>
      <c r="D22" s="114" t="s">
        <v>237</v>
      </c>
      <c r="E22" s="115" t="s">
        <v>277</v>
      </c>
      <c r="F22" s="115" t="s">
        <v>446</v>
      </c>
      <c r="G22" s="116">
        <v>50</v>
      </c>
      <c r="H22" s="117"/>
      <c r="I22" s="118" t="s">
        <v>119</v>
      </c>
      <c r="J22" s="117"/>
      <c r="K22" s="118" t="s">
        <v>119</v>
      </c>
      <c r="L22" s="117"/>
      <c r="M22" s="118"/>
      <c r="N22" s="117"/>
      <c r="O22" s="118" t="s">
        <v>119</v>
      </c>
      <c r="P22" s="117"/>
      <c r="Q22" s="118"/>
      <c r="R22" s="117"/>
      <c r="S22" s="118" t="s">
        <v>119</v>
      </c>
      <c r="T22" s="119">
        <f>78347.37</f>
        <v>78347.37</v>
      </c>
      <c r="U22" s="120" t="str">
        <f t="shared" si="1"/>
        <v>－</v>
      </c>
      <c r="V22" s="120"/>
      <c r="W22" s="120"/>
      <c r="X22" s="120" t="str">
        <f t="shared" si="2"/>
        <v>－</v>
      </c>
      <c r="Y22" s="120"/>
      <c r="Z22" s="121"/>
      <c r="AA22" s="117"/>
      <c r="AB22" s="122" t="str">
        <f t="shared" si="3"/>
        <v>－</v>
      </c>
      <c r="AC22" s="122" t="str">
        <f t="shared" si="0"/>
        <v>－</v>
      </c>
      <c r="AD22" s="123" t="str">
        <f t="shared" si="0"/>
        <v>－</v>
      </c>
    </row>
    <row r="23" spans="1:30">
      <c r="A23" s="113" t="s">
        <v>46</v>
      </c>
      <c r="B23" s="114" t="s">
        <v>492</v>
      </c>
      <c r="C23" s="114" t="s">
        <v>493</v>
      </c>
      <c r="D23" s="114" t="s">
        <v>59</v>
      </c>
      <c r="E23" s="115" t="s">
        <v>316</v>
      </c>
      <c r="F23" s="115" t="s">
        <v>283</v>
      </c>
      <c r="G23" s="116">
        <v>50</v>
      </c>
      <c r="H23" s="117"/>
      <c r="I23" s="118" t="s">
        <v>119</v>
      </c>
      <c r="J23" s="117"/>
      <c r="K23" s="118" t="s">
        <v>119</v>
      </c>
      <c r="L23" s="117"/>
      <c r="M23" s="118"/>
      <c r="N23" s="117"/>
      <c r="O23" s="118" t="s">
        <v>119</v>
      </c>
      <c r="P23" s="117"/>
      <c r="Q23" s="118"/>
      <c r="R23" s="117"/>
      <c r="S23" s="118" t="s">
        <v>119</v>
      </c>
      <c r="T23" s="119">
        <f>77768.42</f>
        <v>77768.42</v>
      </c>
      <c r="U23" s="120" t="str">
        <f t="shared" si="1"/>
        <v>－</v>
      </c>
      <c r="V23" s="120"/>
      <c r="W23" s="120"/>
      <c r="X23" s="120" t="str">
        <f t="shared" si="2"/>
        <v>－</v>
      </c>
      <c r="Y23" s="120"/>
      <c r="Z23" s="121"/>
      <c r="AA23" s="117"/>
      <c r="AB23" s="122" t="str">
        <f t="shared" si="3"/>
        <v>－</v>
      </c>
      <c r="AC23" s="122" t="str">
        <f t="shared" si="0"/>
        <v>－</v>
      </c>
      <c r="AD23" s="123" t="str">
        <f t="shared" si="0"/>
        <v>－</v>
      </c>
    </row>
    <row r="24" spans="1:30">
      <c r="A24" s="113" t="s">
        <v>46</v>
      </c>
      <c r="B24" s="114" t="s">
        <v>492</v>
      </c>
      <c r="C24" s="114" t="s">
        <v>493</v>
      </c>
      <c r="D24" s="114" t="s">
        <v>247</v>
      </c>
      <c r="E24" s="115" t="s">
        <v>320</v>
      </c>
      <c r="F24" s="115" t="s">
        <v>61</v>
      </c>
      <c r="G24" s="116">
        <v>50</v>
      </c>
      <c r="H24" s="117"/>
      <c r="I24" s="118" t="s">
        <v>119</v>
      </c>
      <c r="J24" s="117"/>
      <c r="K24" s="118" t="s">
        <v>119</v>
      </c>
      <c r="L24" s="117"/>
      <c r="M24" s="118"/>
      <c r="N24" s="117"/>
      <c r="O24" s="118" t="s">
        <v>119</v>
      </c>
      <c r="P24" s="117"/>
      <c r="Q24" s="118"/>
      <c r="R24" s="117"/>
      <c r="S24" s="118" t="s">
        <v>119</v>
      </c>
      <c r="T24" s="119">
        <f>77147.37</f>
        <v>77147.37</v>
      </c>
      <c r="U24" s="120" t="str">
        <f t="shared" si="1"/>
        <v>－</v>
      </c>
      <c r="V24" s="120"/>
      <c r="W24" s="120"/>
      <c r="X24" s="120" t="str">
        <f t="shared" si="2"/>
        <v>－</v>
      </c>
      <c r="Y24" s="120"/>
      <c r="Z24" s="121"/>
      <c r="AA24" s="117"/>
      <c r="AB24" s="122" t="str">
        <f t="shared" si="3"/>
        <v>－</v>
      </c>
      <c r="AC24" s="122" t="str">
        <f t="shared" si="0"/>
        <v>－</v>
      </c>
      <c r="AD24" s="123" t="str">
        <f t="shared" si="0"/>
        <v>－</v>
      </c>
    </row>
    <row r="25" spans="1:30">
      <c r="A25" s="113" t="s">
        <v>46</v>
      </c>
      <c r="B25" s="114" t="s">
        <v>492</v>
      </c>
      <c r="C25" s="114" t="s">
        <v>493</v>
      </c>
      <c r="D25" s="114" t="s">
        <v>68</v>
      </c>
      <c r="E25" s="115" t="s">
        <v>412</v>
      </c>
      <c r="F25" s="115" t="s">
        <v>294</v>
      </c>
      <c r="G25" s="116">
        <v>50</v>
      </c>
      <c r="H25" s="117"/>
      <c r="I25" s="118" t="s">
        <v>119</v>
      </c>
      <c r="J25" s="117"/>
      <c r="K25" s="118" t="s">
        <v>119</v>
      </c>
      <c r="L25" s="117"/>
      <c r="M25" s="118"/>
      <c r="N25" s="117"/>
      <c r="O25" s="118" t="s">
        <v>119</v>
      </c>
      <c r="P25" s="117"/>
      <c r="Q25" s="118"/>
      <c r="R25" s="117"/>
      <c r="S25" s="118" t="s">
        <v>119</v>
      </c>
      <c r="T25" s="119">
        <f>76557.89</f>
        <v>76557.89</v>
      </c>
      <c r="U25" s="120" t="str">
        <f t="shared" si="1"/>
        <v>－</v>
      </c>
      <c r="V25" s="120"/>
      <c r="W25" s="120"/>
      <c r="X25" s="120" t="str">
        <f t="shared" si="2"/>
        <v>－</v>
      </c>
      <c r="Y25" s="120"/>
      <c r="Z25" s="121"/>
      <c r="AA25" s="117"/>
      <c r="AB25" s="122" t="str">
        <f t="shared" si="3"/>
        <v>－</v>
      </c>
      <c r="AC25" s="122" t="str">
        <f t="shared" si="0"/>
        <v>－</v>
      </c>
      <c r="AD25" s="123" t="str">
        <f t="shared" si="0"/>
        <v>－</v>
      </c>
    </row>
    <row r="26" spans="1:30">
      <c r="A26" s="113" t="s">
        <v>46</v>
      </c>
      <c r="B26" s="114" t="s">
        <v>492</v>
      </c>
      <c r="C26" s="114" t="s">
        <v>493</v>
      </c>
      <c r="D26" s="114" t="s">
        <v>260</v>
      </c>
      <c r="E26" s="115" t="s">
        <v>460</v>
      </c>
      <c r="F26" s="115" t="s">
        <v>106</v>
      </c>
      <c r="G26" s="116">
        <v>50</v>
      </c>
      <c r="H26" s="117"/>
      <c r="I26" s="118" t="s">
        <v>119</v>
      </c>
      <c r="J26" s="117"/>
      <c r="K26" s="118" t="s">
        <v>119</v>
      </c>
      <c r="L26" s="117"/>
      <c r="M26" s="118"/>
      <c r="N26" s="117"/>
      <c r="O26" s="118" t="s">
        <v>119</v>
      </c>
      <c r="P26" s="117"/>
      <c r="Q26" s="118"/>
      <c r="R26" s="117"/>
      <c r="S26" s="118" t="s">
        <v>119</v>
      </c>
      <c r="T26" s="119">
        <f>75963.16</f>
        <v>75963.16</v>
      </c>
      <c r="U26" s="120" t="str">
        <f t="shared" si="1"/>
        <v>－</v>
      </c>
      <c r="V26" s="120"/>
      <c r="W26" s="120"/>
      <c r="X26" s="120" t="str">
        <f t="shared" si="2"/>
        <v>－</v>
      </c>
      <c r="Y26" s="120"/>
      <c r="Z26" s="121"/>
      <c r="AA26" s="117"/>
      <c r="AB26" s="122" t="str">
        <f t="shared" si="3"/>
        <v>－</v>
      </c>
      <c r="AC26" s="122" t="str">
        <f t="shared" si="0"/>
        <v>－</v>
      </c>
      <c r="AD26" s="123" t="str">
        <f t="shared" si="0"/>
        <v>－</v>
      </c>
    </row>
    <row r="27" spans="1:30">
      <c r="A27" s="113" t="s">
        <v>46</v>
      </c>
      <c r="B27" s="114" t="s">
        <v>492</v>
      </c>
      <c r="C27" s="114" t="s">
        <v>493</v>
      </c>
      <c r="D27" s="114" t="s">
        <v>74</v>
      </c>
      <c r="E27" s="115" t="s">
        <v>338</v>
      </c>
      <c r="F27" s="115" t="s">
        <v>307</v>
      </c>
      <c r="G27" s="116">
        <v>50</v>
      </c>
      <c r="H27" s="117"/>
      <c r="I27" s="118" t="s">
        <v>119</v>
      </c>
      <c r="J27" s="117"/>
      <c r="K27" s="118" t="s">
        <v>119</v>
      </c>
      <c r="L27" s="117"/>
      <c r="M27" s="118"/>
      <c r="N27" s="117"/>
      <c r="O27" s="118" t="s">
        <v>119</v>
      </c>
      <c r="P27" s="117"/>
      <c r="Q27" s="118"/>
      <c r="R27" s="117"/>
      <c r="S27" s="118" t="s">
        <v>119</v>
      </c>
      <c r="T27" s="119">
        <f>77925</f>
        <v>77925</v>
      </c>
      <c r="U27" s="120" t="str">
        <f t="shared" si="1"/>
        <v>－</v>
      </c>
      <c r="V27" s="120"/>
      <c r="W27" s="120"/>
      <c r="X27" s="120" t="str">
        <f t="shared" si="2"/>
        <v>－</v>
      </c>
      <c r="Y27" s="120"/>
      <c r="Z27" s="121"/>
      <c r="AA27" s="117"/>
      <c r="AB27" s="122" t="str">
        <f t="shared" si="3"/>
        <v>－</v>
      </c>
      <c r="AC27" s="122" t="str">
        <f t="shared" si="0"/>
        <v>－</v>
      </c>
      <c r="AD27" s="123" t="str">
        <f t="shared" si="0"/>
        <v>－</v>
      </c>
    </row>
    <row r="28" spans="1:30">
      <c r="A28" s="113" t="s">
        <v>46</v>
      </c>
      <c r="B28" s="114" t="s">
        <v>494</v>
      </c>
      <c r="C28" s="114" t="s">
        <v>495</v>
      </c>
      <c r="D28" s="114" t="s">
        <v>46</v>
      </c>
      <c r="E28" s="115" t="s">
        <v>345</v>
      </c>
      <c r="F28" s="115" t="s">
        <v>346</v>
      </c>
      <c r="G28" s="116">
        <v>50</v>
      </c>
      <c r="H28" s="117" t="s">
        <v>52</v>
      </c>
      <c r="I28" s="118" t="s">
        <v>496</v>
      </c>
      <c r="J28" s="117" t="s">
        <v>251</v>
      </c>
      <c r="K28" s="118" t="s">
        <v>497</v>
      </c>
      <c r="L28" s="117" t="s">
        <v>56</v>
      </c>
      <c r="M28" s="118" t="s">
        <v>498</v>
      </c>
      <c r="N28" s="117" t="s">
        <v>52</v>
      </c>
      <c r="O28" s="118" t="s">
        <v>499</v>
      </c>
      <c r="P28" s="117" t="s">
        <v>52</v>
      </c>
      <c r="Q28" s="118" t="s">
        <v>500</v>
      </c>
      <c r="R28" s="117" t="s">
        <v>56</v>
      </c>
      <c r="S28" s="118" t="s">
        <v>501</v>
      </c>
      <c r="T28" s="119">
        <f>59148.95</f>
        <v>59148.95</v>
      </c>
      <c r="U28" s="120">
        <f>428</f>
        <v>428</v>
      </c>
      <c r="V28" s="120">
        <v>13</v>
      </c>
      <c r="W28" s="120">
        <v>3</v>
      </c>
      <c r="X28" s="120">
        <f>1263071000</f>
        <v>1263071000</v>
      </c>
      <c r="Y28" s="120">
        <v>38702500</v>
      </c>
      <c r="Z28" s="121">
        <v>8696000</v>
      </c>
      <c r="AA28" s="117" t="s">
        <v>231</v>
      </c>
      <c r="AB28" s="122">
        <f>4057</f>
        <v>4057</v>
      </c>
      <c r="AC28" s="122" t="str">
        <f t="shared" si="0"/>
        <v>－</v>
      </c>
      <c r="AD28" s="123">
        <f>19</f>
        <v>19</v>
      </c>
    </row>
    <row r="29" spans="1:30">
      <c r="A29" s="113" t="s">
        <v>46</v>
      </c>
      <c r="B29" s="114" t="s">
        <v>494</v>
      </c>
      <c r="C29" s="114" t="s">
        <v>495</v>
      </c>
      <c r="D29" s="114" t="s">
        <v>49</v>
      </c>
      <c r="E29" s="115" t="s">
        <v>347</v>
      </c>
      <c r="F29" s="115" t="s">
        <v>348</v>
      </c>
      <c r="G29" s="116">
        <v>50</v>
      </c>
      <c r="H29" s="117" t="s">
        <v>52</v>
      </c>
      <c r="I29" s="118" t="s">
        <v>502</v>
      </c>
      <c r="J29" s="117" t="s">
        <v>56</v>
      </c>
      <c r="K29" s="118" t="s">
        <v>503</v>
      </c>
      <c r="L29" s="117" t="s">
        <v>56</v>
      </c>
      <c r="M29" s="118" t="s">
        <v>504</v>
      </c>
      <c r="N29" s="117" t="s">
        <v>52</v>
      </c>
      <c r="O29" s="118" t="s">
        <v>502</v>
      </c>
      <c r="P29" s="117" t="s">
        <v>52</v>
      </c>
      <c r="Q29" s="118" t="s">
        <v>505</v>
      </c>
      <c r="R29" s="117" t="s">
        <v>56</v>
      </c>
      <c r="S29" s="118" t="s">
        <v>506</v>
      </c>
      <c r="T29" s="119">
        <f>59786.32</f>
        <v>59786.32</v>
      </c>
      <c r="U29" s="120">
        <f>2687</f>
        <v>2687</v>
      </c>
      <c r="V29" s="120">
        <v>223</v>
      </c>
      <c r="W29" s="120">
        <v>213</v>
      </c>
      <c r="X29" s="120">
        <f>8119528000</f>
        <v>8119528000</v>
      </c>
      <c r="Y29" s="120">
        <v>698541000</v>
      </c>
      <c r="Z29" s="121">
        <v>628776500</v>
      </c>
      <c r="AA29" s="117"/>
      <c r="AB29" s="122">
        <f>5714</f>
        <v>5714</v>
      </c>
      <c r="AC29" s="122" t="str">
        <f t="shared" si="0"/>
        <v>－</v>
      </c>
      <c r="AD29" s="123">
        <f>19</f>
        <v>19</v>
      </c>
    </row>
    <row r="30" spans="1:30">
      <c r="A30" s="113" t="s">
        <v>46</v>
      </c>
      <c r="B30" s="114" t="s">
        <v>494</v>
      </c>
      <c r="C30" s="114" t="s">
        <v>495</v>
      </c>
      <c r="D30" s="114" t="s">
        <v>237</v>
      </c>
      <c r="E30" s="115" t="s">
        <v>226</v>
      </c>
      <c r="F30" s="115" t="s">
        <v>349</v>
      </c>
      <c r="G30" s="116">
        <v>50</v>
      </c>
      <c r="H30" s="117" t="s">
        <v>52</v>
      </c>
      <c r="I30" s="118" t="s">
        <v>507</v>
      </c>
      <c r="J30" s="117" t="s">
        <v>56</v>
      </c>
      <c r="K30" s="118" t="s">
        <v>508</v>
      </c>
      <c r="L30" s="117" t="s">
        <v>56</v>
      </c>
      <c r="M30" s="118" t="s">
        <v>509</v>
      </c>
      <c r="N30" s="117" t="s">
        <v>235</v>
      </c>
      <c r="O30" s="118" t="s">
        <v>510</v>
      </c>
      <c r="P30" s="117" t="s">
        <v>130</v>
      </c>
      <c r="Q30" s="118" t="s">
        <v>511</v>
      </c>
      <c r="R30" s="117" t="s">
        <v>56</v>
      </c>
      <c r="S30" s="118" t="s">
        <v>512</v>
      </c>
      <c r="T30" s="119">
        <f>59016.84</f>
        <v>59016.84</v>
      </c>
      <c r="U30" s="120">
        <f>4273</f>
        <v>4273</v>
      </c>
      <c r="V30" s="120">
        <v>1440</v>
      </c>
      <c r="W30" s="120">
        <v>172</v>
      </c>
      <c r="X30" s="120">
        <f>12736153500</f>
        <v>12736153500</v>
      </c>
      <c r="Y30" s="120">
        <v>4392221000</v>
      </c>
      <c r="Z30" s="121">
        <v>496415500</v>
      </c>
      <c r="AA30" s="117"/>
      <c r="AB30" s="122">
        <f>6905</f>
        <v>6905</v>
      </c>
      <c r="AC30" s="122" t="str">
        <f t="shared" si="0"/>
        <v>－</v>
      </c>
      <c r="AD30" s="123">
        <f>19</f>
        <v>19</v>
      </c>
    </row>
    <row r="31" spans="1:30">
      <c r="A31" s="113" t="s">
        <v>46</v>
      </c>
      <c r="B31" s="114" t="s">
        <v>494</v>
      </c>
      <c r="C31" s="114" t="s">
        <v>495</v>
      </c>
      <c r="D31" s="114" t="s">
        <v>59</v>
      </c>
      <c r="E31" s="115" t="s">
        <v>226</v>
      </c>
      <c r="F31" s="115" t="s">
        <v>354</v>
      </c>
      <c r="G31" s="116">
        <v>50</v>
      </c>
      <c r="H31" s="117" t="s">
        <v>52</v>
      </c>
      <c r="I31" s="118" t="s">
        <v>513</v>
      </c>
      <c r="J31" s="117" t="s">
        <v>64</v>
      </c>
      <c r="K31" s="118" t="s">
        <v>514</v>
      </c>
      <c r="L31" s="117" t="s">
        <v>56</v>
      </c>
      <c r="M31" s="118" t="s">
        <v>515</v>
      </c>
      <c r="N31" s="117" t="s">
        <v>52</v>
      </c>
      <c r="O31" s="118" t="s">
        <v>516</v>
      </c>
      <c r="P31" s="117" t="s">
        <v>130</v>
      </c>
      <c r="Q31" s="118" t="s">
        <v>517</v>
      </c>
      <c r="R31" s="117" t="s">
        <v>56</v>
      </c>
      <c r="S31" s="118" t="s">
        <v>518</v>
      </c>
      <c r="T31" s="119">
        <f>58394.21</f>
        <v>58394.21</v>
      </c>
      <c r="U31" s="120">
        <f>8633</f>
        <v>8633</v>
      </c>
      <c r="V31" s="120">
        <v>1206</v>
      </c>
      <c r="W31" s="120">
        <v>1649</v>
      </c>
      <c r="X31" s="120">
        <f>24972322500</f>
        <v>24972322500</v>
      </c>
      <c r="Y31" s="120">
        <v>3639074000</v>
      </c>
      <c r="Z31" s="121">
        <v>4735228500</v>
      </c>
      <c r="AA31" s="117"/>
      <c r="AB31" s="122">
        <f>5074</f>
        <v>5074</v>
      </c>
      <c r="AC31" s="122" t="str">
        <f t="shared" si="0"/>
        <v>－</v>
      </c>
      <c r="AD31" s="123">
        <f>19</f>
        <v>19</v>
      </c>
    </row>
    <row r="32" spans="1:30">
      <c r="A32" s="113" t="s">
        <v>46</v>
      </c>
      <c r="B32" s="114" t="s">
        <v>494</v>
      </c>
      <c r="C32" s="114" t="s">
        <v>495</v>
      </c>
      <c r="D32" s="114" t="s">
        <v>247</v>
      </c>
      <c r="E32" s="115" t="s">
        <v>226</v>
      </c>
      <c r="F32" s="115" t="s">
        <v>359</v>
      </c>
      <c r="G32" s="116">
        <v>50</v>
      </c>
      <c r="H32" s="117" t="s">
        <v>52</v>
      </c>
      <c r="I32" s="118" t="s">
        <v>519</v>
      </c>
      <c r="J32" s="117" t="s">
        <v>64</v>
      </c>
      <c r="K32" s="118" t="s">
        <v>520</v>
      </c>
      <c r="L32" s="117" t="s">
        <v>56</v>
      </c>
      <c r="M32" s="118" t="s">
        <v>521</v>
      </c>
      <c r="N32" s="117" t="s">
        <v>52</v>
      </c>
      <c r="O32" s="118" t="s">
        <v>522</v>
      </c>
      <c r="P32" s="117" t="s">
        <v>219</v>
      </c>
      <c r="Q32" s="118" t="s">
        <v>523</v>
      </c>
      <c r="R32" s="117" t="s">
        <v>56</v>
      </c>
      <c r="S32" s="118" t="s">
        <v>524</v>
      </c>
      <c r="T32" s="119">
        <f>57790.53</f>
        <v>57790.53</v>
      </c>
      <c r="U32" s="120">
        <f>101996</f>
        <v>101996</v>
      </c>
      <c r="V32" s="120">
        <v>976</v>
      </c>
      <c r="W32" s="120">
        <v>12125</v>
      </c>
      <c r="X32" s="120">
        <f>289771174000</f>
        <v>289771174000</v>
      </c>
      <c r="Y32" s="120">
        <v>2902353500</v>
      </c>
      <c r="Z32" s="121">
        <v>34572016000</v>
      </c>
      <c r="AA32" s="117"/>
      <c r="AB32" s="122">
        <f>5567</f>
        <v>5567</v>
      </c>
      <c r="AC32" s="122" t="str">
        <f t="shared" si="0"/>
        <v>－</v>
      </c>
      <c r="AD32" s="123">
        <f>19</f>
        <v>19</v>
      </c>
    </row>
    <row r="33" spans="1:30">
      <c r="A33" s="113" t="s">
        <v>46</v>
      </c>
      <c r="B33" s="114" t="s">
        <v>494</v>
      </c>
      <c r="C33" s="114" t="s">
        <v>495</v>
      </c>
      <c r="D33" s="114" t="s">
        <v>68</v>
      </c>
      <c r="E33" s="115" t="s">
        <v>226</v>
      </c>
      <c r="F33" s="115" t="s">
        <v>360</v>
      </c>
      <c r="G33" s="116">
        <v>50</v>
      </c>
      <c r="H33" s="117" t="s">
        <v>52</v>
      </c>
      <c r="I33" s="118" t="s">
        <v>525</v>
      </c>
      <c r="J33" s="117" t="s">
        <v>64</v>
      </c>
      <c r="K33" s="118" t="s">
        <v>526</v>
      </c>
      <c r="L33" s="117" t="s">
        <v>56</v>
      </c>
      <c r="M33" s="118" t="s">
        <v>527</v>
      </c>
      <c r="N33" s="117" t="s">
        <v>52</v>
      </c>
      <c r="O33" s="118" t="s">
        <v>528</v>
      </c>
      <c r="P33" s="117" t="s">
        <v>219</v>
      </c>
      <c r="Q33" s="118" t="s">
        <v>529</v>
      </c>
      <c r="R33" s="117" t="s">
        <v>56</v>
      </c>
      <c r="S33" s="118" t="s">
        <v>530</v>
      </c>
      <c r="T33" s="119">
        <f>57223.68</f>
        <v>57223.68</v>
      </c>
      <c r="U33" s="120">
        <f>140175</f>
        <v>140175</v>
      </c>
      <c r="V33" s="120">
        <v>238</v>
      </c>
      <c r="W33" s="120">
        <v>10798</v>
      </c>
      <c r="X33" s="120">
        <f>400339328000</f>
        <v>400339328000</v>
      </c>
      <c r="Y33" s="120">
        <v>707659500</v>
      </c>
      <c r="Z33" s="121">
        <v>30524794500</v>
      </c>
      <c r="AA33" s="117"/>
      <c r="AB33" s="122">
        <f>59424</f>
        <v>59424</v>
      </c>
      <c r="AC33" s="122" t="str">
        <f t="shared" si="0"/>
        <v>－</v>
      </c>
      <c r="AD33" s="123">
        <f>19</f>
        <v>19</v>
      </c>
    </row>
    <row r="34" spans="1:30">
      <c r="A34" s="113" t="s">
        <v>46</v>
      </c>
      <c r="B34" s="114" t="s">
        <v>494</v>
      </c>
      <c r="C34" s="114" t="s">
        <v>495</v>
      </c>
      <c r="D34" s="114" t="s">
        <v>260</v>
      </c>
      <c r="E34" s="115" t="s">
        <v>226</v>
      </c>
      <c r="F34" s="115" t="s">
        <v>361</v>
      </c>
      <c r="G34" s="116">
        <v>50</v>
      </c>
      <c r="H34" s="117" t="s">
        <v>54</v>
      </c>
      <c r="I34" s="118" t="s">
        <v>531</v>
      </c>
      <c r="J34" s="117" t="s">
        <v>64</v>
      </c>
      <c r="K34" s="118" t="s">
        <v>532</v>
      </c>
      <c r="L34" s="117"/>
      <c r="M34" s="118"/>
      <c r="N34" s="117" t="s">
        <v>54</v>
      </c>
      <c r="O34" s="118" t="s">
        <v>531</v>
      </c>
      <c r="P34" s="117"/>
      <c r="Q34" s="118"/>
      <c r="R34" s="117" t="s">
        <v>56</v>
      </c>
      <c r="S34" s="118" t="s">
        <v>533</v>
      </c>
      <c r="T34" s="119">
        <f>56682.63</f>
        <v>56682.63</v>
      </c>
      <c r="U34" s="120">
        <f>203</f>
        <v>203</v>
      </c>
      <c r="V34" s="120"/>
      <c r="W34" s="120">
        <v>1</v>
      </c>
      <c r="X34" s="120">
        <f>591430000</f>
        <v>591430000</v>
      </c>
      <c r="Y34" s="120"/>
      <c r="Z34" s="121">
        <v>2930000</v>
      </c>
      <c r="AA34" s="117"/>
      <c r="AB34" s="122">
        <f>132</f>
        <v>132</v>
      </c>
      <c r="AC34" s="122" t="str">
        <f t="shared" si="0"/>
        <v>－</v>
      </c>
      <c r="AD34" s="123">
        <f>11</f>
        <v>11</v>
      </c>
    </row>
    <row r="35" spans="1:30">
      <c r="A35" s="113" t="s">
        <v>46</v>
      </c>
      <c r="B35" s="114" t="s">
        <v>494</v>
      </c>
      <c r="C35" s="114" t="s">
        <v>495</v>
      </c>
      <c r="D35" s="114" t="s">
        <v>74</v>
      </c>
      <c r="E35" s="115" t="s">
        <v>226</v>
      </c>
      <c r="F35" s="115" t="s">
        <v>362</v>
      </c>
      <c r="G35" s="116">
        <v>50</v>
      </c>
      <c r="H35" s="117" t="s">
        <v>176</v>
      </c>
      <c r="I35" s="118" t="s">
        <v>534</v>
      </c>
      <c r="J35" s="117" t="s">
        <v>176</v>
      </c>
      <c r="K35" s="118" t="s">
        <v>534</v>
      </c>
      <c r="L35" s="117"/>
      <c r="M35" s="118"/>
      <c r="N35" s="117" t="s">
        <v>176</v>
      </c>
      <c r="O35" s="118" t="s">
        <v>534</v>
      </c>
      <c r="P35" s="117"/>
      <c r="Q35" s="118"/>
      <c r="R35" s="117" t="s">
        <v>176</v>
      </c>
      <c r="S35" s="118" t="s">
        <v>534</v>
      </c>
      <c r="T35" s="119">
        <f>56183.16</f>
        <v>56183.16</v>
      </c>
      <c r="U35" s="120">
        <f>1</f>
        <v>1</v>
      </c>
      <c r="V35" s="120"/>
      <c r="W35" s="120"/>
      <c r="X35" s="120">
        <f>2864000</f>
        <v>2864000</v>
      </c>
      <c r="Y35" s="120"/>
      <c r="Z35" s="121"/>
      <c r="AA35" s="117"/>
      <c r="AB35" s="122">
        <f>2</f>
        <v>2</v>
      </c>
      <c r="AC35" s="122" t="str">
        <f t="shared" si="0"/>
        <v>－</v>
      </c>
      <c r="AD35" s="123">
        <f>1</f>
        <v>1</v>
      </c>
    </row>
    <row r="36" spans="1:30">
      <c r="A36" s="113" t="s">
        <v>46</v>
      </c>
      <c r="B36" s="114" t="s">
        <v>494</v>
      </c>
      <c r="C36" s="114" t="s">
        <v>495</v>
      </c>
      <c r="D36" s="114" t="s">
        <v>315</v>
      </c>
      <c r="E36" s="115" t="s">
        <v>226</v>
      </c>
      <c r="F36" s="115" t="s">
        <v>364</v>
      </c>
      <c r="G36" s="116">
        <v>50</v>
      </c>
      <c r="H36" s="117"/>
      <c r="I36" s="118" t="s">
        <v>119</v>
      </c>
      <c r="J36" s="117"/>
      <c r="K36" s="118" t="s">
        <v>119</v>
      </c>
      <c r="L36" s="117"/>
      <c r="M36" s="118"/>
      <c r="N36" s="117"/>
      <c r="O36" s="118" t="s">
        <v>119</v>
      </c>
      <c r="P36" s="117"/>
      <c r="Q36" s="118"/>
      <c r="R36" s="117"/>
      <c r="S36" s="118" t="s">
        <v>119</v>
      </c>
      <c r="T36" s="119">
        <f>55659.47</f>
        <v>55659.47</v>
      </c>
      <c r="U36" s="120" t="str">
        <f>"－"</f>
        <v>－</v>
      </c>
      <c r="V36" s="120"/>
      <c r="W36" s="120"/>
      <c r="X36" s="120" t="str">
        <f>"－"</f>
        <v>－</v>
      </c>
      <c r="Y36" s="120"/>
      <c r="Z36" s="121"/>
      <c r="AA36" s="117"/>
      <c r="AB36" s="122">
        <f>1</f>
        <v>1</v>
      </c>
      <c r="AC36" s="122" t="str">
        <f t="shared" si="0"/>
        <v>－</v>
      </c>
      <c r="AD36" s="123" t="str">
        <f>"－"</f>
        <v>－</v>
      </c>
    </row>
    <row r="37" spans="1:30">
      <c r="A37" s="113" t="s">
        <v>46</v>
      </c>
      <c r="B37" s="114" t="s">
        <v>494</v>
      </c>
      <c r="C37" s="114" t="s">
        <v>495</v>
      </c>
      <c r="D37" s="114" t="s">
        <v>81</v>
      </c>
      <c r="E37" s="115" t="s">
        <v>226</v>
      </c>
      <c r="F37" s="115" t="s">
        <v>366</v>
      </c>
      <c r="G37" s="116">
        <v>50</v>
      </c>
      <c r="H37" s="117"/>
      <c r="I37" s="118" t="s">
        <v>119</v>
      </c>
      <c r="J37" s="117"/>
      <c r="K37" s="118" t="s">
        <v>119</v>
      </c>
      <c r="L37" s="117"/>
      <c r="M37" s="118"/>
      <c r="N37" s="117"/>
      <c r="O37" s="118" t="s">
        <v>119</v>
      </c>
      <c r="P37" s="117"/>
      <c r="Q37" s="118"/>
      <c r="R37" s="117"/>
      <c r="S37" s="118" t="s">
        <v>119</v>
      </c>
      <c r="T37" s="119">
        <f>55162.11</f>
        <v>55162.11</v>
      </c>
      <c r="U37" s="120" t="str">
        <f>"－"</f>
        <v>－</v>
      </c>
      <c r="V37" s="120"/>
      <c r="W37" s="120"/>
      <c r="X37" s="120" t="str">
        <f>"－"</f>
        <v>－</v>
      </c>
      <c r="Y37" s="120"/>
      <c r="Z37" s="121"/>
      <c r="AA37" s="117"/>
      <c r="AB37" s="122">
        <f>1</f>
        <v>1</v>
      </c>
      <c r="AC37" s="122" t="str">
        <f t="shared" si="0"/>
        <v>－</v>
      </c>
      <c r="AD37" s="123" t="str">
        <f>"－"</f>
        <v>－</v>
      </c>
    </row>
    <row r="38" spans="1:30">
      <c r="A38" s="113" t="s">
        <v>46</v>
      </c>
      <c r="B38" s="114" t="s">
        <v>494</v>
      </c>
      <c r="C38" s="114" t="s">
        <v>495</v>
      </c>
      <c r="D38" s="114" t="s">
        <v>325</v>
      </c>
      <c r="E38" s="115" t="s">
        <v>226</v>
      </c>
      <c r="F38" s="115" t="s">
        <v>368</v>
      </c>
      <c r="G38" s="116">
        <v>50</v>
      </c>
      <c r="H38" s="117" t="s">
        <v>158</v>
      </c>
      <c r="I38" s="118" t="s">
        <v>535</v>
      </c>
      <c r="J38" s="117" t="s">
        <v>91</v>
      </c>
      <c r="K38" s="118" t="s">
        <v>536</v>
      </c>
      <c r="L38" s="117"/>
      <c r="M38" s="118"/>
      <c r="N38" s="117" t="s">
        <v>158</v>
      </c>
      <c r="O38" s="118" t="s">
        <v>535</v>
      </c>
      <c r="P38" s="117"/>
      <c r="Q38" s="118"/>
      <c r="R38" s="117" t="s">
        <v>91</v>
      </c>
      <c r="S38" s="118" t="s">
        <v>536</v>
      </c>
      <c r="T38" s="119">
        <f>54678.95</f>
        <v>54678.95</v>
      </c>
      <c r="U38" s="120">
        <f>3</f>
        <v>3</v>
      </c>
      <c r="V38" s="120"/>
      <c r="W38" s="120"/>
      <c r="X38" s="120">
        <f>8344000</f>
        <v>8344000</v>
      </c>
      <c r="Y38" s="120"/>
      <c r="Z38" s="121"/>
      <c r="AA38" s="117"/>
      <c r="AB38" s="122">
        <f>87</f>
        <v>87</v>
      </c>
      <c r="AC38" s="122" t="str">
        <f t="shared" si="0"/>
        <v>－</v>
      </c>
      <c r="AD38" s="123">
        <f>2</f>
        <v>2</v>
      </c>
    </row>
    <row r="39" spans="1:30">
      <c r="A39" s="113" t="s">
        <v>46</v>
      </c>
      <c r="B39" s="114" t="s">
        <v>494</v>
      </c>
      <c r="C39" s="114" t="s">
        <v>495</v>
      </c>
      <c r="D39" s="114" t="s">
        <v>86</v>
      </c>
      <c r="E39" s="115" t="s">
        <v>363</v>
      </c>
      <c r="F39" s="115" t="s">
        <v>369</v>
      </c>
      <c r="G39" s="116">
        <v>50</v>
      </c>
      <c r="H39" s="117" t="s">
        <v>52</v>
      </c>
      <c r="I39" s="118" t="s">
        <v>537</v>
      </c>
      <c r="J39" s="117" t="s">
        <v>251</v>
      </c>
      <c r="K39" s="118" t="s">
        <v>538</v>
      </c>
      <c r="L39" s="117"/>
      <c r="M39" s="118"/>
      <c r="N39" s="117" t="s">
        <v>52</v>
      </c>
      <c r="O39" s="118" t="s">
        <v>537</v>
      </c>
      <c r="P39" s="117"/>
      <c r="Q39" s="118"/>
      <c r="R39" s="117" t="s">
        <v>91</v>
      </c>
      <c r="S39" s="118" t="s">
        <v>539</v>
      </c>
      <c r="T39" s="119">
        <f>54247.89</f>
        <v>54247.89</v>
      </c>
      <c r="U39" s="120">
        <f>20</f>
        <v>20</v>
      </c>
      <c r="V39" s="120"/>
      <c r="W39" s="120"/>
      <c r="X39" s="120">
        <f>53526500</f>
        <v>53526500</v>
      </c>
      <c r="Y39" s="120"/>
      <c r="Z39" s="121"/>
      <c r="AA39" s="117"/>
      <c r="AB39" s="122">
        <f>104</f>
        <v>104</v>
      </c>
      <c r="AC39" s="122" t="str">
        <f t="shared" ref="AC39:AD70" si="4">"－"</f>
        <v>－</v>
      </c>
      <c r="AD39" s="123">
        <f>11</f>
        <v>11</v>
      </c>
    </row>
    <row r="40" spans="1:30">
      <c r="A40" s="113" t="s">
        <v>46</v>
      </c>
      <c r="B40" s="114" t="s">
        <v>494</v>
      </c>
      <c r="C40" s="114" t="s">
        <v>495</v>
      </c>
      <c r="D40" s="114" t="s">
        <v>337</v>
      </c>
      <c r="E40" s="115" t="s">
        <v>365</v>
      </c>
      <c r="F40" s="115" t="s">
        <v>540</v>
      </c>
      <c r="G40" s="116">
        <v>50</v>
      </c>
      <c r="H40" s="117" t="s">
        <v>235</v>
      </c>
      <c r="I40" s="118" t="s">
        <v>541</v>
      </c>
      <c r="J40" s="117" t="s">
        <v>91</v>
      </c>
      <c r="K40" s="118" t="s">
        <v>542</v>
      </c>
      <c r="L40" s="117"/>
      <c r="M40" s="118"/>
      <c r="N40" s="117" t="s">
        <v>54</v>
      </c>
      <c r="O40" s="118" t="s">
        <v>543</v>
      </c>
      <c r="P40" s="117"/>
      <c r="Q40" s="118"/>
      <c r="R40" s="117" t="s">
        <v>64</v>
      </c>
      <c r="S40" s="118" t="s">
        <v>544</v>
      </c>
      <c r="T40" s="119">
        <f>53660</f>
        <v>53660</v>
      </c>
      <c r="U40" s="120">
        <f>25</f>
        <v>25</v>
      </c>
      <c r="V40" s="120"/>
      <c r="W40" s="120"/>
      <c r="X40" s="120">
        <f>65991500</f>
        <v>65991500</v>
      </c>
      <c r="Y40" s="120"/>
      <c r="Z40" s="121"/>
      <c r="AA40" s="117"/>
      <c r="AB40" s="122">
        <f>57</f>
        <v>57</v>
      </c>
      <c r="AC40" s="122" t="str">
        <f t="shared" si="4"/>
        <v>－</v>
      </c>
      <c r="AD40" s="123">
        <f>11</f>
        <v>11</v>
      </c>
    </row>
    <row r="41" spans="1:30">
      <c r="A41" s="113" t="s">
        <v>46</v>
      </c>
      <c r="B41" s="114" t="s">
        <v>494</v>
      </c>
      <c r="C41" s="114" t="s">
        <v>495</v>
      </c>
      <c r="D41" s="114" t="s">
        <v>545</v>
      </c>
      <c r="E41" s="115" t="s">
        <v>367</v>
      </c>
      <c r="F41" s="115" t="s">
        <v>546</v>
      </c>
      <c r="G41" s="116">
        <v>50</v>
      </c>
      <c r="H41" s="117" t="s">
        <v>52</v>
      </c>
      <c r="I41" s="118" t="s">
        <v>547</v>
      </c>
      <c r="J41" s="117" t="s">
        <v>91</v>
      </c>
      <c r="K41" s="118" t="s">
        <v>548</v>
      </c>
      <c r="L41" s="117"/>
      <c r="M41" s="118"/>
      <c r="N41" s="117" t="s">
        <v>52</v>
      </c>
      <c r="O41" s="118" t="s">
        <v>549</v>
      </c>
      <c r="P41" s="117"/>
      <c r="Q41" s="118"/>
      <c r="R41" s="117" t="s">
        <v>91</v>
      </c>
      <c r="S41" s="118" t="s">
        <v>550</v>
      </c>
      <c r="T41" s="119">
        <f>53447.89</f>
        <v>53447.89</v>
      </c>
      <c r="U41" s="120">
        <f>88</f>
        <v>88</v>
      </c>
      <c r="V41" s="120"/>
      <c r="W41" s="120"/>
      <c r="X41" s="120">
        <f>231237500</f>
        <v>231237500</v>
      </c>
      <c r="Y41" s="120"/>
      <c r="Z41" s="121"/>
      <c r="AA41" s="117"/>
      <c r="AB41" s="122">
        <f>98</f>
        <v>98</v>
      </c>
      <c r="AC41" s="122" t="str">
        <f t="shared" si="4"/>
        <v>－</v>
      </c>
      <c r="AD41" s="123">
        <f>12</f>
        <v>12</v>
      </c>
    </row>
    <row r="42" spans="1:30">
      <c r="A42" s="113" t="s">
        <v>46</v>
      </c>
      <c r="B42" s="114" t="s">
        <v>494</v>
      </c>
      <c r="C42" s="114" t="s">
        <v>495</v>
      </c>
      <c r="D42" s="114" t="s">
        <v>551</v>
      </c>
      <c r="E42" s="115" t="s">
        <v>227</v>
      </c>
      <c r="F42" s="115" t="s">
        <v>552</v>
      </c>
      <c r="G42" s="116">
        <v>50</v>
      </c>
      <c r="H42" s="117" t="s">
        <v>52</v>
      </c>
      <c r="I42" s="118" t="s">
        <v>553</v>
      </c>
      <c r="J42" s="117" t="s">
        <v>64</v>
      </c>
      <c r="K42" s="118" t="s">
        <v>554</v>
      </c>
      <c r="L42" s="117"/>
      <c r="M42" s="118"/>
      <c r="N42" s="117" t="s">
        <v>52</v>
      </c>
      <c r="O42" s="118" t="s">
        <v>553</v>
      </c>
      <c r="P42" s="117"/>
      <c r="Q42" s="118"/>
      <c r="R42" s="117" t="s">
        <v>56</v>
      </c>
      <c r="S42" s="118" t="s">
        <v>555</v>
      </c>
      <c r="T42" s="119">
        <f>52992.63</f>
        <v>52992.63</v>
      </c>
      <c r="U42" s="120">
        <f>353</f>
        <v>353</v>
      </c>
      <c r="V42" s="120"/>
      <c r="W42" s="120"/>
      <c r="X42" s="120">
        <f>940678500</f>
        <v>940678500</v>
      </c>
      <c r="Y42" s="120"/>
      <c r="Z42" s="121"/>
      <c r="AA42" s="117"/>
      <c r="AB42" s="122">
        <f>115</f>
        <v>115</v>
      </c>
      <c r="AC42" s="122" t="str">
        <f t="shared" si="4"/>
        <v>－</v>
      </c>
      <c r="AD42" s="123">
        <f>19</f>
        <v>19</v>
      </c>
    </row>
    <row r="43" spans="1:30">
      <c r="A43" s="113" t="s">
        <v>46</v>
      </c>
      <c r="B43" s="114" t="s">
        <v>556</v>
      </c>
      <c r="C43" s="114" t="s">
        <v>557</v>
      </c>
      <c r="D43" s="114" t="s">
        <v>46</v>
      </c>
      <c r="E43" s="115" t="s">
        <v>558</v>
      </c>
      <c r="F43" s="115" t="s">
        <v>559</v>
      </c>
      <c r="G43" s="116">
        <v>74400</v>
      </c>
      <c r="H43" s="117" t="s">
        <v>235</v>
      </c>
      <c r="I43" s="118" t="s">
        <v>560</v>
      </c>
      <c r="J43" s="117" t="s">
        <v>213</v>
      </c>
      <c r="K43" s="118" t="s">
        <v>561</v>
      </c>
      <c r="L43" s="117"/>
      <c r="M43" s="118"/>
      <c r="N43" s="117" t="s">
        <v>235</v>
      </c>
      <c r="O43" s="118" t="s">
        <v>560</v>
      </c>
      <c r="P43" s="117"/>
      <c r="Q43" s="118"/>
      <c r="R43" s="117" t="s">
        <v>213</v>
      </c>
      <c r="S43" s="118" t="s">
        <v>561</v>
      </c>
      <c r="T43" s="119">
        <f>24.67</f>
        <v>24.67</v>
      </c>
      <c r="U43" s="120">
        <f>20</f>
        <v>20</v>
      </c>
      <c r="V43" s="120"/>
      <c r="W43" s="120"/>
      <c r="X43" s="120">
        <f>38316000</f>
        <v>38316000</v>
      </c>
      <c r="Y43" s="120"/>
      <c r="Z43" s="121"/>
      <c r="AA43" s="117" t="s">
        <v>231</v>
      </c>
      <c r="AB43" s="122">
        <f>434</f>
        <v>434</v>
      </c>
      <c r="AC43" s="122" t="str">
        <f t="shared" si="4"/>
        <v>－</v>
      </c>
      <c r="AD43" s="123">
        <f>2</f>
        <v>2</v>
      </c>
    </row>
    <row r="44" spans="1:30">
      <c r="A44" s="113" t="s">
        <v>46</v>
      </c>
      <c r="B44" s="114" t="s">
        <v>556</v>
      </c>
      <c r="C44" s="114" t="s">
        <v>557</v>
      </c>
      <c r="D44" s="114" t="s">
        <v>49</v>
      </c>
      <c r="E44" s="115" t="s">
        <v>562</v>
      </c>
      <c r="F44" s="115" t="s">
        <v>446</v>
      </c>
      <c r="G44" s="116">
        <v>67200</v>
      </c>
      <c r="H44" s="117" t="s">
        <v>219</v>
      </c>
      <c r="I44" s="118" t="s">
        <v>563</v>
      </c>
      <c r="J44" s="117" t="s">
        <v>179</v>
      </c>
      <c r="K44" s="118" t="s">
        <v>564</v>
      </c>
      <c r="L44" s="117" t="s">
        <v>130</v>
      </c>
      <c r="M44" s="118" t="s">
        <v>565</v>
      </c>
      <c r="N44" s="117" t="s">
        <v>219</v>
      </c>
      <c r="O44" s="118" t="s">
        <v>566</v>
      </c>
      <c r="P44" s="117" t="s">
        <v>56</v>
      </c>
      <c r="Q44" s="118" t="s">
        <v>567</v>
      </c>
      <c r="R44" s="117" t="s">
        <v>91</v>
      </c>
      <c r="S44" s="118" t="s">
        <v>564</v>
      </c>
      <c r="T44" s="119">
        <f>23.92</f>
        <v>23.92</v>
      </c>
      <c r="U44" s="120">
        <f>166</f>
        <v>166</v>
      </c>
      <c r="V44" s="120">
        <v>154</v>
      </c>
      <c r="W44" s="120"/>
      <c r="X44" s="120">
        <f>267882720</f>
        <v>267882720</v>
      </c>
      <c r="Y44" s="120">
        <v>248693760</v>
      </c>
      <c r="Z44" s="121"/>
      <c r="AA44" s="117"/>
      <c r="AB44" s="122">
        <f>429</f>
        <v>429</v>
      </c>
      <c r="AC44" s="122" t="str">
        <f t="shared" si="4"/>
        <v>－</v>
      </c>
      <c r="AD44" s="123">
        <f>3</f>
        <v>3</v>
      </c>
    </row>
    <row r="45" spans="1:30">
      <c r="A45" s="113" t="s">
        <v>46</v>
      </c>
      <c r="B45" s="114" t="s">
        <v>556</v>
      </c>
      <c r="C45" s="114" t="s">
        <v>557</v>
      </c>
      <c r="D45" s="114" t="s">
        <v>237</v>
      </c>
      <c r="E45" s="115" t="s">
        <v>568</v>
      </c>
      <c r="F45" s="115" t="s">
        <v>569</v>
      </c>
      <c r="G45" s="116">
        <v>74400</v>
      </c>
      <c r="H45" s="117" t="s">
        <v>219</v>
      </c>
      <c r="I45" s="118" t="s">
        <v>570</v>
      </c>
      <c r="J45" s="117" t="s">
        <v>219</v>
      </c>
      <c r="K45" s="118" t="s">
        <v>570</v>
      </c>
      <c r="L45" s="117"/>
      <c r="M45" s="118"/>
      <c r="N45" s="117" t="s">
        <v>333</v>
      </c>
      <c r="O45" s="118" t="s">
        <v>571</v>
      </c>
      <c r="P45" s="117"/>
      <c r="Q45" s="118"/>
      <c r="R45" s="117" t="s">
        <v>333</v>
      </c>
      <c r="S45" s="118" t="s">
        <v>571</v>
      </c>
      <c r="T45" s="119">
        <f>17.1</f>
        <v>17.100000000000001</v>
      </c>
      <c r="U45" s="120">
        <f>35</f>
        <v>35</v>
      </c>
      <c r="V45" s="120"/>
      <c r="W45" s="120"/>
      <c r="X45" s="120">
        <f>43449600</f>
        <v>43449600</v>
      </c>
      <c r="Y45" s="120"/>
      <c r="Z45" s="121"/>
      <c r="AA45" s="117"/>
      <c r="AB45" s="122">
        <f>1171</f>
        <v>1171</v>
      </c>
      <c r="AC45" s="122" t="str">
        <f t="shared" si="4"/>
        <v>－</v>
      </c>
      <c r="AD45" s="123">
        <f>2</f>
        <v>2</v>
      </c>
    </row>
    <row r="46" spans="1:30">
      <c r="A46" s="113" t="s">
        <v>46</v>
      </c>
      <c r="B46" s="114" t="s">
        <v>556</v>
      </c>
      <c r="C46" s="114" t="s">
        <v>557</v>
      </c>
      <c r="D46" s="114" t="s">
        <v>59</v>
      </c>
      <c r="E46" s="115" t="s">
        <v>572</v>
      </c>
      <c r="F46" s="115" t="s">
        <v>354</v>
      </c>
      <c r="G46" s="116">
        <v>72000</v>
      </c>
      <c r="H46" s="117"/>
      <c r="I46" s="118" t="s">
        <v>119</v>
      </c>
      <c r="J46" s="117"/>
      <c r="K46" s="118" t="s">
        <v>119</v>
      </c>
      <c r="L46" s="117"/>
      <c r="M46" s="118"/>
      <c r="N46" s="117"/>
      <c r="O46" s="118" t="s">
        <v>119</v>
      </c>
      <c r="P46" s="117"/>
      <c r="Q46" s="118"/>
      <c r="R46" s="117"/>
      <c r="S46" s="118" t="s">
        <v>119</v>
      </c>
      <c r="T46" s="119">
        <f>12.95</f>
        <v>12.95</v>
      </c>
      <c r="U46" s="120" t="str">
        <f t="shared" ref="U46:U55" si="5">"－"</f>
        <v>－</v>
      </c>
      <c r="V46" s="120"/>
      <c r="W46" s="120"/>
      <c r="X46" s="120" t="str">
        <f t="shared" ref="X46:X55" si="6">"－"</f>
        <v>－</v>
      </c>
      <c r="Y46" s="120"/>
      <c r="Z46" s="121"/>
      <c r="AA46" s="117"/>
      <c r="AB46" s="122">
        <f>100</f>
        <v>100</v>
      </c>
      <c r="AC46" s="122" t="str">
        <f t="shared" si="4"/>
        <v>－</v>
      </c>
      <c r="AD46" s="123" t="str">
        <f t="shared" si="4"/>
        <v>－</v>
      </c>
    </row>
    <row r="47" spans="1:30">
      <c r="A47" s="113" t="s">
        <v>46</v>
      </c>
      <c r="B47" s="114" t="s">
        <v>556</v>
      </c>
      <c r="C47" s="114" t="s">
        <v>557</v>
      </c>
      <c r="D47" s="114" t="s">
        <v>247</v>
      </c>
      <c r="E47" s="115" t="s">
        <v>573</v>
      </c>
      <c r="F47" s="115" t="s">
        <v>574</v>
      </c>
      <c r="G47" s="116">
        <v>74400</v>
      </c>
      <c r="H47" s="117"/>
      <c r="I47" s="118" t="s">
        <v>119</v>
      </c>
      <c r="J47" s="117"/>
      <c r="K47" s="118" t="s">
        <v>119</v>
      </c>
      <c r="L47" s="117"/>
      <c r="M47" s="118"/>
      <c r="N47" s="117"/>
      <c r="O47" s="118" t="s">
        <v>119</v>
      </c>
      <c r="P47" s="117"/>
      <c r="Q47" s="118"/>
      <c r="R47" s="117"/>
      <c r="S47" s="118" t="s">
        <v>119</v>
      </c>
      <c r="T47" s="119">
        <f>12.93</f>
        <v>12.93</v>
      </c>
      <c r="U47" s="120" t="str">
        <f t="shared" si="5"/>
        <v>－</v>
      </c>
      <c r="V47" s="120"/>
      <c r="W47" s="120"/>
      <c r="X47" s="120" t="str">
        <f t="shared" si="6"/>
        <v>－</v>
      </c>
      <c r="Y47" s="120"/>
      <c r="Z47" s="121"/>
      <c r="AA47" s="117"/>
      <c r="AB47" s="122">
        <f>100</f>
        <v>100</v>
      </c>
      <c r="AC47" s="122" t="str">
        <f t="shared" si="4"/>
        <v>－</v>
      </c>
      <c r="AD47" s="123" t="str">
        <f t="shared" si="4"/>
        <v>－</v>
      </c>
    </row>
    <row r="48" spans="1:30">
      <c r="A48" s="113" t="s">
        <v>46</v>
      </c>
      <c r="B48" s="114" t="s">
        <v>556</v>
      </c>
      <c r="C48" s="114" t="s">
        <v>557</v>
      </c>
      <c r="D48" s="114" t="s">
        <v>68</v>
      </c>
      <c r="E48" s="115" t="s">
        <v>575</v>
      </c>
      <c r="F48" s="115" t="s">
        <v>576</v>
      </c>
      <c r="G48" s="116">
        <v>72000</v>
      </c>
      <c r="H48" s="117"/>
      <c r="I48" s="118" t="s">
        <v>119</v>
      </c>
      <c r="J48" s="117"/>
      <c r="K48" s="118" t="s">
        <v>119</v>
      </c>
      <c r="L48" s="117"/>
      <c r="M48" s="118"/>
      <c r="N48" s="117"/>
      <c r="O48" s="118" t="s">
        <v>119</v>
      </c>
      <c r="P48" s="117"/>
      <c r="Q48" s="118"/>
      <c r="R48" s="117"/>
      <c r="S48" s="118" t="s">
        <v>119</v>
      </c>
      <c r="T48" s="119">
        <f>13.26</f>
        <v>13.26</v>
      </c>
      <c r="U48" s="120" t="str">
        <f t="shared" si="5"/>
        <v>－</v>
      </c>
      <c r="V48" s="120"/>
      <c r="W48" s="120"/>
      <c r="X48" s="120" t="str">
        <f t="shared" si="6"/>
        <v>－</v>
      </c>
      <c r="Y48" s="120"/>
      <c r="Z48" s="121"/>
      <c r="AA48" s="117"/>
      <c r="AB48" s="122">
        <f>100</f>
        <v>100</v>
      </c>
      <c r="AC48" s="122" t="str">
        <f t="shared" si="4"/>
        <v>－</v>
      </c>
      <c r="AD48" s="123" t="str">
        <f t="shared" si="4"/>
        <v>－</v>
      </c>
    </row>
    <row r="49" spans="1:30">
      <c r="A49" s="113" t="s">
        <v>46</v>
      </c>
      <c r="B49" s="114" t="s">
        <v>556</v>
      </c>
      <c r="C49" s="114" t="s">
        <v>557</v>
      </c>
      <c r="D49" s="114" t="s">
        <v>260</v>
      </c>
      <c r="E49" s="115" t="s">
        <v>577</v>
      </c>
      <c r="F49" s="115" t="s">
        <v>361</v>
      </c>
      <c r="G49" s="116">
        <v>74400</v>
      </c>
      <c r="H49" s="117"/>
      <c r="I49" s="118" t="s">
        <v>119</v>
      </c>
      <c r="J49" s="117"/>
      <c r="K49" s="118" t="s">
        <v>119</v>
      </c>
      <c r="L49" s="117"/>
      <c r="M49" s="118"/>
      <c r="N49" s="117"/>
      <c r="O49" s="118" t="s">
        <v>119</v>
      </c>
      <c r="P49" s="117"/>
      <c r="Q49" s="118"/>
      <c r="R49" s="117"/>
      <c r="S49" s="118" t="s">
        <v>119</v>
      </c>
      <c r="T49" s="119">
        <f>14.98</f>
        <v>14.98</v>
      </c>
      <c r="U49" s="120" t="str">
        <f t="shared" si="5"/>
        <v>－</v>
      </c>
      <c r="V49" s="120"/>
      <c r="W49" s="120"/>
      <c r="X49" s="120" t="str">
        <f t="shared" si="6"/>
        <v>－</v>
      </c>
      <c r="Y49" s="120"/>
      <c r="Z49" s="121"/>
      <c r="AA49" s="117"/>
      <c r="AB49" s="122">
        <f>100</f>
        <v>100</v>
      </c>
      <c r="AC49" s="122" t="str">
        <f t="shared" si="4"/>
        <v>－</v>
      </c>
      <c r="AD49" s="123" t="str">
        <f t="shared" si="4"/>
        <v>－</v>
      </c>
    </row>
    <row r="50" spans="1:30">
      <c r="A50" s="113" t="s">
        <v>46</v>
      </c>
      <c r="B50" s="114" t="s">
        <v>556</v>
      </c>
      <c r="C50" s="114" t="s">
        <v>557</v>
      </c>
      <c r="D50" s="114" t="s">
        <v>74</v>
      </c>
      <c r="E50" s="115" t="s">
        <v>578</v>
      </c>
      <c r="F50" s="115" t="s">
        <v>579</v>
      </c>
      <c r="G50" s="116">
        <v>74400</v>
      </c>
      <c r="H50" s="117"/>
      <c r="I50" s="118" t="s">
        <v>119</v>
      </c>
      <c r="J50" s="117"/>
      <c r="K50" s="118" t="s">
        <v>119</v>
      </c>
      <c r="L50" s="117"/>
      <c r="M50" s="118"/>
      <c r="N50" s="117"/>
      <c r="O50" s="118" t="s">
        <v>119</v>
      </c>
      <c r="P50" s="117"/>
      <c r="Q50" s="118"/>
      <c r="R50" s="117"/>
      <c r="S50" s="118" t="s">
        <v>119</v>
      </c>
      <c r="T50" s="119">
        <f>16.73</f>
        <v>16.73</v>
      </c>
      <c r="U50" s="120" t="str">
        <f t="shared" si="5"/>
        <v>－</v>
      </c>
      <c r="V50" s="120"/>
      <c r="W50" s="120"/>
      <c r="X50" s="120" t="str">
        <f t="shared" si="6"/>
        <v>－</v>
      </c>
      <c r="Y50" s="120"/>
      <c r="Z50" s="121"/>
      <c r="AA50" s="117"/>
      <c r="AB50" s="122">
        <f>100</f>
        <v>100</v>
      </c>
      <c r="AC50" s="122" t="str">
        <f t="shared" si="4"/>
        <v>－</v>
      </c>
      <c r="AD50" s="123" t="str">
        <f t="shared" si="4"/>
        <v>－</v>
      </c>
    </row>
    <row r="51" spans="1:30">
      <c r="A51" s="113" t="s">
        <v>46</v>
      </c>
      <c r="B51" s="114" t="s">
        <v>556</v>
      </c>
      <c r="C51" s="114" t="s">
        <v>557</v>
      </c>
      <c r="D51" s="114" t="s">
        <v>315</v>
      </c>
      <c r="E51" s="115" t="s">
        <v>580</v>
      </c>
      <c r="F51" s="115" t="s">
        <v>581</v>
      </c>
      <c r="G51" s="116">
        <v>72000</v>
      </c>
      <c r="H51" s="117"/>
      <c r="I51" s="118" t="s">
        <v>119</v>
      </c>
      <c r="J51" s="117"/>
      <c r="K51" s="118" t="s">
        <v>119</v>
      </c>
      <c r="L51" s="117"/>
      <c r="M51" s="118"/>
      <c r="N51" s="117"/>
      <c r="O51" s="118" t="s">
        <v>119</v>
      </c>
      <c r="P51" s="117"/>
      <c r="Q51" s="118"/>
      <c r="R51" s="117"/>
      <c r="S51" s="118" t="s">
        <v>119</v>
      </c>
      <c r="T51" s="119">
        <f>14.18</f>
        <v>14.18</v>
      </c>
      <c r="U51" s="120" t="str">
        <f t="shared" si="5"/>
        <v>－</v>
      </c>
      <c r="V51" s="120"/>
      <c r="W51" s="120"/>
      <c r="X51" s="120" t="str">
        <f t="shared" si="6"/>
        <v>－</v>
      </c>
      <c r="Y51" s="120"/>
      <c r="Z51" s="121"/>
      <c r="AA51" s="117"/>
      <c r="AB51" s="122">
        <f>100</f>
        <v>100</v>
      </c>
      <c r="AC51" s="122" t="str">
        <f t="shared" si="4"/>
        <v>－</v>
      </c>
      <c r="AD51" s="123" t="str">
        <f t="shared" si="4"/>
        <v>－</v>
      </c>
    </row>
    <row r="52" spans="1:30">
      <c r="A52" s="113" t="s">
        <v>46</v>
      </c>
      <c r="B52" s="114" t="s">
        <v>556</v>
      </c>
      <c r="C52" s="114" t="s">
        <v>557</v>
      </c>
      <c r="D52" s="114" t="s">
        <v>81</v>
      </c>
      <c r="E52" s="115" t="s">
        <v>345</v>
      </c>
      <c r="F52" s="115" t="s">
        <v>582</v>
      </c>
      <c r="G52" s="116">
        <v>74400</v>
      </c>
      <c r="H52" s="117"/>
      <c r="I52" s="118" t="s">
        <v>119</v>
      </c>
      <c r="J52" s="117"/>
      <c r="K52" s="118" t="s">
        <v>119</v>
      </c>
      <c r="L52" s="117"/>
      <c r="M52" s="118"/>
      <c r="N52" s="117"/>
      <c r="O52" s="118" t="s">
        <v>119</v>
      </c>
      <c r="P52" s="117"/>
      <c r="Q52" s="118"/>
      <c r="R52" s="117"/>
      <c r="S52" s="118" t="s">
        <v>119</v>
      </c>
      <c r="T52" s="119">
        <f>11.66</f>
        <v>11.66</v>
      </c>
      <c r="U52" s="120" t="str">
        <f t="shared" si="5"/>
        <v>－</v>
      </c>
      <c r="V52" s="120"/>
      <c r="W52" s="120"/>
      <c r="X52" s="120" t="str">
        <f t="shared" si="6"/>
        <v>－</v>
      </c>
      <c r="Y52" s="120"/>
      <c r="Z52" s="121"/>
      <c r="AA52" s="117"/>
      <c r="AB52" s="122">
        <f>100</f>
        <v>100</v>
      </c>
      <c r="AC52" s="122" t="str">
        <f t="shared" si="4"/>
        <v>－</v>
      </c>
      <c r="AD52" s="123" t="str">
        <f t="shared" si="4"/>
        <v>－</v>
      </c>
    </row>
    <row r="53" spans="1:30">
      <c r="A53" s="113" t="s">
        <v>46</v>
      </c>
      <c r="B53" s="114" t="s">
        <v>556</v>
      </c>
      <c r="C53" s="114" t="s">
        <v>557</v>
      </c>
      <c r="D53" s="114" t="s">
        <v>325</v>
      </c>
      <c r="E53" s="115" t="s">
        <v>583</v>
      </c>
      <c r="F53" s="115" t="s">
        <v>584</v>
      </c>
      <c r="G53" s="116">
        <v>72000</v>
      </c>
      <c r="H53" s="117"/>
      <c r="I53" s="118" t="s">
        <v>119</v>
      </c>
      <c r="J53" s="117"/>
      <c r="K53" s="118" t="s">
        <v>119</v>
      </c>
      <c r="L53" s="117"/>
      <c r="M53" s="118"/>
      <c r="N53" s="117"/>
      <c r="O53" s="118" t="s">
        <v>119</v>
      </c>
      <c r="P53" s="117"/>
      <c r="Q53" s="118"/>
      <c r="R53" s="117"/>
      <c r="S53" s="118" t="s">
        <v>119</v>
      </c>
      <c r="T53" s="119">
        <f>12.31</f>
        <v>12.31</v>
      </c>
      <c r="U53" s="120" t="str">
        <f t="shared" si="5"/>
        <v>－</v>
      </c>
      <c r="V53" s="120"/>
      <c r="W53" s="120"/>
      <c r="X53" s="120" t="str">
        <f t="shared" si="6"/>
        <v>－</v>
      </c>
      <c r="Y53" s="120"/>
      <c r="Z53" s="121"/>
      <c r="AA53" s="117"/>
      <c r="AB53" s="122">
        <f>100</f>
        <v>100</v>
      </c>
      <c r="AC53" s="122" t="str">
        <f t="shared" si="4"/>
        <v>－</v>
      </c>
      <c r="AD53" s="123" t="str">
        <f t="shared" si="4"/>
        <v>－</v>
      </c>
    </row>
    <row r="54" spans="1:30">
      <c r="A54" s="113" t="s">
        <v>46</v>
      </c>
      <c r="B54" s="114" t="s">
        <v>556</v>
      </c>
      <c r="C54" s="114" t="s">
        <v>557</v>
      </c>
      <c r="D54" s="114" t="s">
        <v>86</v>
      </c>
      <c r="E54" s="115" t="s">
        <v>585</v>
      </c>
      <c r="F54" s="115" t="s">
        <v>369</v>
      </c>
      <c r="G54" s="116">
        <v>74400</v>
      </c>
      <c r="H54" s="117"/>
      <c r="I54" s="118" t="s">
        <v>119</v>
      </c>
      <c r="J54" s="117"/>
      <c r="K54" s="118" t="s">
        <v>119</v>
      </c>
      <c r="L54" s="117"/>
      <c r="M54" s="118"/>
      <c r="N54" s="117"/>
      <c r="O54" s="118" t="s">
        <v>119</v>
      </c>
      <c r="P54" s="117"/>
      <c r="Q54" s="118"/>
      <c r="R54" s="117"/>
      <c r="S54" s="118" t="s">
        <v>119</v>
      </c>
      <c r="T54" s="119">
        <f>14.51</f>
        <v>14.51</v>
      </c>
      <c r="U54" s="120" t="str">
        <f t="shared" si="5"/>
        <v>－</v>
      </c>
      <c r="V54" s="120"/>
      <c r="W54" s="120"/>
      <c r="X54" s="120" t="str">
        <f t="shared" si="6"/>
        <v>－</v>
      </c>
      <c r="Y54" s="120"/>
      <c r="Z54" s="121"/>
      <c r="AA54" s="117"/>
      <c r="AB54" s="122">
        <f>101</f>
        <v>101</v>
      </c>
      <c r="AC54" s="122" t="str">
        <f t="shared" si="4"/>
        <v>－</v>
      </c>
      <c r="AD54" s="123" t="str">
        <f t="shared" si="4"/>
        <v>－</v>
      </c>
    </row>
    <row r="55" spans="1:30">
      <c r="A55" s="113" t="s">
        <v>46</v>
      </c>
      <c r="B55" s="114" t="s">
        <v>556</v>
      </c>
      <c r="C55" s="114" t="s">
        <v>557</v>
      </c>
      <c r="D55" s="114" t="s">
        <v>337</v>
      </c>
      <c r="E55" s="115" t="s">
        <v>365</v>
      </c>
      <c r="F55" s="115" t="s">
        <v>586</v>
      </c>
      <c r="G55" s="116">
        <v>74400</v>
      </c>
      <c r="H55" s="117"/>
      <c r="I55" s="118" t="s">
        <v>119</v>
      </c>
      <c r="J55" s="117"/>
      <c r="K55" s="118" t="s">
        <v>119</v>
      </c>
      <c r="L55" s="117"/>
      <c r="M55" s="118"/>
      <c r="N55" s="117"/>
      <c r="O55" s="118" t="s">
        <v>119</v>
      </c>
      <c r="P55" s="117"/>
      <c r="Q55" s="118"/>
      <c r="R55" s="117"/>
      <c r="S55" s="118" t="s">
        <v>119</v>
      </c>
      <c r="T55" s="119">
        <f>16.94</f>
        <v>16.940000000000001</v>
      </c>
      <c r="U55" s="120" t="str">
        <f t="shared" si="5"/>
        <v>－</v>
      </c>
      <c r="V55" s="120"/>
      <c r="W55" s="120"/>
      <c r="X55" s="120" t="str">
        <f t="shared" si="6"/>
        <v>－</v>
      </c>
      <c r="Y55" s="120"/>
      <c r="Z55" s="121"/>
      <c r="AA55" s="117"/>
      <c r="AB55" s="122">
        <f>2</f>
        <v>2</v>
      </c>
      <c r="AC55" s="122" t="str">
        <f t="shared" si="4"/>
        <v>－</v>
      </c>
      <c r="AD55" s="123" t="str">
        <f t="shared" si="4"/>
        <v>－</v>
      </c>
    </row>
    <row r="56" spans="1:30">
      <c r="A56" s="113" t="s">
        <v>46</v>
      </c>
      <c r="B56" s="114" t="s">
        <v>556</v>
      </c>
      <c r="C56" s="114" t="s">
        <v>557</v>
      </c>
      <c r="D56" s="114" t="s">
        <v>545</v>
      </c>
      <c r="E56" s="115" t="s">
        <v>587</v>
      </c>
      <c r="F56" s="115" t="s">
        <v>588</v>
      </c>
      <c r="G56" s="116">
        <v>67200</v>
      </c>
      <c r="H56" s="117" t="s">
        <v>219</v>
      </c>
      <c r="I56" s="118" t="s">
        <v>589</v>
      </c>
      <c r="J56" s="117" t="s">
        <v>219</v>
      </c>
      <c r="K56" s="118" t="s">
        <v>589</v>
      </c>
      <c r="L56" s="117"/>
      <c r="M56" s="118"/>
      <c r="N56" s="117" t="s">
        <v>219</v>
      </c>
      <c r="O56" s="118" t="s">
        <v>589</v>
      </c>
      <c r="P56" s="117"/>
      <c r="Q56" s="118"/>
      <c r="R56" s="117" t="s">
        <v>219</v>
      </c>
      <c r="S56" s="118" t="s">
        <v>589</v>
      </c>
      <c r="T56" s="119">
        <f>16.91</f>
        <v>16.91</v>
      </c>
      <c r="U56" s="120">
        <f>1</f>
        <v>1</v>
      </c>
      <c r="V56" s="120"/>
      <c r="W56" s="120"/>
      <c r="X56" s="120">
        <f>1075200</f>
        <v>1075200</v>
      </c>
      <c r="Y56" s="120"/>
      <c r="Z56" s="121"/>
      <c r="AA56" s="117"/>
      <c r="AB56" s="122">
        <f>2</f>
        <v>2</v>
      </c>
      <c r="AC56" s="122" t="str">
        <f t="shared" si="4"/>
        <v>－</v>
      </c>
      <c r="AD56" s="123">
        <f>1</f>
        <v>1</v>
      </c>
    </row>
    <row r="57" spans="1:30">
      <c r="A57" s="113" t="s">
        <v>46</v>
      </c>
      <c r="B57" s="114" t="s">
        <v>556</v>
      </c>
      <c r="C57" s="114" t="s">
        <v>557</v>
      </c>
      <c r="D57" s="114" t="s">
        <v>551</v>
      </c>
      <c r="E57" s="115" t="s">
        <v>227</v>
      </c>
      <c r="F57" s="115" t="s">
        <v>590</v>
      </c>
      <c r="G57" s="116">
        <v>74400</v>
      </c>
      <c r="H57" s="117"/>
      <c r="I57" s="118" t="s">
        <v>119</v>
      </c>
      <c r="J57" s="117"/>
      <c r="K57" s="118" t="s">
        <v>119</v>
      </c>
      <c r="L57" s="117"/>
      <c r="M57" s="118"/>
      <c r="N57" s="117"/>
      <c r="O57" s="118" t="s">
        <v>119</v>
      </c>
      <c r="P57" s="117"/>
      <c r="Q57" s="118"/>
      <c r="R57" s="117"/>
      <c r="S57" s="118" t="s">
        <v>119</v>
      </c>
      <c r="T57" s="119">
        <f>14.76</f>
        <v>14.76</v>
      </c>
      <c r="U57" s="120" t="str">
        <f>"－"</f>
        <v>－</v>
      </c>
      <c r="V57" s="120"/>
      <c r="W57" s="120"/>
      <c r="X57" s="120" t="str">
        <f>"－"</f>
        <v>－</v>
      </c>
      <c r="Y57" s="120"/>
      <c r="Z57" s="121"/>
      <c r="AA57" s="117"/>
      <c r="AB57" s="122" t="str">
        <f>"－"</f>
        <v>－</v>
      </c>
      <c r="AC57" s="122" t="str">
        <f t="shared" si="4"/>
        <v>－</v>
      </c>
      <c r="AD57" s="123" t="str">
        <f>"－"</f>
        <v>－</v>
      </c>
    </row>
    <row r="58" spans="1:30">
      <c r="A58" s="113" t="s">
        <v>46</v>
      </c>
      <c r="B58" s="114" t="s">
        <v>556</v>
      </c>
      <c r="C58" s="114" t="s">
        <v>557</v>
      </c>
      <c r="D58" s="114" t="s">
        <v>591</v>
      </c>
      <c r="E58" s="115" t="s">
        <v>346</v>
      </c>
      <c r="F58" s="115" t="s">
        <v>592</v>
      </c>
      <c r="G58" s="116">
        <v>72000</v>
      </c>
      <c r="H58" s="117"/>
      <c r="I58" s="118" t="s">
        <v>119</v>
      </c>
      <c r="J58" s="117"/>
      <c r="K58" s="118" t="s">
        <v>119</v>
      </c>
      <c r="L58" s="117"/>
      <c r="M58" s="118"/>
      <c r="N58" s="117"/>
      <c r="O58" s="118" t="s">
        <v>119</v>
      </c>
      <c r="P58" s="117"/>
      <c r="Q58" s="118"/>
      <c r="R58" s="117"/>
      <c r="S58" s="118" t="s">
        <v>119</v>
      </c>
      <c r="T58" s="119">
        <f>11.92</f>
        <v>11.92</v>
      </c>
      <c r="U58" s="120" t="str">
        <f>"－"</f>
        <v>－</v>
      </c>
      <c r="V58" s="120"/>
      <c r="W58" s="120"/>
      <c r="X58" s="120" t="str">
        <f>"－"</f>
        <v>－</v>
      </c>
      <c r="Y58" s="120"/>
      <c r="Z58" s="121"/>
      <c r="AA58" s="117"/>
      <c r="AB58" s="122" t="str">
        <f>"－"</f>
        <v>－</v>
      </c>
      <c r="AC58" s="122" t="str">
        <f t="shared" si="4"/>
        <v>－</v>
      </c>
      <c r="AD58" s="123" t="str">
        <f>"－"</f>
        <v>－</v>
      </c>
    </row>
    <row r="59" spans="1:30">
      <c r="A59" s="113" t="s">
        <v>46</v>
      </c>
      <c r="B59" s="114" t="s">
        <v>593</v>
      </c>
      <c r="C59" s="114" t="s">
        <v>594</v>
      </c>
      <c r="D59" s="114" t="s">
        <v>46</v>
      </c>
      <c r="E59" s="115" t="s">
        <v>558</v>
      </c>
      <c r="F59" s="115" t="s">
        <v>559</v>
      </c>
      <c r="G59" s="116">
        <v>74400</v>
      </c>
      <c r="H59" s="117"/>
      <c r="I59" s="118" t="s">
        <v>119</v>
      </c>
      <c r="J59" s="117"/>
      <c r="K59" s="118" t="s">
        <v>119</v>
      </c>
      <c r="L59" s="117"/>
      <c r="M59" s="118"/>
      <c r="N59" s="117"/>
      <c r="O59" s="118" t="s">
        <v>119</v>
      </c>
      <c r="P59" s="117"/>
      <c r="Q59" s="118"/>
      <c r="R59" s="117"/>
      <c r="S59" s="118" t="s">
        <v>119</v>
      </c>
      <c r="T59" s="119">
        <f>23.84</f>
        <v>23.84</v>
      </c>
      <c r="U59" s="120" t="str">
        <f>"－"</f>
        <v>－</v>
      </c>
      <c r="V59" s="120"/>
      <c r="W59" s="120"/>
      <c r="X59" s="120" t="str">
        <f>"－"</f>
        <v>－</v>
      </c>
      <c r="Y59" s="120"/>
      <c r="Z59" s="121"/>
      <c r="AA59" s="117" t="s">
        <v>231</v>
      </c>
      <c r="AB59" s="122">
        <f>250</f>
        <v>250</v>
      </c>
      <c r="AC59" s="122" t="str">
        <f t="shared" si="4"/>
        <v>－</v>
      </c>
      <c r="AD59" s="123" t="str">
        <f>"－"</f>
        <v>－</v>
      </c>
    </row>
    <row r="60" spans="1:30">
      <c r="A60" s="113" t="s">
        <v>46</v>
      </c>
      <c r="B60" s="114" t="s">
        <v>593</v>
      </c>
      <c r="C60" s="114" t="s">
        <v>594</v>
      </c>
      <c r="D60" s="114" t="s">
        <v>49</v>
      </c>
      <c r="E60" s="115" t="s">
        <v>562</v>
      </c>
      <c r="F60" s="115" t="s">
        <v>446</v>
      </c>
      <c r="G60" s="116">
        <v>67200</v>
      </c>
      <c r="H60" s="117"/>
      <c r="I60" s="118" t="s">
        <v>119</v>
      </c>
      <c r="J60" s="117"/>
      <c r="K60" s="118" t="s">
        <v>119</v>
      </c>
      <c r="L60" s="117" t="s">
        <v>219</v>
      </c>
      <c r="M60" s="118" t="s">
        <v>595</v>
      </c>
      <c r="N60" s="117"/>
      <c r="O60" s="118" t="s">
        <v>119</v>
      </c>
      <c r="P60" s="117" t="s">
        <v>219</v>
      </c>
      <c r="Q60" s="118" t="s">
        <v>595</v>
      </c>
      <c r="R60" s="117"/>
      <c r="S60" s="118" t="s">
        <v>119</v>
      </c>
      <c r="T60" s="119">
        <f>23.4</f>
        <v>23.4</v>
      </c>
      <c r="U60" s="120">
        <f>30</f>
        <v>30</v>
      </c>
      <c r="V60" s="120">
        <v>30</v>
      </c>
      <c r="W60" s="120"/>
      <c r="X60" s="120">
        <f>46368000</f>
        <v>46368000</v>
      </c>
      <c r="Y60" s="120">
        <v>46368000</v>
      </c>
      <c r="Z60" s="121"/>
      <c r="AA60" s="117"/>
      <c r="AB60" s="122">
        <f>184</f>
        <v>184</v>
      </c>
      <c r="AC60" s="122" t="str">
        <f t="shared" si="4"/>
        <v>－</v>
      </c>
      <c r="AD60" s="123" t="str">
        <f>"－"</f>
        <v>－</v>
      </c>
    </row>
    <row r="61" spans="1:30">
      <c r="A61" s="113" t="s">
        <v>46</v>
      </c>
      <c r="B61" s="114" t="s">
        <v>593</v>
      </c>
      <c r="C61" s="114" t="s">
        <v>594</v>
      </c>
      <c r="D61" s="114" t="s">
        <v>237</v>
      </c>
      <c r="E61" s="115" t="s">
        <v>568</v>
      </c>
      <c r="F61" s="115" t="s">
        <v>569</v>
      </c>
      <c r="G61" s="116">
        <v>74400</v>
      </c>
      <c r="H61" s="117" t="s">
        <v>333</v>
      </c>
      <c r="I61" s="118" t="s">
        <v>596</v>
      </c>
      <c r="J61" s="117" t="s">
        <v>333</v>
      </c>
      <c r="K61" s="118" t="s">
        <v>596</v>
      </c>
      <c r="L61" s="117"/>
      <c r="M61" s="118"/>
      <c r="N61" s="117" t="s">
        <v>333</v>
      </c>
      <c r="O61" s="118" t="s">
        <v>571</v>
      </c>
      <c r="P61" s="117"/>
      <c r="Q61" s="118"/>
      <c r="R61" s="117" t="s">
        <v>333</v>
      </c>
      <c r="S61" s="118" t="s">
        <v>571</v>
      </c>
      <c r="T61" s="119">
        <f>16.93</f>
        <v>16.93</v>
      </c>
      <c r="U61" s="120">
        <f>20</f>
        <v>20</v>
      </c>
      <c r="V61" s="120"/>
      <c r="W61" s="120"/>
      <c r="X61" s="120">
        <f>24700800</f>
        <v>24700800</v>
      </c>
      <c r="Y61" s="120"/>
      <c r="Z61" s="121"/>
      <c r="AA61" s="117"/>
      <c r="AB61" s="122">
        <f>68</f>
        <v>68</v>
      </c>
      <c r="AC61" s="122" t="str">
        <f t="shared" si="4"/>
        <v>－</v>
      </c>
      <c r="AD61" s="123">
        <f>1</f>
        <v>1</v>
      </c>
    </row>
    <row r="62" spans="1:30">
      <c r="A62" s="113" t="s">
        <v>46</v>
      </c>
      <c r="B62" s="114" t="s">
        <v>593</v>
      </c>
      <c r="C62" s="114" t="s">
        <v>594</v>
      </c>
      <c r="D62" s="114" t="s">
        <v>59</v>
      </c>
      <c r="E62" s="115" t="s">
        <v>572</v>
      </c>
      <c r="F62" s="115" t="s">
        <v>354</v>
      </c>
      <c r="G62" s="116">
        <v>72000</v>
      </c>
      <c r="H62" s="117"/>
      <c r="I62" s="118" t="s">
        <v>119</v>
      </c>
      <c r="J62" s="117"/>
      <c r="K62" s="118" t="s">
        <v>119</v>
      </c>
      <c r="L62" s="117" t="s">
        <v>176</v>
      </c>
      <c r="M62" s="118" t="s">
        <v>597</v>
      </c>
      <c r="N62" s="117"/>
      <c r="O62" s="118" t="s">
        <v>119</v>
      </c>
      <c r="P62" s="117" t="s">
        <v>176</v>
      </c>
      <c r="Q62" s="118" t="s">
        <v>597</v>
      </c>
      <c r="R62" s="117"/>
      <c r="S62" s="118" t="s">
        <v>119</v>
      </c>
      <c r="T62" s="119">
        <f>11.76</f>
        <v>11.76</v>
      </c>
      <c r="U62" s="120">
        <f>10</f>
        <v>10</v>
      </c>
      <c r="V62" s="120">
        <v>10</v>
      </c>
      <c r="W62" s="120"/>
      <c r="X62" s="120">
        <f>10476000</f>
        <v>10476000</v>
      </c>
      <c r="Y62" s="120">
        <v>10476000</v>
      </c>
      <c r="Z62" s="121"/>
      <c r="AA62" s="117"/>
      <c r="AB62" s="122">
        <f>10</f>
        <v>10</v>
      </c>
      <c r="AC62" s="122" t="str">
        <f t="shared" si="4"/>
        <v>－</v>
      </c>
      <c r="AD62" s="123" t="str">
        <f t="shared" si="4"/>
        <v>－</v>
      </c>
    </row>
    <row r="63" spans="1:30">
      <c r="A63" s="113" t="s">
        <v>46</v>
      </c>
      <c r="B63" s="114" t="s">
        <v>593</v>
      </c>
      <c r="C63" s="114" t="s">
        <v>594</v>
      </c>
      <c r="D63" s="114" t="s">
        <v>247</v>
      </c>
      <c r="E63" s="115" t="s">
        <v>573</v>
      </c>
      <c r="F63" s="115" t="s">
        <v>574</v>
      </c>
      <c r="G63" s="116">
        <v>74400</v>
      </c>
      <c r="H63" s="117"/>
      <c r="I63" s="118" t="s">
        <v>119</v>
      </c>
      <c r="J63" s="117"/>
      <c r="K63" s="118" t="s">
        <v>119</v>
      </c>
      <c r="L63" s="117" t="s">
        <v>176</v>
      </c>
      <c r="M63" s="118" t="s">
        <v>597</v>
      </c>
      <c r="N63" s="117"/>
      <c r="O63" s="118" t="s">
        <v>119</v>
      </c>
      <c r="P63" s="117" t="s">
        <v>176</v>
      </c>
      <c r="Q63" s="118" t="s">
        <v>597</v>
      </c>
      <c r="R63" s="117"/>
      <c r="S63" s="118" t="s">
        <v>119</v>
      </c>
      <c r="T63" s="119">
        <f>11.67</f>
        <v>11.67</v>
      </c>
      <c r="U63" s="120">
        <f>10</f>
        <v>10</v>
      </c>
      <c r="V63" s="120">
        <v>10</v>
      </c>
      <c r="W63" s="120"/>
      <c r="X63" s="120">
        <f>10825200</f>
        <v>10825200</v>
      </c>
      <c r="Y63" s="120">
        <v>10825200</v>
      </c>
      <c r="Z63" s="121"/>
      <c r="AA63" s="117"/>
      <c r="AB63" s="122">
        <f>10</f>
        <v>10</v>
      </c>
      <c r="AC63" s="122" t="str">
        <f t="shared" si="4"/>
        <v>－</v>
      </c>
      <c r="AD63" s="123" t="str">
        <f t="shared" si="4"/>
        <v>－</v>
      </c>
    </row>
    <row r="64" spans="1:30">
      <c r="A64" s="113" t="s">
        <v>46</v>
      </c>
      <c r="B64" s="114" t="s">
        <v>593</v>
      </c>
      <c r="C64" s="114" t="s">
        <v>594</v>
      </c>
      <c r="D64" s="114" t="s">
        <v>68</v>
      </c>
      <c r="E64" s="115" t="s">
        <v>575</v>
      </c>
      <c r="F64" s="115" t="s">
        <v>576</v>
      </c>
      <c r="G64" s="116">
        <v>72000</v>
      </c>
      <c r="H64" s="117"/>
      <c r="I64" s="118" t="s">
        <v>119</v>
      </c>
      <c r="J64" s="117"/>
      <c r="K64" s="118" t="s">
        <v>119</v>
      </c>
      <c r="L64" s="117" t="s">
        <v>176</v>
      </c>
      <c r="M64" s="118" t="s">
        <v>597</v>
      </c>
      <c r="N64" s="117"/>
      <c r="O64" s="118" t="s">
        <v>119</v>
      </c>
      <c r="P64" s="117" t="s">
        <v>176</v>
      </c>
      <c r="Q64" s="118" t="s">
        <v>597</v>
      </c>
      <c r="R64" s="117"/>
      <c r="S64" s="118" t="s">
        <v>119</v>
      </c>
      <c r="T64" s="119">
        <f>12.21</f>
        <v>12.21</v>
      </c>
      <c r="U64" s="120">
        <f>10</f>
        <v>10</v>
      </c>
      <c r="V64" s="120">
        <v>10</v>
      </c>
      <c r="W64" s="120"/>
      <c r="X64" s="120">
        <f>10476000</f>
        <v>10476000</v>
      </c>
      <c r="Y64" s="120">
        <v>10476000</v>
      </c>
      <c r="Z64" s="121"/>
      <c r="AA64" s="117"/>
      <c r="AB64" s="122">
        <f>10</f>
        <v>10</v>
      </c>
      <c r="AC64" s="122" t="str">
        <f t="shared" si="4"/>
        <v>－</v>
      </c>
      <c r="AD64" s="123" t="str">
        <f t="shared" si="4"/>
        <v>－</v>
      </c>
    </row>
    <row r="65" spans="1:30">
      <c r="A65" s="113" t="s">
        <v>46</v>
      </c>
      <c r="B65" s="114" t="s">
        <v>593</v>
      </c>
      <c r="C65" s="114" t="s">
        <v>594</v>
      </c>
      <c r="D65" s="114" t="s">
        <v>260</v>
      </c>
      <c r="E65" s="115" t="s">
        <v>577</v>
      </c>
      <c r="F65" s="115" t="s">
        <v>361</v>
      </c>
      <c r="G65" s="116">
        <v>74400</v>
      </c>
      <c r="H65" s="117"/>
      <c r="I65" s="118" t="s">
        <v>119</v>
      </c>
      <c r="J65" s="117"/>
      <c r="K65" s="118" t="s">
        <v>119</v>
      </c>
      <c r="L65" s="117" t="s">
        <v>176</v>
      </c>
      <c r="M65" s="118" t="s">
        <v>597</v>
      </c>
      <c r="N65" s="117"/>
      <c r="O65" s="118" t="s">
        <v>119</v>
      </c>
      <c r="P65" s="117" t="s">
        <v>176</v>
      </c>
      <c r="Q65" s="118" t="s">
        <v>597</v>
      </c>
      <c r="R65" s="117"/>
      <c r="S65" s="118" t="s">
        <v>119</v>
      </c>
      <c r="T65" s="119">
        <f>13.53</f>
        <v>13.53</v>
      </c>
      <c r="U65" s="120">
        <f>10</f>
        <v>10</v>
      </c>
      <c r="V65" s="120">
        <v>10</v>
      </c>
      <c r="W65" s="120"/>
      <c r="X65" s="120">
        <f>10825200</f>
        <v>10825200</v>
      </c>
      <c r="Y65" s="120">
        <v>10825200</v>
      </c>
      <c r="Z65" s="121"/>
      <c r="AA65" s="117"/>
      <c r="AB65" s="122">
        <f>10</f>
        <v>10</v>
      </c>
      <c r="AC65" s="122" t="str">
        <f t="shared" si="4"/>
        <v>－</v>
      </c>
      <c r="AD65" s="123" t="str">
        <f t="shared" si="4"/>
        <v>－</v>
      </c>
    </row>
    <row r="66" spans="1:30">
      <c r="A66" s="113" t="s">
        <v>46</v>
      </c>
      <c r="B66" s="114" t="s">
        <v>593</v>
      </c>
      <c r="C66" s="114" t="s">
        <v>594</v>
      </c>
      <c r="D66" s="114" t="s">
        <v>74</v>
      </c>
      <c r="E66" s="115" t="s">
        <v>578</v>
      </c>
      <c r="F66" s="115" t="s">
        <v>579</v>
      </c>
      <c r="G66" s="116">
        <v>74400</v>
      </c>
      <c r="H66" s="117"/>
      <c r="I66" s="118" t="s">
        <v>119</v>
      </c>
      <c r="J66" s="117"/>
      <c r="K66" s="118" t="s">
        <v>119</v>
      </c>
      <c r="L66" s="117" t="s">
        <v>176</v>
      </c>
      <c r="M66" s="118" t="s">
        <v>597</v>
      </c>
      <c r="N66" s="117"/>
      <c r="O66" s="118" t="s">
        <v>119</v>
      </c>
      <c r="P66" s="117" t="s">
        <v>176</v>
      </c>
      <c r="Q66" s="118" t="s">
        <v>597</v>
      </c>
      <c r="R66" s="117"/>
      <c r="S66" s="118" t="s">
        <v>119</v>
      </c>
      <c r="T66" s="119">
        <f>14.56</f>
        <v>14.56</v>
      </c>
      <c r="U66" s="120">
        <f>10</f>
        <v>10</v>
      </c>
      <c r="V66" s="120">
        <v>10</v>
      </c>
      <c r="W66" s="120"/>
      <c r="X66" s="120">
        <f>10825200</f>
        <v>10825200</v>
      </c>
      <c r="Y66" s="120">
        <v>10825200</v>
      </c>
      <c r="Z66" s="121"/>
      <c r="AA66" s="117"/>
      <c r="AB66" s="122">
        <f>10</f>
        <v>10</v>
      </c>
      <c r="AC66" s="122" t="str">
        <f t="shared" si="4"/>
        <v>－</v>
      </c>
      <c r="AD66" s="123" t="str">
        <f t="shared" si="4"/>
        <v>－</v>
      </c>
    </row>
    <row r="67" spans="1:30">
      <c r="A67" s="113" t="s">
        <v>46</v>
      </c>
      <c r="B67" s="114" t="s">
        <v>593</v>
      </c>
      <c r="C67" s="114" t="s">
        <v>594</v>
      </c>
      <c r="D67" s="114" t="s">
        <v>315</v>
      </c>
      <c r="E67" s="115" t="s">
        <v>580</v>
      </c>
      <c r="F67" s="115" t="s">
        <v>581</v>
      </c>
      <c r="G67" s="116">
        <v>72000</v>
      </c>
      <c r="H67" s="117"/>
      <c r="I67" s="118" t="s">
        <v>119</v>
      </c>
      <c r="J67" s="117"/>
      <c r="K67" s="118" t="s">
        <v>119</v>
      </c>
      <c r="L67" s="117" t="s">
        <v>176</v>
      </c>
      <c r="M67" s="118" t="s">
        <v>597</v>
      </c>
      <c r="N67" s="117"/>
      <c r="O67" s="118" t="s">
        <v>119</v>
      </c>
      <c r="P67" s="117" t="s">
        <v>176</v>
      </c>
      <c r="Q67" s="118" t="s">
        <v>597</v>
      </c>
      <c r="R67" s="117"/>
      <c r="S67" s="118" t="s">
        <v>119</v>
      </c>
      <c r="T67" s="119">
        <f>12.82</f>
        <v>12.82</v>
      </c>
      <c r="U67" s="120">
        <f>10</f>
        <v>10</v>
      </c>
      <c r="V67" s="120">
        <v>10</v>
      </c>
      <c r="W67" s="120"/>
      <c r="X67" s="120">
        <f>10476000</f>
        <v>10476000</v>
      </c>
      <c r="Y67" s="120">
        <v>10476000</v>
      </c>
      <c r="Z67" s="121"/>
      <c r="AA67" s="117"/>
      <c r="AB67" s="122">
        <f>10</f>
        <v>10</v>
      </c>
      <c r="AC67" s="122" t="str">
        <f t="shared" si="4"/>
        <v>－</v>
      </c>
      <c r="AD67" s="123" t="str">
        <f t="shared" si="4"/>
        <v>－</v>
      </c>
    </row>
    <row r="68" spans="1:30">
      <c r="A68" s="113" t="s">
        <v>46</v>
      </c>
      <c r="B68" s="114" t="s">
        <v>593</v>
      </c>
      <c r="C68" s="114" t="s">
        <v>594</v>
      </c>
      <c r="D68" s="114" t="s">
        <v>81</v>
      </c>
      <c r="E68" s="115" t="s">
        <v>345</v>
      </c>
      <c r="F68" s="115" t="s">
        <v>582</v>
      </c>
      <c r="G68" s="116">
        <v>74400</v>
      </c>
      <c r="H68" s="117"/>
      <c r="I68" s="118" t="s">
        <v>119</v>
      </c>
      <c r="J68" s="117"/>
      <c r="K68" s="118" t="s">
        <v>119</v>
      </c>
      <c r="L68" s="117" t="s">
        <v>176</v>
      </c>
      <c r="M68" s="118" t="s">
        <v>597</v>
      </c>
      <c r="N68" s="117"/>
      <c r="O68" s="118" t="s">
        <v>119</v>
      </c>
      <c r="P68" s="117" t="s">
        <v>176</v>
      </c>
      <c r="Q68" s="118" t="s">
        <v>597</v>
      </c>
      <c r="R68" s="117"/>
      <c r="S68" s="118" t="s">
        <v>119</v>
      </c>
      <c r="T68" s="119">
        <f>11.18</f>
        <v>11.18</v>
      </c>
      <c r="U68" s="120">
        <f>10</f>
        <v>10</v>
      </c>
      <c r="V68" s="120">
        <v>10</v>
      </c>
      <c r="W68" s="120"/>
      <c r="X68" s="120">
        <f>10825200</f>
        <v>10825200</v>
      </c>
      <c r="Y68" s="120">
        <v>10825200</v>
      </c>
      <c r="Z68" s="121"/>
      <c r="AA68" s="117"/>
      <c r="AB68" s="122">
        <f>10</f>
        <v>10</v>
      </c>
      <c r="AC68" s="122" t="str">
        <f t="shared" si="4"/>
        <v>－</v>
      </c>
      <c r="AD68" s="123" t="str">
        <f t="shared" si="4"/>
        <v>－</v>
      </c>
    </row>
    <row r="69" spans="1:30">
      <c r="A69" s="113" t="s">
        <v>46</v>
      </c>
      <c r="B69" s="114" t="s">
        <v>593</v>
      </c>
      <c r="C69" s="114" t="s">
        <v>594</v>
      </c>
      <c r="D69" s="114" t="s">
        <v>325</v>
      </c>
      <c r="E69" s="115" t="s">
        <v>583</v>
      </c>
      <c r="F69" s="115" t="s">
        <v>584</v>
      </c>
      <c r="G69" s="116">
        <v>72000</v>
      </c>
      <c r="H69" s="117"/>
      <c r="I69" s="118" t="s">
        <v>119</v>
      </c>
      <c r="J69" s="117"/>
      <c r="K69" s="118" t="s">
        <v>119</v>
      </c>
      <c r="L69" s="117" t="s">
        <v>176</v>
      </c>
      <c r="M69" s="118" t="s">
        <v>597</v>
      </c>
      <c r="N69" s="117"/>
      <c r="O69" s="118" t="s">
        <v>119</v>
      </c>
      <c r="P69" s="117" t="s">
        <v>176</v>
      </c>
      <c r="Q69" s="118" t="s">
        <v>597</v>
      </c>
      <c r="R69" s="117"/>
      <c r="S69" s="118" t="s">
        <v>119</v>
      </c>
      <c r="T69" s="119">
        <f>11.53</f>
        <v>11.53</v>
      </c>
      <c r="U69" s="120">
        <f>10</f>
        <v>10</v>
      </c>
      <c r="V69" s="120">
        <v>10</v>
      </c>
      <c r="W69" s="120"/>
      <c r="X69" s="120">
        <f>10476000</f>
        <v>10476000</v>
      </c>
      <c r="Y69" s="120">
        <v>10476000</v>
      </c>
      <c r="Z69" s="121"/>
      <c r="AA69" s="117"/>
      <c r="AB69" s="122">
        <f>10</f>
        <v>10</v>
      </c>
      <c r="AC69" s="122" t="str">
        <f t="shared" si="4"/>
        <v>－</v>
      </c>
      <c r="AD69" s="123" t="str">
        <f t="shared" si="4"/>
        <v>－</v>
      </c>
    </row>
    <row r="70" spans="1:30">
      <c r="A70" s="113" t="s">
        <v>46</v>
      </c>
      <c r="B70" s="114" t="s">
        <v>593</v>
      </c>
      <c r="C70" s="114" t="s">
        <v>594</v>
      </c>
      <c r="D70" s="114" t="s">
        <v>86</v>
      </c>
      <c r="E70" s="115" t="s">
        <v>585</v>
      </c>
      <c r="F70" s="115" t="s">
        <v>369</v>
      </c>
      <c r="G70" s="116">
        <v>74400</v>
      </c>
      <c r="H70" s="117"/>
      <c r="I70" s="118" t="s">
        <v>119</v>
      </c>
      <c r="J70" s="117"/>
      <c r="K70" s="118" t="s">
        <v>119</v>
      </c>
      <c r="L70" s="117" t="s">
        <v>176</v>
      </c>
      <c r="M70" s="118" t="s">
        <v>597</v>
      </c>
      <c r="N70" s="117"/>
      <c r="O70" s="118" t="s">
        <v>119</v>
      </c>
      <c r="P70" s="117" t="s">
        <v>176</v>
      </c>
      <c r="Q70" s="118" t="s">
        <v>597</v>
      </c>
      <c r="R70" s="117"/>
      <c r="S70" s="118" t="s">
        <v>119</v>
      </c>
      <c r="T70" s="119">
        <f>14.86</f>
        <v>14.86</v>
      </c>
      <c r="U70" s="120">
        <f>10</f>
        <v>10</v>
      </c>
      <c r="V70" s="120">
        <v>10</v>
      </c>
      <c r="W70" s="120"/>
      <c r="X70" s="120">
        <f>10825200</f>
        <v>10825200</v>
      </c>
      <c r="Y70" s="120">
        <v>10825200</v>
      </c>
      <c r="Z70" s="121"/>
      <c r="AA70" s="117"/>
      <c r="AB70" s="122">
        <f>10</f>
        <v>10</v>
      </c>
      <c r="AC70" s="122" t="str">
        <f t="shared" si="4"/>
        <v>－</v>
      </c>
      <c r="AD70" s="123" t="str">
        <f t="shared" si="4"/>
        <v>－</v>
      </c>
    </row>
    <row r="71" spans="1:30">
      <c r="A71" s="113" t="s">
        <v>46</v>
      </c>
      <c r="B71" s="114" t="s">
        <v>593</v>
      </c>
      <c r="C71" s="114" t="s">
        <v>594</v>
      </c>
      <c r="D71" s="114" t="s">
        <v>337</v>
      </c>
      <c r="E71" s="115" t="s">
        <v>365</v>
      </c>
      <c r="F71" s="115" t="s">
        <v>586</v>
      </c>
      <c r="G71" s="116">
        <v>74400</v>
      </c>
      <c r="H71" s="117"/>
      <c r="I71" s="118" t="s">
        <v>119</v>
      </c>
      <c r="J71" s="117"/>
      <c r="K71" s="118" t="s">
        <v>119</v>
      </c>
      <c r="L71" s="117" t="s">
        <v>176</v>
      </c>
      <c r="M71" s="118" t="s">
        <v>597</v>
      </c>
      <c r="N71" s="117"/>
      <c r="O71" s="118" t="s">
        <v>119</v>
      </c>
      <c r="P71" s="117" t="s">
        <v>176</v>
      </c>
      <c r="Q71" s="118" t="s">
        <v>597</v>
      </c>
      <c r="R71" s="117"/>
      <c r="S71" s="118" t="s">
        <v>119</v>
      </c>
      <c r="T71" s="119">
        <f>16.14</f>
        <v>16.14</v>
      </c>
      <c r="U71" s="120">
        <f>10</f>
        <v>10</v>
      </c>
      <c r="V71" s="120">
        <v>10</v>
      </c>
      <c r="W71" s="120"/>
      <c r="X71" s="120">
        <f>10825200</f>
        <v>10825200</v>
      </c>
      <c r="Y71" s="120">
        <v>10825200</v>
      </c>
      <c r="Z71" s="121"/>
      <c r="AA71" s="117"/>
      <c r="AB71" s="122">
        <f>10</f>
        <v>10</v>
      </c>
      <c r="AC71" s="122" t="str">
        <f t="shared" ref="AC71:AD102" si="7">"－"</f>
        <v>－</v>
      </c>
      <c r="AD71" s="123" t="str">
        <f t="shared" si="7"/>
        <v>－</v>
      </c>
    </row>
    <row r="72" spans="1:30">
      <c r="A72" s="113" t="s">
        <v>46</v>
      </c>
      <c r="B72" s="114" t="s">
        <v>593</v>
      </c>
      <c r="C72" s="114" t="s">
        <v>594</v>
      </c>
      <c r="D72" s="114" t="s">
        <v>545</v>
      </c>
      <c r="E72" s="115" t="s">
        <v>587</v>
      </c>
      <c r="F72" s="115" t="s">
        <v>588</v>
      </c>
      <c r="G72" s="116">
        <v>67200</v>
      </c>
      <c r="H72" s="117"/>
      <c r="I72" s="118" t="s">
        <v>119</v>
      </c>
      <c r="J72" s="117"/>
      <c r="K72" s="118" t="s">
        <v>119</v>
      </c>
      <c r="L72" s="117" t="s">
        <v>176</v>
      </c>
      <c r="M72" s="118" t="s">
        <v>597</v>
      </c>
      <c r="N72" s="117"/>
      <c r="O72" s="118" t="s">
        <v>119</v>
      </c>
      <c r="P72" s="117" t="s">
        <v>176</v>
      </c>
      <c r="Q72" s="118" t="s">
        <v>597</v>
      </c>
      <c r="R72" s="117"/>
      <c r="S72" s="118" t="s">
        <v>119</v>
      </c>
      <c r="T72" s="119">
        <f>15.78</f>
        <v>15.78</v>
      </c>
      <c r="U72" s="120">
        <f>10</f>
        <v>10</v>
      </c>
      <c r="V72" s="120">
        <v>10</v>
      </c>
      <c r="W72" s="120"/>
      <c r="X72" s="120">
        <f>9777600</f>
        <v>9777600</v>
      </c>
      <c r="Y72" s="120">
        <v>9777600</v>
      </c>
      <c r="Z72" s="121"/>
      <c r="AA72" s="117"/>
      <c r="AB72" s="122">
        <f>10</f>
        <v>10</v>
      </c>
      <c r="AC72" s="122" t="str">
        <f t="shared" si="7"/>
        <v>－</v>
      </c>
      <c r="AD72" s="123" t="str">
        <f t="shared" si="7"/>
        <v>－</v>
      </c>
    </row>
    <row r="73" spans="1:30">
      <c r="A73" s="113" t="s">
        <v>46</v>
      </c>
      <c r="B73" s="114" t="s">
        <v>593</v>
      </c>
      <c r="C73" s="114" t="s">
        <v>594</v>
      </c>
      <c r="D73" s="114" t="s">
        <v>551</v>
      </c>
      <c r="E73" s="115" t="s">
        <v>227</v>
      </c>
      <c r="F73" s="115" t="s">
        <v>590</v>
      </c>
      <c r="G73" s="116">
        <v>74400</v>
      </c>
      <c r="H73" s="117"/>
      <c r="I73" s="118" t="s">
        <v>119</v>
      </c>
      <c r="J73" s="117"/>
      <c r="K73" s="118" t="s">
        <v>119</v>
      </c>
      <c r="L73" s="117" t="s">
        <v>176</v>
      </c>
      <c r="M73" s="118" t="s">
        <v>597</v>
      </c>
      <c r="N73" s="117"/>
      <c r="O73" s="118" t="s">
        <v>119</v>
      </c>
      <c r="P73" s="117" t="s">
        <v>176</v>
      </c>
      <c r="Q73" s="118" t="s">
        <v>597</v>
      </c>
      <c r="R73" s="117"/>
      <c r="S73" s="118" t="s">
        <v>119</v>
      </c>
      <c r="T73" s="119">
        <f>13.51</f>
        <v>13.51</v>
      </c>
      <c r="U73" s="120">
        <f>10</f>
        <v>10</v>
      </c>
      <c r="V73" s="120">
        <v>10</v>
      </c>
      <c r="W73" s="120"/>
      <c r="X73" s="120">
        <f>10825200</f>
        <v>10825200</v>
      </c>
      <c r="Y73" s="120">
        <v>10825200</v>
      </c>
      <c r="Z73" s="121"/>
      <c r="AA73" s="117"/>
      <c r="AB73" s="122">
        <f>10</f>
        <v>10</v>
      </c>
      <c r="AC73" s="122" t="str">
        <f t="shared" si="7"/>
        <v>－</v>
      </c>
      <c r="AD73" s="123" t="str">
        <f t="shared" si="7"/>
        <v>－</v>
      </c>
    </row>
    <row r="74" spans="1:30">
      <c r="A74" s="113" t="s">
        <v>46</v>
      </c>
      <c r="B74" s="114" t="s">
        <v>593</v>
      </c>
      <c r="C74" s="114" t="s">
        <v>594</v>
      </c>
      <c r="D74" s="114" t="s">
        <v>591</v>
      </c>
      <c r="E74" s="115" t="s">
        <v>346</v>
      </c>
      <c r="F74" s="115" t="s">
        <v>592</v>
      </c>
      <c r="G74" s="116">
        <v>72000</v>
      </c>
      <c r="H74" s="117"/>
      <c r="I74" s="118" t="s">
        <v>119</v>
      </c>
      <c r="J74" s="117"/>
      <c r="K74" s="118" t="s">
        <v>119</v>
      </c>
      <c r="L74" s="117"/>
      <c r="M74" s="118"/>
      <c r="N74" s="117"/>
      <c r="O74" s="118" t="s">
        <v>119</v>
      </c>
      <c r="P74" s="117"/>
      <c r="Q74" s="118"/>
      <c r="R74" s="117"/>
      <c r="S74" s="118" t="s">
        <v>119</v>
      </c>
      <c r="T74" s="119">
        <f>10.88</f>
        <v>10.88</v>
      </c>
      <c r="U74" s="120" t="str">
        <f>"－"</f>
        <v>－</v>
      </c>
      <c r="V74" s="120"/>
      <c r="W74" s="120"/>
      <c r="X74" s="120" t="str">
        <f>"－"</f>
        <v>－</v>
      </c>
      <c r="Y74" s="120"/>
      <c r="Z74" s="121"/>
      <c r="AA74" s="117"/>
      <c r="AB74" s="122" t="str">
        <f>"－"</f>
        <v>－</v>
      </c>
      <c r="AC74" s="122" t="str">
        <f t="shared" si="7"/>
        <v>－</v>
      </c>
      <c r="AD74" s="123" t="str">
        <f t="shared" si="7"/>
        <v>－</v>
      </c>
    </row>
    <row r="75" spans="1:30">
      <c r="A75" s="113" t="s">
        <v>46</v>
      </c>
      <c r="B75" s="114" t="s">
        <v>598</v>
      </c>
      <c r="C75" s="114" t="s">
        <v>599</v>
      </c>
      <c r="D75" s="114" t="s">
        <v>46</v>
      </c>
      <c r="E75" s="115" t="s">
        <v>600</v>
      </c>
      <c r="F75" s="115" t="s">
        <v>559</v>
      </c>
      <c r="G75" s="116">
        <v>22800</v>
      </c>
      <c r="H75" s="117"/>
      <c r="I75" s="118" t="s">
        <v>119</v>
      </c>
      <c r="J75" s="117"/>
      <c r="K75" s="118" t="s">
        <v>119</v>
      </c>
      <c r="L75" s="117"/>
      <c r="M75" s="118"/>
      <c r="N75" s="117"/>
      <c r="O75" s="118" t="s">
        <v>119</v>
      </c>
      <c r="P75" s="117"/>
      <c r="Q75" s="118"/>
      <c r="R75" s="117"/>
      <c r="S75" s="118" t="s">
        <v>119</v>
      </c>
      <c r="T75" s="119">
        <f>32.59</f>
        <v>32.590000000000003</v>
      </c>
      <c r="U75" s="120" t="str">
        <f>"－"</f>
        <v>－</v>
      </c>
      <c r="V75" s="120"/>
      <c r="W75" s="120"/>
      <c r="X75" s="120" t="str">
        <f>"－"</f>
        <v>－</v>
      </c>
      <c r="Y75" s="120"/>
      <c r="Z75" s="121"/>
      <c r="AA75" s="117" t="s">
        <v>231</v>
      </c>
      <c r="AB75" s="122">
        <f>162</f>
        <v>162</v>
      </c>
      <c r="AC75" s="122" t="str">
        <f t="shared" si="7"/>
        <v>－</v>
      </c>
      <c r="AD75" s="123" t="str">
        <f t="shared" si="7"/>
        <v>－</v>
      </c>
    </row>
    <row r="76" spans="1:30">
      <c r="A76" s="113" t="s">
        <v>46</v>
      </c>
      <c r="B76" s="114" t="s">
        <v>598</v>
      </c>
      <c r="C76" s="114" t="s">
        <v>599</v>
      </c>
      <c r="D76" s="114" t="s">
        <v>49</v>
      </c>
      <c r="E76" s="115" t="s">
        <v>562</v>
      </c>
      <c r="F76" s="115" t="s">
        <v>446</v>
      </c>
      <c r="G76" s="116">
        <v>21600</v>
      </c>
      <c r="H76" s="117" t="s">
        <v>145</v>
      </c>
      <c r="I76" s="118" t="s">
        <v>601</v>
      </c>
      <c r="J76" s="117" t="s">
        <v>179</v>
      </c>
      <c r="K76" s="118" t="s">
        <v>602</v>
      </c>
      <c r="L76" s="117"/>
      <c r="M76" s="118"/>
      <c r="N76" s="117" t="s">
        <v>145</v>
      </c>
      <c r="O76" s="118" t="s">
        <v>601</v>
      </c>
      <c r="P76" s="117"/>
      <c r="Q76" s="118"/>
      <c r="R76" s="117" t="s">
        <v>179</v>
      </c>
      <c r="S76" s="118" t="s">
        <v>602</v>
      </c>
      <c r="T76" s="119">
        <f>28.52</f>
        <v>28.52</v>
      </c>
      <c r="U76" s="120">
        <f>12</f>
        <v>12</v>
      </c>
      <c r="V76" s="120"/>
      <c r="W76" s="120"/>
      <c r="X76" s="120">
        <f>7398000</f>
        <v>7398000</v>
      </c>
      <c r="Y76" s="120"/>
      <c r="Z76" s="121"/>
      <c r="AA76" s="117"/>
      <c r="AB76" s="122">
        <f>176</f>
        <v>176</v>
      </c>
      <c r="AC76" s="122" t="str">
        <f t="shared" si="7"/>
        <v>－</v>
      </c>
      <c r="AD76" s="123">
        <f>2</f>
        <v>2</v>
      </c>
    </row>
    <row r="77" spans="1:30">
      <c r="A77" s="113" t="s">
        <v>46</v>
      </c>
      <c r="B77" s="114" t="s">
        <v>598</v>
      </c>
      <c r="C77" s="114" t="s">
        <v>599</v>
      </c>
      <c r="D77" s="114" t="s">
        <v>237</v>
      </c>
      <c r="E77" s="115" t="s">
        <v>603</v>
      </c>
      <c r="F77" s="115" t="s">
        <v>569</v>
      </c>
      <c r="G77" s="116">
        <v>26400</v>
      </c>
      <c r="H77" s="117"/>
      <c r="I77" s="118" t="s">
        <v>119</v>
      </c>
      <c r="J77" s="117"/>
      <c r="K77" s="118" t="s">
        <v>119</v>
      </c>
      <c r="L77" s="117"/>
      <c r="M77" s="118"/>
      <c r="N77" s="117"/>
      <c r="O77" s="118" t="s">
        <v>119</v>
      </c>
      <c r="P77" s="117"/>
      <c r="Q77" s="118"/>
      <c r="R77" s="117"/>
      <c r="S77" s="118" t="s">
        <v>119</v>
      </c>
      <c r="T77" s="119">
        <f>19.31</f>
        <v>19.309999999999999</v>
      </c>
      <c r="U77" s="120" t="str">
        <f t="shared" ref="U77:U86" si="8">"－"</f>
        <v>－</v>
      </c>
      <c r="V77" s="120"/>
      <c r="W77" s="120"/>
      <c r="X77" s="120" t="str">
        <f t="shared" ref="X77:X86" si="9">"－"</f>
        <v>－</v>
      </c>
      <c r="Y77" s="120"/>
      <c r="Z77" s="121"/>
      <c r="AA77" s="117"/>
      <c r="AB77" s="122">
        <f>100</f>
        <v>100</v>
      </c>
      <c r="AC77" s="122" t="str">
        <f t="shared" si="7"/>
        <v>－</v>
      </c>
      <c r="AD77" s="123" t="str">
        <f t="shared" si="7"/>
        <v>－</v>
      </c>
    </row>
    <row r="78" spans="1:30">
      <c r="A78" s="113" t="s">
        <v>46</v>
      </c>
      <c r="B78" s="114" t="s">
        <v>598</v>
      </c>
      <c r="C78" s="114" t="s">
        <v>599</v>
      </c>
      <c r="D78" s="114" t="s">
        <v>59</v>
      </c>
      <c r="E78" s="115" t="s">
        <v>604</v>
      </c>
      <c r="F78" s="115" t="s">
        <v>605</v>
      </c>
      <c r="G78" s="116">
        <v>24000</v>
      </c>
      <c r="H78" s="117"/>
      <c r="I78" s="118" t="s">
        <v>119</v>
      </c>
      <c r="J78" s="117"/>
      <c r="K78" s="118" t="s">
        <v>119</v>
      </c>
      <c r="L78" s="117"/>
      <c r="M78" s="118"/>
      <c r="N78" s="117"/>
      <c r="O78" s="118" t="s">
        <v>119</v>
      </c>
      <c r="P78" s="117"/>
      <c r="Q78" s="118"/>
      <c r="R78" s="117"/>
      <c r="S78" s="118" t="s">
        <v>119</v>
      </c>
      <c r="T78" s="119">
        <f>15.45</f>
        <v>15.45</v>
      </c>
      <c r="U78" s="120" t="str">
        <f t="shared" si="8"/>
        <v>－</v>
      </c>
      <c r="V78" s="120"/>
      <c r="W78" s="120"/>
      <c r="X78" s="120" t="str">
        <f t="shared" si="9"/>
        <v>－</v>
      </c>
      <c r="Y78" s="120"/>
      <c r="Z78" s="121"/>
      <c r="AA78" s="117"/>
      <c r="AB78" s="122" t="str">
        <f t="shared" ref="AB78:AB86" si="10">"－"</f>
        <v>－</v>
      </c>
      <c r="AC78" s="122" t="str">
        <f t="shared" si="7"/>
        <v>－</v>
      </c>
      <c r="AD78" s="123" t="str">
        <f t="shared" si="7"/>
        <v>－</v>
      </c>
    </row>
    <row r="79" spans="1:30">
      <c r="A79" s="113" t="s">
        <v>46</v>
      </c>
      <c r="B79" s="114" t="s">
        <v>598</v>
      </c>
      <c r="C79" s="114" t="s">
        <v>599</v>
      </c>
      <c r="D79" s="114" t="s">
        <v>247</v>
      </c>
      <c r="E79" s="115" t="s">
        <v>606</v>
      </c>
      <c r="F79" s="115" t="s">
        <v>574</v>
      </c>
      <c r="G79" s="116">
        <v>21600</v>
      </c>
      <c r="H79" s="117"/>
      <c r="I79" s="118" t="s">
        <v>119</v>
      </c>
      <c r="J79" s="117"/>
      <c r="K79" s="118" t="s">
        <v>119</v>
      </c>
      <c r="L79" s="117"/>
      <c r="M79" s="118"/>
      <c r="N79" s="117"/>
      <c r="O79" s="118" t="s">
        <v>119</v>
      </c>
      <c r="P79" s="117"/>
      <c r="Q79" s="118"/>
      <c r="R79" s="117"/>
      <c r="S79" s="118" t="s">
        <v>119</v>
      </c>
      <c r="T79" s="119">
        <f>15.76</f>
        <v>15.76</v>
      </c>
      <c r="U79" s="120" t="str">
        <f t="shared" si="8"/>
        <v>－</v>
      </c>
      <c r="V79" s="120"/>
      <c r="W79" s="120"/>
      <c r="X79" s="120" t="str">
        <f t="shared" si="9"/>
        <v>－</v>
      </c>
      <c r="Y79" s="120"/>
      <c r="Z79" s="121"/>
      <c r="AA79" s="117"/>
      <c r="AB79" s="122" t="str">
        <f t="shared" si="10"/>
        <v>－</v>
      </c>
      <c r="AC79" s="122" t="str">
        <f t="shared" si="7"/>
        <v>－</v>
      </c>
      <c r="AD79" s="123" t="str">
        <f t="shared" si="7"/>
        <v>－</v>
      </c>
    </row>
    <row r="80" spans="1:30">
      <c r="A80" s="113" t="s">
        <v>46</v>
      </c>
      <c r="B80" s="114" t="s">
        <v>598</v>
      </c>
      <c r="C80" s="114" t="s">
        <v>599</v>
      </c>
      <c r="D80" s="114" t="s">
        <v>68</v>
      </c>
      <c r="E80" s="115" t="s">
        <v>575</v>
      </c>
      <c r="F80" s="115" t="s">
        <v>576</v>
      </c>
      <c r="G80" s="116">
        <v>26400</v>
      </c>
      <c r="H80" s="117"/>
      <c r="I80" s="118" t="s">
        <v>119</v>
      </c>
      <c r="J80" s="117"/>
      <c r="K80" s="118" t="s">
        <v>119</v>
      </c>
      <c r="L80" s="117"/>
      <c r="M80" s="118"/>
      <c r="N80" s="117"/>
      <c r="O80" s="118" t="s">
        <v>119</v>
      </c>
      <c r="P80" s="117"/>
      <c r="Q80" s="118"/>
      <c r="R80" s="117"/>
      <c r="S80" s="118" t="s">
        <v>119</v>
      </c>
      <c r="T80" s="119">
        <f>16.49</f>
        <v>16.489999999999998</v>
      </c>
      <c r="U80" s="120" t="str">
        <f t="shared" si="8"/>
        <v>－</v>
      </c>
      <c r="V80" s="120"/>
      <c r="W80" s="120"/>
      <c r="X80" s="120" t="str">
        <f t="shared" si="9"/>
        <v>－</v>
      </c>
      <c r="Y80" s="120"/>
      <c r="Z80" s="121"/>
      <c r="AA80" s="117"/>
      <c r="AB80" s="122" t="str">
        <f t="shared" si="10"/>
        <v>－</v>
      </c>
      <c r="AC80" s="122" t="str">
        <f t="shared" si="7"/>
        <v>－</v>
      </c>
      <c r="AD80" s="123" t="str">
        <f t="shared" si="7"/>
        <v>－</v>
      </c>
    </row>
    <row r="81" spans="1:30">
      <c r="A81" s="113" t="s">
        <v>46</v>
      </c>
      <c r="B81" s="114" t="s">
        <v>598</v>
      </c>
      <c r="C81" s="114" t="s">
        <v>599</v>
      </c>
      <c r="D81" s="114" t="s">
        <v>260</v>
      </c>
      <c r="E81" s="115" t="s">
        <v>577</v>
      </c>
      <c r="F81" s="115" t="s">
        <v>607</v>
      </c>
      <c r="G81" s="116">
        <v>24000</v>
      </c>
      <c r="H81" s="117"/>
      <c r="I81" s="118" t="s">
        <v>119</v>
      </c>
      <c r="J81" s="117"/>
      <c r="K81" s="118" t="s">
        <v>119</v>
      </c>
      <c r="L81" s="117"/>
      <c r="M81" s="118"/>
      <c r="N81" s="117"/>
      <c r="O81" s="118" t="s">
        <v>119</v>
      </c>
      <c r="P81" s="117"/>
      <c r="Q81" s="118"/>
      <c r="R81" s="117"/>
      <c r="S81" s="118" t="s">
        <v>119</v>
      </c>
      <c r="T81" s="119">
        <f>18.38</f>
        <v>18.38</v>
      </c>
      <c r="U81" s="120" t="str">
        <f t="shared" si="8"/>
        <v>－</v>
      </c>
      <c r="V81" s="120"/>
      <c r="W81" s="120"/>
      <c r="X81" s="120" t="str">
        <f t="shared" si="9"/>
        <v>－</v>
      </c>
      <c r="Y81" s="120"/>
      <c r="Z81" s="121"/>
      <c r="AA81" s="117"/>
      <c r="AB81" s="122" t="str">
        <f t="shared" si="10"/>
        <v>－</v>
      </c>
      <c r="AC81" s="122" t="str">
        <f t="shared" si="7"/>
        <v>－</v>
      </c>
      <c r="AD81" s="123" t="str">
        <f t="shared" si="7"/>
        <v>－</v>
      </c>
    </row>
    <row r="82" spans="1:30">
      <c r="A82" s="113" t="s">
        <v>46</v>
      </c>
      <c r="B82" s="114" t="s">
        <v>598</v>
      </c>
      <c r="C82" s="114" t="s">
        <v>599</v>
      </c>
      <c r="D82" s="114" t="s">
        <v>74</v>
      </c>
      <c r="E82" s="115" t="s">
        <v>578</v>
      </c>
      <c r="F82" s="115" t="s">
        <v>579</v>
      </c>
      <c r="G82" s="116">
        <v>26400</v>
      </c>
      <c r="H82" s="117"/>
      <c r="I82" s="118" t="s">
        <v>119</v>
      </c>
      <c r="J82" s="117"/>
      <c r="K82" s="118" t="s">
        <v>119</v>
      </c>
      <c r="L82" s="117"/>
      <c r="M82" s="118"/>
      <c r="N82" s="117"/>
      <c r="O82" s="118" t="s">
        <v>119</v>
      </c>
      <c r="P82" s="117"/>
      <c r="Q82" s="118"/>
      <c r="R82" s="117"/>
      <c r="S82" s="118" t="s">
        <v>119</v>
      </c>
      <c r="T82" s="119">
        <f>20.65</f>
        <v>20.65</v>
      </c>
      <c r="U82" s="120" t="str">
        <f t="shared" si="8"/>
        <v>－</v>
      </c>
      <c r="V82" s="120"/>
      <c r="W82" s="120"/>
      <c r="X82" s="120" t="str">
        <f t="shared" si="9"/>
        <v>－</v>
      </c>
      <c r="Y82" s="120"/>
      <c r="Z82" s="121"/>
      <c r="AA82" s="117"/>
      <c r="AB82" s="122" t="str">
        <f t="shared" si="10"/>
        <v>－</v>
      </c>
      <c r="AC82" s="122" t="str">
        <f t="shared" si="7"/>
        <v>－</v>
      </c>
      <c r="AD82" s="123" t="str">
        <f t="shared" si="7"/>
        <v>－</v>
      </c>
    </row>
    <row r="83" spans="1:30">
      <c r="A83" s="113" t="s">
        <v>46</v>
      </c>
      <c r="B83" s="114" t="s">
        <v>598</v>
      </c>
      <c r="C83" s="114" t="s">
        <v>599</v>
      </c>
      <c r="D83" s="114" t="s">
        <v>315</v>
      </c>
      <c r="E83" s="115" t="s">
        <v>580</v>
      </c>
      <c r="F83" s="115" t="s">
        <v>581</v>
      </c>
      <c r="G83" s="116">
        <v>24000</v>
      </c>
      <c r="H83" s="117"/>
      <c r="I83" s="118" t="s">
        <v>119</v>
      </c>
      <c r="J83" s="117"/>
      <c r="K83" s="118" t="s">
        <v>119</v>
      </c>
      <c r="L83" s="117"/>
      <c r="M83" s="118"/>
      <c r="N83" s="117"/>
      <c r="O83" s="118" t="s">
        <v>119</v>
      </c>
      <c r="P83" s="117"/>
      <c r="Q83" s="118"/>
      <c r="R83" s="117"/>
      <c r="S83" s="118" t="s">
        <v>119</v>
      </c>
      <c r="T83" s="119">
        <f>17.27</f>
        <v>17.27</v>
      </c>
      <c r="U83" s="120" t="str">
        <f t="shared" si="8"/>
        <v>－</v>
      </c>
      <c r="V83" s="120"/>
      <c r="W83" s="120"/>
      <c r="X83" s="120" t="str">
        <f t="shared" si="9"/>
        <v>－</v>
      </c>
      <c r="Y83" s="120"/>
      <c r="Z83" s="121"/>
      <c r="AA83" s="117"/>
      <c r="AB83" s="122" t="str">
        <f t="shared" si="10"/>
        <v>－</v>
      </c>
      <c r="AC83" s="122" t="str">
        <f t="shared" si="7"/>
        <v>－</v>
      </c>
      <c r="AD83" s="123" t="str">
        <f t="shared" si="7"/>
        <v>－</v>
      </c>
    </row>
    <row r="84" spans="1:30">
      <c r="A84" s="113" t="s">
        <v>46</v>
      </c>
      <c r="B84" s="114" t="s">
        <v>598</v>
      </c>
      <c r="C84" s="114" t="s">
        <v>599</v>
      </c>
      <c r="D84" s="114" t="s">
        <v>81</v>
      </c>
      <c r="E84" s="115" t="s">
        <v>608</v>
      </c>
      <c r="F84" s="115" t="s">
        <v>582</v>
      </c>
      <c r="G84" s="116">
        <v>24000</v>
      </c>
      <c r="H84" s="117"/>
      <c r="I84" s="118" t="s">
        <v>119</v>
      </c>
      <c r="J84" s="117"/>
      <c r="K84" s="118" t="s">
        <v>119</v>
      </c>
      <c r="L84" s="117"/>
      <c r="M84" s="118"/>
      <c r="N84" s="117"/>
      <c r="O84" s="118" t="s">
        <v>119</v>
      </c>
      <c r="P84" s="117"/>
      <c r="Q84" s="118"/>
      <c r="R84" s="117"/>
      <c r="S84" s="118" t="s">
        <v>119</v>
      </c>
      <c r="T84" s="119">
        <f>13.62</f>
        <v>13.62</v>
      </c>
      <c r="U84" s="120" t="str">
        <f t="shared" si="8"/>
        <v>－</v>
      </c>
      <c r="V84" s="120"/>
      <c r="W84" s="120"/>
      <c r="X84" s="120" t="str">
        <f t="shared" si="9"/>
        <v>－</v>
      </c>
      <c r="Y84" s="120"/>
      <c r="Z84" s="121"/>
      <c r="AA84" s="117"/>
      <c r="AB84" s="122" t="str">
        <f t="shared" si="10"/>
        <v>－</v>
      </c>
      <c r="AC84" s="122" t="str">
        <f t="shared" si="7"/>
        <v>－</v>
      </c>
      <c r="AD84" s="123" t="str">
        <f t="shared" si="7"/>
        <v>－</v>
      </c>
    </row>
    <row r="85" spans="1:30">
      <c r="A85" s="113" t="s">
        <v>46</v>
      </c>
      <c r="B85" s="114" t="s">
        <v>598</v>
      </c>
      <c r="C85" s="114" t="s">
        <v>599</v>
      </c>
      <c r="D85" s="114" t="s">
        <v>325</v>
      </c>
      <c r="E85" s="115" t="s">
        <v>583</v>
      </c>
      <c r="F85" s="115" t="s">
        <v>584</v>
      </c>
      <c r="G85" s="116">
        <v>24000</v>
      </c>
      <c r="H85" s="117"/>
      <c r="I85" s="118" t="s">
        <v>119</v>
      </c>
      <c r="J85" s="117"/>
      <c r="K85" s="118" t="s">
        <v>119</v>
      </c>
      <c r="L85" s="117"/>
      <c r="M85" s="118"/>
      <c r="N85" s="117"/>
      <c r="O85" s="118" t="s">
        <v>119</v>
      </c>
      <c r="P85" s="117"/>
      <c r="Q85" s="118"/>
      <c r="R85" s="117"/>
      <c r="S85" s="118" t="s">
        <v>119</v>
      </c>
      <c r="T85" s="119">
        <f>13.78</f>
        <v>13.78</v>
      </c>
      <c r="U85" s="120" t="str">
        <f t="shared" si="8"/>
        <v>－</v>
      </c>
      <c r="V85" s="120"/>
      <c r="W85" s="120"/>
      <c r="X85" s="120" t="str">
        <f t="shared" si="9"/>
        <v>－</v>
      </c>
      <c r="Y85" s="120"/>
      <c r="Z85" s="121"/>
      <c r="AA85" s="117"/>
      <c r="AB85" s="122" t="str">
        <f t="shared" si="10"/>
        <v>－</v>
      </c>
      <c r="AC85" s="122" t="str">
        <f t="shared" si="7"/>
        <v>－</v>
      </c>
      <c r="AD85" s="123" t="str">
        <f t="shared" si="7"/>
        <v>－</v>
      </c>
    </row>
    <row r="86" spans="1:30">
      <c r="A86" s="113" t="s">
        <v>46</v>
      </c>
      <c r="B86" s="114" t="s">
        <v>598</v>
      </c>
      <c r="C86" s="114" t="s">
        <v>599</v>
      </c>
      <c r="D86" s="114" t="s">
        <v>86</v>
      </c>
      <c r="E86" s="115" t="s">
        <v>585</v>
      </c>
      <c r="F86" s="115" t="s">
        <v>609</v>
      </c>
      <c r="G86" s="116">
        <v>25200</v>
      </c>
      <c r="H86" s="117"/>
      <c r="I86" s="118" t="s">
        <v>119</v>
      </c>
      <c r="J86" s="117"/>
      <c r="K86" s="118" t="s">
        <v>119</v>
      </c>
      <c r="L86" s="117"/>
      <c r="M86" s="118"/>
      <c r="N86" s="117"/>
      <c r="O86" s="118" t="s">
        <v>119</v>
      </c>
      <c r="P86" s="117"/>
      <c r="Q86" s="118"/>
      <c r="R86" s="117"/>
      <c r="S86" s="118" t="s">
        <v>119</v>
      </c>
      <c r="T86" s="119">
        <f>16.44</f>
        <v>16.440000000000001</v>
      </c>
      <c r="U86" s="120" t="str">
        <f t="shared" si="8"/>
        <v>－</v>
      </c>
      <c r="V86" s="120"/>
      <c r="W86" s="120"/>
      <c r="X86" s="120" t="str">
        <f t="shared" si="9"/>
        <v>－</v>
      </c>
      <c r="Y86" s="120"/>
      <c r="Z86" s="121"/>
      <c r="AA86" s="117"/>
      <c r="AB86" s="122" t="str">
        <f t="shared" si="10"/>
        <v>－</v>
      </c>
      <c r="AC86" s="122" t="str">
        <f t="shared" si="7"/>
        <v>－</v>
      </c>
      <c r="AD86" s="123" t="str">
        <f t="shared" si="7"/>
        <v>－</v>
      </c>
    </row>
    <row r="87" spans="1:30">
      <c r="A87" s="113" t="s">
        <v>46</v>
      </c>
      <c r="B87" s="114" t="s">
        <v>598</v>
      </c>
      <c r="C87" s="114" t="s">
        <v>599</v>
      </c>
      <c r="D87" s="114" t="s">
        <v>337</v>
      </c>
      <c r="E87" s="115" t="s">
        <v>610</v>
      </c>
      <c r="F87" s="115" t="s">
        <v>586</v>
      </c>
      <c r="G87" s="116">
        <v>22800</v>
      </c>
      <c r="H87" s="117" t="s">
        <v>54</v>
      </c>
      <c r="I87" s="118" t="s">
        <v>611</v>
      </c>
      <c r="J87" s="117" t="s">
        <v>54</v>
      </c>
      <c r="K87" s="118" t="s">
        <v>611</v>
      </c>
      <c r="L87" s="117"/>
      <c r="M87" s="118"/>
      <c r="N87" s="117" t="s">
        <v>54</v>
      </c>
      <c r="O87" s="118" t="s">
        <v>611</v>
      </c>
      <c r="P87" s="117"/>
      <c r="Q87" s="118"/>
      <c r="R87" s="117" t="s">
        <v>54</v>
      </c>
      <c r="S87" s="118" t="s">
        <v>611</v>
      </c>
      <c r="T87" s="119">
        <f>19.33</f>
        <v>19.329999999999998</v>
      </c>
      <c r="U87" s="120">
        <f>1</f>
        <v>1</v>
      </c>
      <c r="V87" s="120"/>
      <c r="W87" s="120"/>
      <c r="X87" s="120">
        <f>456000</f>
        <v>456000</v>
      </c>
      <c r="Y87" s="120"/>
      <c r="Z87" s="121"/>
      <c r="AA87" s="117"/>
      <c r="AB87" s="122">
        <f>1</f>
        <v>1</v>
      </c>
      <c r="AC87" s="122" t="str">
        <f t="shared" si="7"/>
        <v>－</v>
      </c>
      <c r="AD87" s="123">
        <f>1</f>
        <v>1</v>
      </c>
    </row>
    <row r="88" spans="1:30">
      <c r="A88" s="113" t="s">
        <v>46</v>
      </c>
      <c r="B88" s="114" t="s">
        <v>598</v>
      </c>
      <c r="C88" s="114" t="s">
        <v>599</v>
      </c>
      <c r="D88" s="114" t="s">
        <v>545</v>
      </c>
      <c r="E88" s="115" t="s">
        <v>587</v>
      </c>
      <c r="F88" s="115" t="s">
        <v>588</v>
      </c>
      <c r="G88" s="116">
        <v>22800</v>
      </c>
      <c r="H88" s="117" t="s">
        <v>54</v>
      </c>
      <c r="I88" s="118" t="s">
        <v>611</v>
      </c>
      <c r="J88" s="117" t="s">
        <v>54</v>
      </c>
      <c r="K88" s="118" t="s">
        <v>611</v>
      </c>
      <c r="L88" s="117"/>
      <c r="M88" s="118"/>
      <c r="N88" s="117" t="s">
        <v>54</v>
      </c>
      <c r="O88" s="118" t="s">
        <v>611</v>
      </c>
      <c r="P88" s="117"/>
      <c r="Q88" s="118"/>
      <c r="R88" s="117" t="s">
        <v>54</v>
      </c>
      <c r="S88" s="118" t="s">
        <v>611</v>
      </c>
      <c r="T88" s="119">
        <f>19.64</f>
        <v>19.64</v>
      </c>
      <c r="U88" s="120">
        <f>1</f>
        <v>1</v>
      </c>
      <c r="V88" s="120"/>
      <c r="W88" s="120"/>
      <c r="X88" s="120">
        <f>456000</f>
        <v>456000</v>
      </c>
      <c r="Y88" s="120"/>
      <c r="Z88" s="121"/>
      <c r="AA88" s="117"/>
      <c r="AB88" s="122">
        <f>1</f>
        <v>1</v>
      </c>
      <c r="AC88" s="122" t="str">
        <f t="shared" si="7"/>
        <v>－</v>
      </c>
      <c r="AD88" s="123">
        <f>1</f>
        <v>1</v>
      </c>
    </row>
    <row r="89" spans="1:30">
      <c r="A89" s="113" t="s">
        <v>46</v>
      </c>
      <c r="B89" s="114" t="s">
        <v>598</v>
      </c>
      <c r="C89" s="114" t="s">
        <v>599</v>
      </c>
      <c r="D89" s="114" t="s">
        <v>551</v>
      </c>
      <c r="E89" s="115" t="s">
        <v>612</v>
      </c>
      <c r="F89" s="115" t="s">
        <v>590</v>
      </c>
      <c r="G89" s="116">
        <v>26400</v>
      </c>
      <c r="H89" s="117"/>
      <c r="I89" s="118" t="s">
        <v>119</v>
      </c>
      <c r="J89" s="117"/>
      <c r="K89" s="118" t="s">
        <v>119</v>
      </c>
      <c r="L89" s="117"/>
      <c r="M89" s="118"/>
      <c r="N89" s="117"/>
      <c r="O89" s="118" t="s">
        <v>119</v>
      </c>
      <c r="P89" s="117"/>
      <c r="Q89" s="118"/>
      <c r="R89" s="117"/>
      <c r="S89" s="118" t="s">
        <v>119</v>
      </c>
      <c r="T89" s="119">
        <f>17.09</f>
        <v>17.09</v>
      </c>
      <c r="U89" s="120" t="str">
        <f t="shared" ref="U89:U106" si="11">"－"</f>
        <v>－</v>
      </c>
      <c r="V89" s="120"/>
      <c r="W89" s="120"/>
      <c r="X89" s="120" t="str">
        <f t="shared" ref="X89:X106" si="12">"－"</f>
        <v>－</v>
      </c>
      <c r="Y89" s="120"/>
      <c r="Z89" s="121"/>
      <c r="AA89" s="117"/>
      <c r="AB89" s="122" t="str">
        <f>"－"</f>
        <v>－</v>
      </c>
      <c r="AC89" s="122" t="str">
        <f t="shared" si="7"/>
        <v>－</v>
      </c>
      <c r="AD89" s="123" t="str">
        <f t="shared" si="7"/>
        <v>－</v>
      </c>
    </row>
    <row r="90" spans="1:30">
      <c r="A90" s="113" t="s">
        <v>46</v>
      </c>
      <c r="B90" s="114" t="s">
        <v>598</v>
      </c>
      <c r="C90" s="114" t="s">
        <v>599</v>
      </c>
      <c r="D90" s="114" t="s">
        <v>591</v>
      </c>
      <c r="E90" s="115" t="s">
        <v>346</v>
      </c>
      <c r="F90" s="115" t="s">
        <v>613</v>
      </c>
      <c r="G90" s="116">
        <v>24000</v>
      </c>
      <c r="H90" s="117"/>
      <c r="I90" s="118" t="s">
        <v>119</v>
      </c>
      <c r="J90" s="117"/>
      <c r="K90" s="118" t="s">
        <v>119</v>
      </c>
      <c r="L90" s="117"/>
      <c r="M90" s="118"/>
      <c r="N90" s="117"/>
      <c r="O90" s="118" t="s">
        <v>119</v>
      </c>
      <c r="P90" s="117"/>
      <c r="Q90" s="118"/>
      <c r="R90" s="117"/>
      <c r="S90" s="118" t="s">
        <v>119</v>
      </c>
      <c r="T90" s="119">
        <f>14.88</f>
        <v>14.88</v>
      </c>
      <c r="U90" s="120" t="str">
        <f t="shared" si="11"/>
        <v>－</v>
      </c>
      <c r="V90" s="120"/>
      <c r="W90" s="120"/>
      <c r="X90" s="120" t="str">
        <f t="shared" si="12"/>
        <v>－</v>
      </c>
      <c r="Y90" s="120"/>
      <c r="Z90" s="121"/>
      <c r="AA90" s="117"/>
      <c r="AB90" s="122" t="str">
        <f>"－"</f>
        <v>－</v>
      </c>
      <c r="AC90" s="122" t="str">
        <f t="shared" si="7"/>
        <v>－</v>
      </c>
      <c r="AD90" s="123" t="str">
        <f t="shared" si="7"/>
        <v>－</v>
      </c>
    </row>
    <row r="91" spans="1:30">
      <c r="A91" s="113" t="s">
        <v>46</v>
      </c>
      <c r="B91" s="114" t="s">
        <v>614</v>
      </c>
      <c r="C91" s="114" t="s">
        <v>615</v>
      </c>
      <c r="D91" s="114" t="s">
        <v>46</v>
      </c>
      <c r="E91" s="115" t="s">
        <v>600</v>
      </c>
      <c r="F91" s="115" t="s">
        <v>559</v>
      </c>
      <c r="G91" s="116">
        <v>22800</v>
      </c>
      <c r="H91" s="117"/>
      <c r="I91" s="118" t="s">
        <v>119</v>
      </c>
      <c r="J91" s="117"/>
      <c r="K91" s="118" t="s">
        <v>119</v>
      </c>
      <c r="L91" s="117"/>
      <c r="M91" s="118"/>
      <c r="N91" s="117"/>
      <c r="O91" s="118" t="s">
        <v>119</v>
      </c>
      <c r="P91" s="117"/>
      <c r="Q91" s="118"/>
      <c r="R91" s="117"/>
      <c r="S91" s="118" t="s">
        <v>119</v>
      </c>
      <c r="T91" s="119">
        <f>30.66</f>
        <v>30.66</v>
      </c>
      <c r="U91" s="120" t="str">
        <f t="shared" si="11"/>
        <v>－</v>
      </c>
      <c r="V91" s="120"/>
      <c r="W91" s="120"/>
      <c r="X91" s="120" t="str">
        <f t="shared" si="12"/>
        <v>－</v>
      </c>
      <c r="Y91" s="120"/>
      <c r="Z91" s="121"/>
      <c r="AA91" s="117" t="s">
        <v>231</v>
      </c>
      <c r="AB91" s="122">
        <f>40</f>
        <v>40</v>
      </c>
      <c r="AC91" s="122" t="str">
        <f t="shared" si="7"/>
        <v>－</v>
      </c>
      <c r="AD91" s="123" t="str">
        <f t="shared" si="7"/>
        <v>－</v>
      </c>
    </row>
    <row r="92" spans="1:30">
      <c r="A92" s="113" t="s">
        <v>46</v>
      </c>
      <c r="B92" s="114" t="s">
        <v>614</v>
      </c>
      <c r="C92" s="114" t="s">
        <v>615</v>
      </c>
      <c r="D92" s="114" t="s">
        <v>49</v>
      </c>
      <c r="E92" s="115" t="s">
        <v>562</v>
      </c>
      <c r="F92" s="115" t="s">
        <v>446</v>
      </c>
      <c r="G92" s="116">
        <v>21600</v>
      </c>
      <c r="H92" s="117"/>
      <c r="I92" s="118" t="s">
        <v>119</v>
      </c>
      <c r="J92" s="117"/>
      <c r="K92" s="118" t="s">
        <v>119</v>
      </c>
      <c r="L92" s="117"/>
      <c r="M92" s="118"/>
      <c r="N92" s="117"/>
      <c r="O92" s="118" t="s">
        <v>119</v>
      </c>
      <c r="P92" s="117"/>
      <c r="Q92" s="118"/>
      <c r="R92" s="117"/>
      <c r="S92" s="118" t="s">
        <v>119</v>
      </c>
      <c r="T92" s="119">
        <f>26.37</f>
        <v>26.37</v>
      </c>
      <c r="U92" s="120" t="str">
        <f t="shared" si="11"/>
        <v>－</v>
      </c>
      <c r="V92" s="120"/>
      <c r="W92" s="120"/>
      <c r="X92" s="120" t="str">
        <f t="shared" si="12"/>
        <v>－</v>
      </c>
      <c r="Y92" s="120"/>
      <c r="Z92" s="121"/>
      <c r="AA92" s="117"/>
      <c r="AB92" s="122">
        <f>35</f>
        <v>35</v>
      </c>
      <c r="AC92" s="122" t="str">
        <f t="shared" si="7"/>
        <v>－</v>
      </c>
      <c r="AD92" s="123" t="str">
        <f t="shared" si="7"/>
        <v>－</v>
      </c>
    </row>
    <row r="93" spans="1:30">
      <c r="A93" s="113" t="s">
        <v>46</v>
      </c>
      <c r="B93" s="114" t="s">
        <v>614</v>
      </c>
      <c r="C93" s="114" t="s">
        <v>615</v>
      </c>
      <c r="D93" s="114" t="s">
        <v>237</v>
      </c>
      <c r="E93" s="115" t="s">
        <v>603</v>
      </c>
      <c r="F93" s="115" t="s">
        <v>569</v>
      </c>
      <c r="G93" s="116">
        <v>26400</v>
      </c>
      <c r="H93" s="117"/>
      <c r="I93" s="118" t="s">
        <v>119</v>
      </c>
      <c r="J93" s="117"/>
      <c r="K93" s="118" t="s">
        <v>119</v>
      </c>
      <c r="L93" s="117"/>
      <c r="M93" s="118"/>
      <c r="N93" s="117"/>
      <c r="O93" s="118" t="s">
        <v>119</v>
      </c>
      <c r="P93" s="117"/>
      <c r="Q93" s="118"/>
      <c r="R93" s="117"/>
      <c r="S93" s="118" t="s">
        <v>119</v>
      </c>
      <c r="T93" s="119">
        <f>19.05</f>
        <v>19.05</v>
      </c>
      <c r="U93" s="120" t="str">
        <f t="shared" si="11"/>
        <v>－</v>
      </c>
      <c r="V93" s="120"/>
      <c r="W93" s="120"/>
      <c r="X93" s="120" t="str">
        <f t="shared" si="12"/>
        <v>－</v>
      </c>
      <c r="Y93" s="120"/>
      <c r="Z93" s="121"/>
      <c r="AA93" s="117"/>
      <c r="AB93" s="122">
        <f>10</f>
        <v>10</v>
      </c>
      <c r="AC93" s="122" t="str">
        <f t="shared" si="7"/>
        <v>－</v>
      </c>
      <c r="AD93" s="123" t="str">
        <f t="shared" si="7"/>
        <v>－</v>
      </c>
    </row>
    <row r="94" spans="1:30">
      <c r="A94" s="113" t="s">
        <v>46</v>
      </c>
      <c r="B94" s="114" t="s">
        <v>614</v>
      </c>
      <c r="C94" s="114" t="s">
        <v>615</v>
      </c>
      <c r="D94" s="114" t="s">
        <v>59</v>
      </c>
      <c r="E94" s="115" t="s">
        <v>604</v>
      </c>
      <c r="F94" s="115" t="s">
        <v>605</v>
      </c>
      <c r="G94" s="116">
        <v>24000</v>
      </c>
      <c r="H94" s="117"/>
      <c r="I94" s="118" t="s">
        <v>119</v>
      </c>
      <c r="J94" s="117"/>
      <c r="K94" s="118" t="s">
        <v>119</v>
      </c>
      <c r="L94" s="117"/>
      <c r="M94" s="118"/>
      <c r="N94" s="117"/>
      <c r="O94" s="118" t="s">
        <v>119</v>
      </c>
      <c r="P94" s="117"/>
      <c r="Q94" s="118"/>
      <c r="R94" s="117"/>
      <c r="S94" s="118" t="s">
        <v>119</v>
      </c>
      <c r="T94" s="119">
        <f>13.6</f>
        <v>13.6</v>
      </c>
      <c r="U94" s="120" t="str">
        <f t="shared" si="11"/>
        <v>－</v>
      </c>
      <c r="V94" s="120"/>
      <c r="W94" s="120"/>
      <c r="X94" s="120" t="str">
        <f t="shared" si="12"/>
        <v>－</v>
      </c>
      <c r="Y94" s="120"/>
      <c r="Z94" s="121"/>
      <c r="AA94" s="117"/>
      <c r="AB94" s="122" t="str">
        <f t="shared" ref="AB94:AD109" si="13">"－"</f>
        <v>－</v>
      </c>
      <c r="AC94" s="122" t="str">
        <f t="shared" si="7"/>
        <v>－</v>
      </c>
      <c r="AD94" s="123" t="str">
        <f t="shared" si="7"/>
        <v>－</v>
      </c>
    </row>
    <row r="95" spans="1:30">
      <c r="A95" s="113" t="s">
        <v>46</v>
      </c>
      <c r="B95" s="114" t="s">
        <v>614</v>
      </c>
      <c r="C95" s="114" t="s">
        <v>615</v>
      </c>
      <c r="D95" s="114" t="s">
        <v>247</v>
      </c>
      <c r="E95" s="115" t="s">
        <v>606</v>
      </c>
      <c r="F95" s="115" t="s">
        <v>574</v>
      </c>
      <c r="G95" s="116">
        <v>21600</v>
      </c>
      <c r="H95" s="117"/>
      <c r="I95" s="118" t="s">
        <v>119</v>
      </c>
      <c r="J95" s="117"/>
      <c r="K95" s="118" t="s">
        <v>119</v>
      </c>
      <c r="L95" s="117"/>
      <c r="M95" s="118"/>
      <c r="N95" s="117"/>
      <c r="O95" s="118" t="s">
        <v>119</v>
      </c>
      <c r="P95" s="117"/>
      <c r="Q95" s="118"/>
      <c r="R95" s="117"/>
      <c r="S95" s="118" t="s">
        <v>119</v>
      </c>
      <c r="T95" s="119">
        <f>13.94</f>
        <v>13.94</v>
      </c>
      <c r="U95" s="120" t="str">
        <f t="shared" si="11"/>
        <v>－</v>
      </c>
      <c r="V95" s="120"/>
      <c r="W95" s="120"/>
      <c r="X95" s="120" t="str">
        <f t="shared" si="12"/>
        <v>－</v>
      </c>
      <c r="Y95" s="120"/>
      <c r="Z95" s="121"/>
      <c r="AA95" s="117"/>
      <c r="AB95" s="122" t="str">
        <f t="shared" si="13"/>
        <v>－</v>
      </c>
      <c r="AC95" s="122" t="str">
        <f t="shared" si="7"/>
        <v>－</v>
      </c>
      <c r="AD95" s="123" t="str">
        <f t="shared" si="7"/>
        <v>－</v>
      </c>
    </row>
    <row r="96" spans="1:30">
      <c r="A96" s="113" t="s">
        <v>46</v>
      </c>
      <c r="B96" s="114" t="s">
        <v>614</v>
      </c>
      <c r="C96" s="114" t="s">
        <v>615</v>
      </c>
      <c r="D96" s="114" t="s">
        <v>68</v>
      </c>
      <c r="E96" s="115" t="s">
        <v>575</v>
      </c>
      <c r="F96" s="115" t="s">
        <v>576</v>
      </c>
      <c r="G96" s="116">
        <v>26400</v>
      </c>
      <c r="H96" s="117"/>
      <c r="I96" s="118" t="s">
        <v>119</v>
      </c>
      <c r="J96" s="117"/>
      <c r="K96" s="118" t="s">
        <v>119</v>
      </c>
      <c r="L96" s="117"/>
      <c r="M96" s="118"/>
      <c r="N96" s="117"/>
      <c r="O96" s="118" t="s">
        <v>119</v>
      </c>
      <c r="P96" s="117"/>
      <c r="Q96" s="118"/>
      <c r="R96" s="117"/>
      <c r="S96" s="118" t="s">
        <v>119</v>
      </c>
      <c r="T96" s="119">
        <f>14.51</f>
        <v>14.51</v>
      </c>
      <c r="U96" s="120" t="str">
        <f t="shared" si="11"/>
        <v>－</v>
      </c>
      <c r="V96" s="120"/>
      <c r="W96" s="120"/>
      <c r="X96" s="120" t="str">
        <f t="shared" si="12"/>
        <v>－</v>
      </c>
      <c r="Y96" s="120"/>
      <c r="Z96" s="121"/>
      <c r="AA96" s="117"/>
      <c r="AB96" s="122" t="str">
        <f t="shared" si="13"/>
        <v>－</v>
      </c>
      <c r="AC96" s="122" t="str">
        <f t="shared" si="7"/>
        <v>－</v>
      </c>
      <c r="AD96" s="123" t="str">
        <f t="shared" si="7"/>
        <v>－</v>
      </c>
    </row>
    <row r="97" spans="1:30">
      <c r="A97" s="113" t="s">
        <v>46</v>
      </c>
      <c r="B97" s="114" t="s">
        <v>614</v>
      </c>
      <c r="C97" s="114" t="s">
        <v>615</v>
      </c>
      <c r="D97" s="114" t="s">
        <v>260</v>
      </c>
      <c r="E97" s="115" t="s">
        <v>577</v>
      </c>
      <c r="F97" s="115" t="s">
        <v>607</v>
      </c>
      <c r="G97" s="116">
        <v>24000</v>
      </c>
      <c r="H97" s="117"/>
      <c r="I97" s="118" t="s">
        <v>119</v>
      </c>
      <c r="J97" s="117"/>
      <c r="K97" s="118" t="s">
        <v>119</v>
      </c>
      <c r="L97" s="117"/>
      <c r="M97" s="118"/>
      <c r="N97" s="117"/>
      <c r="O97" s="118" t="s">
        <v>119</v>
      </c>
      <c r="P97" s="117"/>
      <c r="Q97" s="118"/>
      <c r="R97" s="117"/>
      <c r="S97" s="118" t="s">
        <v>119</v>
      </c>
      <c r="T97" s="119">
        <f>16.19</f>
        <v>16.190000000000001</v>
      </c>
      <c r="U97" s="120" t="str">
        <f t="shared" si="11"/>
        <v>－</v>
      </c>
      <c r="V97" s="120"/>
      <c r="W97" s="120"/>
      <c r="X97" s="120" t="str">
        <f t="shared" si="12"/>
        <v>－</v>
      </c>
      <c r="Y97" s="120"/>
      <c r="Z97" s="121"/>
      <c r="AA97" s="117"/>
      <c r="AB97" s="122" t="str">
        <f t="shared" si="13"/>
        <v>－</v>
      </c>
      <c r="AC97" s="122" t="str">
        <f t="shared" si="7"/>
        <v>－</v>
      </c>
      <c r="AD97" s="123" t="str">
        <f t="shared" si="7"/>
        <v>－</v>
      </c>
    </row>
    <row r="98" spans="1:30">
      <c r="A98" s="113" t="s">
        <v>46</v>
      </c>
      <c r="B98" s="114" t="s">
        <v>614</v>
      </c>
      <c r="C98" s="114" t="s">
        <v>615</v>
      </c>
      <c r="D98" s="114" t="s">
        <v>74</v>
      </c>
      <c r="E98" s="115" t="s">
        <v>578</v>
      </c>
      <c r="F98" s="115" t="s">
        <v>579</v>
      </c>
      <c r="G98" s="116">
        <v>26400</v>
      </c>
      <c r="H98" s="117"/>
      <c r="I98" s="118" t="s">
        <v>119</v>
      </c>
      <c r="J98" s="117"/>
      <c r="K98" s="118" t="s">
        <v>119</v>
      </c>
      <c r="L98" s="117"/>
      <c r="M98" s="118"/>
      <c r="N98" s="117"/>
      <c r="O98" s="118" t="s">
        <v>119</v>
      </c>
      <c r="P98" s="117"/>
      <c r="Q98" s="118"/>
      <c r="R98" s="117"/>
      <c r="S98" s="118" t="s">
        <v>119</v>
      </c>
      <c r="T98" s="119">
        <f>17.54</f>
        <v>17.54</v>
      </c>
      <c r="U98" s="120" t="str">
        <f t="shared" si="11"/>
        <v>－</v>
      </c>
      <c r="V98" s="120"/>
      <c r="W98" s="120"/>
      <c r="X98" s="120" t="str">
        <f t="shared" si="12"/>
        <v>－</v>
      </c>
      <c r="Y98" s="120"/>
      <c r="Z98" s="121"/>
      <c r="AA98" s="117"/>
      <c r="AB98" s="122" t="str">
        <f t="shared" si="13"/>
        <v>－</v>
      </c>
      <c r="AC98" s="122" t="str">
        <f t="shared" si="7"/>
        <v>－</v>
      </c>
      <c r="AD98" s="123" t="str">
        <f t="shared" si="7"/>
        <v>－</v>
      </c>
    </row>
    <row r="99" spans="1:30">
      <c r="A99" s="113" t="s">
        <v>46</v>
      </c>
      <c r="B99" s="114" t="s">
        <v>614</v>
      </c>
      <c r="C99" s="114" t="s">
        <v>615</v>
      </c>
      <c r="D99" s="114" t="s">
        <v>315</v>
      </c>
      <c r="E99" s="115" t="s">
        <v>580</v>
      </c>
      <c r="F99" s="115" t="s">
        <v>581</v>
      </c>
      <c r="G99" s="116">
        <v>24000</v>
      </c>
      <c r="H99" s="117"/>
      <c r="I99" s="118" t="s">
        <v>119</v>
      </c>
      <c r="J99" s="117"/>
      <c r="K99" s="118" t="s">
        <v>119</v>
      </c>
      <c r="L99" s="117"/>
      <c r="M99" s="118"/>
      <c r="N99" s="117"/>
      <c r="O99" s="118" t="s">
        <v>119</v>
      </c>
      <c r="P99" s="117"/>
      <c r="Q99" s="118"/>
      <c r="R99" s="117"/>
      <c r="S99" s="118" t="s">
        <v>119</v>
      </c>
      <c r="T99" s="119">
        <f>15.54</f>
        <v>15.54</v>
      </c>
      <c r="U99" s="120" t="str">
        <f t="shared" si="11"/>
        <v>－</v>
      </c>
      <c r="V99" s="120"/>
      <c r="W99" s="120"/>
      <c r="X99" s="120" t="str">
        <f t="shared" si="12"/>
        <v>－</v>
      </c>
      <c r="Y99" s="120"/>
      <c r="Z99" s="121"/>
      <c r="AA99" s="117"/>
      <c r="AB99" s="122" t="str">
        <f t="shared" si="13"/>
        <v>－</v>
      </c>
      <c r="AC99" s="122" t="str">
        <f t="shared" si="7"/>
        <v>－</v>
      </c>
      <c r="AD99" s="123" t="str">
        <f t="shared" si="7"/>
        <v>－</v>
      </c>
    </row>
    <row r="100" spans="1:30">
      <c r="A100" s="113" t="s">
        <v>46</v>
      </c>
      <c r="B100" s="114" t="s">
        <v>614</v>
      </c>
      <c r="C100" s="114" t="s">
        <v>615</v>
      </c>
      <c r="D100" s="114" t="s">
        <v>81</v>
      </c>
      <c r="E100" s="115" t="s">
        <v>608</v>
      </c>
      <c r="F100" s="115" t="s">
        <v>582</v>
      </c>
      <c r="G100" s="116">
        <v>24000</v>
      </c>
      <c r="H100" s="117"/>
      <c r="I100" s="118" t="s">
        <v>119</v>
      </c>
      <c r="J100" s="117"/>
      <c r="K100" s="118" t="s">
        <v>119</v>
      </c>
      <c r="L100" s="117"/>
      <c r="M100" s="118"/>
      <c r="N100" s="117"/>
      <c r="O100" s="118" t="s">
        <v>119</v>
      </c>
      <c r="P100" s="117"/>
      <c r="Q100" s="118"/>
      <c r="R100" s="117"/>
      <c r="S100" s="118" t="s">
        <v>119</v>
      </c>
      <c r="T100" s="119">
        <f>12.56</f>
        <v>12.56</v>
      </c>
      <c r="U100" s="120" t="str">
        <f t="shared" si="11"/>
        <v>－</v>
      </c>
      <c r="V100" s="120"/>
      <c r="W100" s="120"/>
      <c r="X100" s="120" t="str">
        <f t="shared" si="12"/>
        <v>－</v>
      </c>
      <c r="Y100" s="120"/>
      <c r="Z100" s="121"/>
      <c r="AA100" s="117"/>
      <c r="AB100" s="122" t="str">
        <f t="shared" si="13"/>
        <v>－</v>
      </c>
      <c r="AC100" s="122" t="str">
        <f t="shared" si="7"/>
        <v>－</v>
      </c>
      <c r="AD100" s="123" t="str">
        <f t="shared" si="7"/>
        <v>－</v>
      </c>
    </row>
    <row r="101" spans="1:30">
      <c r="A101" s="113" t="s">
        <v>46</v>
      </c>
      <c r="B101" s="114" t="s">
        <v>614</v>
      </c>
      <c r="C101" s="114" t="s">
        <v>615</v>
      </c>
      <c r="D101" s="114" t="s">
        <v>325</v>
      </c>
      <c r="E101" s="115" t="s">
        <v>583</v>
      </c>
      <c r="F101" s="115" t="s">
        <v>584</v>
      </c>
      <c r="G101" s="116">
        <v>24000</v>
      </c>
      <c r="H101" s="117"/>
      <c r="I101" s="118" t="s">
        <v>119</v>
      </c>
      <c r="J101" s="117"/>
      <c r="K101" s="118" t="s">
        <v>119</v>
      </c>
      <c r="L101" s="117"/>
      <c r="M101" s="118"/>
      <c r="N101" s="117"/>
      <c r="O101" s="118" t="s">
        <v>119</v>
      </c>
      <c r="P101" s="117"/>
      <c r="Q101" s="118"/>
      <c r="R101" s="117"/>
      <c r="S101" s="118" t="s">
        <v>119</v>
      </c>
      <c r="T101" s="119">
        <f>12.91</f>
        <v>12.91</v>
      </c>
      <c r="U101" s="120" t="str">
        <f t="shared" si="11"/>
        <v>－</v>
      </c>
      <c r="V101" s="120"/>
      <c r="W101" s="120"/>
      <c r="X101" s="120" t="str">
        <f t="shared" si="12"/>
        <v>－</v>
      </c>
      <c r="Y101" s="120"/>
      <c r="Z101" s="121"/>
      <c r="AA101" s="117"/>
      <c r="AB101" s="122" t="str">
        <f t="shared" si="13"/>
        <v>－</v>
      </c>
      <c r="AC101" s="122" t="str">
        <f t="shared" si="7"/>
        <v>－</v>
      </c>
      <c r="AD101" s="123" t="str">
        <f t="shared" si="7"/>
        <v>－</v>
      </c>
    </row>
    <row r="102" spans="1:30">
      <c r="A102" s="113" t="s">
        <v>46</v>
      </c>
      <c r="B102" s="114" t="s">
        <v>614</v>
      </c>
      <c r="C102" s="114" t="s">
        <v>615</v>
      </c>
      <c r="D102" s="114" t="s">
        <v>86</v>
      </c>
      <c r="E102" s="115" t="s">
        <v>585</v>
      </c>
      <c r="F102" s="115" t="s">
        <v>609</v>
      </c>
      <c r="G102" s="116">
        <v>25200</v>
      </c>
      <c r="H102" s="117"/>
      <c r="I102" s="118" t="s">
        <v>119</v>
      </c>
      <c r="J102" s="117"/>
      <c r="K102" s="118" t="s">
        <v>119</v>
      </c>
      <c r="L102" s="117"/>
      <c r="M102" s="118"/>
      <c r="N102" s="117"/>
      <c r="O102" s="118" t="s">
        <v>119</v>
      </c>
      <c r="P102" s="117"/>
      <c r="Q102" s="118"/>
      <c r="R102" s="117"/>
      <c r="S102" s="118" t="s">
        <v>119</v>
      </c>
      <c r="T102" s="119">
        <f>16.61</f>
        <v>16.61</v>
      </c>
      <c r="U102" s="120" t="str">
        <f t="shared" si="11"/>
        <v>－</v>
      </c>
      <c r="V102" s="120"/>
      <c r="W102" s="120"/>
      <c r="X102" s="120" t="str">
        <f t="shared" si="12"/>
        <v>－</v>
      </c>
      <c r="Y102" s="120"/>
      <c r="Z102" s="121"/>
      <c r="AA102" s="117"/>
      <c r="AB102" s="122" t="str">
        <f t="shared" si="13"/>
        <v>－</v>
      </c>
      <c r="AC102" s="122" t="str">
        <f t="shared" si="7"/>
        <v>－</v>
      </c>
      <c r="AD102" s="123" t="str">
        <f t="shared" si="7"/>
        <v>－</v>
      </c>
    </row>
    <row r="103" spans="1:30">
      <c r="A103" s="113" t="s">
        <v>46</v>
      </c>
      <c r="B103" s="114" t="s">
        <v>614</v>
      </c>
      <c r="C103" s="114" t="s">
        <v>615</v>
      </c>
      <c r="D103" s="114" t="s">
        <v>337</v>
      </c>
      <c r="E103" s="115" t="s">
        <v>610</v>
      </c>
      <c r="F103" s="115" t="s">
        <v>586</v>
      </c>
      <c r="G103" s="116">
        <v>22800</v>
      </c>
      <c r="H103" s="117"/>
      <c r="I103" s="118" t="s">
        <v>119</v>
      </c>
      <c r="J103" s="117"/>
      <c r="K103" s="118" t="s">
        <v>119</v>
      </c>
      <c r="L103" s="117"/>
      <c r="M103" s="118"/>
      <c r="N103" s="117"/>
      <c r="O103" s="118" t="s">
        <v>119</v>
      </c>
      <c r="P103" s="117"/>
      <c r="Q103" s="118"/>
      <c r="R103" s="117"/>
      <c r="S103" s="118" t="s">
        <v>119</v>
      </c>
      <c r="T103" s="119">
        <f>18.16</f>
        <v>18.16</v>
      </c>
      <c r="U103" s="120" t="str">
        <f t="shared" si="11"/>
        <v>－</v>
      </c>
      <c r="V103" s="120"/>
      <c r="W103" s="120"/>
      <c r="X103" s="120" t="str">
        <f t="shared" si="12"/>
        <v>－</v>
      </c>
      <c r="Y103" s="120"/>
      <c r="Z103" s="121"/>
      <c r="AA103" s="117"/>
      <c r="AB103" s="122" t="str">
        <f t="shared" si="13"/>
        <v>－</v>
      </c>
      <c r="AC103" s="122" t="str">
        <f t="shared" si="13"/>
        <v>－</v>
      </c>
      <c r="AD103" s="123" t="str">
        <f t="shared" si="13"/>
        <v>－</v>
      </c>
    </row>
    <row r="104" spans="1:30">
      <c r="A104" s="113" t="s">
        <v>46</v>
      </c>
      <c r="B104" s="114" t="s">
        <v>614</v>
      </c>
      <c r="C104" s="114" t="s">
        <v>615</v>
      </c>
      <c r="D104" s="114" t="s">
        <v>545</v>
      </c>
      <c r="E104" s="115" t="s">
        <v>587</v>
      </c>
      <c r="F104" s="115" t="s">
        <v>588</v>
      </c>
      <c r="G104" s="116">
        <v>22800</v>
      </c>
      <c r="H104" s="117"/>
      <c r="I104" s="118" t="s">
        <v>119</v>
      </c>
      <c r="J104" s="117"/>
      <c r="K104" s="118" t="s">
        <v>119</v>
      </c>
      <c r="L104" s="117"/>
      <c r="M104" s="118"/>
      <c r="N104" s="117"/>
      <c r="O104" s="118" t="s">
        <v>119</v>
      </c>
      <c r="P104" s="117"/>
      <c r="Q104" s="118"/>
      <c r="R104" s="117"/>
      <c r="S104" s="118" t="s">
        <v>119</v>
      </c>
      <c r="T104" s="119">
        <f>17.54</f>
        <v>17.54</v>
      </c>
      <c r="U104" s="120" t="str">
        <f t="shared" si="11"/>
        <v>－</v>
      </c>
      <c r="V104" s="120"/>
      <c r="W104" s="120"/>
      <c r="X104" s="120" t="str">
        <f t="shared" si="12"/>
        <v>－</v>
      </c>
      <c r="Y104" s="120"/>
      <c r="Z104" s="121"/>
      <c r="AA104" s="117"/>
      <c r="AB104" s="122" t="str">
        <f t="shared" si="13"/>
        <v>－</v>
      </c>
      <c r="AC104" s="122" t="str">
        <f t="shared" si="13"/>
        <v>－</v>
      </c>
      <c r="AD104" s="123" t="str">
        <f t="shared" si="13"/>
        <v>－</v>
      </c>
    </row>
    <row r="105" spans="1:30">
      <c r="A105" s="113" t="s">
        <v>46</v>
      </c>
      <c r="B105" s="114" t="s">
        <v>614</v>
      </c>
      <c r="C105" s="114" t="s">
        <v>615</v>
      </c>
      <c r="D105" s="114" t="s">
        <v>551</v>
      </c>
      <c r="E105" s="115" t="s">
        <v>612</v>
      </c>
      <c r="F105" s="115" t="s">
        <v>590</v>
      </c>
      <c r="G105" s="116">
        <v>26400</v>
      </c>
      <c r="H105" s="117"/>
      <c r="I105" s="118" t="s">
        <v>119</v>
      </c>
      <c r="J105" s="117"/>
      <c r="K105" s="118" t="s">
        <v>119</v>
      </c>
      <c r="L105" s="117"/>
      <c r="M105" s="118"/>
      <c r="N105" s="117"/>
      <c r="O105" s="118" t="s">
        <v>119</v>
      </c>
      <c r="P105" s="117"/>
      <c r="Q105" s="118"/>
      <c r="R105" s="117"/>
      <c r="S105" s="118" t="s">
        <v>119</v>
      </c>
      <c r="T105" s="119">
        <f>14.98</f>
        <v>14.98</v>
      </c>
      <c r="U105" s="120" t="str">
        <f t="shared" si="11"/>
        <v>－</v>
      </c>
      <c r="V105" s="120"/>
      <c r="W105" s="120"/>
      <c r="X105" s="120" t="str">
        <f t="shared" si="12"/>
        <v>－</v>
      </c>
      <c r="Y105" s="120"/>
      <c r="Z105" s="121"/>
      <c r="AA105" s="117"/>
      <c r="AB105" s="122" t="str">
        <f t="shared" si="13"/>
        <v>－</v>
      </c>
      <c r="AC105" s="122" t="str">
        <f t="shared" si="13"/>
        <v>－</v>
      </c>
      <c r="AD105" s="123" t="str">
        <f t="shared" si="13"/>
        <v>－</v>
      </c>
    </row>
    <row r="106" spans="1:30">
      <c r="A106" s="113" t="s">
        <v>46</v>
      </c>
      <c r="B106" s="114" t="s">
        <v>614</v>
      </c>
      <c r="C106" s="114" t="s">
        <v>615</v>
      </c>
      <c r="D106" s="114" t="s">
        <v>591</v>
      </c>
      <c r="E106" s="115" t="s">
        <v>346</v>
      </c>
      <c r="F106" s="115" t="s">
        <v>613</v>
      </c>
      <c r="G106" s="116">
        <v>24000</v>
      </c>
      <c r="H106" s="117"/>
      <c r="I106" s="118" t="s">
        <v>119</v>
      </c>
      <c r="J106" s="117"/>
      <c r="K106" s="118" t="s">
        <v>119</v>
      </c>
      <c r="L106" s="117"/>
      <c r="M106" s="118"/>
      <c r="N106" s="117"/>
      <c r="O106" s="118" t="s">
        <v>119</v>
      </c>
      <c r="P106" s="117"/>
      <c r="Q106" s="118"/>
      <c r="R106" s="117"/>
      <c r="S106" s="118" t="s">
        <v>119</v>
      </c>
      <c r="T106" s="119">
        <f>12.27</f>
        <v>12.27</v>
      </c>
      <c r="U106" s="120" t="str">
        <f t="shared" si="11"/>
        <v>－</v>
      </c>
      <c r="V106" s="120"/>
      <c r="W106" s="120"/>
      <c r="X106" s="120" t="str">
        <f t="shared" si="12"/>
        <v>－</v>
      </c>
      <c r="Y106" s="120"/>
      <c r="Z106" s="121"/>
      <c r="AA106" s="117"/>
      <c r="AB106" s="122" t="str">
        <f t="shared" si="13"/>
        <v>－</v>
      </c>
      <c r="AC106" s="122" t="str">
        <f t="shared" si="13"/>
        <v>－</v>
      </c>
      <c r="AD106" s="123" t="str">
        <f t="shared" si="13"/>
        <v>－</v>
      </c>
    </row>
    <row r="107" spans="1:30">
      <c r="A107" s="113" t="s">
        <v>46</v>
      </c>
      <c r="B107" s="114" t="s">
        <v>616</v>
      </c>
      <c r="C107" s="114" t="s">
        <v>617</v>
      </c>
      <c r="D107" s="114" t="s">
        <v>49</v>
      </c>
      <c r="E107" s="115" t="s">
        <v>439</v>
      </c>
      <c r="F107" s="115" t="s">
        <v>270</v>
      </c>
      <c r="G107" s="116">
        <v>10</v>
      </c>
      <c r="H107" s="117" t="s">
        <v>158</v>
      </c>
      <c r="I107" s="118" t="s">
        <v>618</v>
      </c>
      <c r="J107" s="117" t="s">
        <v>128</v>
      </c>
      <c r="K107" s="118" t="s">
        <v>619</v>
      </c>
      <c r="L107" s="117" t="s">
        <v>128</v>
      </c>
      <c r="M107" s="118" t="s">
        <v>620</v>
      </c>
      <c r="N107" s="117" t="s">
        <v>158</v>
      </c>
      <c r="O107" s="118" t="s">
        <v>618</v>
      </c>
      <c r="P107" s="117" t="s">
        <v>273</v>
      </c>
      <c r="Q107" s="118" t="s">
        <v>621</v>
      </c>
      <c r="R107" s="117" t="s">
        <v>273</v>
      </c>
      <c r="S107" s="118" t="s">
        <v>618</v>
      </c>
      <c r="T107" s="119">
        <f>76100</f>
        <v>76100</v>
      </c>
      <c r="U107" s="120">
        <f>253</f>
        <v>253</v>
      </c>
      <c r="V107" s="120">
        <v>65</v>
      </c>
      <c r="W107" s="120"/>
      <c r="X107" s="120">
        <f>196154000</f>
        <v>196154000</v>
      </c>
      <c r="Y107" s="120">
        <v>50235000</v>
      </c>
      <c r="Z107" s="121"/>
      <c r="AA107" s="117" t="s">
        <v>231</v>
      </c>
      <c r="AB107" s="122">
        <f>202</f>
        <v>202</v>
      </c>
      <c r="AC107" s="122" t="str">
        <f t="shared" si="13"/>
        <v>－</v>
      </c>
      <c r="AD107" s="123">
        <f>8</f>
        <v>8</v>
      </c>
    </row>
    <row r="108" spans="1:30">
      <c r="A108" s="113" t="s">
        <v>46</v>
      </c>
      <c r="B108" s="114" t="s">
        <v>616</v>
      </c>
      <c r="C108" s="114" t="s">
        <v>617</v>
      </c>
      <c r="D108" s="114" t="s">
        <v>237</v>
      </c>
      <c r="E108" s="115" t="s">
        <v>277</v>
      </c>
      <c r="F108" s="115" t="s">
        <v>446</v>
      </c>
      <c r="G108" s="116">
        <v>10</v>
      </c>
      <c r="H108" s="117" t="s">
        <v>235</v>
      </c>
      <c r="I108" s="118" t="s">
        <v>622</v>
      </c>
      <c r="J108" s="117" t="s">
        <v>56</v>
      </c>
      <c r="K108" s="118" t="s">
        <v>618</v>
      </c>
      <c r="L108" s="117"/>
      <c r="M108" s="118"/>
      <c r="N108" s="117" t="s">
        <v>235</v>
      </c>
      <c r="O108" s="118" t="s">
        <v>622</v>
      </c>
      <c r="P108" s="117"/>
      <c r="Q108" s="118"/>
      <c r="R108" s="117" t="s">
        <v>56</v>
      </c>
      <c r="S108" s="118" t="s">
        <v>618</v>
      </c>
      <c r="T108" s="119">
        <f>74873.68</f>
        <v>74873.679999999993</v>
      </c>
      <c r="U108" s="120">
        <f>22</f>
        <v>22</v>
      </c>
      <c r="V108" s="120"/>
      <c r="W108" s="120"/>
      <c r="X108" s="120">
        <f>16462000</f>
        <v>16462000</v>
      </c>
      <c r="Y108" s="120"/>
      <c r="Z108" s="121"/>
      <c r="AA108" s="117"/>
      <c r="AB108" s="122">
        <f>112</f>
        <v>112</v>
      </c>
      <c r="AC108" s="122" t="str">
        <f t="shared" si="13"/>
        <v>－</v>
      </c>
      <c r="AD108" s="123">
        <f>5</f>
        <v>5</v>
      </c>
    </row>
    <row r="109" spans="1:30">
      <c r="A109" s="113" t="s">
        <v>46</v>
      </c>
      <c r="B109" s="114" t="s">
        <v>616</v>
      </c>
      <c r="C109" s="114" t="s">
        <v>617</v>
      </c>
      <c r="D109" s="114" t="s">
        <v>59</v>
      </c>
      <c r="E109" s="115" t="s">
        <v>316</v>
      </c>
      <c r="F109" s="115" t="s">
        <v>283</v>
      </c>
      <c r="G109" s="116">
        <v>10</v>
      </c>
      <c r="H109" s="117"/>
      <c r="I109" s="118" t="s">
        <v>119</v>
      </c>
      <c r="J109" s="117"/>
      <c r="K109" s="118" t="s">
        <v>119</v>
      </c>
      <c r="L109" s="117"/>
      <c r="M109" s="118"/>
      <c r="N109" s="117"/>
      <c r="O109" s="118" t="s">
        <v>119</v>
      </c>
      <c r="P109" s="117"/>
      <c r="Q109" s="118"/>
      <c r="R109" s="117"/>
      <c r="S109" s="118" t="s">
        <v>119</v>
      </c>
      <c r="T109" s="119">
        <f>73757.89</f>
        <v>73757.89</v>
      </c>
      <c r="U109" s="120" t="str">
        <f>"－"</f>
        <v>－</v>
      </c>
      <c r="V109" s="120"/>
      <c r="W109" s="120"/>
      <c r="X109" s="120" t="str">
        <f>"－"</f>
        <v>－</v>
      </c>
      <c r="Y109" s="120"/>
      <c r="Z109" s="121"/>
      <c r="AA109" s="117"/>
      <c r="AB109" s="122">
        <f>5</f>
        <v>5</v>
      </c>
      <c r="AC109" s="122" t="str">
        <f t="shared" si="13"/>
        <v>－</v>
      </c>
      <c r="AD109" s="123" t="str">
        <f>"－"</f>
        <v>－</v>
      </c>
    </row>
    <row r="110" spans="1:30">
      <c r="A110" s="113" t="s">
        <v>46</v>
      </c>
      <c r="B110" s="114" t="s">
        <v>616</v>
      </c>
      <c r="C110" s="114" t="s">
        <v>617</v>
      </c>
      <c r="D110" s="114" t="s">
        <v>247</v>
      </c>
      <c r="E110" s="115" t="s">
        <v>320</v>
      </c>
      <c r="F110" s="115" t="s">
        <v>61</v>
      </c>
      <c r="G110" s="116">
        <v>10</v>
      </c>
      <c r="H110" s="117"/>
      <c r="I110" s="118" t="s">
        <v>119</v>
      </c>
      <c r="J110" s="117"/>
      <c r="K110" s="118" t="s">
        <v>119</v>
      </c>
      <c r="L110" s="117"/>
      <c r="M110" s="118"/>
      <c r="N110" s="117"/>
      <c r="O110" s="118" t="s">
        <v>119</v>
      </c>
      <c r="P110" s="117"/>
      <c r="Q110" s="118"/>
      <c r="R110" s="117"/>
      <c r="S110" s="118" t="s">
        <v>119</v>
      </c>
      <c r="T110" s="119">
        <f>73484.21</f>
        <v>73484.210000000006</v>
      </c>
      <c r="U110" s="120" t="str">
        <f>"－"</f>
        <v>－</v>
      </c>
      <c r="V110" s="120"/>
      <c r="W110" s="120"/>
      <c r="X110" s="120" t="str">
        <f>"－"</f>
        <v>－</v>
      </c>
      <c r="Y110" s="120"/>
      <c r="Z110" s="121"/>
      <c r="AA110" s="117"/>
      <c r="AB110" s="122">
        <f>5</f>
        <v>5</v>
      </c>
      <c r="AC110" s="122" t="str">
        <f t="shared" ref="AC110:AC127" si="14">"－"</f>
        <v>－</v>
      </c>
      <c r="AD110" s="123" t="str">
        <f>"－"</f>
        <v>－</v>
      </c>
    </row>
    <row r="111" spans="1:30">
      <c r="A111" s="113" t="s">
        <v>46</v>
      </c>
      <c r="B111" s="114" t="s">
        <v>616</v>
      </c>
      <c r="C111" s="114" t="s">
        <v>617</v>
      </c>
      <c r="D111" s="114" t="s">
        <v>68</v>
      </c>
      <c r="E111" s="115" t="s">
        <v>412</v>
      </c>
      <c r="F111" s="115" t="s">
        <v>294</v>
      </c>
      <c r="G111" s="116">
        <v>10</v>
      </c>
      <c r="H111" s="117"/>
      <c r="I111" s="118" t="s">
        <v>119</v>
      </c>
      <c r="J111" s="117"/>
      <c r="K111" s="118" t="s">
        <v>119</v>
      </c>
      <c r="L111" s="117"/>
      <c r="M111" s="118"/>
      <c r="N111" s="117"/>
      <c r="O111" s="118" t="s">
        <v>119</v>
      </c>
      <c r="P111" s="117"/>
      <c r="Q111" s="118"/>
      <c r="R111" s="117"/>
      <c r="S111" s="118" t="s">
        <v>119</v>
      </c>
      <c r="T111" s="119">
        <f>73210.53</f>
        <v>73210.53</v>
      </c>
      <c r="U111" s="120" t="str">
        <f>"－"</f>
        <v>－</v>
      </c>
      <c r="V111" s="120"/>
      <c r="W111" s="120"/>
      <c r="X111" s="120" t="str">
        <f>"－"</f>
        <v>－</v>
      </c>
      <c r="Y111" s="120"/>
      <c r="Z111" s="121"/>
      <c r="AA111" s="117"/>
      <c r="AB111" s="122">
        <f>5</f>
        <v>5</v>
      </c>
      <c r="AC111" s="122" t="str">
        <f t="shared" si="14"/>
        <v>－</v>
      </c>
      <c r="AD111" s="123" t="str">
        <f>"－"</f>
        <v>－</v>
      </c>
    </row>
    <row r="112" spans="1:30">
      <c r="A112" s="113" t="s">
        <v>46</v>
      </c>
      <c r="B112" s="114" t="s">
        <v>616</v>
      </c>
      <c r="C112" s="114" t="s">
        <v>617</v>
      </c>
      <c r="D112" s="114" t="s">
        <v>260</v>
      </c>
      <c r="E112" s="115" t="s">
        <v>460</v>
      </c>
      <c r="F112" s="115" t="s">
        <v>106</v>
      </c>
      <c r="G112" s="116">
        <v>10</v>
      </c>
      <c r="H112" s="117"/>
      <c r="I112" s="118" t="s">
        <v>119</v>
      </c>
      <c r="J112" s="117"/>
      <c r="K112" s="118" t="s">
        <v>119</v>
      </c>
      <c r="L112" s="117"/>
      <c r="M112" s="118"/>
      <c r="N112" s="117"/>
      <c r="O112" s="118" t="s">
        <v>119</v>
      </c>
      <c r="P112" s="117"/>
      <c r="Q112" s="118"/>
      <c r="R112" s="117"/>
      <c r="S112" s="118" t="s">
        <v>119</v>
      </c>
      <c r="T112" s="119">
        <f>72952.63</f>
        <v>72952.63</v>
      </c>
      <c r="U112" s="120" t="str">
        <f>"－"</f>
        <v>－</v>
      </c>
      <c r="V112" s="120"/>
      <c r="W112" s="120"/>
      <c r="X112" s="120" t="str">
        <f>"－"</f>
        <v>－</v>
      </c>
      <c r="Y112" s="120"/>
      <c r="Z112" s="121"/>
      <c r="AA112" s="117"/>
      <c r="AB112" s="122" t="str">
        <f>"－"</f>
        <v>－</v>
      </c>
      <c r="AC112" s="122" t="str">
        <f t="shared" si="14"/>
        <v>－</v>
      </c>
      <c r="AD112" s="123" t="str">
        <f>"－"</f>
        <v>－</v>
      </c>
    </row>
    <row r="113" spans="1:30">
      <c r="A113" s="113" t="s">
        <v>46</v>
      </c>
      <c r="B113" s="114" t="s">
        <v>616</v>
      </c>
      <c r="C113" s="114" t="s">
        <v>617</v>
      </c>
      <c r="D113" s="114" t="s">
        <v>74</v>
      </c>
      <c r="E113" s="115" t="s">
        <v>338</v>
      </c>
      <c r="F113" s="115" t="s">
        <v>307</v>
      </c>
      <c r="G113" s="116">
        <v>10</v>
      </c>
      <c r="H113" s="117"/>
      <c r="I113" s="118" t="s">
        <v>119</v>
      </c>
      <c r="J113" s="117"/>
      <c r="K113" s="118" t="s">
        <v>119</v>
      </c>
      <c r="L113" s="117"/>
      <c r="M113" s="118"/>
      <c r="N113" s="117"/>
      <c r="O113" s="118" t="s">
        <v>119</v>
      </c>
      <c r="P113" s="117"/>
      <c r="Q113" s="118"/>
      <c r="R113" s="117"/>
      <c r="S113" s="118" t="s">
        <v>119</v>
      </c>
      <c r="T113" s="119">
        <f>74400</f>
        <v>74400</v>
      </c>
      <c r="U113" s="120" t="str">
        <f>"－"</f>
        <v>－</v>
      </c>
      <c r="V113" s="120"/>
      <c r="W113" s="120"/>
      <c r="X113" s="120" t="str">
        <f>"－"</f>
        <v>－</v>
      </c>
      <c r="Y113" s="120"/>
      <c r="Z113" s="121"/>
      <c r="AA113" s="117"/>
      <c r="AB113" s="122" t="str">
        <f>"－"</f>
        <v>－</v>
      </c>
      <c r="AC113" s="122" t="str">
        <f t="shared" si="14"/>
        <v>－</v>
      </c>
      <c r="AD113" s="123" t="str">
        <f>"－"</f>
        <v>－</v>
      </c>
    </row>
    <row r="114" spans="1:30">
      <c r="A114" s="113" t="s">
        <v>46</v>
      </c>
      <c r="B114" s="114" t="s">
        <v>623</v>
      </c>
      <c r="C114" s="114" t="s">
        <v>624</v>
      </c>
      <c r="D114" s="114" t="s">
        <v>49</v>
      </c>
      <c r="E114" s="115" t="s">
        <v>439</v>
      </c>
      <c r="F114" s="115" t="s">
        <v>270</v>
      </c>
      <c r="G114" s="116">
        <v>10</v>
      </c>
      <c r="H114" s="117" t="s">
        <v>54</v>
      </c>
      <c r="I114" s="118" t="s">
        <v>625</v>
      </c>
      <c r="J114" s="117" t="s">
        <v>128</v>
      </c>
      <c r="K114" s="118" t="s">
        <v>626</v>
      </c>
      <c r="L114" s="117" t="s">
        <v>128</v>
      </c>
      <c r="M114" s="118" t="s">
        <v>627</v>
      </c>
      <c r="N114" s="117" t="s">
        <v>54</v>
      </c>
      <c r="O114" s="118" t="s">
        <v>625</v>
      </c>
      <c r="P114" s="117" t="s">
        <v>158</v>
      </c>
      <c r="Q114" s="118" t="s">
        <v>621</v>
      </c>
      <c r="R114" s="117" t="s">
        <v>273</v>
      </c>
      <c r="S114" s="118" t="s">
        <v>628</v>
      </c>
      <c r="T114" s="119">
        <f>76746</f>
        <v>76746</v>
      </c>
      <c r="U114" s="120">
        <f>548</f>
        <v>548</v>
      </c>
      <c r="V114" s="120">
        <v>261</v>
      </c>
      <c r="W114" s="120"/>
      <c r="X114" s="120">
        <f>425301100</f>
        <v>425301100</v>
      </c>
      <c r="Y114" s="120">
        <v>202779600</v>
      </c>
      <c r="Z114" s="121"/>
      <c r="AA114" s="117" t="s">
        <v>231</v>
      </c>
      <c r="AB114" s="122">
        <f>490</f>
        <v>490</v>
      </c>
      <c r="AC114" s="122" t="str">
        <f t="shared" si="14"/>
        <v>－</v>
      </c>
      <c r="AD114" s="123">
        <f>12</f>
        <v>12</v>
      </c>
    </row>
    <row r="115" spans="1:30">
      <c r="A115" s="113" t="s">
        <v>46</v>
      </c>
      <c r="B115" s="114" t="s">
        <v>623</v>
      </c>
      <c r="C115" s="114" t="s">
        <v>624</v>
      </c>
      <c r="D115" s="114" t="s">
        <v>237</v>
      </c>
      <c r="E115" s="115" t="s">
        <v>277</v>
      </c>
      <c r="F115" s="115" t="s">
        <v>446</v>
      </c>
      <c r="G115" s="116">
        <v>10</v>
      </c>
      <c r="H115" s="117" t="s">
        <v>273</v>
      </c>
      <c r="I115" s="118" t="s">
        <v>618</v>
      </c>
      <c r="J115" s="117" t="s">
        <v>273</v>
      </c>
      <c r="K115" s="118" t="s">
        <v>618</v>
      </c>
      <c r="L115" s="117"/>
      <c r="M115" s="118"/>
      <c r="N115" s="117" t="s">
        <v>273</v>
      </c>
      <c r="O115" s="118" t="s">
        <v>618</v>
      </c>
      <c r="P115" s="117"/>
      <c r="Q115" s="118"/>
      <c r="R115" s="117" t="s">
        <v>273</v>
      </c>
      <c r="S115" s="118" t="s">
        <v>618</v>
      </c>
      <c r="T115" s="119">
        <f>74463.16</f>
        <v>74463.16</v>
      </c>
      <c r="U115" s="120">
        <f>3</f>
        <v>3</v>
      </c>
      <c r="V115" s="120"/>
      <c r="W115" s="120"/>
      <c r="X115" s="120">
        <f>2310000</f>
        <v>2310000</v>
      </c>
      <c r="Y115" s="120"/>
      <c r="Z115" s="121"/>
      <c r="AA115" s="117"/>
      <c r="AB115" s="122">
        <f>29</f>
        <v>29</v>
      </c>
      <c r="AC115" s="122" t="str">
        <f t="shared" si="14"/>
        <v>－</v>
      </c>
      <c r="AD115" s="123">
        <f>1</f>
        <v>1</v>
      </c>
    </row>
    <row r="116" spans="1:30">
      <c r="A116" s="113" t="s">
        <v>46</v>
      </c>
      <c r="B116" s="114" t="s">
        <v>623</v>
      </c>
      <c r="C116" s="114" t="s">
        <v>624</v>
      </c>
      <c r="D116" s="114" t="s">
        <v>59</v>
      </c>
      <c r="E116" s="115" t="s">
        <v>316</v>
      </c>
      <c r="F116" s="115" t="s">
        <v>283</v>
      </c>
      <c r="G116" s="116">
        <v>10</v>
      </c>
      <c r="H116" s="117"/>
      <c r="I116" s="118" t="s">
        <v>119</v>
      </c>
      <c r="J116" s="117"/>
      <c r="K116" s="118" t="s">
        <v>119</v>
      </c>
      <c r="L116" s="117"/>
      <c r="M116" s="118"/>
      <c r="N116" s="117"/>
      <c r="O116" s="118" t="s">
        <v>119</v>
      </c>
      <c r="P116" s="117"/>
      <c r="Q116" s="118"/>
      <c r="R116" s="117"/>
      <c r="S116" s="118" t="s">
        <v>119</v>
      </c>
      <c r="T116" s="119">
        <f>73784.21</f>
        <v>73784.210000000006</v>
      </c>
      <c r="U116" s="120" t="str">
        <f>"－"</f>
        <v>－</v>
      </c>
      <c r="V116" s="120"/>
      <c r="W116" s="120"/>
      <c r="X116" s="120" t="str">
        <f>"－"</f>
        <v>－</v>
      </c>
      <c r="Y116" s="120"/>
      <c r="Z116" s="121"/>
      <c r="AA116" s="117"/>
      <c r="AB116" s="122">
        <f>2</f>
        <v>2</v>
      </c>
      <c r="AC116" s="122" t="str">
        <f t="shared" si="14"/>
        <v>－</v>
      </c>
      <c r="AD116" s="123" t="str">
        <f>"－"</f>
        <v>－</v>
      </c>
    </row>
    <row r="117" spans="1:30">
      <c r="A117" s="113" t="s">
        <v>46</v>
      </c>
      <c r="B117" s="114" t="s">
        <v>623</v>
      </c>
      <c r="C117" s="114" t="s">
        <v>624</v>
      </c>
      <c r="D117" s="114" t="s">
        <v>247</v>
      </c>
      <c r="E117" s="115" t="s">
        <v>320</v>
      </c>
      <c r="F117" s="115" t="s">
        <v>61</v>
      </c>
      <c r="G117" s="116">
        <v>10</v>
      </c>
      <c r="H117" s="117"/>
      <c r="I117" s="118" t="s">
        <v>119</v>
      </c>
      <c r="J117" s="117"/>
      <c r="K117" s="118" t="s">
        <v>119</v>
      </c>
      <c r="L117" s="117"/>
      <c r="M117" s="118"/>
      <c r="N117" s="117"/>
      <c r="O117" s="118" t="s">
        <v>119</v>
      </c>
      <c r="P117" s="117"/>
      <c r="Q117" s="118"/>
      <c r="R117" s="117"/>
      <c r="S117" s="118" t="s">
        <v>119</v>
      </c>
      <c r="T117" s="119">
        <f>73531.58</f>
        <v>73531.58</v>
      </c>
      <c r="U117" s="120" t="str">
        <f>"－"</f>
        <v>－</v>
      </c>
      <c r="V117" s="120"/>
      <c r="W117" s="120"/>
      <c r="X117" s="120" t="str">
        <f>"－"</f>
        <v>－</v>
      </c>
      <c r="Y117" s="120"/>
      <c r="Z117" s="121"/>
      <c r="AA117" s="117"/>
      <c r="AB117" s="122">
        <f>2</f>
        <v>2</v>
      </c>
      <c r="AC117" s="122" t="str">
        <f t="shared" si="14"/>
        <v>－</v>
      </c>
      <c r="AD117" s="123" t="str">
        <f>"－"</f>
        <v>－</v>
      </c>
    </row>
    <row r="118" spans="1:30">
      <c r="A118" s="113" t="s">
        <v>46</v>
      </c>
      <c r="B118" s="114" t="s">
        <v>623</v>
      </c>
      <c r="C118" s="114" t="s">
        <v>624</v>
      </c>
      <c r="D118" s="114" t="s">
        <v>68</v>
      </c>
      <c r="E118" s="115" t="s">
        <v>412</v>
      </c>
      <c r="F118" s="115" t="s">
        <v>294</v>
      </c>
      <c r="G118" s="116">
        <v>10</v>
      </c>
      <c r="H118" s="117"/>
      <c r="I118" s="118" t="s">
        <v>119</v>
      </c>
      <c r="J118" s="117"/>
      <c r="K118" s="118" t="s">
        <v>119</v>
      </c>
      <c r="L118" s="117"/>
      <c r="M118" s="118"/>
      <c r="N118" s="117"/>
      <c r="O118" s="118" t="s">
        <v>119</v>
      </c>
      <c r="P118" s="117"/>
      <c r="Q118" s="118"/>
      <c r="R118" s="117"/>
      <c r="S118" s="118" t="s">
        <v>119</v>
      </c>
      <c r="T118" s="119">
        <f>73247.37</f>
        <v>73247.37</v>
      </c>
      <c r="U118" s="120" t="str">
        <f>"－"</f>
        <v>－</v>
      </c>
      <c r="V118" s="120"/>
      <c r="W118" s="120"/>
      <c r="X118" s="120" t="str">
        <f>"－"</f>
        <v>－</v>
      </c>
      <c r="Y118" s="120"/>
      <c r="Z118" s="121"/>
      <c r="AA118" s="117"/>
      <c r="AB118" s="122">
        <f>2</f>
        <v>2</v>
      </c>
      <c r="AC118" s="122" t="str">
        <f t="shared" si="14"/>
        <v>－</v>
      </c>
      <c r="AD118" s="123" t="str">
        <f>"－"</f>
        <v>－</v>
      </c>
    </row>
    <row r="119" spans="1:30">
      <c r="A119" s="113" t="s">
        <v>46</v>
      </c>
      <c r="B119" s="114" t="s">
        <v>623</v>
      </c>
      <c r="C119" s="114" t="s">
        <v>624</v>
      </c>
      <c r="D119" s="114" t="s">
        <v>260</v>
      </c>
      <c r="E119" s="115" t="s">
        <v>460</v>
      </c>
      <c r="F119" s="115" t="s">
        <v>106</v>
      </c>
      <c r="G119" s="116">
        <v>10</v>
      </c>
      <c r="H119" s="117"/>
      <c r="I119" s="118" t="s">
        <v>119</v>
      </c>
      <c r="J119" s="117"/>
      <c r="K119" s="118" t="s">
        <v>119</v>
      </c>
      <c r="L119" s="117"/>
      <c r="M119" s="118"/>
      <c r="N119" s="117"/>
      <c r="O119" s="118" t="s">
        <v>119</v>
      </c>
      <c r="P119" s="117"/>
      <c r="Q119" s="118"/>
      <c r="R119" s="117"/>
      <c r="S119" s="118" t="s">
        <v>119</v>
      </c>
      <c r="T119" s="119">
        <f>72852.63</f>
        <v>72852.63</v>
      </c>
      <c r="U119" s="120" t="str">
        <f>"－"</f>
        <v>－</v>
      </c>
      <c r="V119" s="120"/>
      <c r="W119" s="120"/>
      <c r="X119" s="120" t="str">
        <f>"－"</f>
        <v>－</v>
      </c>
      <c r="Y119" s="120"/>
      <c r="Z119" s="121"/>
      <c r="AA119" s="117"/>
      <c r="AB119" s="122" t="str">
        <f>"－"</f>
        <v>－</v>
      </c>
      <c r="AC119" s="122" t="str">
        <f t="shared" si="14"/>
        <v>－</v>
      </c>
      <c r="AD119" s="123" t="str">
        <f>"－"</f>
        <v>－</v>
      </c>
    </row>
    <row r="120" spans="1:30">
      <c r="A120" s="113" t="s">
        <v>46</v>
      </c>
      <c r="B120" s="114" t="s">
        <v>623</v>
      </c>
      <c r="C120" s="114" t="s">
        <v>624</v>
      </c>
      <c r="D120" s="114" t="s">
        <v>74</v>
      </c>
      <c r="E120" s="115" t="s">
        <v>338</v>
      </c>
      <c r="F120" s="115" t="s">
        <v>307</v>
      </c>
      <c r="G120" s="116">
        <v>10</v>
      </c>
      <c r="H120" s="117"/>
      <c r="I120" s="118" t="s">
        <v>119</v>
      </c>
      <c r="J120" s="117"/>
      <c r="K120" s="118" t="s">
        <v>119</v>
      </c>
      <c r="L120" s="117"/>
      <c r="M120" s="118"/>
      <c r="N120" s="117"/>
      <c r="O120" s="118" t="s">
        <v>119</v>
      </c>
      <c r="P120" s="117"/>
      <c r="Q120" s="118"/>
      <c r="R120" s="117"/>
      <c r="S120" s="118" t="s">
        <v>119</v>
      </c>
      <c r="T120" s="119">
        <f>74400</f>
        <v>74400</v>
      </c>
      <c r="U120" s="120" t="str">
        <f>"－"</f>
        <v>－</v>
      </c>
      <c r="V120" s="120"/>
      <c r="W120" s="120"/>
      <c r="X120" s="120" t="str">
        <f>"－"</f>
        <v>－</v>
      </c>
      <c r="Y120" s="120"/>
      <c r="Z120" s="121"/>
      <c r="AA120" s="117"/>
      <c r="AB120" s="122" t="str">
        <f>"－"</f>
        <v>－</v>
      </c>
      <c r="AC120" s="122" t="str">
        <f t="shared" si="14"/>
        <v>－</v>
      </c>
      <c r="AD120" s="123" t="str">
        <f>"－"</f>
        <v>－</v>
      </c>
    </row>
  </sheetData>
  <mergeCells count="34">
    <mergeCell ref="E6:F6"/>
    <mergeCell ref="AA6:AB6"/>
    <mergeCell ref="O4:O5"/>
    <mergeCell ref="P4:Q4"/>
    <mergeCell ref="R4:R5"/>
    <mergeCell ref="S4:S5"/>
    <mergeCell ref="U4:U5"/>
    <mergeCell ref="V4:V5"/>
    <mergeCell ref="H4:H5"/>
    <mergeCell ref="I4:I5"/>
    <mergeCell ref="J4:J5"/>
    <mergeCell ref="K4:K5"/>
    <mergeCell ref="L4:M4"/>
    <mergeCell ref="N4:N5"/>
    <mergeCell ref="T3:T5"/>
    <mergeCell ref="U3:W3"/>
    <mergeCell ref="X3:Z3"/>
    <mergeCell ref="AA3:AB5"/>
    <mergeCell ref="AC3:AC5"/>
    <mergeCell ref="AD3:AD5"/>
    <mergeCell ref="W4:W5"/>
    <mergeCell ref="X4:X5"/>
    <mergeCell ref="Y4:Y5"/>
    <mergeCell ref="Z4:Z5"/>
    <mergeCell ref="A1:K1"/>
    <mergeCell ref="A2:C2"/>
    <mergeCell ref="AA2:AB2"/>
    <mergeCell ref="A3:A5"/>
    <mergeCell ref="B3:B6"/>
    <mergeCell ref="C3:C6"/>
    <mergeCell ref="D3:D5"/>
    <mergeCell ref="E3:F5"/>
    <mergeCell ref="G3:G5"/>
    <mergeCell ref="H3:S3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3" fitToHeight="0" orientation="landscape" useFirstPageNumber="1" r:id="rId1"/>
  <headerFooter>
    <oddFooter xml:space="preserve">&amp;C&amp;P/&amp;N&amp;RCopyright (c) Japan Exchange Group, Inc. All Rights Reserved.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BO_DM0005</vt:lpstr>
      <vt:lpstr>BO_DM0007</vt:lpstr>
      <vt:lpstr>BO_DM0005!Print_Titles</vt:lpstr>
      <vt:lpstr>BO_DM0007!Print_Titles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Suzuki, Asuka (鈴木 飛鳥)</cp:lastModifiedBy>
  <cp:lastPrinted>2020-10-20T00:01:10Z</cp:lastPrinted>
  <dcterms:created xsi:type="dcterms:W3CDTF">2017-12-14T02:19:15Z</dcterms:created>
  <dcterms:modified xsi:type="dcterms:W3CDTF">2022-03-07T01:09:54Z</dcterms:modified>
</cp:coreProperties>
</file>