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<sst xmlns="http://schemas.openxmlformats.org/spreadsheetml/2006/main" count="173" uniqueCount="61">
  <si>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</si>
  <si>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</si>
  <si>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</si>
  <si>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</si>
  <si>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</si>
  <si>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</si>
  <si>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</si>
  <si>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</si>
  <si>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</si>
  <si>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</si>
  <si>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</si>
  <si>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</si>
  <si>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</si>
  <si>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</si>
  <si>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</si>
  <si>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</si>
  <si>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</si>
  <si>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</si>
  <si>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</si>
  <si>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</si>
  <si>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</si>
  <si>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</si>
  <si>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</si>
  <si>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</si>
  <si>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</si>
  <si>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</si>
  <si>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</si>
  <si>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長期国債先物オプション</t>
  </si>
  <si>
    <t>Options on 10-year JGB Futures</t>
  </si>
  <si>
    <t>2</t>
  </si>
  <si>
    <t>●</t>
  </si>
  <si>
    <t>3</t>
  </si>
  <si>
    <t>4</t>
  </si>
  <si>
    <t>5</t>
  </si>
  <si>
    <t>6</t>
  </si>
  <si>
    <t>7</t>
  </si>
  <si>
    <t>8</t>
  </si>
  <si>
    <t>9</t>
  </si>
  <si>
    <t>10</t>
  </si>
  <si>
    <t>◎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</si>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</sst>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 t="n">
        <f>508</f>
        <v>508.0</v>
      </c>
      <c r="F11" s="24"/>
      <c r="G11" s="26" t="n">
        <f>120</f>
        <v>120.0</v>
      </c>
      <c r="H11" s="25"/>
      <c r="I11" s="26" t="n">
        <f>628</f>
        <v>628.0</v>
      </c>
      <c r="J11" s="23"/>
      <c r="K11" s="26" t="n">
        <f>174270000</f>
        <v>1.7427E8</v>
      </c>
      <c r="L11" s="24"/>
      <c r="M11" s="26" t="n">
        <f>47650000</f>
        <v>4.765E7</v>
      </c>
      <c r="N11" s="25"/>
      <c r="O11" s="26" t="n">
        <f>221920000</f>
        <v>2.2192E8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292</f>
        <v>292.0</v>
      </c>
      <c r="U11" s="24"/>
      <c r="V11" s="26" t="n">
        <f>47</f>
        <v>47.0</v>
      </c>
      <c r="W11" s="25"/>
      <c r="X11" s="26" t="n">
        <f>339</f>
        <v>339.0</v>
      </c>
      <c r="Y11" s="23" t="s">
        <v>30</v>
      </c>
      <c r="Z11" s="26" t="n">
        <f>765</f>
        <v>765.0</v>
      </c>
      <c r="AA11" s="24" t="s">
        <v>30</v>
      </c>
      <c r="AB11" s="26" t="n">
        <f>480</f>
        <v>480.0</v>
      </c>
      <c r="AC11" s="25" t="s">
        <v>30</v>
      </c>
      <c r="AD11" s="26" t="n">
        <f>1245</f>
        <v>1245.0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181</f>
        <v>181.0</v>
      </c>
      <c r="F12" s="24"/>
      <c r="G12" s="26" t="n">
        <f>145</f>
        <v>145.0</v>
      </c>
      <c r="H12" s="25"/>
      <c r="I12" s="26" t="n">
        <f>326</f>
        <v>326.0</v>
      </c>
      <c r="J12" s="23"/>
      <c r="K12" s="26" t="n">
        <f>42800000</f>
        <v>4.28E7</v>
      </c>
      <c r="L12" s="24"/>
      <c r="M12" s="26" t="n">
        <f>48060000</f>
        <v>4.806E7</v>
      </c>
      <c r="N12" s="25"/>
      <c r="O12" s="26" t="n">
        <f>90860000</f>
        <v>9.086E7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45</f>
        <v>45.0</v>
      </c>
      <c r="U12" s="24"/>
      <c r="V12" s="26" t="n">
        <f>10</f>
        <v>10.0</v>
      </c>
      <c r="W12" s="25"/>
      <c r="X12" s="26" t="n">
        <f>55</f>
        <v>55.0</v>
      </c>
      <c r="Y12" s="23"/>
      <c r="Z12" s="26" t="n">
        <f>911</f>
        <v>911.0</v>
      </c>
      <c r="AA12" s="24"/>
      <c r="AB12" s="26" t="n">
        <f>565</f>
        <v>565.0</v>
      </c>
      <c r="AC12" s="25"/>
      <c r="AD12" s="26" t="n">
        <f>1476</f>
        <v>1476.0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218</f>
        <v>218.0</v>
      </c>
      <c r="F13" s="24"/>
      <c r="G13" s="26" t="n">
        <f>238</f>
        <v>238.0</v>
      </c>
      <c r="H13" s="25"/>
      <c r="I13" s="26" t="n">
        <f>456</f>
        <v>456.0</v>
      </c>
      <c r="J13" s="23"/>
      <c r="K13" s="26" t="n">
        <f>54460000</f>
        <v>5.446E7</v>
      </c>
      <c r="L13" s="24"/>
      <c r="M13" s="26" t="n">
        <f>45990000</f>
        <v>4.599E7</v>
      </c>
      <c r="N13" s="25"/>
      <c r="O13" s="26" t="n">
        <f>100450000</f>
        <v>1.0045E8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100</f>
        <v>100.0</v>
      </c>
      <c r="U13" s="24"/>
      <c r="V13" s="26" t="n">
        <f>205</f>
        <v>205.0</v>
      </c>
      <c r="W13" s="25"/>
      <c r="X13" s="26" t="n">
        <f>305</f>
        <v>305.0</v>
      </c>
      <c r="Y13" s="23"/>
      <c r="Z13" s="26" t="n">
        <f>1012</f>
        <v>1012.0</v>
      </c>
      <c r="AA13" s="24"/>
      <c r="AB13" s="26" t="n">
        <f>757</f>
        <v>757.0</v>
      </c>
      <c r="AC13" s="25"/>
      <c r="AD13" s="26" t="n">
        <f>1769</f>
        <v>1769.0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452</f>
        <v>452.0</v>
      </c>
      <c r="F14" s="24"/>
      <c r="G14" s="26" t="n">
        <f>18</f>
        <v>18.0</v>
      </c>
      <c r="H14" s="25"/>
      <c r="I14" s="26" t="n">
        <f>470</f>
        <v>470.0</v>
      </c>
      <c r="J14" s="23"/>
      <c r="K14" s="26" t="n">
        <f>140160000</f>
        <v>1.4016E8</v>
      </c>
      <c r="L14" s="24"/>
      <c r="M14" s="26" t="n">
        <f>1810000</f>
        <v>1810000.0</v>
      </c>
      <c r="N14" s="25"/>
      <c r="O14" s="26" t="n">
        <f>141970000</f>
        <v>1.4197E8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530</f>
        <v>530.0</v>
      </c>
      <c r="U14" s="24" t="s">
        <v>30</v>
      </c>
      <c r="V14" s="26" t="str">
        <f>"－"</f>
        <v>－</v>
      </c>
      <c r="W14" s="25"/>
      <c r="X14" s="26" t="n">
        <f>530</f>
        <v>530.0</v>
      </c>
      <c r="Y14" s="23"/>
      <c r="Z14" s="26" t="n">
        <f>1413</f>
        <v>1413.0</v>
      </c>
      <c r="AA14" s="24"/>
      <c r="AB14" s="26" t="n">
        <f>761</f>
        <v>761.0</v>
      </c>
      <c r="AC14" s="25"/>
      <c r="AD14" s="26" t="n">
        <f>2174</f>
        <v>2174.0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32</f>
        <v>32.0</v>
      </c>
      <c r="F15" s="24"/>
      <c r="G15" s="26" t="n">
        <f>193</f>
        <v>193.0</v>
      </c>
      <c r="H15" s="25"/>
      <c r="I15" s="26" t="n">
        <f>225</f>
        <v>225.0</v>
      </c>
      <c r="J15" s="23"/>
      <c r="K15" s="26" t="n">
        <f>8470000</f>
        <v>8470000.0</v>
      </c>
      <c r="L15" s="24"/>
      <c r="M15" s="26" t="n">
        <f>50690000</f>
        <v>5.069E7</v>
      </c>
      <c r="N15" s="25"/>
      <c r="O15" s="26" t="n">
        <f>59160000</f>
        <v>5.916E7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 t="s">
        <v>30</v>
      </c>
      <c r="T15" s="26" t="str">
        <f>"－"</f>
        <v>－</v>
      </c>
      <c r="U15" s="24"/>
      <c r="V15" s="26" t="n">
        <f>122</f>
        <v>122.0</v>
      </c>
      <c r="W15" s="25"/>
      <c r="X15" s="26" t="n">
        <f>122</f>
        <v>122.0</v>
      </c>
      <c r="Y15" s="23"/>
      <c r="Z15" s="26" t="n">
        <f>1440</f>
        <v>1440.0</v>
      </c>
      <c r="AA15" s="24"/>
      <c r="AB15" s="26" t="n">
        <f>935</f>
        <v>935.0</v>
      </c>
      <c r="AC15" s="25"/>
      <c r="AD15" s="26" t="n">
        <f>2375</f>
        <v>2375.0</v>
      </c>
    </row>
    <row r="16">
      <c r="A16" s="21" t="s">
        <v>35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38</v>
      </c>
      <c r="B19" s="22" t="s">
        <v>27</v>
      </c>
      <c r="C19" s="22" t="s">
        <v>28</v>
      </c>
      <c r="D19" s="23"/>
      <c r="E19" s="26" t="n">
        <f>463</f>
        <v>463.0</v>
      </c>
      <c r="F19" s="24"/>
      <c r="G19" s="26" t="n">
        <f>612</f>
        <v>612.0</v>
      </c>
      <c r="H19" s="25"/>
      <c r="I19" s="26" t="n">
        <f>1075</f>
        <v>1075.0</v>
      </c>
      <c r="J19" s="23"/>
      <c r="K19" s="26" t="n">
        <f>119735000</f>
        <v>1.19735E8</v>
      </c>
      <c r="L19" s="24" t="s">
        <v>39</v>
      </c>
      <c r="M19" s="26" t="n">
        <f>182590000</f>
        <v>1.8259E8</v>
      </c>
      <c r="N19" s="25" t="s">
        <v>39</v>
      </c>
      <c r="O19" s="26" t="n">
        <f>302325000</f>
        <v>3.02325E8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561</f>
        <v>561.0</v>
      </c>
      <c r="U19" s="24"/>
      <c r="V19" s="26" t="n">
        <f>218</f>
        <v>218.0</v>
      </c>
      <c r="W19" s="25"/>
      <c r="X19" s="26" t="n">
        <f>779</f>
        <v>779.0</v>
      </c>
      <c r="Y19" s="23"/>
      <c r="Z19" s="26" t="n">
        <f>1462</f>
        <v>1462.0</v>
      </c>
      <c r="AA19" s="24"/>
      <c r="AB19" s="26" t="n">
        <f>1351</f>
        <v>1351.0</v>
      </c>
      <c r="AC19" s="25"/>
      <c r="AD19" s="26" t="n">
        <f>2813</f>
        <v>2813.0</v>
      </c>
    </row>
    <row r="20">
      <c r="A20" s="21" t="s">
        <v>40</v>
      </c>
      <c r="B20" s="22" t="s">
        <v>27</v>
      </c>
      <c r="C20" s="22" t="s">
        <v>28</v>
      </c>
      <c r="D20" s="23" t="s">
        <v>39</v>
      </c>
      <c r="E20" s="26" t="n">
        <f>638</f>
        <v>638.0</v>
      </c>
      <c r="F20" s="24"/>
      <c r="G20" s="26" t="n">
        <f>105</f>
        <v>105.0</v>
      </c>
      <c r="H20" s="25"/>
      <c r="I20" s="26" t="n">
        <f>743</f>
        <v>743.0</v>
      </c>
      <c r="J20" s="23"/>
      <c r="K20" s="26" t="n">
        <f>119760000</f>
        <v>1.1976E8</v>
      </c>
      <c r="L20" s="24"/>
      <c r="M20" s="26" t="n">
        <f>36470000</f>
        <v>3.647E7</v>
      </c>
      <c r="N20" s="25"/>
      <c r="O20" s="26" t="n">
        <f>156230000</f>
        <v>1.5623E8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 t="s">
        <v>39</v>
      </c>
      <c r="T20" s="26" t="n">
        <f>705</f>
        <v>705.0</v>
      </c>
      <c r="U20" s="24"/>
      <c r="V20" s="26" t="n">
        <f>10</f>
        <v>10.0</v>
      </c>
      <c r="W20" s="25"/>
      <c r="X20" s="26" t="n">
        <f>715</f>
        <v>715.0</v>
      </c>
      <c r="Y20" s="23"/>
      <c r="Z20" s="26" t="n">
        <f>2058</f>
        <v>2058.0</v>
      </c>
      <c r="AA20" s="24"/>
      <c r="AB20" s="26" t="n">
        <f>1391</f>
        <v>1391.0</v>
      </c>
      <c r="AC20" s="25"/>
      <c r="AD20" s="26" t="n">
        <f>3449</f>
        <v>3449.0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469</f>
        <v>469.0</v>
      </c>
      <c r="F21" s="24"/>
      <c r="G21" s="26" t="n">
        <f>196</f>
        <v>196.0</v>
      </c>
      <c r="H21" s="25"/>
      <c r="I21" s="26" t="n">
        <f>665</f>
        <v>665.0</v>
      </c>
      <c r="J21" s="23"/>
      <c r="K21" s="26" t="n">
        <f>85300000</f>
        <v>8.53E7</v>
      </c>
      <c r="L21" s="24"/>
      <c r="M21" s="26" t="n">
        <f>72580000</f>
        <v>7.258E7</v>
      </c>
      <c r="N21" s="25"/>
      <c r="O21" s="26" t="n">
        <f>157880000</f>
        <v>1.5788E8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435</f>
        <v>435.0</v>
      </c>
      <c r="U21" s="24"/>
      <c r="V21" s="26" t="n">
        <f>115</f>
        <v>115.0</v>
      </c>
      <c r="W21" s="25"/>
      <c r="X21" s="26" t="n">
        <f>550</f>
        <v>550.0</v>
      </c>
      <c r="Y21" s="23"/>
      <c r="Z21" s="26" t="n">
        <f>2436</f>
        <v>2436.0</v>
      </c>
      <c r="AA21" s="24"/>
      <c r="AB21" s="26" t="n">
        <f>1587</f>
        <v>1587.0</v>
      </c>
      <c r="AC21" s="25"/>
      <c r="AD21" s="26" t="n">
        <f>4023</f>
        <v>4023.0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31</f>
        <v>31.0</v>
      </c>
      <c r="F22" s="24"/>
      <c r="G22" s="26" t="n">
        <f>260</f>
        <v>260.0</v>
      </c>
      <c r="H22" s="25"/>
      <c r="I22" s="26" t="n">
        <f>291</f>
        <v>291.0</v>
      </c>
      <c r="J22" s="23"/>
      <c r="K22" s="26" t="n">
        <f>5220000</f>
        <v>5220000.0</v>
      </c>
      <c r="L22" s="24"/>
      <c r="M22" s="26" t="n">
        <f>89700000</f>
        <v>8.97E7</v>
      </c>
      <c r="N22" s="25"/>
      <c r="O22" s="26" t="n">
        <f>94920000</f>
        <v>9.492E7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n">
        <f>150</f>
        <v>150.0</v>
      </c>
      <c r="W22" s="25"/>
      <c r="X22" s="26" t="n">
        <f>150</f>
        <v>150.0</v>
      </c>
      <c r="Y22" s="23"/>
      <c r="Z22" s="26" t="n">
        <f>2434</f>
        <v>2434.0</v>
      </c>
      <c r="AA22" s="24"/>
      <c r="AB22" s="26" t="n">
        <f>1844</f>
        <v>1844.0</v>
      </c>
      <c r="AC22" s="25"/>
      <c r="AD22" s="26" t="n">
        <f>4278</f>
        <v>4278.0</v>
      </c>
    </row>
    <row r="23">
      <c r="A23" s="21" t="s">
        <v>43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 t="n">
        <f>249</f>
        <v>249.0</v>
      </c>
      <c r="F25" s="24"/>
      <c r="G25" s="26" t="n">
        <f>228</f>
        <v>228.0</v>
      </c>
      <c r="H25" s="25"/>
      <c r="I25" s="26" t="n">
        <f>477</f>
        <v>477.0</v>
      </c>
      <c r="J25" s="23"/>
      <c r="K25" s="26" t="n">
        <f>36920000</f>
        <v>3.692E7</v>
      </c>
      <c r="L25" s="24"/>
      <c r="M25" s="26" t="n">
        <f>65090000</f>
        <v>6.509E7</v>
      </c>
      <c r="N25" s="25"/>
      <c r="O25" s="26" t="n">
        <f>102010000</f>
        <v>1.0201E8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200</f>
        <v>200.0</v>
      </c>
      <c r="U25" s="24"/>
      <c r="V25" s="26" t="n">
        <f>200</f>
        <v>200.0</v>
      </c>
      <c r="W25" s="25"/>
      <c r="X25" s="26" t="n">
        <f>400</f>
        <v>400.0</v>
      </c>
      <c r="Y25" s="23"/>
      <c r="Z25" s="26" t="n">
        <f>2620</f>
        <v>2620.0</v>
      </c>
      <c r="AA25" s="24"/>
      <c r="AB25" s="26" t="n">
        <f>2015</f>
        <v>2015.0</v>
      </c>
      <c r="AC25" s="25"/>
      <c r="AD25" s="26" t="n">
        <f>4635</f>
        <v>4635.0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239</f>
        <v>239.0</v>
      </c>
      <c r="F26" s="24"/>
      <c r="G26" s="26" t="n">
        <f>15</f>
        <v>15.0</v>
      </c>
      <c r="H26" s="25"/>
      <c r="I26" s="26" t="n">
        <f>254</f>
        <v>254.0</v>
      </c>
      <c r="J26" s="23"/>
      <c r="K26" s="26" t="n">
        <f>47460000</f>
        <v>4.746E7</v>
      </c>
      <c r="L26" s="24"/>
      <c r="M26" s="26" t="n">
        <f>4250000</f>
        <v>4250000.0</v>
      </c>
      <c r="N26" s="25"/>
      <c r="O26" s="26" t="n">
        <f>51710000</f>
        <v>5.171E7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348</f>
        <v>348.0</v>
      </c>
      <c r="U26" s="24"/>
      <c r="V26" s="26" t="str">
        <f>"－"</f>
        <v>－</v>
      </c>
      <c r="W26" s="25"/>
      <c r="X26" s="26" t="n">
        <f>348</f>
        <v>348.0</v>
      </c>
      <c r="Y26" s="23"/>
      <c r="Z26" s="26" t="n">
        <f>2732</f>
        <v>2732.0</v>
      </c>
      <c r="AA26" s="24"/>
      <c r="AB26" s="26" t="n">
        <f>2020</f>
        <v>2020.0</v>
      </c>
      <c r="AC26" s="25"/>
      <c r="AD26" s="26" t="n">
        <f>4752</f>
        <v>4752.0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30</f>
        <v>30.0</v>
      </c>
      <c r="F27" s="24" t="s">
        <v>30</v>
      </c>
      <c r="G27" s="26" t="n">
        <f>11</f>
        <v>11.0</v>
      </c>
      <c r="H27" s="25" t="s">
        <v>30</v>
      </c>
      <c r="I27" s="26" t="n">
        <f>41</f>
        <v>41.0</v>
      </c>
      <c r="J27" s="23"/>
      <c r="K27" s="26" t="n">
        <f>9200000</f>
        <v>9200000.0</v>
      </c>
      <c r="L27" s="24" t="s">
        <v>30</v>
      </c>
      <c r="M27" s="26" t="n">
        <f>1710000</f>
        <v>1710000.0</v>
      </c>
      <c r="N27" s="25"/>
      <c r="O27" s="26" t="n">
        <f>10910000</f>
        <v>1.091E7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n">
        <f>10</f>
        <v>10.0</v>
      </c>
      <c r="U27" s="24"/>
      <c r="V27" s="26" t="str">
        <f>"－"</f>
        <v>－</v>
      </c>
      <c r="W27" s="25" t="s">
        <v>30</v>
      </c>
      <c r="X27" s="26" t="n">
        <f>10</f>
        <v>10.0</v>
      </c>
      <c r="Y27" s="23"/>
      <c r="Z27" s="26" t="n">
        <f>2742</f>
        <v>2742.0</v>
      </c>
      <c r="AA27" s="24"/>
      <c r="AB27" s="26" t="n">
        <f>2028</f>
        <v>2028.0</v>
      </c>
      <c r="AC27" s="25"/>
      <c r="AD27" s="26" t="n">
        <f>4770</f>
        <v>4770.0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53</f>
        <v>53.0</v>
      </c>
      <c r="F28" s="24"/>
      <c r="G28" s="26" t="n">
        <f>43</f>
        <v>43.0</v>
      </c>
      <c r="H28" s="25"/>
      <c r="I28" s="26" t="n">
        <f>96</f>
        <v>96.0</v>
      </c>
      <c r="J28" s="23"/>
      <c r="K28" s="26" t="n">
        <f>23180000</f>
        <v>2.318E7</v>
      </c>
      <c r="L28" s="24"/>
      <c r="M28" s="26" t="n">
        <f>4480000</f>
        <v>4480000.0</v>
      </c>
      <c r="N28" s="25"/>
      <c r="O28" s="26" t="n">
        <f>27660000</f>
        <v>2.766E7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81</f>
        <v>81.0</v>
      </c>
      <c r="U28" s="24"/>
      <c r="V28" s="26" t="str">
        <f>"－"</f>
        <v>－</v>
      </c>
      <c r="W28" s="25"/>
      <c r="X28" s="26" t="n">
        <f>81</f>
        <v>81.0</v>
      </c>
      <c r="Y28" s="23"/>
      <c r="Z28" s="26" t="n">
        <f>2731</f>
        <v>2731.0</v>
      </c>
      <c r="AA28" s="24"/>
      <c r="AB28" s="26" t="n">
        <f>2054</f>
        <v>2054.0</v>
      </c>
      <c r="AC28" s="25"/>
      <c r="AD28" s="26" t="n">
        <f>4785</f>
        <v>4785.0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74</f>
        <v>74.0</v>
      </c>
      <c r="F29" s="24"/>
      <c r="G29" s="26" t="n">
        <f>55</f>
        <v>55.0</v>
      </c>
      <c r="H29" s="25"/>
      <c r="I29" s="26" t="n">
        <f>129</f>
        <v>129.0</v>
      </c>
      <c r="J29" s="23"/>
      <c r="K29" s="26" t="n">
        <f>16370000</f>
        <v>1.637E7</v>
      </c>
      <c r="L29" s="24"/>
      <c r="M29" s="26" t="n">
        <f>13900000</f>
        <v>1.39E7</v>
      </c>
      <c r="N29" s="25"/>
      <c r="O29" s="26" t="n">
        <f>30270000</f>
        <v>3.027E7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71</f>
        <v>71.0</v>
      </c>
      <c r="U29" s="24"/>
      <c r="V29" s="26" t="n">
        <f>21</f>
        <v>21.0</v>
      </c>
      <c r="W29" s="25"/>
      <c r="X29" s="26" t="n">
        <f>92</f>
        <v>92.0</v>
      </c>
      <c r="Y29" s="23"/>
      <c r="Z29" s="26" t="n">
        <f>2729</f>
        <v>2729.0</v>
      </c>
      <c r="AA29" s="24"/>
      <c r="AB29" s="26" t="n">
        <f>2101</f>
        <v>2101.0</v>
      </c>
      <c r="AC29" s="25"/>
      <c r="AD29" s="26" t="n">
        <f>4830</f>
        <v>4830.0</v>
      </c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 t="s">
        <v>30</v>
      </c>
      <c r="E32" s="26" t="n">
        <f>19</f>
        <v>19.0</v>
      </c>
      <c r="F32" s="24"/>
      <c r="G32" s="26" t="n">
        <f>51</f>
        <v>51.0</v>
      </c>
      <c r="H32" s="25"/>
      <c r="I32" s="26" t="n">
        <f>70</f>
        <v>70.0</v>
      </c>
      <c r="J32" s="23" t="s">
        <v>30</v>
      </c>
      <c r="K32" s="26" t="n">
        <f>3050000</f>
        <v>3050000.0</v>
      </c>
      <c r="L32" s="24"/>
      <c r="M32" s="26" t="n">
        <f>6710000</f>
        <v>6710000.0</v>
      </c>
      <c r="N32" s="25" t="s">
        <v>30</v>
      </c>
      <c r="O32" s="26" t="n">
        <f>9760000</f>
        <v>9760000.0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n">
        <f>10</f>
        <v>10.0</v>
      </c>
      <c r="W32" s="25"/>
      <c r="X32" s="26" t="n">
        <f>10</f>
        <v>10.0</v>
      </c>
      <c r="Y32" s="23"/>
      <c r="Z32" s="26" t="n">
        <f>2731</f>
        <v>2731.0</v>
      </c>
      <c r="AA32" s="24"/>
      <c r="AB32" s="26" t="n">
        <f>2104</f>
        <v>2104.0</v>
      </c>
      <c r="AC32" s="25"/>
      <c r="AD32" s="26" t="n">
        <f>4835</f>
        <v>4835.0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40</f>
        <v>40.0</v>
      </c>
      <c r="F33" s="24"/>
      <c r="G33" s="26" t="n">
        <f>365</f>
        <v>365.0</v>
      </c>
      <c r="H33" s="25"/>
      <c r="I33" s="26" t="n">
        <f>405</f>
        <v>405.0</v>
      </c>
      <c r="J33" s="23"/>
      <c r="K33" s="26" t="n">
        <f>13850000</f>
        <v>1.385E7</v>
      </c>
      <c r="L33" s="24"/>
      <c r="M33" s="26" t="n">
        <f>72710000</f>
        <v>7.271E7</v>
      </c>
      <c r="N33" s="25"/>
      <c r="O33" s="26" t="n">
        <f>86560000</f>
        <v>8.656E7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n">
        <f>530</f>
        <v>530.0</v>
      </c>
      <c r="W33" s="25"/>
      <c r="X33" s="26" t="n">
        <f>530</f>
        <v>530.0</v>
      </c>
      <c r="Y33" s="23"/>
      <c r="Z33" s="26" t="n">
        <f>2761</f>
        <v>2761.0</v>
      </c>
      <c r="AA33" s="24"/>
      <c r="AB33" s="26" t="n">
        <f>2129</f>
        <v>2129.0</v>
      </c>
      <c r="AC33" s="25"/>
      <c r="AD33" s="26" t="n">
        <f>4890</f>
        <v>4890.0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70</f>
        <v>70.0</v>
      </c>
      <c r="F34" s="24"/>
      <c r="G34" s="26" t="n">
        <f>205</f>
        <v>205.0</v>
      </c>
      <c r="H34" s="25"/>
      <c r="I34" s="26" t="n">
        <f>275</f>
        <v>275.0</v>
      </c>
      <c r="J34" s="23"/>
      <c r="K34" s="26" t="n">
        <f>5300000</f>
        <v>5300000.0</v>
      </c>
      <c r="L34" s="24"/>
      <c r="M34" s="26" t="n">
        <f>50150000</f>
        <v>5.015E7</v>
      </c>
      <c r="N34" s="25"/>
      <c r="O34" s="26" t="n">
        <f>55450000</f>
        <v>5.545E7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n">
        <f>50</f>
        <v>50.0</v>
      </c>
      <c r="U34" s="24"/>
      <c r="V34" s="26" t="n">
        <f>245</f>
        <v>245.0</v>
      </c>
      <c r="W34" s="25"/>
      <c r="X34" s="26" t="n">
        <f>295</f>
        <v>295.0</v>
      </c>
      <c r="Y34" s="23"/>
      <c r="Z34" s="26" t="n">
        <f>2820</f>
        <v>2820.0</v>
      </c>
      <c r="AA34" s="24"/>
      <c r="AB34" s="26" t="n">
        <f>2063</f>
        <v>2063.0</v>
      </c>
      <c r="AC34" s="25"/>
      <c r="AD34" s="26" t="n">
        <f>4883</f>
        <v>4883.0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80</f>
        <v>80.0</v>
      </c>
      <c r="F35" s="24"/>
      <c r="G35" s="26" t="n">
        <f>267</f>
        <v>267.0</v>
      </c>
      <c r="H35" s="25"/>
      <c r="I35" s="26" t="n">
        <f>347</f>
        <v>347.0</v>
      </c>
      <c r="J35" s="23"/>
      <c r="K35" s="26" t="n">
        <f>19880000</f>
        <v>1.988E7</v>
      </c>
      <c r="L35" s="24"/>
      <c r="M35" s="26" t="n">
        <f>31630000</f>
        <v>3.163E7</v>
      </c>
      <c r="N35" s="25"/>
      <c r="O35" s="26" t="n">
        <f>51510000</f>
        <v>5.151E7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10</f>
        <v>10.0</v>
      </c>
      <c r="U35" s="24"/>
      <c r="V35" s="26" t="n">
        <f>100</f>
        <v>100.0</v>
      </c>
      <c r="W35" s="25"/>
      <c r="X35" s="26" t="n">
        <f>110</f>
        <v>110.0</v>
      </c>
      <c r="Y35" s="23"/>
      <c r="Z35" s="26" t="n">
        <f>2839</f>
        <v>2839.0</v>
      </c>
      <c r="AA35" s="24"/>
      <c r="AB35" s="26" t="n">
        <f>2131</f>
        <v>2131.0</v>
      </c>
      <c r="AC35" s="25"/>
      <c r="AD35" s="26" t="n">
        <f>4970</f>
        <v>4970.0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534</f>
        <v>534.0</v>
      </c>
      <c r="F36" s="24" t="s">
        <v>39</v>
      </c>
      <c r="G36" s="26" t="n">
        <f>1095</f>
        <v>1095.0</v>
      </c>
      <c r="H36" s="25" t="s">
        <v>39</v>
      </c>
      <c r="I36" s="26" t="n">
        <f>1629</f>
        <v>1629.0</v>
      </c>
      <c r="J36" s="23"/>
      <c r="K36" s="26" t="n">
        <f>37180000</f>
        <v>3.718E7</v>
      </c>
      <c r="L36" s="24"/>
      <c r="M36" s="26" t="n">
        <f>132870000</f>
        <v>1.3287E8</v>
      </c>
      <c r="N36" s="25"/>
      <c r="O36" s="26" t="n">
        <f>170050000</f>
        <v>1.7005E8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400</f>
        <v>400.0</v>
      </c>
      <c r="U36" s="24" t="s">
        <v>39</v>
      </c>
      <c r="V36" s="26" t="n">
        <f>1275</f>
        <v>1275.0</v>
      </c>
      <c r="W36" s="25" t="s">
        <v>39</v>
      </c>
      <c r="X36" s="26" t="n">
        <f>1675</f>
        <v>1675.0</v>
      </c>
      <c r="Y36" s="23" t="s">
        <v>39</v>
      </c>
      <c r="Z36" s="26" t="n">
        <f>3306</f>
        <v>3306.0</v>
      </c>
      <c r="AA36" s="24" t="s">
        <v>39</v>
      </c>
      <c r="AB36" s="26" t="n">
        <f>3052</f>
        <v>3052.0</v>
      </c>
      <c r="AC36" s="25" t="s">
        <v>39</v>
      </c>
      <c r="AD36" s="26" t="n">
        <f>6358</f>
        <v>6358.0</v>
      </c>
    </row>
    <row r="37">
      <c r="A37" s="21" t="s">
        <v>57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 t="n">
        <f>202</f>
        <v>202.0</v>
      </c>
      <c r="F39" s="24"/>
      <c r="G39" s="26" t="n">
        <f>132</f>
        <v>132.0</v>
      </c>
      <c r="H39" s="25"/>
      <c r="I39" s="26" t="n">
        <f>334</f>
        <v>334.0</v>
      </c>
      <c r="J39" s="23"/>
      <c r="K39" s="26" t="n">
        <f>96010000</f>
        <v>9.601E7</v>
      </c>
      <c r="L39" s="24"/>
      <c r="M39" s="26" t="n">
        <f>12290000</f>
        <v>1.229E7</v>
      </c>
      <c r="N39" s="25"/>
      <c r="O39" s="26" t="n">
        <f>108300000</f>
        <v>1.083E8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n">
        <f>144</f>
        <v>144.0</v>
      </c>
      <c r="U39" s="24"/>
      <c r="V39" s="26" t="n">
        <f>10</f>
        <v>10.0</v>
      </c>
      <c r="W39" s="25"/>
      <c r="X39" s="26" t="n">
        <f>154</f>
        <v>154.0</v>
      </c>
      <c r="Y39" s="23"/>
      <c r="Z39" s="26" t="n">
        <f>3208</f>
        <v>3208.0</v>
      </c>
      <c r="AA39" s="24"/>
      <c r="AB39" s="26" t="n">
        <f>3037</f>
        <v>3037.0</v>
      </c>
      <c r="AC39" s="25"/>
      <c r="AD39" s="26" t="n">
        <f>6245</f>
        <v>6245.0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449</f>
        <v>449.0</v>
      </c>
      <c r="F40" s="24"/>
      <c r="G40" s="26" t="n">
        <f>437</f>
        <v>437.0</v>
      </c>
      <c r="H40" s="25"/>
      <c r="I40" s="26" t="n">
        <f>886</f>
        <v>886.0</v>
      </c>
      <c r="J40" s="23" t="s">
        <v>39</v>
      </c>
      <c r="K40" s="26" t="n">
        <f>229670000</f>
        <v>2.2967E8</v>
      </c>
      <c r="L40" s="24"/>
      <c r="M40" s="26" t="n">
        <f>41690000</f>
        <v>4.169E7</v>
      </c>
      <c r="N40" s="25"/>
      <c r="O40" s="26" t="n">
        <f>271360000</f>
        <v>2.7136E8</v>
      </c>
      <c r="P40" s="27" t="n">
        <f>1063</f>
        <v>1063.0</v>
      </c>
      <c r="Q40" s="28" t="str">
        <f>"－"</f>
        <v>－</v>
      </c>
      <c r="R40" s="29" t="n">
        <f>1063</f>
        <v>1063.0</v>
      </c>
      <c r="S40" s="23"/>
      <c r="T40" s="26" t="n">
        <f>205</f>
        <v>205.0</v>
      </c>
      <c r="U40" s="24"/>
      <c r="V40" s="26" t="n">
        <f>280</f>
        <v>280.0</v>
      </c>
      <c r="W40" s="25"/>
      <c r="X40" s="26" t="n">
        <f>485</f>
        <v>485.0</v>
      </c>
      <c r="Y40" s="23"/>
      <c r="Z40" s="26" t="n">
        <f>1524</f>
        <v>1524.0</v>
      </c>
      <c r="AA40" s="24"/>
      <c r="AB40" s="26" t="n">
        <f>542</f>
        <v>542.0</v>
      </c>
      <c r="AC40" s="25"/>
      <c r="AD40" s="26" t="n">
        <f>2066</f>
        <v>2066.0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