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<sst xmlns="http://schemas.openxmlformats.org/spreadsheetml/2006/main" count="1937" uniqueCount="89">
  <si>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</si>
  <si>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</si>
  <si>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</si>
  <si>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</si>
  <si>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</si>
  <si>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</si>
  <si>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</si>
  <si>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</si>
  <si>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</si>
  <si>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</si>
  <si>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</si>
  <si>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</si>
  <si>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</si>
  <si>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</si>
  <si>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</si>
  <si>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</si>
  <si>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11.1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</si>
  <si>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</si>
  <si>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</si>
  <si>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</si>
  <si>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</si>
  <si>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</si>
  <si>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</si>
  <si>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</si>
  <si>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</si>
  <si>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●</t>
  </si>
  <si>
    <t>8</t>
  </si>
  <si>
    <t>9</t>
  </si>
  <si>
    <t>10</t>
  </si>
  <si>
    <t>11</t>
  </si>
  <si>
    <t>12</t>
  </si>
  <si>
    <t>13</t>
  </si>
  <si>
    <t>14</t>
  </si>
  <si>
    <t>15</t>
  </si>
  <si>
    <t>◎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</si>
  <si>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</si>
  <si>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</si>
  <si>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</si>
  <si>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</si>
  <si>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</si>
  <si>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</si>
  <si>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</si>
  <si>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</si>
  <si>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</si>
  <si>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</si>
  <si>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</si>
  <si>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</si>
  <si>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</si>
  <si>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</si>
  <si>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</si>
  <si>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日経225mini</t>
  </si>
  <si>
    <t>Nikkei 225 mini</t>
  </si>
  <si>
    <t>日経225マイクロ先物</t>
  </si>
  <si>
    <t>Nikkei 225 Micro Futures</t>
  </si>
  <si>
    <t>◎●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</si>
  <si>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</si>
  <si>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</si>
  <si>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</si>
  <si>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</si>
  <si>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</si>
  <si>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</si>
  <si>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</si>
  <si>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</si>
  <si>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</si>
  <si>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</si>
  <si>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</si>
  <si>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</si>
  <si>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</si>
  <si>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</si>
  <si>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東証グロース市場250指数先物</t>
  </si>
  <si>
    <t>TSE Growth Market 250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</si>
  <si>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</si>
  <si>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</si>
  <si>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</si>
  <si>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</si>
  <si>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</si>
  <si>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</si>
  <si>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</si>
  <si>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</si>
  <si>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</si>
  <si>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</si>
  <si>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</si>
  <si>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</si>
  <si>
    <t>S&amp;P/JPX 500 ESGスコア・ティルト指数先物</t>
  </si>
  <si>
    <t>S&amp;P/JPX 500 ESG Score Tilted Index Futures</t>
  </si>
  <si>
    <t>FTSE JPXネットゼロ・ジャパン500指数先物</t>
  </si>
  <si>
    <t>FTSE JPX Net Zero Japan 500 Index Futures</t>
  </si>
  <si>
    <t>日経気候変動指数先物</t>
  </si>
  <si>
    <t>Nikkei Climate 1.5C Target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</si>
</sst>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60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82937</f>
        <v>82937.0</v>
      </c>
      <c r="F6" s="10"/>
      <c r="G6" s="2" t="n">
        <f>2603127346900</f>
        <v>2.6031273469E12</v>
      </c>
      <c r="H6" s="10"/>
      <c r="I6" s="2" t="n">
        <f>10908</f>
        <v>10908.0</v>
      </c>
      <c r="J6" s="10"/>
      <c r="K6" s="2" t="n">
        <f>298961</f>
        <v>298961.0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80635</f>
        <v>80635.0</v>
      </c>
      <c r="F7" s="10"/>
      <c r="G7" s="2" t="n">
        <f>2568609924953</f>
        <v>2.568609924953E12</v>
      </c>
      <c r="H7" s="10"/>
      <c r="I7" s="2" t="n">
        <f>11693</f>
        <v>11693.0</v>
      </c>
      <c r="J7" s="10"/>
      <c r="K7" s="2" t="n">
        <f>301313</f>
        <v>301313.0</v>
      </c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 t="n">
        <f>87821</f>
        <v>87821.0</v>
      </c>
      <c r="F11" s="10"/>
      <c r="G11" s="2" t="n">
        <f>2854095697710</f>
        <v>2.85409569771E12</v>
      </c>
      <c r="H11" s="10"/>
      <c r="I11" s="2" t="n">
        <f>11357</f>
        <v>11357.0</v>
      </c>
      <c r="J11" s="10"/>
      <c r="K11" s="2" t="n">
        <f>302519</f>
        <v>302519.0</v>
      </c>
    </row>
    <row r="12">
      <c r="A12" s="8" t="s">
        <v>24</v>
      </c>
      <c r="B12" s="9" t="s">
        <v>17</v>
      </c>
      <c r="C12" s="9" t="s">
        <v>18</v>
      </c>
      <c r="D12" s="10"/>
      <c r="E12" s="2" t="n">
        <f>74080</f>
        <v>74080.0</v>
      </c>
      <c r="F12" s="10"/>
      <c r="G12" s="2" t="n">
        <f>2403138593420</f>
        <v>2.40313859342E12</v>
      </c>
      <c r="H12" s="10"/>
      <c r="I12" s="2" t="n">
        <f>8434</f>
        <v>8434.0</v>
      </c>
      <c r="J12" s="10" t="s">
        <v>25</v>
      </c>
      <c r="K12" s="2" t="n">
        <f>295721</f>
        <v>295721.0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68604</f>
        <v>68604.0</v>
      </c>
      <c r="F13" s="10"/>
      <c r="G13" s="2" t="n">
        <f>2215660240520</f>
        <v>2.21566024052E12</v>
      </c>
      <c r="H13" s="10"/>
      <c r="I13" s="2" t="n">
        <f>9850</f>
        <v>9850.0</v>
      </c>
      <c r="J13" s="10"/>
      <c r="K13" s="2" t="n">
        <f>296917</f>
        <v>296917.0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75840</f>
        <v>75840.0</v>
      </c>
      <c r="F14" s="10"/>
      <c r="G14" s="2" t="n">
        <f>2458813814680</f>
        <v>2.45881381468E12</v>
      </c>
      <c r="H14" s="10"/>
      <c r="I14" s="2" t="n">
        <f>10668</f>
        <v>10668.0</v>
      </c>
      <c r="J14" s="10"/>
      <c r="K14" s="2" t="n">
        <f>302019</f>
        <v>302019.0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92143</f>
        <v>92143.0</v>
      </c>
      <c r="F15" s="10"/>
      <c r="G15" s="2" t="n">
        <f>2996005766290</f>
        <v>2.99600576629E12</v>
      </c>
      <c r="H15" s="10"/>
      <c r="I15" s="2" t="n">
        <f>9570</f>
        <v>9570.0</v>
      </c>
      <c r="J15" s="10"/>
      <c r="K15" s="2" t="n">
        <f>302980</f>
        <v>302980.0</v>
      </c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31</v>
      </c>
      <c r="B18" s="9" t="s">
        <v>17</v>
      </c>
      <c r="C18" s="9" t="s">
        <v>18</v>
      </c>
      <c r="D18" s="10"/>
      <c r="E18" s="2" t="n">
        <f>67760</f>
        <v>67760.0</v>
      </c>
      <c r="F18" s="10"/>
      <c r="G18" s="2" t="n">
        <f>2212442473230</f>
        <v>2.21244247323E12</v>
      </c>
      <c r="H18" s="10"/>
      <c r="I18" s="2" t="n">
        <f>8902</f>
        <v>8902.0</v>
      </c>
      <c r="J18" s="10"/>
      <c r="K18" s="2" t="n">
        <f>301205</f>
        <v>301205.0</v>
      </c>
    </row>
    <row r="19">
      <c r="A19" s="8" t="s">
        <v>32</v>
      </c>
      <c r="B19" s="9" t="s">
        <v>17</v>
      </c>
      <c r="C19" s="9" t="s">
        <v>18</v>
      </c>
      <c r="D19" s="10" t="s">
        <v>25</v>
      </c>
      <c r="E19" s="2" t="n">
        <f>44735</f>
        <v>44735.0</v>
      </c>
      <c r="F19" s="10" t="s">
        <v>25</v>
      </c>
      <c r="G19" s="2" t="n">
        <f>1463783903520</f>
        <v>1.46378390352E12</v>
      </c>
      <c r="H19" s="10" t="s">
        <v>25</v>
      </c>
      <c r="I19" s="2" t="n">
        <f>3197</f>
        <v>3197.0</v>
      </c>
      <c r="J19" s="10"/>
      <c r="K19" s="2" t="n">
        <f>303090</f>
        <v>303090.0</v>
      </c>
    </row>
    <row r="20">
      <c r="A20" s="8" t="s">
        <v>33</v>
      </c>
      <c r="B20" s="9" t="s">
        <v>17</v>
      </c>
      <c r="C20" s="9" t="s">
        <v>18</v>
      </c>
      <c r="D20" s="10" t="s">
        <v>34</v>
      </c>
      <c r="E20" s="2" t="n">
        <f>93487</f>
        <v>93487.0</v>
      </c>
      <c r="F20" s="10" t="s">
        <v>34</v>
      </c>
      <c r="G20" s="2" t="n">
        <f>3111679110440</f>
        <v>3.11167911044E12</v>
      </c>
      <c r="H20" s="10" t="s">
        <v>34</v>
      </c>
      <c r="I20" s="2" t="n">
        <f>13348</f>
        <v>13348.0</v>
      </c>
      <c r="J20" s="10" t="s">
        <v>34</v>
      </c>
      <c r="K20" s="2" t="n">
        <f>304650</f>
        <v>304650.0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82111</f>
        <v>82111.0</v>
      </c>
      <c r="F21" s="10"/>
      <c r="G21" s="2" t="n">
        <f>2744227161520</f>
        <v>2.74422716152E12</v>
      </c>
      <c r="H21" s="10"/>
      <c r="I21" s="2" t="n">
        <f>9807</f>
        <v>9807.0</v>
      </c>
      <c r="J21" s="10"/>
      <c r="K21" s="2" t="n">
        <f>299222</f>
        <v>299222.0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54262</f>
        <v>54262.0</v>
      </c>
      <c r="F22" s="10"/>
      <c r="G22" s="2" t="n">
        <f>1813931657550</f>
        <v>1.81393165755E12</v>
      </c>
      <c r="H22" s="10"/>
      <c r="I22" s="2" t="n">
        <f>6240</f>
        <v>6240.0</v>
      </c>
      <c r="J22" s="10"/>
      <c r="K22" s="2" t="n">
        <f>299387</f>
        <v>299387.0</v>
      </c>
    </row>
    <row r="23">
      <c r="A23" s="8" t="s">
        <v>37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 t="n">
        <f>59587</f>
        <v>59587.0</v>
      </c>
      <c r="F25" s="10"/>
      <c r="G25" s="2" t="n">
        <f>1997710909890</f>
        <v>1.99771090989E12</v>
      </c>
      <c r="H25" s="10"/>
      <c r="I25" s="2" t="n">
        <f>7561</f>
        <v>7561.0</v>
      </c>
      <c r="J25" s="10"/>
      <c r="K25" s="2" t="n">
        <f>299701</f>
        <v>299701.0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56166</f>
        <v>56166.0</v>
      </c>
      <c r="F26" s="10"/>
      <c r="G26" s="2" t="n">
        <f>1872426926651</f>
        <v>1.872426926651E12</v>
      </c>
      <c r="H26" s="10"/>
      <c r="I26" s="2" t="n">
        <f>6140</f>
        <v>6140.0</v>
      </c>
      <c r="J26" s="10"/>
      <c r="K26" s="2" t="n">
        <f>298304</f>
        <v>298304.0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48231</f>
        <v>48231.0</v>
      </c>
      <c r="F27" s="10"/>
      <c r="G27" s="2" t="n">
        <f>1609498523576</f>
        <v>1.609498523576E12</v>
      </c>
      <c r="H27" s="10"/>
      <c r="I27" s="2" t="n">
        <f>4604</f>
        <v>4604.0</v>
      </c>
      <c r="J27" s="10"/>
      <c r="K27" s="2" t="n">
        <f>299268</f>
        <v>299268.0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 t="n">
        <f>50592</f>
        <v>50592.0</v>
      </c>
      <c r="F29" s="10"/>
      <c r="G29" s="2" t="n">
        <f>1704549695620</f>
        <v>1.70454969562E12</v>
      </c>
      <c r="H29" s="10"/>
      <c r="I29" s="2" t="n">
        <f>4992</f>
        <v>4992.0</v>
      </c>
      <c r="J29" s="10"/>
      <c r="K29" s="2" t="n">
        <f>300450</f>
        <v>300450.0</v>
      </c>
    </row>
    <row r="30">
      <c r="A30" s="8" t="s">
        <v>44</v>
      </c>
      <c r="B30" s="9" t="s">
        <v>17</v>
      </c>
      <c r="C30" s="9" t="s">
        <v>18</v>
      </c>
      <c r="D30" s="10"/>
      <c r="E30" s="2"/>
      <c r="F30" s="10"/>
      <c r="G30" s="2"/>
      <c r="H30" s="10"/>
      <c r="I30" s="2"/>
      <c r="J30" s="10"/>
      <c r="K30" s="2"/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/>
      <c r="E32" s="2" t="n">
        <f>51518</f>
        <v>51518.0</v>
      </c>
      <c r="F32" s="10"/>
      <c r="G32" s="2" t="n">
        <f>1729227786070</f>
        <v>1.72922778607E12</v>
      </c>
      <c r="H32" s="10"/>
      <c r="I32" s="2" t="n">
        <f>5050</f>
        <v>5050.0</v>
      </c>
      <c r="J32" s="10"/>
      <c r="K32" s="2" t="n">
        <f>298240</f>
        <v>298240.0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52145</f>
        <v>52145.0</v>
      </c>
      <c r="F33" s="10"/>
      <c r="G33" s="2" t="n">
        <f>1742200763930</f>
        <v>1.74220076393E12</v>
      </c>
      <c r="H33" s="10"/>
      <c r="I33" s="2" t="n">
        <f>4396</f>
        <v>4396.0</v>
      </c>
      <c r="J33" s="10"/>
      <c r="K33" s="2" t="n">
        <f>301579</f>
        <v>301579.0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58332</f>
        <v>58332.0</v>
      </c>
      <c r="F34" s="10"/>
      <c r="G34" s="2" t="n">
        <f>1944561302470</f>
        <v>1.94456130247E12</v>
      </c>
      <c r="H34" s="10"/>
      <c r="I34" s="2" t="n">
        <f>5738</f>
        <v>5738.0</v>
      </c>
      <c r="J34" s="10"/>
      <c r="K34" s="2" t="n">
        <f>303121</f>
        <v>303121.0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55341</f>
        <v>55341.0</v>
      </c>
      <c r="F35" s="10"/>
      <c r="G35" s="2" t="n">
        <f>1843973358140</f>
        <v>1.84397335814E12</v>
      </c>
      <c r="H35" s="10"/>
      <c r="I35" s="2" t="n">
        <f>5383</f>
        <v>5383.0</v>
      </c>
      <c r="J35" s="10"/>
      <c r="K35" s="2" t="n">
        <f>304503</f>
        <v>304503.0</v>
      </c>
    </row>
    <row r="36">
      <c r="A36" s="8" t="s">
        <v>16</v>
      </c>
      <c r="B36" s="9" t="s">
        <v>50</v>
      </c>
      <c r="C36" s="9" t="s">
        <v>51</v>
      </c>
      <c r="D36" s="10" t="s">
        <v>34</v>
      </c>
      <c r="E36" s="2" t="n">
        <f>1223973</f>
        <v>1223973.0</v>
      </c>
      <c r="F36" s="10" t="s">
        <v>34</v>
      </c>
      <c r="G36" s="2" t="n">
        <f>3839317576890</f>
        <v>3.83931757689E12</v>
      </c>
      <c r="H36" s="10" t="s">
        <v>34</v>
      </c>
      <c r="I36" s="2" t="n">
        <f>125731</f>
        <v>125731.0</v>
      </c>
      <c r="J36" s="10"/>
      <c r="K36" s="2" t="n">
        <f>443469</f>
        <v>443469.0</v>
      </c>
    </row>
    <row r="37">
      <c r="A37" s="8" t="s">
        <v>19</v>
      </c>
      <c r="B37" s="9" t="s">
        <v>50</v>
      </c>
      <c r="C37" s="9" t="s">
        <v>51</v>
      </c>
      <c r="D37" s="10"/>
      <c r="E37" s="2" t="n">
        <f>1076314</f>
        <v>1076314.0</v>
      </c>
      <c r="F37" s="10"/>
      <c r="G37" s="2" t="n">
        <f>3423504154562</f>
        <v>3.423504154562E12</v>
      </c>
      <c r="H37" s="10"/>
      <c r="I37" s="2" t="n">
        <f>95710</f>
        <v>95710.0</v>
      </c>
      <c r="J37" s="10"/>
      <c r="K37" s="2" t="n">
        <f>452465</f>
        <v>452465.0</v>
      </c>
    </row>
    <row r="38">
      <c r="A38" s="8" t="s">
        <v>20</v>
      </c>
      <c r="B38" s="9" t="s">
        <v>50</v>
      </c>
      <c r="C38" s="9" t="s">
        <v>51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21</v>
      </c>
      <c r="B39" s="9" t="s">
        <v>50</v>
      </c>
      <c r="C39" s="9" t="s">
        <v>51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22</v>
      </c>
      <c r="B40" s="9" t="s">
        <v>50</v>
      </c>
      <c r="C40" s="9" t="s">
        <v>51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23</v>
      </c>
      <c r="B41" s="9" t="s">
        <v>50</v>
      </c>
      <c r="C41" s="9" t="s">
        <v>51</v>
      </c>
      <c r="D41" s="10"/>
      <c r="E41" s="2" t="n">
        <f>1035283</f>
        <v>1035283.0</v>
      </c>
      <c r="F41" s="10"/>
      <c r="G41" s="2" t="n">
        <f>3358394957280</f>
        <v>3.35839495728E12</v>
      </c>
      <c r="H41" s="10"/>
      <c r="I41" s="2" t="n">
        <f>104551</f>
        <v>104551.0</v>
      </c>
      <c r="J41" s="10"/>
      <c r="K41" s="2" t="n">
        <f>473895</f>
        <v>473895.0</v>
      </c>
    </row>
    <row r="42">
      <c r="A42" s="8" t="s">
        <v>24</v>
      </c>
      <c r="B42" s="9" t="s">
        <v>50</v>
      </c>
      <c r="C42" s="9" t="s">
        <v>51</v>
      </c>
      <c r="D42" s="10"/>
      <c r="E42" s="2" t="n">
        <f>857997</f>
        <v>857997.0</v>
      </c>
      <c r="F42" s="10"/>
      <c r="G42" s="2" t="n">
        <f>2787217728120</f>
        <v>2.78721772812E12</v>
      </c>
      <c r="H42" s="10"/>
      <c r="I42" s="2" t="n">
        <f>78554</f>
        <v>78554.0</v>
      </c>
      <c r="J42" s="10" t="s">
        <v>34</v>
      </c>
      <c r="K42" s="2" t="n">
        <f>551648</f>
        <v>551648.0</v>
      </c>
    </row>
    <row r="43">
      <c r="A43" s="8" t="s">
        <v>26</v>
      </c>
      <c r="B43" s="9" t="s">
        <v>50</v>
      </c>
      <c r="C43" s="9" t="s">
        <v>51</v>
      </c>
      <c r="D43" s="10"/>
      <c r="E43" s="2" t="n">
        <f>993288</f>
        <v>993288.0</v>
      </c>
      <c r="F43" s="10"/>
      <c r="G43" s="2" t="n">
        <f>3209019776023</f>
        <v>3.209019776023E12</v>
      </c>
      <c r="H43" s="10"/>
      <c r="I43" s="2" t="n">
        <f>91007</f>
        <v>91007.0</v>
      </c>
      <c r="J43" s="10"/>
      <c r="K43" s="2" t="n">
        <f>491930</f>
        <v>491930.0</v>
      </c>
    </row>
    <row r="44">
      <c r="A44" s="8" t="s">
        <v>27</v>
      </c>
      <c r="B44" s="9" t="s">
        <v>50</v>
      </c>
      <c r="C44" s="9" t="s">
        <v>51</v>
      </c>
      <c r="D44" s="10"/>
      <c r="E44" s="2" t="n">
        <f>1014249</f>
        <v>1014249.0</v>
      </c>
      <c r="F44" s="10"/>
      <c r="G44" s="2" t="n">
        <f>3286581909695</f>
        <v>3.286581909695E12</v>
      </c>
      <c r="H44" s="10"/>
      <c r="I44" s="2" t="n">
        <f>101544</f>
        <v>101544.0</v>
      </c>
      <c r="J44" s="10"/>
      <c r="K44" s="2" t="n">
        <f>522768</f>
        <v>522768.0</v>
      </c>
    </row>
    <row r="45">
      <c r="A45" s="8" t="s">
        <v>28</v>
      </c>
      <c r="B45" s="9" t="s">
        <v>50</v>
      </c>
      <c r="C45" s="9" t="s">
        <v>51</v>
      </c>
      <c r="D45" s="10"/>
      <c r="E45" s="2" t="n">
        <f>1012491</f>
        <v>1012491.0</v>
      </c>
      <c r="F45" s="10"/>
      <c r="G45" s="2" t="n">
        <f>3294035955250</f>
        <v>3.29403595525E12</v>
      </c>
      <c r="H45" s="10"/>
      <c r="I45" s="2" t="n">
        <f>97900</f>
        <v>97900.0</v>
      </c>
      <c r="J45" s="10"/>
      <c r="K45" s="2" t="n">
        <f>524606</f>
        <v>524606.0</v>
      </c>
    </row>
    <row r="46">
      <c r="A46" s="8" t="s">
        <v>29</v>
      </c>
      <c r="B46" s="9" t="s">
        <v>50</v>
      </c>
      <c r="C46" s="9" t="s">
        <v>51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30</v>
      </c>
      <c r="B47" s="9" t="s">
        <v>50</v>
      </c>
      <c r="C47" s="9" t="s">
        <v>51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31</v>
      </c>
      <c r="B48" s="9" t="s">
        <v>50</v>
      </c>
      <c r="C48" s="9" t="s">
        <v>51</v>
      </c>
      <c r="D48" s="10"/>
      <c r="E48" s="2" t="n">
        <f>948509</f>
        <v>948509.0</v>
      </c>
      <c r="F48" s="10"/>
      <c r="G48" s="2" t="n">
        <f>3097244306172</f>
        <v>3.097244306172E12</v>
      </c>
      <c r="H48" s="10"/>
      <c r="I48" s="2" t="n">
        <f>100782</f>
        <v>100782.0</v>
      </c>
      <c r="J48" s="10"/>
      <c r="K48" s="2" t="n">
        <f>434126</f>
        <v>434126.0</v>
      </c>
    </row>
    <row r="49">
      <c r="A49" s="8" t="s">
        <v>32</v>
      </c>
      <c r="B49" s="9" t="s">
        <v>50</v>
      </c>
      <c r="C49" s="9" t="s">
        <v>51</v>
      </c>
      <c r="D49" s="10"/>
      <c r="E49" s="2" t="n">
        <f>706039</f>
        <v>706039.0</v>
      </c>
      <c r="F49" s="10" t="s">
        <v>25</v>
      </c>
      <c r="G49" s="2" t="n">
        <f>2309821444018</f>
        <v>2.309821444018E12</v>
      </c>
      <c r="H49" s="10" t="s">
        <v>25</v>
      </c>
      <c r="I49" s="2" t="n">
        <f>69309</f>
        <v>69309.0</v>
      </c>
      <c r="J49" s="10"/>
      <c r="K49" s="2" t="n">
        <f>435591</f>
        <v>435591.0</v>
      </c>
    </row>
    <row r="50">
      <c r="A50" s="8" t="s">
        <v>33</v>
      </c>
      <c r="B50" s="9" t="s">
        <v>50</v>
      </c>
      <c r="C50" s="9" t="s">
        <v>51</v>
      </c>
      <c r="D50" s="10"/>
      <c r="E50" s="2" t="n">
        <f>1113183</f>
        <v>1113183.0</v>
      </c>
      <c r="F50" s="10"/>
      <c r="G50" s="2" t="n">
        <f>3699394502880</f>
        <v>3.69939450288E12</v>
      </c>
      <c r="H50" s="10"/>
      <c r="I50" s="2" t="n">
        <f>113866</f>
        <v>113866.0</v>
      </c>
      <c r="J50" s="10"/>
      <c r="K50" s="2" t="n">
        <f>456352</f>
        <v>456352.0</v>
      </c>
    </row>
    <row r="51">
      <c r="A51" s="8" t="s">
        <v>35</v>
      </c>
      <c r="B51" s="9" t="s">
        <v>50</v>
      </c>
      <c r="C51" s="9" t="s">
        <v>51</v>
      </c>
      <c r="D51" s="10"/>
      <c r="E51" s="2" t="n">
        <f>992537</f>
        <v>992537.0</v>
      </c>
      <c r="F51" s="10"/>
      <c r="G51" s="2" t="n">
        <f>3317810204680</f>
        <v>3.31781020468E12</v>
      </c>
      <c r="H51" s="10"/>
      <c r="I51" s="2" t="n">
        <f>105432</f>
        <v>105432.0</v>
      </c>
      <c r="J51" s="10"/>
      <c r="K51" s="2" t="n">
        <f>442368</f>
        <v>442368.0</v>
      </c>
    </row>
    <row r="52">
      <c r="A52" s="8" t="s">
        <v>36</v>
      </c>
      <c r="B52" s="9" t="s">
        <v>50</v>
      </c>
      <c r="C52" s="9" t="s">
        <v>51</v>
      </c>
      <c r="D52" s="10"/>
      <c r="E52" s="2" t="n">
        <f>827039</f>
        <v>827039.0</v>
      </c>
      <c r="F52" s="10"/>
      <c r="G52" s="2" t="n">
        <f>2763401040830</f>
        <v>2.76340104083E12</v>
      </c>
      <c r="H52" s="10"/>
      <c r="I52" s="2" t="n">
        <f>69934</f>
        <v>69934.0</v>
      </c>
      <c r="J52" s="10"/>
      <c r="K52" s="2" t="n">
        <f>448357</f>
        <v>448357.0</v>
      </c>
    </row>
    <row r="53">
      <c r="A53" s="8" t="s">
        <v>37</v>
      </c>
      <c r="B53" s="9" t="s">
        <v>50</v>
      </c>
      <c r="C53" s="9" t="s">
        <v>51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38</v>
      </c>
      <c r="B54" s="9" t="s">
        <v>50</v>
      </c>
      <c r="C54" s="9" t="s">
        <v>51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39</v>
      </c>
      <c r="B55" s="9" t="s">
        <v>50</v>
      </c>
      <c r="C55" s="9" t="s">
        <v>51</v>
      </c>
      <c r="D55" s="10"/>
      <c r="E55" s="2" t="n">
        <f>928003</f>
        <v>928003.0</v>
      </c>
      <c r="F55" s="10"/>
      <c r="G55" s="2" t="n">
        <f>3112132378805</f>
        <v>3.112132378805E12</v>
      </c>
      <c r="H55" s="10"/>
      <c r="I55" s="2" t="n">
        <f>88713</f>
        <v>88713.0</v>
      </c>
      <c r="J55" s="10"/>
      <c r="K55" s="2" t="n">
        <f>447901</f>
        <v>447901.0</v>
      </c>
    </row>
    <row r="56">
      <c r="A56" s="8" t="s">
        <v>40</v>
      </c>
      <c r="B56" s="9" t="s">
        <v>50</v>
      </c>
      <c r="C56" s="9" t="s">
        <v>51</v>
      </c>
      <c r="D56" s="10"/>
      <c r="E56" s="2" t="n">
        <f>787751</f>
        <v>787751.0</v>
      </c>
      <c r="F56" s="10"/>
      <c r="G56" s="2" t="n">
        <f>2625574274730</f>
        <v>2.62557427473E12</v>
      </c>
      <c r="H56" s="10"/>
      <c r="I56" s="2" t="n">
        <f>77352</f>
        <v>77352.0</v>
      </c>
      <c r="J56" s="10" t="s">
        <v>25</v>
      </c>
      <c r="K56" s="2" t="n">
        <f>429637</f>
        <v>429637.0</v>
      </c>
    </row>
    <row r="57">
      <c r="A57" s="8" t="s">
        <v>41</v>
      </c>
      <c r="B57" s="9" t="s">
        <v>50</v>
      </c>
      <c r="C57" s="9" t="s">
        <v>51</v>
      </c>
      <c r="D57" s="10"/>
      <c r="E57" s="2" t="n">
        <f>800750</f>
        <v>800750.0</v>
      </c>
      <c r="F57" s="10"/>
      <c r="G57" s="2" t="n">
        <f>2670935934566</f>
        <v>2.670935934566E12</v>
      </c>
      <c r="H57" s="10"/>
      <c r="I57" s="2" t="n">
        <f>83304</f>
        <v>83304.0</v>
      </c>
      <c r="J57" s="10"/>
      <c r="K57" s="2" t="n">
        <f>434379</f>
        <v>434379.0</v>
      </c>
    </row>
    <row r="58">
      <c r="A58" s="8" t="s">
        <v>42</v>
      </c>
      <c r="B58" s="9" t="s">
        <v>50</v>
      </c>
      <c r="C58" s="9" t="s">
        <v>51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43</v>
      </c>
      <c r="B59" s="9" t="s">
        <v>50</v>
      </c>
      <c r="C59" s="9" t="s">
        <v>51</v>
      </c>
      <c r="D59" s="10"/>
      <c r="E59" s="2" t="n">
        <f>926476</f>
        <v>926476.0</v>
      </c>
      <c r="F59" s="10"/>
      <c r="G59" s="2" t="n">
        <f>3119899993922</f>
        <v>3.119899993922E12</v>
      </c>
      <c r="H59" s="10"/>
      <c r="I59" s="2" t="n">
        <f>106491</f>
        <v>106491.0</v>
      </c>
      <c r="J59" s="10"/>
      <c r="K59" s="2" t="n">
        <f>440021</f>
        <v>440021.0</v>
      </c>
    </row>
    <row r="60">
      <c r="A60" s="8" t="s">
        <v>44</v>
      </c>
      <c r="B60" s="9" t="s">
        <v>50</v>
      </c>
      <c r="C60" s="9" t="s">
        <v>51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45</v>
      </c>
      <c r="B61" s="9" t="s">
        <v>50</v>
      </c>
      <c r="C61" s="9" t="s">
        <v>51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46</v>
      </c>
      <c r="B62" s="9" t="s">
        <v>50</v>
      </c>
      <c r="C62" s="9" t="s">
        <v>51</v>
      </c>
      <c r="D62" s="10"/>
      <c r="E62" s="2" t="n">
        <f>728690</f>
        <v>728690.0</v>
      </c>
      <c r="F62" s="10"/>
      <c r="G62" s="2" t="n">
        <f>2447477892610</f>
        <v>2.44747789261E12</v>
      </c>
      <c r="H62" s="10"/>
      <c r="I62" s="2" t="n">
        <f>83989</f>
        <v>83989.0</v>
      </c>
      <c r="J62" s="10"/>
      <c r="K62" s="2" t="n">
        <f>441265</f>
        <v>441265.0</v>
      </c>
    </row>
    <row r="63">
      <c r="A63" s="8" t="s">
        <v>47</v>
      </c>
      <c r="B63" s="9" t="s">
        <v>50</v>
      </c>
      <c r="C63" s="9" t="s">
        <v>51</v>
      </c>
      <c r="D63" s="10" t="s">
        <v>25</v>
      </c>
      <c r="E63" s="2" t="n">
        <f>699063</f>
        <v>699063.0</v>
      </c>
      <c r="F63" s="10"/>
      <c r="G63" s="2" t="n">
        <f>2337232983740</f>
        <v>2.33723298374E12</v>
      </c>
      <c r="H63" s="10"/>
      <c r="I63" s="2" t="n">
        <f>70185</f>
        <v>70185.0</v>
      </c>
      <c r="J63" s="10"/>
      <c r="K63" s="2" t="n">
        <f>441730</f>
        <v>441730.0</v>
      </c>
    </row>
    <row r="64">
      <c r="A64" s="8" t="s">
        <v>48</v>
      </c>
      <c r="B64" s="9" t="s">
        <v>50</v>
      </c>
      <c r="C64" s="9" t="s">
        <v>51</v>
      </c>
      <c r="D64" s="10"/>
      <c r="E64" s="2" t="n">
        <f>883491</f>
        <v>883491.0</v>
      </c>
      <c r="F64" s="10"/>
      <c r="G64" s="2" t="n">
        <f>2945363944558</f>
        <v>2.945363944558E12</v>
      </c>
      <c r="H64" s="10"/>
      <c r="I64" s="2" t="n">
        <f>91604</f>
        <v>91604.0</v>
      </c>
      <c r="J64" s="10"/>
      <c r="K64" s="2" t="n">
        <f>442470</f>
        <v>442470.0</v>
      </c>
    </row>
    <row r="65">
      <c r="A65" s="8" t="s">
        <v>49</v>
      </c>
      <c r="B65" s="9" t="s">
        <v>50</v>
      </c>
      <c r="C65" s="9" t="s">
        <v>51</v>
      </c>
      <c r="D65" s="10"/>
      <c r="E65" s="2" t="n">
        <f>833136</f>
        <v>833136.0</v>
      </c>
      <c r="F65" s="10"/>
      <c r="G65" s="2" t="n">
        <f>2775607032630</f>
        <v>2.77560703263E12</v>
      </c>
      <c r="H65" s="10"/>
      <c r="I65" s="2" t="n">
        <f>89286</f>
        <v>89286.0</v>
      </c>
      <c r="J65" s="10"/>
      <c r="K65" s="2" t="n">
        <f>444889</f>
        <v>444889.0</v>
      </c>
    </row>
    <row r="66">
      <c r="A66" s="8" t="s">
        <v>16</v>
      </c>
      <c r="B66" s="9" t="s">
        <v>52</v>
      </c>
      <c r="C66" s="9" t="s">
        <v>53</v>
      </c>
      <c r="D66" s="10" t="s">
        <v>34</v>
      </c>
      <c r="E66" s="2" t="n">
        <f>232196</f>
        <v>232196.0</v>
      </c>
      <c r="F66" s="10"/>
      <c r="G66" s="2" t="n">
        <f>72831665750</f>
        <v>7.283166575E10</v>
      </c>
      <c r="H66" s="10" t="s">
        <v>54</v>
      </c>
      <c r="I66" s="2" t="str">
        <f>"－"</f>
        <v>－</v>
      </c>
      <c r="J66" s="10"/>
      <c r="K66" s="2" t="n">
        <f>53351</f>
        <v>53351.0</v>
      </c>
    </row>
    <row r="67">
      <c r="A67" s="8" t="s">
        <v>19</v>
      </c>
      <c r="B67" s="9" t="s">
        <v>52</v>
      </c>
      <c r="C67" s="9" t="s">
        <v>53</v>
      </c>
      <c r="D67" s="10"/>
      <c r="E67" s="2" t="n">
        <f>207778</f>
        <v>207778.0</v>
      </c>
      <c r="F67" s="10"/>
      <c r="G67" s="2" t="n">
        <f>66118689350</f>
        <v>6.611868935E10</v>
      </c>
      <c r="H67" s="10"/>
      <c r="I67" s="2" t="str">
        <f>"－"</f>
        <v>－</v>
      </c>
      <c r="J67" s="10"/>
      <c r="K67" s="2" t="n">
        <f>52960</f>
        <v>52960.0</v>
      </c>
    </row>
    <row r="68">
      <c r="A68" s="8" t="s">
        <v>20</v>
      </c>
      <c r="B68" s="9" t="s">
        <v>52</v>
      </c>
      <c r="C68" s="9" t="s">
        <v>53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21</v>
      </c>
      <c r="B69" s="9" t="s">
        <v>52</v>
      </c>
      <c r="C69" s="9" t="s">
        <v>53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22</v>
      </c>
      <c r="B70" s="9" t="s">
        <v>52</v>
      </c>
      <c r="C70" s="9" t="s">
        <v>53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23</v>
      </c>
      <c r="B71" s="9" t="s">
        <v>52</v>
      </c>
      <c r="C71" s="9" t="s">
        <v>53</v>
      </c>
      <c r="D71" s="10"/>
      <c r="E71" s="2" t="n">
        <f>186157</f>
        <v>186157.0</v>
      </c>
      <c r="F71" s="10"/>
      <c r="G71" s="2" t="n">
        <f>60385375300</f>
        <v>6.03853753E10</v>
      </c>
      <c r="H71" s="10"/>
      <c r="I71" s="2" t="str">
        <f>"－"</f>
        <v>－</v>
      </c>
      <c r="J71" s="10"/>
      <c r="K71" s="2" t="n">
        <f>54540</f>
        <v>54540.0</v>
      </c>
    </row>
    <row r="72">
      <c r="A72" s="8" t="s">
        <v>24</v>
      </c>
      <c r="B72" s="9" t="s">
        <v>52</v>
      </c>
      <c r="C72" s="9" t="s">
        <v>53</v>
      </c>
      <c r="D72" s="10"/>
      <c r="E72" s="2" t="n">
        <f>159504</f>
        <v>159504.0</v>
      </c>
      <c r="F72" s="10"/>
      <c r="G72" s="2" t="n">
        <f>51804805500</f>
        <v>5.18048055E10</v>
      </c>
      <c r="H72" s="10"/>
      <c r="I72" s="2" t="str">
        <f>"－"</f>
        <v>－</v>
      </c>
      <c r="J72" s="10"/>
      <c r="K72" s="2" t="n">
        <f>52981</f>
        <v>52981.0</v>
      </c>
    </row>
    <row r="73">
      <c r="A73" s="8" t="s">
        <v>26</v>
      </c>
      <c r="B73" s="9" t="s">
        <v>52</v>
      </c>
      <c r="C73" s="9" t="s">
        <v>53</v>
      </c>
      <c r="D73" s="10"/>
      <c r="E73" s="2" t="n">
        <f>205888</f>
        <v>205888.0</v>
      </c>
      <c r="F73" s="10"/>
      <c r="G73" s="2" t="n">
        <f>66518107950</f>
        <v>6.651810795E10</v>
      </c>
      <c r="H73" s="10"/>
      <c r="I73" s="2" t="str">
        <f>"－"</f>
        <v>－</v>
      </c>
      <c r="J73" s="10"/>
      <c r="K73" s="2" t="n">
        <f>51955</f>
        <v>51955.0</v>
      </c>
    </row>
    <row r="74">
      <c r="A74" s="8" t="s">
        <v>27</v>
      </c>
      <c r="B74" s="9" t="s">
        <v>52</v>
      </c>
      <c r="C74" s="9" t="s">
        <v>53</v>
      </c>
      <c r="D74" s="10"/>
      <c r="E74" s="2" t="n">
        <f>192642</f>
        <v>192642.0</v>
      </c>
      <c r="F74" s="10"/>
      <c r="G74" s="2" t="n">
        <f>62400359400</f>
        <v>6.24003594E10</v>
      </c>
      <c r="H74" s="10"/>
      <c r="I74" s="2" t="str">
        <f>"－"</f>
        <v>－</v>
      </c>
      <c r="J74" s="10"/>
      <c r="K74" s="2" t="n">
        <f>52024</f>
        <v>52024.0</v>
      </c>
    </row>
    <row r="75">
      <c r="A75" s="8" t="s">
        <v>28</v>
      </c>
      <c r="B75" s="9" t="s">
        <v>52</v>
      </c>
      <c r="C75" s="9" t="s">
        <v>53</v>
      </c>
      <c r="D75" s="10"/>
      <c r="E75" s="2" t="n">
        <f>225871</f>
        <v>225871.0</v>
      </c>
      <c r="F75" s="10"/>
      <c r="G75" s="2" t="n">
        <f>73424416100</f>
        <v>7.34244161E10</v>
      </c>
      <c r="H75" s="10"/>
      <c r="I75" s="2" t="str">
        <f>"－"</f>
        <v>－</v>
      </c>
      <c r="J75" s="10"/>
      <c r="K75" s="2" t="n">
        <f>51465</f>
        <v>51465.0</v>
      </c>
    </row>
    <row r="76">
      <c r="A76" s="8" t="s">
        <v>29</v>
      </c>
      <c r="B76" s="9" t="s">
        <v>52</v>
      </c>
      <c r="C76" s="9" t="s">
        <v>53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30</v>
      </c>
      <c r="B77" s="9" t="s">
        <v>52</v>
      </c>
      <c r="C77" s="9" t="s">
        <v>53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31</v>
      </c>
      <c r="B78" s="9" t="s">
        <v>52</v>
      </c>
      <c r="C78" s="9" t="s">
        <v>53</v>
      </c>
      <c r="D78" s="10"/>
      <c r="E78" s="2" t="n">
        <f>203763</f>
        <v>203763.0</v>
      </c>
      <c r="F78" s="10"/>
      <c r="G78" s="2" t="n">
        <f>66545856700</f>
        <v>6.65458567E10</v>
      </c>
      <c r="H78" s="10"/>
      <c r="I78" s="2" t="str">
        <f>"－"</f>
        <v>－</v>
      </c>
      <c r="J78" s="10"/>
      <c r="K78" s="2" t="n">
        <f>51144</f>
        <v>51144.0</v>
      </c>
    </row>
    <row r="79">
      <c r="A79" s="8" t="s">
        <v>32</v>
      </c>
      <c r="B79" s="9" t="s">
        <v>52</v>
      </c>
      <c r="C79" s="9" t="s">
        <v>53</v>
      </c>
      <c r="D79" s="10"/>
      <c r="E79" s="2" t="n">
        <f>166143</f>
        <v>166143.0</v>
      </c>
      <c r="F79" s="10"/>
      <c r="G79" s="2" t="n">
        <f>54367332000</f>
        <v>5.4367332E10</v>
      </c>
      <c r="H79" s="10"/>
      <c r="I79" s="2" t="str">
        <f>"－"</f>
        <v>－</v>
      </c>
      <c r="J79" s="10"/>
      <c r="K79" s="2" t="n">
        <f>51967</f>
        <v>51967.0</v>
      </c>
    </row>
    <row r="80">
      <c r="A80" s="8" t="s">
        <v>33</v>
      </c>
      <c r="B80" s="9" t="s">
        <v>52</v>
      </c>
      <c r="C80" s="9" t="s">
        <v>53</v>
      </c>
      <c r="D80" s="10"/>
      <c r="E80" s="2" t="n">
        <f>218267</f>
        <v>218267.0</v>
      </c>
      <c r="F80" s="10"/>
      <c r="G80" s="2" t="n">
        <f>72536671400</f>
        <v>7.25366714E10</v>
      </c>
      <c r="H80" s="10"/>
      <c r="I80" s="2" t="str">
        <f>"－"</f>
        <v>－</v>
      </c>
      <c r="J80" s="10"/>
      <c r="K80" s="2" t="n">
        <f>48134</f>
        <v>48134.0</v>
      </c>
    </row>
    <row r="81">
      <c r="A81" s="8" t="s">
        <v>35</v>
      </c>
      <c r="B81" s="9" t="s">
        <v>52</v>
      </c>
      <c r="C81" s="9" t="s">
        <v>53</v>
      </c>
      <c r="D81" s="10"/>
      <c r="E81" s="2" t="n">
        <f>224106</f>
        <v>224106.0</v>
      </c>
      <c r="F81" s="10" t="s">
        <v>34</v>
      </c>
      <c r="G81" s="2" t="n">
        <f>74901453100</f>
        <v>7.49014531E10</v>
      </c>
      <c r="H81" s="10"/>
      <c r="I81" s="2" t="str">
        <f>"－"</f>
        <v>－</v>
      </c>
      <c r="J81" s="10"/>
      <c r="K81" s="2" t="n">
        <f>47812</f>
        <v>47812.0</v>
      </c>
    </row>
    <row r="82">
      <c r="A82" s="8" t="s">
        <v>36</v>
      </c>
      <c r="B82" s="9" t="s">
        <v>52</v>
      </c>
      <c r="C82" s="9" t="s">
        <v>53</v>
      </c>
      <c r="D82" s="10"/>
      <c r="E82" s="2" t="n">
        <f>182620</f>
        <v>182620.0</v>
      </c>
      <c r="F82" s="10"/>
      <c r="G82" s="2" t="n">
        <f>61029749450</f>
        <v>6.102974945E10</v>
      </c>
      <c r="H82" s="10"/>
      <c r="I82" s="2" t="str">
        <f>"－"</f>
        <v>－</v>
      </c>
      <c r="J82" s="10"/>
      <c r="K82" s="2" t="n">
        <f>48175</f>
        <v>48175.0</v>
      </c>
    </row>
    <row r="83">
      <c r="A83" s="8" t="s">
        <v>37</v>
      </c>
      <c r="B83" s="9" t="s">
        <v>52</v>
      </c>
      <c r="C83" s="9" t="s">
        <v>53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38</v>
      </c>
      <c r="B84" s="9" t="s">
        <v>52</v>
      </c>
      <c r="C84" s="9" t="s">
        <v>53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39</v>
      </c>
      <c r="B85" s="9" t="s">
        <v>52</v>
      </c>
      <c r="C85" s="9" t="s">
        <v>53</v>
      </c>
      <c r="D85" s="10"/>
      <c r="E85" s="2" t="n">
        <f>212843</f>
        <v>212843.0</v>
      </c>
      <c r="F85" s="10"/>
      <c r="G85" s="2" t="n">
        <f>71392269650</f>
        <v>7.139226965E10</v>
      </c>
      <c r="H85" s="10"/>
      <c r="I85" s="2" t="str">
        <f>"－"</f>
        <v>－</v>
      </c>
      <c r="J85" s="10" t="s">
        <v>25</v>
      </c>
      <c r="K85" s="2" t="n">
        <f>46451</f>
        <v>46451.0</v>
      </c>
    </row>
    <row r="86">
      <c r="A86" s="8" t="s">
        <v>40</v>
      </c>
      <c r="B86" s="9" t="s">
        <v>52</v>
      </c>
      <c r="C86" s="9" t="s">
        <v>53</v>
      </c>
      <c r="D86" s="10"/>
      <c r="E86" s="2" t="n">
        <f>191489</f>
        <v>191489.0</v>
      </c>
      <c r="F86" s="10"/>
      <c r="G86" s="2" t="n">
        <f>63834886950</f>
        <v>6.383488695E10</v>
      </c>
      <c r="H86" s="10"/>
      <c r="I86" s="2" t="str">
        <f>"－"</f>
        <v>－</v>
      </c>
      <c r="J86" s="10"/>
      <c r="K86" s="2" t="n">
        <f>48125</f>
        <v>48125.0</v>
      </c>
    </row>
    <row r="87">
      <c r="A87" s="8" t="s">
        <v>41</v>
      </c>
      <c r="B87" s="9" t="s">
        <v>52</v>
      </c>
      <c r="C87" s="9" t="s">
        <v>53</v>
      </c>
      <c r="D87" s="10"/>
      <c r="E87" s="2" t="n">
        <f>176262</f>
        <v>176262.0</v>
      </c>
      <c r="F87" s="10"/>
      <c r="G87" s="2" t="n">
        <f>58822329300</f>
        <v>5.88223293E10</v>
      </c>
      <c r="H87" s="10"/>
      <c r="I87" s="2" t="str">
        <f>"－"</f>
        <v>－</v>
      </c>
      <c r="J87" s="10"/>
      <c r="K87" s="2" t="n">
        <f>50100</f>
        <v>50100.0</v>
      </c>
    </row>
    <row r="88">
      <c r="A88" s="8" t="s">
        <v>42</v>
      </c>
      <c r="B88" s="9" t="s">
        <v>52</v>
      </c>
      <c r="C88" s="9" t="s">
        <v>53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43</v>
      </c>
      <c r="B89" s="9" t="s">
        <v>52</v>
      </c>
      <c r="C89" s="9" t="s">
        <v>53</v>
      </c>
      <c r="D89" s="10"/>
      <c r="E89" s="2" t="n">
        <f>218817</f>
        <v>218817.0</v>
      </c>
      <c r="F89" s="10"/>
      <c r="G89" s="2" t="n">
        <f>73704546450</f>
        <v>7.370454645E10</v>
      </c>
      <c r="H89" s="10"/>
      <c r="I89" s="2" t="str">
        <f>"－"</f>
        <v>－</v>
      </c>
      <c r="J89" s="10"/>
      <c r="K89" s="2" t="n">
        <f>51797</f>
        <v>51797.0</v>
      </c>
    </row>
    <row r="90">
      <c r="A90" s="8" t="s">
        <v>44</v>
      </c>
      <c r="B90" s="9" t="s">
        <v>52</v>
      </c>
      <c r="C90" s="9" t="s">
        <v>53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45</v>
      </c>
      <c r="B91" s="9" t="s">
        <v>52</v>
      </c>
      <c r="C91" s="9" t="s">
        <v>53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46</v>
      </c>
      <c r="B92" s="9" t="s">
        <v>52</v>
      </c>
      <c r="C92" s="9" t="s">
        <v>53</v>
      </c>
      <c r="D92" s="10"/>
      <c r="E92" s="2" t="n">
        <f>146964</f>
        <v>146964.0</v>
      </c>
      <c r="F92" s="10"/>
      <c r="G92" s="2" t="n">
        <f>49368176900</f>
        <v>4.93681769E10</v>
      </c>
      <c r="H92" s="10"/>
      <c r="I92" s="2" t="str">
        <f>"－"</f>
        <v>－</v>
      </c>
      <c r="J92" s="10"/>
      <c r="K92" s="2" t="n">
        <f>52206</f>
        <v>52206.0</v>
      </c>
    </row>
    <row r="93">
      <c r="A93" s="8" t="s">
        <v>47</v>
      </c>
      <c r="B93" s="9" t="s">
        <v>52</v>
      </c>
      <c r="C93" s="9" t="s">
        <v>53</v>
      </c>
      <c r="D93" s="10" t="s">
        <v>25</v>
      </c>
      <c r="E93" s="2" t="n">
        <f>145245</f>
        <v>145245.0</v>
      </c>
      <c r="F93" s="10" t="s">
        <v>25</v>
      </c>
      <c r="G93" s="2" t="n">
        <f>48553806650</f>
        <v>4.855380665E10</v>
      </c>
      <c r="H93" s="10"/>
      <c r="I93" s="2" t="str">
        <f>"－"</f>
        <v>－</v>
      </c>
      <c r="J93" s="10"/>
      <c r="K93" s="2" t="n">
        <f>53505</f>
        <v>53505.0</v>
      </c>
    </row>
    <row r="94">
      <c r="A94" s="8" t="s">
        <v>48</v>
      </c>
      <c r="B94" s="9" t="s">
        <v>52</v>
      </c>
      <c r="C94" s="9" t="s">
        <v>53</v>
      </c>
      <c r="D94" s="10"/>
      <c r="E94" s="2" t="n">
        <f>186705</f>
        <v>186705.0</v>
      </c>
      <c r="F94" s="10"/>
      <c r="G94" s="2" t="n">
        <f>62257494450</f>
        <v>6.225749445E10</v>
      </c>
      <c r="H94" s="10"/>
      <c r="I94" s="2" t="str">
        <f>"－"</f>
        <v>－</v>
      </c>
      <c r="J94" s="10"/>
      <c r="K94" s="2" t="n">
        <f>53540</f>
        <v>53540.0</v>
      </c>
    </row>
    <row r="95">
      <c r="A95" s="8" t="s">
        <v>49</v>
      </c>
      <c r="B95" s="9" t="s">
        <v>52</v>
      </c>
      <c r="C95" s="9" t="s">
        <v>53</v>
      </c>
      <c r="D95" s="10"/>
      <c r="E95" s="2" t="n">
        <f>169528</f>
        <v>169528.0</v>
      </c>
      <c r="F95" s="10"/>
      <c r="G95" s="2" t="n">
        <f>56474762250</f>
        <v>5.647476225E10</v>
      </c>
      <c r="H95" s="10"/>
      <c r="I95" s="2" t="str">
        <f>"－"</f>
        <v>－</v>
      </c>
      <c r="J95" s="10" t="s">
        <v>34</v>
      </c>
      <c r="K95" s="2" t="n">
        <f>55837</f>
        <v>55837.0</v>
      </c>
    </row>
    <row r="96">
      <c r="A96" s="8" t="s">
        <v>16</v>
      </c>
      <c r="B96" s="9" t="s">
        <v>55</v>
      </c>
      <c r="C96" s="9" t="s">
        <v>56</v>
      </c>
      <c r="D96" s="10" t="s">
        <v>34</v>
      </c>
      <c r="E96" s="2" t="n">
        <f>110990</f>
        <v>110990.0</v>
      </c>
      <c r="F96" s="10" t="s">
        <v>34</v>
      </c>
      <c r="G96" s="2" t="n">
        <f>2553462633650</f>
        <v>2.55346263365E12</v>
      </c>
      <c r="H96" s="10" t="s">
        <v>34</v>
      </c>
      <c r="I96" s="2" t="n">
        <f>32725</f>
        <v>32725.0</v>
      </c>
      <c r="J96" s="10" t="s">
        <v>25</v>
      </c>
      <c r="K96" s="2" t="n">
        <f>540999</f>
        <v>540999.0</v>
      </c>
    </row>
    <row r="97">
      <c r="A97" s="8" t="s">
        <v>19</v>
      </c>
      <c r="B97" s="9" t="s">
        <v>55</v>
      </c>
      <c r="C97" s="9" t="s">
        <v>56</v>
      </c>
      <c r="D97" s="10"/>
      <c r="E97" s="2" t="n">
        <f>78544</f>
        <v>78544.0</v>
      </c>
      <c r="F97" s="10"/>
      <c r="G97" s="2" t="n">
        <f>1824830314760</f>
        <v>1.82483031476E12</v>
      </c>
      <c r="H97" s="10"/>
      <c r="I97" s="2" t="n">
        <f>18104</f>
        <v>18104.0</v>
      </c>
      <c r="J97" s="10"/>
      <c r="K97" s="2" t="n">
        <f>548730</f>
        <v>548730.0</v>
      </c>
    </row>
    <row r="98">
      <c r="A98" s="8" t="s">
        <v>20</v>
      </c>
      <c r="B98" s="9" t="s">
        <v>55</v>
      </c>
      <c r="C98" s="9" t="s">
        <v>56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21</v>
      </c>
      <c r="B99" s="9" t="s">
        <v>55</v>
      </c>
      <c r="C99" s="9" t="s">
        <v>56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22</v>
      </c>
      <c r="B100" s="9" t="s">
        <v>55</v>
      </c>
      <c r="C100" s="9" t="s">
        <v>56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23</v>
      </c>
      <c r="B101" s="9" t="s">
        <v>55</v>
      </c>
      <c r="C101" s="9" t="s">
        <v>56</v>
      </c>
      <c r="D101" s="10"/>
      <c r="E101" s="2" t="n">
        <f>104348</f>
        <v>104348.0</v>
      </c>
      <c r="F101" s="10"/>
      <c r="G101" s="2" t="n">
        <f>2459647060100</f>
        <v>2.4596470601E12</v>
      </c>
      <c r="H101" s="10"/>
      <c r="I101" s="2" t="n">
        <f>26416</f>
        <v>26416.0</v>
      </c>
      <c r="J101" s="10"/>
      <c r="K101" s="2" t="n">
        <f>552862</f>
        <v>552862.0</v>
      </c>
    </row>
    <row r="102">
      <c r="A102" s="8" t="s">
        <v>24</v>
      </c>
      <c r="B102" s="9" t="s">
        <v>55</v>
      </c>
      <c r="C102" s="9" t="s">
        <v>56</v>
      </c>
      <c r="D102" s="10"/>
      <c r="E102" s="2" t="n">
        <f>70788</f>
        <v>70788.0</v>
      </c>
      <c r="F102" s="10"/>
      <c r="G102" s="2" t="n">
        <f>1661299867632</f>
        <v>1.661299867632E12</v>
      </c>
      <c r="H102" s="10"/>
      <c r="I102" s="2" t="n">
        <f>12288</f>
        <v>12288.0</v>
      </c>
      <c r="J102" s="10"/>
      <c r="K102" s="2" t="n">
        <f>556206</f>
        <v>556206.0</v>
      </c>
    </row>
    <row r="103">
      <c r="A103" s="8" t="s">
        <v>26</v>
      </c>
      <c r="B103" s="9" t="s">
        <v>55</v>
      </c>
      <c r="C103" s="9" t="s">
        <v>56</v>
      </c>
      <c r="D103" s="10"/>
      <c r="E103" s="2" t="n">
        <f>70361</f>
        <v>70361.0</v>
      </c>
      <c r="F103" s="10"/>
      <c r="G103" s="2" t="n">
        <f>1632041872812</f>
        <v>1.632041872812E12</v>
      </c>
      <c r="H103" s="10"/>
      <c r="I103" s="2" t="n">
        <f>13906</f>
        <v>13906.0</v>
      </c>
      <c r="J103" s="10"/>
      <c r="K103" s="2" t="n">
        <f>551239</f>
        <v>551239.0</v>
      </c>
    </row>
    <row r="104">
      <c r="A104" s="8" t="s">
        <v>27</v>
      </c>
      <c r="B104" s="9" t="s">
        <v>55</v>
      </c>
      <c r="C104" s="9" t="s">
        <v>56</v>
      </c>
      <c r="D104" s="10"/>
      <c r="E104" s="2" t="n">
        <f>68985</f>
        <v>68985.0</v>
      </c>
      <c r="F104" s="10"/>
      <c r="G104" s="2" t="n">
        <f>1599305480148</f>
        <v>1.599305480148E12</v>
      </c>
      <c r="H104" s="10"/>
      <c r="I104" s="2" t="n">
        <f>14990</f>
        <v>14990.0</v>
      </c>
      <c r="J104" s="10"/>
      <c r="K104" s="2" t="n">
        <f>551368</f>
        <v>551368.0</v>
      </c>
    </row>
    <row r="105">
      <c r="A105" s="8" t="s">
        <v>28</v>
      </c>
      <c r="B105" s="9" t="s">
        <v>55</v>
      </c>
      <c r="C105" s="9" t="s">
        <v>56</v>
      </c>
      <c r="D105" s="10"/>
      <c r="E105" s="2" t="n">
        <f>74317</f>
        <v>74317.0</v>
      </c>
      <c r="F105" s="10"/>
      <c r="G105" s="2" t="n">
        <f>1731815201567</f>
        <v>1.731815201567E12</v>
      </c>
      <c r="H105" s="10"/>
      <c r="I105" s="2" t="n">
        <f>15920</f>
        <v>15920.0</v>
      </c>
      <c r="J105" s="10"/>
      <c r="K105" s="2" t="n">
        <f>554915</f>
        <v>554915.0</v>
      </c>
    </row>
    <row r="106">
      <c r="A106" s="8" t="s">
        <v>29</v>
      </c>
      <c r="B106" s="9" t="s">
        <v>55</v>
      </c>
      <c r="C106" s="9" t="s">
        <v>56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30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31</v>
      </c>
      <c r="B108" s="9" t="s">
        <v>55</v>
      </c>
      <c r="C108" s="9" t="s">
        <v>56</v>
      </c>
      <c r="D108" s="10"/>
      <c r="E108" s="2" t="n">
        <f>54266</f>
        <v>54266.0</v>
      </c>
      <c r="F108" s="10"/>
      <c r="G108" s="2" t="n">
        <f>1269841269222</f>
        <v>1.269841269222E12</v>
      </c>
      <c r="H108" s="10"/>
      <c r="I108" s="2" t="n">
        <f>11820</f>
        <v>11820.0</v>
      </c>
      <c r="J108" s="10"/>
      <c r="K108" s="2" t="n">
        <f>556784</f>
        <v>556784.0</v>
      </c>
    </row>
    <row r="109">
      <c r="A109" s="8" t="s">
        <v>32</v>
      </c>
      <c r="B109" s="9" t="s">
        <v>55</v>
      </c>
      <c r="C109" s="9" t="s">
        <v>56</v>
      </c>
      <c r="D109" s="10" t="s">
        <v>25</v>
      </c>
      <c r="E109" s="2" t="n">
        <f>49085</f>
        <v>49085.0</v>
      </c>
      <c r="F109" s="10" t="s">
        <v>25</v>
      </c>
      <c r="G109" s="2" t="n">
        <f>1152545192850</f>
        <v>1.15254519285E12</v>
      </c>
      <c r="H109" s="10"/>
      <c r="I109" s="2" t="n">
        <f>11988</f>
        <v>11988.0</v>
      </c>
      <c r="J109" s="10"/>
      <c r="K109" s="2" t="n">
        <f>559886</f>
        <v>559886.0</v>
      </c>
    </row>
    <row r="110">
      <c r="A110" s="8" t="s">
        <v>33</v>
      </c>
      <c r="B110" s="9" t="s">
        <v>55</v>
      </c>
      <c r="C110" s="9" t="s">
        <v>56</v>
      </c>
      <c r="D110" s="10"/>
      <c r="E110" s="2" t="n">
        <f>76790</f>
        <v>76790.0</v>
      </c>
      <c r="F110" s="10"/>
      <c r="G110" s="2" t="n">
        <f>1819660632026</f>
        <v>1.819660632026E12</v>
      </c>
      <c r="H110" s="10"/>
      <c r="I110" s="2" t="n">
        <f>17548</f>
        <v>17548.0</v>
      </c>
      <c r="J110" s="10"/>
      <c r="K110" s="2" t="n">
        <f>565688</f>
        <v>565688.0</v>
      </c>
    </row>
    <row r="111">
      <c r="A111" s="8" t="s">
        <v>35</v>
      </c>
      <c r="B111" s="9" t="s">
        <v>55</v>
      </c>
      <c r="C111" s="9" t="s">
        <v>56</v>
      </c>
      <c r="D111" s="10"/>
      <c r="E111" s="2" t="n">
        <f>65727</f>
        <v>65727.0</v>
      </c>
      <c r="F111" s="10"/>
      <c r="G111" s="2" t="n">
        <f>1558714613426</f>
        <v>1.558714613426E12</v>
      </c>
      <c r="H111" s="10"/>
      <c r="I111" s="2" t="n">
        <f>17075</f>
        <v>17075.0</v>
      </c>
      <c r="J111" s="10"/>
      <c r="K111" s="2" t="n">
        <f>562558</f>
        <v>562558.0</v>
      </c>
    </row>
    <row r="112">
      <c r="A112" s="8" t="s">
        <v>36</v>
      </c>
      <c r="B112" s="9" t="s">
        <v>55</v>
      </c>
      <c r="C112" s="9" t="s">
        <v>56</v>
      </c>
      <c r="D112" s="10"/>
      <c r="E112" s="2" t="n">
        <f>60536</f>
        <v>60536.0</v>
      </c>
      <c r="F112" s="10"/>
      <c r="G112" s="2" t="n">
        <f>1438738010906</f>
        <v>1.438738010906E12</v>
      </c>
      <c r="H112" s="10" t="s">
        <v>25</v>
      </c>
      <c r="I112" s="2" t="n">
        <f>10724</f>
        <v>10724.0</v>
      </c>
      <c r="J112" s="10"/>
      <c r="K112" s="2" t="n">
        <f>565010</f>
        <v>565010.0</v>
      </c>
    </row>
    <row r="113">
      <c r="A113" s="8" t="s">
        <v>37</v>
      </c>
      <c r="B113" s="9" t="s">
        <v>55</v>
      </c>
      <c r="C113" s="9" t="s">
        <v>56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38</v>
      </c>
      <c r="B114" s="9" t="s">
        <v>55</v>
      </c>
      <c r="C114" s="9" t="s">
        <v>56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39</v>
      </c>
      <c r="B115" s="9" t="s">
        <v>55</v>
      </c>
      <c r="C115" s="9" t="s">
        <v>56</v>
      </c>
      <c r="D115" s="10"/>
      <c r="E115" s="2" t="n">
        <f>78186</f>
        <v>78186.0</v>
      </c>
      <c r="F115" s="10"/>
      <c r="G115" s="2" t="n">
        <f>1861984567500</f>
        <v>1.8619845675E12</v>
      </c>
      <c r="H115" s="10"/>
      <c r="I115" s="2" t="n">
        <f>14514</f>
        <v>14514.0</v>
      </c>
      <c r="J115" s="10"/>
      <c r="K115" s="2" t="n">
        <f>566672</f>
        <v>566672.0</v>
      </c>
    </row>
    <row r="116">
      <c r="A116" s="8" t="s">
        <v>40</v>
      </c>
      <c r="B116" s="9" t="s">
        <v>55</v>
      </c>
      <c r="C116" s="9" t="s">
        <v>56</v>
      </c>
      <c r="D116" s="10"/>
      <c r="E116" s="2" t="n">
        <f>66675</f>
        <v>66675.0</v>
      </c>
      <c r="F116" s="10"/>
      <c r="G116" s="2" t="n">
        <f>1577623187150</f>
        <v>1.57762318715E12</v>
      </c>
      <c r="H116" s="10"/>
      <c r="I116" s="2" t="n">
        <f>14131</f>
        <v>14131.0</v>
      </c>
      <c r="J116" s="10"/>
      <c r="K116" s="2" t="n">
        <f>555376</f>
        <v>555376.0</v>
      </c>
    </row>
    <row r="117">
      <c r="A117" s="8" t="s">
        <v>41</v>
      </c>
      <c r="B117" s="9" t="s">
        <v>55</v>
      </c>
      <c r="C117" s="9" t="s">
        <v>56</v>
      </c>
      <c r="D117" s="10"/>
      <c r="E117" s="2" t="n">
        <f>50534</f>
        <v>50534.0</v>
      </c>
      <c r="F117" s="10"/>
      <c r="G117" s="2" t="n">
        <f>1199163417700</f>
        <v>1.1991634177E12</v>
      </c>
      <c r="H117" s="10"/>
      <c r="I117" s="2" t="n">
        <f>12935</f>
        <v>12935.0</v>
      </c>
      <c r="J117" s="10"/>
      <c r="K117" s="2" t="n">
        <f>553143</f>
        <v>553143.0</v>
      </c>
    </row>
    <row r="118">
      <c r="A118" s="8" t="s">
        <v>42</v>
      </c>
      <c r="B118" s="9" t="s">
        <v>55</v>
      </c>
      <c r="C118" s="9" t="s">
        <v>56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43</v>
      </c>
      <c r="B119" s="9" t="s">
        <v>55</v>
      </c>
      <c r="C119" s="9" t="s">
        <v>56</v>
      </c>
      <c r="D119" s="10"/>
      <c r="E119" s="2" t="n">
        <f>54647</f>
        <v>54647.0</v>
      </c>
      <c r="F119" s="10"/>
      <c r="G119" s="2" t="n">
        <f>1306515660180</f>
        <v>1.30651566018E12</v>
      </c>
      <c r="H119" s="10"/>
      <c r="I119" s="2" t="n">
        <f>13244</f>
        <v>13244.0</v>
      </c>
      <c r="J119" s="10"/>
      <c r="K119" s="2" t="n">
        <f>556890</f>
        <v>556890.0</v>
      </c>
    </row>
    <row r="120">
      <c r="A120" s="8" t="s">
        <v>44</v>
      </c>
      <c r="B120" s="9" t="s">
        <v>55</v>
      </c>
      <c r="C120" s="9" t="s">
        <v>56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45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46</v>
      </c>
      <c r="B122" s="9" t="s">
        <v>55</v>
      </c>
      <c r="C122" s="9" t="s">
        <v>56</v>
      </c>
      <c r="D122" s="10"/>
      <c r="E122" s="2" t="n">
        <f>52724</f>
        <v>52724.0</v>
      </c>
      <c r="F122" s="10"/>
      <c r="G122" s="2" t="n">
        <f>1258564837445</f>
        <v>1.258564837445E12</v>
      </c>
      <c r="H122" s="10"/>
      <c r="I122" s="2" t="n">
        <f>12854</f>
        <v>12854.0</v>
      </c>
      <c r="J122" s="10"/>
      <c r="K122" s="2" t="n">
        <f>558450</f>
        <v>558450.0</v>
      </c>
    </row>
    <row r="123">
      <c r="A123" s="8" t="s">
        <v>47</v>
      </c>
      <c r="B123" s="9" t="s">
        <v>55</v>
      </c>
      <c r="C123" s="9" t="s">
        <v>56</v>
      </c>
      <c r="D123" s="10"/>
      <c r="E123" s="2" t="n">
        <f>64227</f>
        <v>64227.0</v>
      </c>
      <c r="F123" s="10"/>
      <c r="G123" s="2" t="n">
        <f>1527186483600</f>
        <v>1.5271864836E12</v>
      </c>
      <c r="H123" s="10"/>
      <c r="I123" s="2" t="n">
        <f>15284</f>
        <v>15284.0</v>
      </c>
      <c r="J123" s="10"/>
      <c r="K123" s="2" t="n">
        <f>563114</f>
        <v>563114.0</v>
      </c>
    </row>
    <row r="124">
      <c r="A124" s="8" t="s">
        <v>48</v>
      </c>
      <c r="B124" s="9" t="s">
        <v>55</v>
      </c>
      <c r="C124" s="9" t="s">
        <v>56</v>
      </c>
      <c r="D124" s="10"/>
      <c r="E124" s="2" t="n">
        <f>74935</f>
        <v>74935.0</v>
      </c>
      <c r="F124" s="10"/>
      <c r="G124" s="2" t="n">
        <f>1774286260400</f>
        <v>1.7742862604E12</v>
      </c>
      <c r="H124" s="10"/>
      <c r="I124" s="2" t="n">
        <f>14879</f>
        <v>14879.0</v>
      </c>
      <c r="J124" s="10"/>
      <c r="K124" s="2" t="n">
        <f>568601</f>
        <v>568601.0</v>
      </c>
    </row>
    <row r="125">
      <c r="A125" s="8" t="s">
        <v>49</v>
      </c>
      <c r="B125" s="9" t="s">
        <v>55</v>
      </c>
      <c r="C125" s="9" t="s">
        <v>56</v>
      </c>
      <c r="D125" s="10"/>
      <c r="E125" s="2" t="n">
        <f>84047</f>
        <v>84047.0</v>
      </c>
      <c r="F125" s="10"/>
      <c r="G125" s="2" t="n">
        <f>1989694563700</f>
        <v>1.9896945637E12</v>
      </c>
      <c r="H125" s="10"/>
      <c r="I125" s="2" t="n">
        <f>25217</f>
        <v>25217.0</v>
      </c>
      <c r="J125" s="10" t="s">
        <v>34</v>
      </c>
      <c r="K125" s="2" t="n">
        <f>572152</f>
        <v>572152.0</v>
      </c>
    </row>
    <row r="126">
      <c r="A126" s="8" t="s">
        <v>16</v>
      </c>
      <c r="B126" s="9" t="s">
        <v>57</v>
      </c>
      <c r="C126" s="9" t="s">
        <v>58</v>
      </c>
      <c r="D126" s="10" t="s">
        <v>34</v>
      </c>
      <c r="E126" s="2" t="n">
        <f>41273</f>
        <v>41273.0</v>
      </c>
      <c r="F126" s="10" t="s">
        <v>34</v>
      </c>
      <c r="G126" s="2" t="n">
        <f>94924163360</f>
        <v>9.492416336E10</v>
      </c>
      <c r="H126" s="10"/>
      <c r="I126" s="2" t="n">
        <f>1341</f>
        <v>1341.0</v>
      </c>
      <c r="J126" s="10"/>
      <c r="K126" s="2" t="n">
        <f>46098</f>
        <v>46098.0</v>
      </c>
    </row>
    <row r="127">
      <c r="A127" s="8" t="s">
        <v>19</v>
      </c>
      <c r="B127" s="9" t="s">
        <v>57</v>
      </c>
      <c r="C127" s="9" t="s">
        <v>58</v>
      </c>
      <c r="D127" s="10"/>
      <c r="E127" s="2" t="n">
        <f>30107</f>
        <v>30107.0</v>
      </c>
      <c r="F127" s="10"/>
      <c r="G127" s="2" t="n">
        <f>69965153300</f>
        <v>6.99651533E10</v>
      </c>
      <c r="H127" s="10"/>
      <c r="I127" s="2" t="n">
        <f>1131</f>
        <v>1131.0</v>
      </c>
      <c r="J127" s="10" t="s">
        <v>34</v>
      </c>
      <c r="K127" s="2" t="n">
        <f>46325</f>
        <v>46325.0</v>
      </c>
    </row>
    <row r="128">
      <c r="A128" s="8" t="s">
        <v>20</v>
      </c>
      <c r="B128" s="9" t="s">
        <v>57</v>
      </c>
      <c r="C128" s="9" t="s">
        <v>58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21</v>
      </c>
      <c r="B129" s="9" t="s">
        <v>57</v>
      </c>
      <c r="C129" s="9" t="s">
        <v>58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22</v>
      </c>
      <c r="B130" s="9" t="s">
        <v>57</v>
      </c>
      <c r="C130" s="9" t="s">
        <v>58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23</v>
      </c>
      <c r="B131" s="9" t="s">
        <v>57</v>
      </c>
      <c r="C131" s="9" t="s">
        <v>58</v>
      </c>
      <c r="D131" s="10"/>
      <c r="E131" s="2" t="n">
        <f>31041</f>
        <v>31041.0</v>
      </c>
      <c r="F131" s="10"/>
      <c r="G131" s="2" t="n">
        <f>73111074110</f>
        <v>7.311107411E10</v>
      </c>
      <c r="H131" s="10"/>
      <c r="I131" s="2" t="n">
        <f>1829</f>
        <v>1829.0</v>
      </c>
      <c r="J131" s="10"/>
      <c r="K131" s="2" t="n">
        <f>44872</f>
        <v>44872.0</v>
      </c>
    </row>
    <row r="132">
      <c r="A132" s="8" t="s">
        <v>24</v>
      </c>
      <c r="B132" s="9" t="s">
        <v>57</v>
      </c>
      <c r="C132" s="9" t="s">
        <v>58</v>
      </c>
      <c r="D132" s="10"/>
      <c r="E132" s="2" t="n">
        <f>25739</f>
        <v>25739.0</v>
      </c>
      <c r="F132" s="10"/>
      <c r="G132" s="2" t="n">
        <f>60435499400</f>
        <v>6.04354994E10</v>
      </c>
      <c r="H132" s="10"/>
      <c r="I132" s="2" t="n">
        <f>379</f>
        <v>379.0</v>
      </c>
      <c r="J132" s="10"/>
      <c r="K132" s="2" t="n">
        <f>44654</f>
        <v>44654.0</v>
      </c>
    </row>
    <row r="133">
      <c r="A133" s="8" t="s">
        <v>26</v>
      </c>
      <c r="B133" s="9" t="s">
        <v>57</v>
      </c>
      <c r="C133" s="9" t="s">
        <v>58</v>
      </c>
      <c r="D133" s="10"/>
      <c r="E133" s="2" t="n">
        <f>29056</f>
        <v>29056.0</v>
      </c>
      <c r="F133" s="10"/>
      <c r="G133" s="2" t="n">
        <f>67398107100</f>
        <v>6.73981071E10</v>
      </c>
      <c r="H133" s="10"/>
      <c r="I133" s="2" t="n">
        <f>663</f>
        <v>663.0</v>
      </c>
      <c r="J133" s="10"/>
      <c r="K133" s="2" t="n">
        <f>44617</f>
        <v>44617.0</v>
      </c>
    </row>
    <row r="134">
      <c r="A134" s="8" t="s">
        <v>27</v>
      </c>
      <c r="B134" s="9" t="s">
        <v>57</v>
      </c>
      <c r="C134" s="9" t="s">
        <v>58</v>
      </c>
      <c r="D134" s="10"/>
      <c r="E134" s="2" t="n">
        <f>26743</f>
        <v>26743.0</v>
      </c>
      <c r="F134" s="10"/>
      <c r="G134" s="2" t="n">
        <f>61970783800</f>
        <v>6.19707838E10</v>
      </c>
      <c r="H134" s="10"/>
      <c r="I134" s="2" t="n">
        <f>620</f>
        <v>620.0</v>
      </c>
      <c r="J134" s="10"/>
      <c r="K134" s="2" t="n">
        <f>43983</f>
        <v>43983.0</v>
      </c>
    </row>
    <row r="135">
      <c r="A135" s="8" t="s">
        <v>28</v>
      </c>
      <c r="B135" s="9" t="s">
        <v>57</v>
      </c>
      <c r="C135" s="9" t="s">
        <v>58</v>
      </c>
      <c r="D135" s="10"/>
      <c r="E135" s="2" t="n">
        <f>28669</f>
        <v>28669.0</v>
      </c>
      <c r="F135" s="10"/>
      <c r="G135" s="2" t="n">
        <f>66763802050</f>
        <v>6.676380205E10</v>
      </c>
      <c r="H135" s="10"/>
      <c r="I135" s="2" t="n">
        <f>871</f>
        <v>871.0</v>
      </c>
      <c r="J135" s="10"/>
      <c r="K135" s="2" t="n">
        <f>44353</f>
        <v>44353.0</v>
      </c>
    </row>
    <row r="136">
      <c r="A136" s="8" t="s">
        <v>29</v>
      </c>
      <c r="B136" s="9" t="s">
        <v>57</v>
      </c>
      <c r="C136" s="9" t="s">
        <v>58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30</v>
      </c>
      <c r="B137" s="9" t="s">
        <v>57</v>
      </c>
      <c r="C137" s="9" t="s">
        <v>58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31</v>
      </c>
      <c r="B138" s="9" t="s">
        <v>57</v>
      </c>
      <c r="C138" s="9" t="s">
        <v>58</v>
      </c>
      <c r="D138" s="10"/>
      <c r="E138" s="2" t="n">
        <f>22512</f>
        <v>22512.0</v>
      </c>
      <c r="F138" s="10"/>
      <c r="G138" s="2" t="n">
        <f>52689844785</f>
        <v>5.2689844785E10</v>
      </c>
      <c r="H138" s="10"/>
      <c r="I138" s="2" t="n">
        <f>981</f>
        <v>981.0</v>
      </c>
      <c r="J138" s="10"/>
      <c r="K138" s="2" t="n">
        <f>43929</f>
        <v>43929.0</v>
      </c>
    </row>
    <row r="139">
      <c r="A139" s="8" t="s">
        <v>32</v>
      </c>
      <c r="B139" s="9" t="s">
        <v>57</v>
      </c>
      <c r="C139" s="9" t="s">
        <v>58</v>
      </c>
      <c r="D139" s="10" t="s">
        <v>25</v>
      </c>
      <c r="E139" s="2" t="n">
        <f>16951</f>
        <v>16951.0</v>
      </c>
      <c r="F139" s="10" t="s">
        <v>25</v>
      </c>
      <c r="G139" s="2" t="n">
        <f>39805468800</f>
        <v>3.98054688E10</v>
      </c>
      <c r="H139" s="10"/>
      <c r="I139" s="2" t="n">
        <f>542</f>
        <v>542.0</v>
      </c>
      <c r="J139" s="10"/>
      <c r="K139" s="2" t="n">
        <f>44488</f>
        <v>44488.0</v>
      </c>
    </row>
    <row r="140">
      <c r="A140" s="8" t="s">
        <v>33</v>
      </c>
      <c r="B140" s="9" t="s">
        <v>57</v>
      </c>
      <c r="C140" s="9" t="s">
        <v>58</v>
      </c>
      <c r="D140" s="10"/>
      <c r="E140" s="2" t="n">
        <f>27344</f>
        <v>27344.0</v>
      </c>
      <c r="F140" s="10"/>
      <c r="G140" s="2" t="n">
        <f>64798115520</f>
        <v>6.479811552E10</v>
      </c>
      <c r="H140" s="10"/>
      <c r="I140" s="2" t="n">
        <f>635</f>
        <v>635.0</v>
      </c>
      <c r="J140" s="10"/>
      <c r="K140" s="2" t="n">
        <f>44614</f>
        <v>44614.0</v>
      </c>
    </row>
    <row r="141">
      <c r="A141" s="8" t="s">
        <v>35</v>
      </c>
      <c r="B141" s="9" t="s">
        <v>57</v>
      </c>
      <c r="C141" s="9" t="s">
        <v>58</v>
      </c>
      <c r="D141" s="10"/>
      <c r="E141" s="2" t="n">
        <f>24672</f>
        <v>24672.0</v>
      </c>
      <c r="F141" s="10"/>
      <c r="G141" s="2" t="n">
        <f>58518038075</f>
        <v>5.8518038075E10</v>
      </c>
      <c r="H141" s="10"/>
      <c r="I141" s="2" t="n">
        <f>1545</f>
        <v>1545.0</v>
      </c>
      <c r="J141" s="10"/>
      <c r="K141" s="2" t="n">
        <f>44899</f>
        <v>44899.0</v>
      </c>
    </row>
    <row r="142">
      <c r="A142" s="8" t="s">
        <v>36</v>
      </c>
      <c r="B142" s="9" t="s">
        <v>57</v>
      </c>
      <c r="C142" s="9" t="s">
        <v>58</v>
      </c>
      <c r="D142" s="10"/>
      <c r="E142" s="2" t="n">
        <f>22935</f>
        <v>22935.0</v>
      </c>
      <c r="F142" s="10"/>
      <c r="G142" s="2" t="n">
        <f>54481206150</f>
        <v>5.448120615E10</v>
      </c>
      <c r="H142" s="10"/>
      <c r="I142" s="2" t="n">
        <f>756</f>
        <v>756.0</v>
      </c>
      <c r="J142" s="10"/>
      <c r="K142" s="2" t="n">
        <f>45178</f>
        <v>45178.0</v>
      </c>
    </row>
    <row r="143">
      <c r="A143" s="8" t="s">
        <v>37</v>
      </c>
      <c r="B143" s="9" t="s">
        <v>57</v>
      </c>
      <c r="C143" s="9" t="s">
        <v>58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38</v>
      </c>
      <c r="B144" s="9" t="s">
        <v>57</v>
      </c>
      <c r="C144" s="9" t="s">
        <v>58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39</v>
      </c>
      <c r="B145" s="9" t="s">
        <v>57</v>
      </c>
      <c r="C145" s="9" t="s">
        <v>58</v>
      </c>
      <c r="D145" s="10"/>
      <c r="E145" s="2" t="n">
        <f>26415</f>
        <v>26415.0</v>
      </c>
      <c r="F145" s="10"/>
      <c r="G145" s="2" t="n">
        <f>62990120050</f>
        <v>6.299012005E10</v>
      </c>
      <c r="H145" s="10" t="s">
        <v>34</v>
      </c>
      <c r="I145" s="2" t="n">
        <f>3484</f>
        <v>3484.0</v>
      </c>
      <c r="J145" s="10"/>
      <c r="K145" s="2" t="n">
        <f>45185</f>
        <v>45185.0</v>
      </c>
    </row>
    <row r="146">
      <c r="A146" s="8" t="s">
        <v>40</v>
      </c>
      <c r="B146" s="9" t="s">
        <v>57</v>
      </c>
      <c r="C146" s="9" t="s">
        <v>58</v>
      </c>
      <c r="D146" s="10"/>
      <c r="E146" s="2" t="n">
        <f>22728</f>
        <v>22728.0</v>
      </c>
      <c r="F146" s="10"/>
      <c r="G146" s="2" t="n">
        <f>53783823925</f>
        <v>5.3783823925E10</v>
      </c>
      <c r="H146" s="10"/>
      <c r="I146" s="2" t="n">
        <f>1351</f>
        <v>1351.0</v>
      </c>
      <c r="J146" s="10"/>
      <c r="K146" s="2" t="n">
        <f>43751</f>
        <v>43751.0</v>
      </c>
    </row>
    <row r="147">
      <c r="A147" s="8" t="s">
        <v>41</v>
      </c>
      <c r="B147" s="9" t="s">
        <v>57</v>
      </c>
      <c r="C147" s="9" t="s">
        <v>58</v>
      </c>
      <c r="D147" s="10"/>
      <c r="E147" s="2" t="n">
        <f>17179</f>
        <v>17179.0</v>
      </c>
      <c r="F147" s="10"/>
      <c r="G147" s="2" t="n">
        <f>40773688300</f>
        <v>4.07736883E10</v>
      </c>
      <c r="H147" s="10" t="s">
        <v>25</v>
      </c>
      <c r="I147" s="2" t="n">
        <f>374</f>
        <v>374.0</v>
      </c>
      <c r="J147" s="10"/>
      <c r="K147" s="2" t="n">
        <f>43153</f>
        <v>43153.0</v>
      </c>
    </row>
    <row r="148">
      <c r="A148" s="8" t="s">
        <v>42</v>
      </c>
      <c r="B148" s="9" t="s">
        <v>57</v>
      </c>
      <c r="C148" s="9" t="s">
        <v>58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43</v>
      </c>
      <c r="B149" s="9" t="s">
        <v>57</v>
      </c>
      <c r="C149" s="9" t="s">
        <v>58</v>
      </c>
      <c r="D149" s="10"/>
      <c r="E149" s="2" t="n">
        <f>21527</f>
        <v>21527.0</v>
      </c>
      <c r="F149" s="10"/>
      <c r="G149" s="2" t="n">
        <f>51470519050</f>
        <v>5.147051905E10</v>
      </c>
      <c r="H149" s="10"/>
      <c r="I149" s="2" t="n">
        <f>479</f>
        <v>479.0</v>
      </c>
      <c r="J149" s="10"/>
      <c r="K149" s="2" t="n">
        <f>43329</f>
        <v>43329.0</v>
      </c>
    </row>
    <row r="150">
      <c r="A150" s="8" t="s">
        <v>44</v>
      </c>
      <c r="B150" s="9" t="s">
        <v>57</v>
      </c>
      <c r="C150" s="9" t="s">
        <v>58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45</v>
      </c>
      <c r="B151" s="9" t="s">
        <v>57</v>
      </c>
      <c r="C151" s="9" t="s">
        <v>58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46</v>
      </c>
      <c r="B152" s="9" t="s">
        <v>57</v>
      </c>
      <c r="C152" s="9" t="s">
        <v>58</v>
      </c>
      <c r="D152" s="10"/>
      <c r="E152" s="2" t="n">
        <f>21021</f>
        <v>21021.0</v>
      </c>
      <c r="F152" s="10"/>
      <c r="G152" s="2" t="n">
        <f>50180548850</f>
        <v>5.018054885E10</v>
      </c>
      <c r="H152" s="10"/>
      <c r="I152" s="2" t="n">
        <f>668</f>
        <v>668.0</v>
      </c>
      <c r="J152" s="10"/>
      <c r="K152" s="2" t="n">
        <f>42382</f>
        <v>42382.0</v>
      </c>
    </row>
    <row r="153">
      <c r="A153" s="8" t="s">
        <v>47</v>
      </c>
      <c r="B153" s="9" t="s">
        <v>57</v>
      </c>
      <c r="C153" s="9" t="s">
        <v>58</v>
      </c>
      <c r="D153" s="10"/>
      <c r="E153" s="2" t="n">
        <f>17793</f>
        <v>17793.0</v>
      </c>
      <c r="F153" s="10"/>
      <c r="G153" s="2" t="n">
        <f>42298477910</f>
        <v>4.229847791E10</v>
      </c>
      <c r="H153" s="10"/>
      <c r="I153" s="2" t="n">
        <f>684</f>
        <v>684.0</v>
      </c>
      <c r="J153" s="10"/>
      <c r="K153" s="2" t="n">
        <f>42959</f>
        <v>42959.0</v>
      </c>
    </row>
    <row r="154">
      <c r="A154" s="8" t="s">
        <v>48</v>
      </c>
      <c r="B154" s="9" t="s">
        <v>57</v>
      </c>
      <c r="C154" s="9" t="s">
        <v>58</v>
      </c>
      <c r="D154" s="10"/>
      <c r="E154" s="2" t="n">
        <f>17712</f>
        <v>17712.0</v>
      </c>
      <c r="F154" s="10"/>
      <c r="G154" s="2" t="n">
        <f>41961914010</f>
        <v>4.196191401E10</v>
      </c>
      <c r="H154" s="10"/>
      <c r="I154" s="2" t="n">
        <f>1017</f>
        <v>1017.0</v>
      </c>
      <c r="J154" s="10" t="s">
        <v>25</v>
      </c>
      <c r="K154" s="2" t="n">
        <f>42004</f>
        <v>42004.0</v>
      </c>
    </row>
    <row r="155">
      <c r="A155" s="8" t="s">
        <v>49</v>
      </c>
      <c r="B155" s="9" t="s">
        <v>57</v>
      </c>
      <c r="C155" s="9" t="s">
        <v>58</v>
      </c>
      <c r="D155" s="10"/>
      <c r="E155" s="2" t="n">
        <f>20835</f>
        <v>20835.0</v>
      </c>
      <c r="F155" s="10"/>
      <c r="G155" s="2" t="n">
        <f>49292024500</f>
        <v>4.92920245E10</v>
      </c>
      <c r="H155" s="10"/>
      <c r="I155" s="2" t="n">
        <f>2487</f>
        <v>2487.0</v>
      </c>
      <c r="J155" s="10"/>
      <c r="K155" s="2" t="n">
        <f>42260</f>
        <v>42260.0</v>
      </c>
    </row>
    <row r="156">
      <c r="A156" s="8" t="s">
        <v>16</v>
      </c>
      <c r="B156" s="9" t="s">
        <v>59</v>
      </c>
      <c r="C156" s="9" t="s">
        <v>60</v>
      </c>
      <c r="D156" s="10" t="s">
        <v>34</v>
      </c>
      <c r="E156" s="2" t="n">
        <f>13984</f>
        <v>13984.0</v>
      </c>
      <c r="F156" s="10"/>
      <c r="G156" s="2" t="n">
        <f>28769237743</f>
        <v>2.8769237743E10</v>
      </c>
      <c r="H156" s="10" t="s">
        <v>34</v>
      </c>
      <c r="I156" s="2" t="n">
        <f>1144</f>
        <v>1144.0</v>
      </c>
      <c r="J156" s="10"/>
      <c r="K156" s="2" t="n">
        <f>74048</f>
        <v>74048.0</v>
      </c>
    </row>
    <row r="157">
      <c r="A157" s="8" t="s">
        <v>19</v>
      </c>
      <c r="B157" s="9" t="s">
        <v>59</v>
      </c>
      <c r="C157" s="9" t="s">
        <v>60</v>
      </c>
      <c r="D157" s="10"/>
      <c r="E157" s="2" t="n">
        <f>9984</f>
        <v>9984.0</v>
      </c>
      <c r="F157" s="10"/>
      <c r="G157" s="2" t="n">
        <f>20808806000</f>
        <v>2.0808806E10</v>
      </c>
      <c r="H157" s="10"/>
      <c r="I157" s="2" t="n">
        <f>376</f>
        <v>376.0</v>
      </c>
      <c r="J157" s="10"/>
      <c r="K157" s="2" t="n">
        <f>74235</f>
        <v>74235.0</v>
      </c>
    </row>
    <row r="158">
      <c r="A158" s="8" t="s">
        <v>20</v>
      </c>
      <c r="B158" s="9" t="s">
        <v>59</v>
      </c>
      <c r="C158" s="9" t="s">
        <v>60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21</v>
      </c>
      <c r="B159" s="9" t="s">
        <v>59</v>
      </c>
      <c r="C159" s="9" t="s">
        <v>60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22</v>
      </c>
      <c r="B160" s="9" t="s">
        <v>59</v>
      </c>
      <c r="C160" s="9" t="s">
        <v>60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23</v>
      </c>
      <c r="B161" s="9" t="s">
        <v>59</v>
      </c>
      <c r="C161" s="9" t="s">
        <v>60</v>
      </c>
      <c r="D161" s="10"/>
      <c r="E161" s="2" t="n">
        <f>13804</f>
        <v>13804.0</v>
      </c>
      <c r="F161" s="10" t="s">
        <v>34</v>
      </c>
      <c r="G161" s="2" t="n">
        <f>29200496520</f>
        <v>2.920049652E10</v>
      </c>
      <c r="H161" s="10"/>
      <c r="I161" s="2" t="n">
        <f>220</f>
        <v>220.0</v>
      </c>
      <c r="J161" s="10" t="s">
        <v>34</v>
      </c>
      <c r="K161" s="2" t="n">
        <f>74392</f>
        <v>74392.0</v>
      </c>
    </row>
    <row r="162">
      <c r="A162" s="8" t="s">
        <v>24</v>
      </c>
      <c r="B162" s="9" t="s">
        <v>59</v>
      </c>
      <c r="C162" s="9" t="s">
        <v>60</v>
      </c>
      <c r="D162" s="10"/>
      <c r="E162" s="2" t="n">
        <f>7932</f>
        <v>7932.0</v>
      </c>
      <c r="F162" s="10"/>
      <c r="G162" s="2" t="n">
        <f>16707986277</f>
        <v>1.6707986277E10</v>
      </c>
      <c r="H162" s="10"/>
      <c r="I162" s="2" t="n">
        <f>528</f>
        <v>528.0</v>
      </c>
      <c r="J162" s="10"/>
      <c r="K162" s="2" t="n">
        <f>72871</f>
        <v>72871.0</v>
      </c>
    </row>
    <row r="163">
      <c r="A163" s="8" t="s">
        <v>26</v>
      </c>
      <c r="B163" s="9" t="s">
        <v>59</v>
      </c>
      <c r="C163" s="9" t="s">
        <v>60</v>
      </c>
      <c r="D163" s="10"/>
      <c r="E163" s="2" t="n">
        <f>11990</f>
        <v>11990.0</v>
      </c>
      <c r="F163" s="10"/>
      <c r="G163" s="2" t="n">
        <f>24973002174</f>
        <v>2.4973002174E10</v>
      </c>
      <c r="H163" s="10"/>
      <c r="I163" s="2" t="n">
        <f>628</f>
        <v>628.0</v>
      </c>
      <c r="J163" s="10" t="s">
        <v>25</v>
      </c>
      <c r="K163" s="2" t="n">
        <f>70926</f>
        <v>70926.0</v>
      </c>
    </row>
    <row r="164">
      <c r="A164" s="8" t="s">
        <v>27</v>
      </c>
      <c r="B164" s="9" t="s">
        <v>59</v>
      </c>
      <c r="C164" s="9" t="s">
        <v>60</v>
      </c>
      <c r="D164" s="10"/>
      <c r="E164" s="2" t="n">
        <f>8313</f>
        <v>8313.0</v>
      </c>
      <c r="F164" s="10"/>
      <c r="G164" s="2" t="n">
        <f>17361879500</f>
        <v>1.73618795E10</v>
      </c>
      <c r="H164" s="10"/>
      <c r="I164" s="2" t="n">
        <f>582</f>
        <v>582.0</v>
      </c>
      <c r="J164" s="10"/>
      <c r="K164" s="2" t="n">
        <f>71375</f>
        <v>71375.0</v>
      </c>
    </row>
    <row r="165">
      <c r="A165" s="8" t="s">
        <v>28</v>
      </c>
      <c r="B165" s="9" t="s">
        <v>59</v>
      </c>
      <c r="C165" s="9" t="s">
        <v>60</v>
      </c>
      <c r="D165" s="10"/>
      <c r="E165" s="2" t="n">
        <f>9485</f>
        <v>9485.0</v>
      </c>
      <c r="F165" s="10"/>
      <c r="G165" s="2" t="n">
        <f>19900446000</f>
        <v>1.9900446E10</v>
      </c>
      <c r="H165" s="10"/>
      <c r="I165" s="2" t="n">
        <f>874</f>
        <v>874.0</v>
      </c>
      <c r="J165" s="10"/>
      <c r="K165" s="2" t="n">
        <f>71868</f>
        <v>71868.0</v>
      </c>
    </row>
    <row r="166">
      <c r="A166" s="8" t="s">
        <v>29</v>
      </c>
      <c r="B166" s="9" t="s">
        <v>59</v>
      </c>
      <c r="C166" s="9" t="s">
        <v>60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30</v>
      </c>
      <c r="B167" s="9" t="s">
        <v>59</v>
      </c>
      <c r="C167" s="9" t="s">
        <v>60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31</v>
      </c>
      <c r="B168" s="9" t="s">
        <v>59</v>
      </c>
      <c r="C168" s="9" t="s">
        <v>60</v>
      </c>
      <c r="D168" s="10"/>
      <c r="E168" s="2" t="n">
        <f>8323</f>
        <v>8323.0</v>
      </c>
      <c r="F168" s="10"/>
      <c r="G168" s="2" t="n">
        <f>17528827000</f>
        <v>1.7528827E10</v>
      </c>
      <c r="H168" s="10"/>
      <c r="I168" s="2" t="n">
        <f>267</f>
        <v>267.0</v>
      </c>
      <c r="J168" s="10"/>
      <c r="K168" s="2" t="n">
        <f>71556</f>
        <v>71556.0</v>
      </c>
    </row>
    <row r="169">
      <c r="A169" s="8" t="s">
        <v>32</v>
      </c>
      <c r="B169" s="9" t="s">
        <v>59</v>
      </c>
      <c r="C169" s="9" t="s">
        <v>60</v>
      </c>
      <c r="D169" s="10"/>
      <c r="E169" s="2" t="n">
        <f>6225</f>
        <v>6225.0</v>
      </c>
      <c r="F169" s="10"/>
      <c r="G169" s="2" t="n">
        <f>13161424500</f>
        <v>1.31614245E10</v>
      </c>
      <c r="H169" s="10" t="s">
        <v>25</v>
      </c>
      <c r="I169" s="2" t="n">
        <f>126</f>
        <v>126.0</v>
      </c>
      <c r="J169" s="10"/>
      <c r="K169" s="2" t="n">
        <f>71750</f>
        <v>71750.0</v>
      </c>
    </row>
    <row r="170">
      <c r="A170" s="8" t="s">
        <v>33</v>
      </c>
      <c r="B170" s="9" t="s">
        <v>59</v>
      </c>
      <c r="C170" s="9" t="s">
        <v>60</v>
      </c>
      <c r="D170" s="10"/>
      <c r="E170" s="2" t="n">
        <f>10857</f>
        <v>10857.0</v>
      </c>
      <c r="F170" s="10"/>
      <c r="G170" s="2" t="n">
        <f>23204758141</f>
        <v>2.3204758141E10</v>
      </c>
      <c r="H170" s="10"/>
      <c r="I170" s="2" t="n">
        <f>264</f>
        <v>264.0</v>
      </c>
      <c r="J170" s="10"/>
      <c r="K170" s="2" t="n">
        <f>72380</f>
        <v>72380.0</v>
      </c>
    </row>
    <row r="171">
      <c r="A171" s="8" t="s">
        <v>35</v>
      </c>
      <c r="B171" s="9" t="s">
        <v>59</v>
      </c>
      <c r="C171" s="9" t="s">
        <v>60</v>
      </c>
      <c r="D171" s="10"/>
      <c r="E171" s="2" t="n">
        <f>9643</f>
        <v>9643.0</v>
      </c>
      <c r="F171" s="10"/>
      <c r="G171" s="2" t="n">
        <f>20636150913</f>
        <v>2.0636150913E10</v>
      </c>
      <c r="H171" s="10"/>
      <c r="I171" s="2" t="n">
        <f>382</f>
        <v>382.0</v>
      </c>
      <c r="J171" s="10"/>
      <c r="K171" s="2" t="n">
        <f>72265</f>
        <v>72265.0</v>
      </c>
    </row>
    <row r="172">
      <c r="A172" s="8" t="s">
        <v>36</v>
      </c>
      <c r="B172" s="9" t="s">
        <v>59</v>
      </c>
      <c r="C172" s="9" t="s">
        <v>60</v>
      </c>
      <c r="D172" s="10"/>
      <c r="E172" s="2" t="n">
        <f>9998</f>
        <v>9998.0</v>
      </c>
      <c r="F172" s="10"/>
      <c r="G172" s="2" t="n">
        <f>21452491996</f>
        <v>2.1452491996E10</v>
      </c>
      <c r="H172" s="10"/>
      <c r="I172" s="2" t="n">
        <f>730</f>
        <v>730.0</v>
      </c>
      <c r="J172" s="10"/>
      <c r="K172" s="2" t="n">
        <f>72992</f>
        <v>72992.0</v>
      </c>
    </row>
    <row r="173">
      <c r="A173" s="8" t="s">
        <v>37</v>
      </c>
      <c r="B173" s="9" t="s">
        <v>59</v>
      </c>
      <c r="C173" s="9" t="s">
        <v>60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38</v>
      </c>
      <c r="B174" s="9" t="s">
        <v>59</v>
      </c>
      <c r="C174" s="9" t="s">
        <v>60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39</v>
      </c>
      <c r="B175" s="9" t="s">
        <v>59</v>
      </c>
      <c r="C175" s="9" t="s">
        <v>60</v>
      </c>
      <c r="D175" s="10"/>
      <c r="E175" s="2" t="n">
        <f>9135</f>
        <v>9135.0</v>
      </c>
      <c r="F175" s="10"/>
      <c r="G175" s="2" t="n">
        <f>19673395459</f>
        <v>1.9673395459E10</v>
      </c>
      <c r="H175" s="10"/>
      <c r="I175" s="2" t="n">
        <f>368</f>
        <v>368.0</v>
      </c>
      <c r="J175" s="10"/>
      <c r="K175" s="2" t="n">
        <f>72978</f>
        <v>72978.0</v>
      </c>
    </row>
    <row r="176">
      <c r="A176" s="8" t="s">
        <v>40</v>
      </c>
      <c r="B176" s="9" t="s">
        <v>59</v>
      </c>
      <c r="C176" s="9" t="s">
        <v>60</v>
      </c>
      <c r="D176" s="10"/>
      <c r="E176" s="2" t="n">
        <f>9572</f>
        <v>9572.0</v>
      </c>
      <c r="F176" s="10"/>
      <c r="G176" s="2" t="n">
        <f>20470223000</f>
        <v>2.0470223E10</v>
      </c>
      <c r="H176" s="10"/>
      <c r="I176" s="2" t="n">
        <f>738</f>
        <v>738.0</v>
      </c>
      <c r="J176" s="10"/>
      <c r="K176" s="2" t="n">
        <f>72821</f>
        <v>72821.0</v>
      </c>
    </row>
    <row r="177">
      <c r="A177" s="8" t="s">
        <v>41</v>
      </c>
      <c r="B177" s="9" t="s">
        <v>59</v>
      </c>
      <c r="C177" s="9" t="s">
        <v>60</v>
      </c>
      <c r="D177" s="10"/>
      <c r="E177" s="2" t="n">
        <f>6711</f>
        <v>6711.0</v>
      </c>
      <c r="F177" s="10"/>
      <c r="G177" s="2" t="n">
        <f>14394266000</f>
        <v>1.4394266E10</v>
      </c>
      <c r="H177" s="10"/>
      <c r="I177" s="2" t="n">
        <f>581</f>
        <v>581.0</v>
      </c>
      <c r="J177" s="10"/>
      <c r="K177" s="2" t="n">
        <f>73270</f>
        <v>73270.0</v>
      </c>
    </row>
    <row r="178">
      <c r="A178" s="8" t="s">
        <v>42</v>
      </c>
      <c r="B178" s="9" t="s">
        <v>59</v>
      </c>
      <c r="C178" s="9" t="s">
        <v>60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43</v>
      </c>
      <c r="B179" s="9" t="s">
        <v>59</v>
      </c>
      <c r="C179" s="9" t="s">
        <v>60</v>
      </c>
      <c r="D179" s="10"/>
      <c r="E179" s="2" t="n">
        <f>7505</f>
        <v>7505.0</v>
      </c>
      <c r="F179" s="10"/>
      <c r="G179" s="2" t="n">
        <f>16223796000</f>
        <v>1.6223796E10</v>
      </c>
      <c r="H179" s="10"/>
      <c r="I179" s="2" t="n">
        <f>349</f>
        <v>349.0</v>
      </c>
      <c r="J179" s="10"/>
      <c r="K179" s="2" t="n">
        <f>73701</f>
        <v>73701.0</v>
      </c>
    </row>
    <row r="180">
      <c r="A180" s="8" t="s">
        <v>44</v>
      </c>
      <c r="B180" s="9" t="s">
        <v>59</v>
      </c>
      <c r="C180" s="9" t="s">
        <v>60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45</v>
      </c>
      <c r="B181" s="9" t="s">
        <v>59</v>
      </c>
      <c r="C181" s="9" t="s">
        <v>60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46</v>
      </c>
      <c r="B182" s="9" t="s">
        <v>59</v>
      </c>
      <c r="C182" s="9" t="s">
        <v>60</v>
      </c>
      <c r="D182" s="10"/>
      <c r="E182" s="2" t="n">
        <f>6525</f>
        <v>6525.0</v>
      </c>
      <c r="F182" s="10"/>
      <c r="G182" s="2" t="n">
        <f>14094628250</f>
        <v>1.409462825E10</v>
      </c>
      <c r="H182" s="10"/>
      <c r="I182" s="2" t="n">
        <f>348</f>
        <v>348.0</v>
      </c>
      <c r="J182" s="10"/>
      <c r="K182" s="2" t="n">
        <f>73910</f>
        <v>73910.0</v>
      </c>
    </row>
    <row r="183">
      <c r="A183" s="8" t="s">
        <v>47</v>
      </c>
      <c r="B183" s="9" t="s">
        <v>59</v>
      </c>
      <c r="C183" s="9" t="s">
        <v>60</v>
      </c>
      <c r="D183" s="10"/>
      <c r="E183" s="2" t="n">
        <f>7301</f>
        <v>7301.0</v>
      </c>
      <c r="F183" s="10"/>
      <c r="G183" s="2" t="n">
        <f>15682234924</f>
        <v>1.5682234924E10</v>
      </c>
      <c r="H183" s="10"/>
      <c r="I183" s="2" t="n">
        <f>339</f>
        <v>339.0</v>
      </c>
      <c r="J183" s="10"/>
      <c r="K183" s="2" t="n">
        <f>73893</f>
        <v>73893.0</v>
      </c>
    </row>
    <row r="184">
      <c r="A184" s="8" t="s">
        <v>48</v>
      </c>
      <c r="B184" s="9" t="s">
        <v>59</v>
      </c>
      <c r="C184" s="9" t="s">
        <v>60</v>
      </c>
      <c r="D184" s="10"/>
      <c r="E184" s="2" t="n">
        <f>8445</f>
        <v>8445.0</v>
      </c>
      <c r="F184" s="10"/>
      <c r="G184" s="2" t="n">
        <f>18063233000</f>
        <v>1.8063233E10</v>
      </c>
      <c r="H184" s="10"/>
      <c r="I184" s="2" t="n">
        <f>157</f>
        <v>157.0</v>
      </c>
      <c r="J184" s="10"/>
      <c r="K184" s="2" t="n">
        <f>73801</f>
        <v>73801.0</v>
      </c>
    </row>
    <row r="185">
      <c r="A185" s="8" t="s">
        <v>49</v>
      </c>
      <c r="B185" s="9" t="s">
        <v>59</v>
      </c>
      <c r="C185" s="9" t="s">
        <v>60</v>
      </c>
      <c r="D185" s="10" t="s">
        <v>25</v>
      </c>
      <c r="E185" s="2" t="n">
        <f>5339</f>
        <v>5339.0</v>
      </c>
      <c r="F185" s="10" t="s">
        <v>25</v>
      </c>
      <c r="G185" s="2" t="n">
        <f>11405236944</f>
        <v>1.1405236944E10</v>
      </c>
      <c r="H185" s="10"/>
      <c r="I185" s="2" t="n">
        <f>177</f>
        <v>177.0</v>
      </c>
      <c r="J185" s="10"/>
      <c r="K185" s="2" t="n">
        <f>73894</f>
        <v>73894.0</v>
      </c>
    </row>
    <row r="186">
      <c r="A186" s="8" t="s">
        <v>16</v>
      </c>
      <c r="B186" s="9" t="s">
        <v>61</v>
      </c>
      <c r="C186" s="9" t="s">
        <v>62</v>
      </c>
      <c r="D186" s="10" t="s">
        <v>54</v>
      </c>
      <c r="E186" s="2" t="str">
        <f>"－"</f>
        <v>－</v>
      </c>
      <c r="F186" s="10" t="s">
        <v>54</v>
      </c>
      <c r="G186" s="2" t="str">
        <f>"－"</f>
        <v>－</v>
      </c>
      <c r="H186" s="10" t="s">
        <v>54</v>
      </c>
      <c r="I186" s="2" t="str">
        <f>"－"</f>
        <v>－</v>
      </c>
      <c r="J186" s="10" t="s">
        <v>54</v>
      </c>
      <c r="K186" s="2" t="n">
        <f>102</f>
        <v>102.0</v>
      </c>
    </row>
    <row r="187">
      <c r="A187" s="8" t="s">
        <v>19</v>
      </c>
      <c r="B187" s="9" t="s">
        <v>61</v>
      </c>
      <c r="C187" s="9" t="s">
        <v>62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102</f>
        <v>102.0</v>
      </c>
    </row>
    <row r="188">
      <c r="A188" s="8" t="s">
        <v>20</v>
      </c>
      <c r="B188" s="9" t="s">
        <v>61</v>
      </c>
      <c r="C188" s="9" t="s">
        <v>62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21</v>
      </c>
      <c r="B189" s="9" t="s">
        <v>61</v>
      </c>
      <c r="C189" s="9" t="s">
        <v>62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22</v>
      </c>
      <c r="B190" s="9" t="s">
        <v>61</v>
      </c>
      <c r="C190" s="9" t="s">
        <v>62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23</v>
      </c>
      <c r="B191" s="9" t="s">
        <v>61</v>
      </c>
      <c r="C191" s="9" t="s">
        <v>62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102</f>
        <v>102.0</v>
      </c>
    </row>
    <row r="192">
      <c r="A192" s="8" t="s">
        <v>24</v>
      </c>
      <c r="B192" s="9" t="s">
        <v>61</v>
      </c>
      <c r="C192" s="9" t="s">
        <v>62</v>
      </c>
      <c r="D192" s="10"/>
      <c r="E192" s="2" t="str">
        <f>"－"</f>
        <v>－</v>
      </c>
      <c r="F192" s="10"/>
      <c r="G192" s="2" t="str">
        <f>"－"</f>
        <v>－</v>
      </c>
      <c r="H192" s="10"/>
      <c r="I192" s="2" t="str">
        <f>"－"</f>
        <v>－</v>
      </c>
      <c r="J192" s="10"/>
      <c r="K192" s="2" t="n">
        <f>102</f>
        <v>102.0</v>
      </c>
    </row>
    <row r="193">
      <c r="A193" s="8" t="s">
        <v>26</v>
      </c>
      <c r="B193" s="9" t="s">
        <v>61</v>
      </c>
      <c r="C193" s="9" t="s">
        <v>62</v>
      </c>
      <c r="D193" s="10"/>
      <c r="E193" s="2" t="str">
        <f>"－"</f>
        <v>－</v>
      </c>
      <c r="F193" s="10"/>
      <c r="G193" s="2" t="str">
        <f>"－"</f>
        <v>－</v>
      </c>
      <c r="H193" s="10"/>
      <c r="I193" s="2" t="str">
        <f>"－"</f>
        <v>－</v>
      </c>
      <c r="J193" s="10"/>
      <c r="K193" s="2" t="n">
        <f>102</f>
        <v>102.0</v>
      </c>
    </row>
    <row r="194">
      <c r="A194" s="8" t="s">
        <v>27</v>
      </c>
      <c r="B194" s="9" t="s">
        <v>61</v>
      </c>
      <c r="C194" s="9" t="s">
        <v>62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102</f>
        <v>102.0</v>
      </c>
    </row>
    <row r="195">
      <c r="A195" s="8" t="s">
        <v>28</v>
      </c>
      <c r="B195" s="9" t="s">
        <v>61</v>
      </c>
      <c r="C195" s="9" t="s">
        <v>62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102</f>
        <v>102.0</v>
      </c>
    </row>
    <row r="196">
      <c r="A196" s="8" t="s">
        <v>29</v>
      </c>
      <c r="B196" s="9" t="s">
        <v>61</v>
      </c>
      <c r="C196" s="9" t="s">
        <v>62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30</v>
      </c>
      <c r="B197" s="9" t="s">
        <v>61</v>
      </c>
      <c r="C197" s="9" t="s">
        <v>62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31</v>
      </c>
      <c r="B198" s="9" t="s">
        <v>61</v>
      </c>
      <c r="C198" s="9" t="s">
        <v>62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102</f>
        <v>102.0</v>
      </c>
    </row>
    <row r="199">
      <c r="A199" s="8" t="s">
        <v>32</v>
      </c>
      <c r="B199" s="9" t="s">
        <v>61</v>
      </c>
      <c r="C199" s="9" t="s">
        <v>62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102</f>
        <v>102.0</v>
      </c>
    </row>
    <row r="200">
      <c r="A200" s="8" t="s">
        <v>33</v>
      </c>
      <c r="B200" s="9" t="s">
        <v>61</v>
      </c>
      <c r="C200" s="9" t="s">
        <v>62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102</f>
        <v>102.0</v>
      </c>
    </row>
    <row r="201">
      <c r="A201" s="8" t="s">
        <v>35</v>
      </c>
      <c r="B201" s="9" t="s">
        <v>61</v>
      </c>
      <c r="C201" s="9" t="s">
        <v>62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102</f>
        <v>102.0</v>
      </c>
    </row>
    <row r="202">
      <c r="A202" s="8" t="s">
        <v>36</v>
      </c>
      <c r="B202" s="9" t="s">
        <v>61</v>
      </c>
      <c r="C202" s="9" t="s">
        <v>62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102</f>
        <v>102.0</v>
      </c>
    </row>
    <row r="203">
      <c r="A203" s="8" t="s">
        <v>37</v>
      </c>
      <c r="B203" s="9" t="s">
        <v>61</v>
      </c>
      <c r="C203" s="9" t="s">
        <v>62</v>
      </c>
      <c r="D203" s="10"/>
      <c r="E203" s="2"/>
      <c r="F203" s="10"/>
      <c r="G203" s="2"/>
      <c r="H203" s="10"/>
      <c r="I203" s="2"/>
      <c r="J203" s="10"/>
      <c r="K203" s="2"/>
    </row>
    <row r="204">
      <c r="A204" s="8" t="s">
        <v>38</v>
      </c>
      <c r="B204" s="9" t="s">
        <v>61</v>
      </c>
      <c r="C204" s="9" t="s">
        <v>62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39</v>
      </c>
      <c r="B205" s="9" t="s">
        <v>61</v>
      </c>
      <c r="C205" s="9" t="s">
        <v>62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102</f>
        <v>102.0</v>
      </c>
    </row>
    <row r="206">
      <c r="A206" s="8" t="s">
        <v>40</v>
      </c>
      <c r="B206" s="9" t="s">
        <v>61</v>
      </c>
      <c r="C206" s="9" t="s">
        <v>62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102</f>
        <v>102.0</v>
      </c>
    </row>
    <row r="207">
      <c r="A207" s="8" t="s">
        <v>41</v>
      </c>
      <c r="B207" s="9" t="s">
        <v>61</v>
      </c>
      <c r="C207" s="9" t="s">
        <v>62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102</f>
        <v>102.0</v>
      </c>
    </row>
    <row r="208">
      <c r="A208" s="8" t="s">
        <v>42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43</v>
      </c>
      <c r="B209" s="9" t="s">
        <v>61</v>
      </c>
      <c r="C209" s="9" t="s">
        <v>62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102</f>
        <v>102.0</v>
      </c>
    </row>
    <row r="210">
      <c r="A210" s="8" t="s">
        <v>44</v>
      </c>
      <c r="B210" s="9" t="s">
        <v>61</v>
      </c>
      <c r="C210" s="9" t="s">
        <v>62</v>
      </c>
      <c r="D210" s="10"/>
      <c r="E210" s="2"/>
      <c r="F210" s="10"/>
      <c r="G210" s="2"/>
      <c r="H210" s="10"/>
      <c r="I210" s="2"/>
      <c r="J210" s="10"/>
      <c r="K210" s="2"/>
    </row>
    <row r="211">
      <c r="A211" s="8" t="s">
        <v>45</v>
      </c>
      <c r="B211" s="9" t="s">
        <v>61</v>
      </c>
      <c r="C211" s="9" t="s">
        <v>62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46</v>
      </c>
      <c r="B212" s="9" t="s">
        <v>61</v>
      </c>
      <c r="C212" s="9" t="s">
        <v>62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102</f>
        <v>102.0</v>
      </c>
    </row>
    <row r="213">
      <c r="A213" s="8" t="s">
        <v>47</v>
      </c>
      <c r="B213" s="9" t="s">
        <v>61</v>
      </c>
      <c r="C213" s="9" t="s">
        <v>62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102</f>
        <v>102.0</v>
      </c>
    </row>
    <row r="214">
      <c r="A214" s="8" t="s">
        <v>48</v>
      </c>
      <c r="B214" s="9" t="s">
        <v>61</v>
      </c>
      <c r="C214" s="9" t="s">
        <v>62</v>
      </c>
      <c r="D214" s="10"/>
      <c r="E214" s="2" t="str">
        <f>"－"</f>
        <v>－</v>
      </c>
      <c r="F214" s="10"/>
      <c r="G214" s="2" t="str">
        <f>"－"</f>
        <v>－</v>
      </c>
      <c r="H214" s="10"/>
      <c r="I214" s="2" t="str">
        <f>"－"</f>
        <v>－</v>
      </c>
      <c r="J214" s="10"/>
      <c r="K214" s="2" t="n">
        <f>102</f>
        <v>102.0</v>
      </c>
    </row>
    <row r="215">
      <c r="A215" s="8" t="s">
        <v>49</v>
      </c>
      <c r="B215" s="9" t="s">
        <v>61</v>
      </c>
      <c r="C215" s="9" t="s">
        <v>62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102</f>
        <v>102.0</v>
      </c>
    </row>
    <row r="216">
      <c r="A216" s="8" t="s">
        <v>16</v>
      </c>
      <c r="B216" s="9" t="s">
        <v>63</v>
      </c>
      <c r="C216" s="9" t="s">
        <v>64</v>
      </c>
      <c r="D216" s="10" t="s">
        <v>25</v>
      </c>
      <c r="E216" s="2" t="str">
        <f>"－"</f>
        <v>－</v>
      </c>
      <c r="F216" s="10" t="s">
        <v>25</v>
      </c>
      <c r="G216" s="2" t="str">
        <f>"－"</f>
        <v>－</v>
      </c>
      <c r="H216" s="10" t="s">
        <v>25</v>
      </c>
      <c r="I216" s="2" t="str">
        <f>"－"</f>
        <v>－</v>
      </c>
      <c r="J216" s="10"/>
      <c r="K216" s="2" t="n">
        <f>67967</f>
        <v>67967.0</v>
      </c>
    </row>
    <row r="217">
      <c r="A217" s="8" t="s">
        <v>19</v>
      </c>
      <c r="B217" s="9" t="s">
        <v>63</v>
      </c>
      <c r="C217" s="9" t="s">
        <v>64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67967</f>
        <v>67967.0</v>
      </c>
    </row>
    <row r="218">
      <c r="A218" s="8" t="s">
        <v>20</v>
      </c>
      <c r="B218" s="9" t="s">
        <v>63</v>
      </c>
      <c r="C218" s="9" t="s">
        <v>64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21</v>
      </c>
      <c r="B219" s="9" t="s">
        <v>63</v>
      </c>
      <c r="C219" s="9" t="s">
        <v>64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22</v>
      </c>
      <c r="B220" s="9" t="s">
        <v>63</v>
      </c>
      <c r="C220" s="9" t="s">
        <v>64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23</v>
      </c>
      <c r="B221" s="9" t="s">
        <v>63</v>
      </c>
      <c r="C221" s="9" t="s">
        <v>64</v>
      </c>
      <c r="D221" s="10"/>
      <c r="E221" s="2" t="n">
        <f>2600</f>
        <v>2600.0</v>
      </c>
      <c r="F221" s="10"/>
      <c r="G221" s="2" t="n">
        <f>6887920000</f>
        <v>6.88792E9</v>
      </c>
      <c r="H221" s="10"/>
      <c r="I221" s="2" t="n">
        <f>100</f>
        <v>100.0</v>
      </c>
      <c r="J221" s="10" t="s">
        <v>34</v>
      </c>
      <c r="K221" s="2" t="n">
        <f>68067</f>
        <v>68067.0</v>
      </c>
    </row>
    <row r="222">
      <c r="A222" s="8" t="s">
        <v>24</v>
      </c>
      <c r="B222" s="9" t="s">
        <v>63</v>
      </c>
      <c r="C222" s="9" t="s">
        <v>64</v>
      </c>
      <c r="D222" s="10"/>
      <c r="E222" s="2" t="n">
        <f>3000</f>
        <v>3000.0</v>
      </c>
      <c r="F222" s="10"/>
      <c r="G222" s="2" t="n">
        <f>7876500000</f>
        <v>7.8765E9</v>
      </c>
      <c r="H222" s="10"/>
      <c r="I222" s="2" t="str">
        <f>"－"</f>
        <v>－</v>
      </c>
      <c r="J222" s="10"/>
      <c r="K222" s="2" t="n">
        <f>67967</f>
        <v>67967.0</v>
      </c>
    </row>
    <row r="223">
      <c r="A223" s="8" t="s">
        <v>26</v>
      </c>
      <c r="B223" s="9" t="s">
        <v>63</v>
      </c>
      <c r="C223" s="9" t="s">
        <v>64</v>
      </c>
      <c r="D223" s="10" t="s">
        <v>34</v>
      </c>
      <c r="E223" s="2" t="n">
        <f>6250</f>
        <v>6250.0</v>
      </c>
      <c r="F223" s="10" t="s">
        <v>34</v>
      </c>
      <c r="G223" s="2" t="n">
        <f>15629225000</f>
        <v>1.5629225E10</v>
      </c>
      <c r="H223" s="10"/>
      <c r="I223" s="2" t="n">
        <f>250</f>
        <v>250.0</v>
      </c>
      <c r="J223" s="10"/>
      <c r="K223" s="2" t="n">
        <f>67967</f>
        <v>67967.0</v>
      </c>
    </row>
    <row r="224">
      <c r="A224" s="8" t="s">
        <v>27</v>
      </c>
      <c r="B224" s="9" t="s">
        <v>63</v>
      </c>
      <c r="C224" s="9" t="s">
        <v>64</v>
      </c>
      <c r="D224" s="10"/>
      <c r="E224" s="2" t="n">
        <f>122</f>
        <v>122.0</v>
      </c>
      <c r="F224" s="10"/>
      <c r="G224" s="2" t="n">
        <f>301056838</f>
        <v>3.01056838E8</v>
      </c>
      <c r="H224" s="10"/>
      <c r="I224" s="2" t="n">
        <f>122</f>
        <v>122.0</v>
      </c>
      <c r="J224" s="10"/>
      <c r="K224" s="2" t="n">
        <f>67845</f>
        <v>67845.0</v>
      </c>
    </row>
    <row r="225">
      <c r="A225" s="8" t="s">
        <v>28</v>
      </c>
      <c r="B225" s="9" t="s">
        <v>63</v>
      </c>
      <c r="C225" s="9" t="s">
        <v>64</v>
      </c>
      <c r="D225" s="10"/>
      <c r="E225" s="2" t="str">
        <f>"－"</f>
        <v>－</v>
      </c>
      <c r="F225" s="10"/>
      <c r="G225" s="2" t="str">
        <f>"－"</f>
        <v>－</v>
      </c>
      <c r="H225" s="10"/>
      <c r="I225" s="2" t="str">
        <f>"－"</f>
        <v>－</v>
      </c>
      <c r="J225" s="10"/>
      <c r="K225" s="2" t="n">
        <f>67845</f>
        <v>67845.0</v>
      </c>
    </row>
    <row r="226">
      <c r="A226" s="8" t="s">
        <v>29</v>
      </c>
      <c r="B226" s="9" t="s">
        <v>63</v>
      </c>
      <c r="C226" s="9" t="s">
        <v>64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30</v>
      </c>
      <c r="B227" s="9" t="s">
        <v>63</v>
      </c>
      <c r="C227" s="9" t="s">
        <v>64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31</v>
      </c>
      <c r="B228" s="9" t="s">
        <v>63</v>
      </c>
      <c r="C228" s="9" t="s">
        <v>64</v>
      </c>
      <c r="D228" s="10"/>
      <c r="E228" s="2" t="str">
        <f>"－"</f>
        <v>－</v>
      </c>
      <c r="F228" s="10"/>
      <c r="G228" s="2" t="str">
        <f>"－"</f>
        <v>－</v>
      </c>
      <c r="H228" s="10"/>
      <c r="I228" s="2" t="str">
        <f>"－"</f>
        <v>－</v>
      </c>
      <c r="J228" s="10"/>
      <c r="K228" s="2" t="n">
        <f>67845</f>
        <v>67845.0</v>
      </c>
    </row>
    <row r="229">
      <c r="A229" s="8" t="s">
        <v>32</v>
      </c>
      <c r="B229" s="9" t="s">
        <v>63</v>
      </c>
      <c r="C229" s="9" t="s">
        <v>64</v>
      </c>
      <c r="D229" s="10"/>
      <c r="E229" s="2" t="n">
        <f>4475</f>
        <v>4475.0</v>
      </c>
      <c r="F229" s="10"/>
      <c r="G229" s="2" t="n">
        <f>11747532250</f>
        <v>1.174753225E10</v>
      </c>
      <c r="H229" s="10" t="s">
        <v>34</v>
      </c>
      <c r="I229" s="2" t="n">
        <f>1475</f>
        <v>1475.0</v>
      </c>
      <c r="J229" s="10"/>
      <c r="K229" s="2" t="n">
        <f>66320</f>
        <v>66320.0</v>
      </c>
    </row>
    <row r="230">
      <c r="A230" s="8" t="s">
        <v>33</v>
      </c>
      <c r="B230" s="9" t="s">
        <v>63</v>
      </c>
      <c r="C230" s="9" t="s">
        <v>64</v>
      </c>
      <c r="D230" s="10"/>
      <c r="E230" s="2" t="n">
        <f>2665</f>
        <v>2665.0</v>
      </c>
      <c r="F230" s="10"/>
      <c r="G230" s="2" t="n">
        <f>6875433500</f>
        <v>6.8754335E9</v>
      </c>
      <c r="H230" s="10"/>
      <c r="I230" s="2" t="str">
        <f>"－"</f>
        <v>－</v>
      </c>
      <c r="J230" s="10"/>
      <c r="K230" s="2" t="n">
        <f>66155</f>
        <v>66155.0</v>
      </c>
    </row>
    <row r="231">
      <c r="A231" s="8" t="s">
        <v>35</v>
      </c>
      <c r="B231" s="9" t="s">
        <v>63</v>
      </c>
      <c r="C231" s="9" t="s">
        <v>64</v>
      </c>
      <c r="D231" s="10"/>
      <c r="E231" s="2" t="n">
        <f>2517</f>
        <v>2517.0</v>
      </c>
      <c r="F231" s="10"/>
      <c r="G231" s="2" t="n">
        <f>6522826100</f>
        <v>6.5228261E9</v>
      </c>
      <c r="H231" s="10"/>
      <c r="I231" s="2" t="n">
        <f>137</f>
        <v>137.0</v>
      </c>
      <c r="J231" s="10"/>
      <c r="K231" s="2" t="n">
        <f>63946</f>
        <v>63946.0</v>
      </c>
    </row>
    <row r="232">
      <c r="A232" s="8" t="s">
        <v>36</v>
      </c>
      <c r="B232" s="9" t="s">
        <v>63</v>
      </c>
      <c r="C232" s="9" t="s">
        <v>64</v>
      </c>
      <c r="D232" s="10"/>
      <c r="E232" s="2" t="n">
        <f>3240</f>
        <v>3240.0</v>
      </c>
      <c r="F232" s="10"/>
      <c r="G232" s="2" t="n">
        <f>8484644000</f>
        <v>8.484644E9</v>
      </c>
      <c r="H232" s="10"/>
      <c r="I232" s="2" t="str">
        <f>"－"</f>
        <v>－</v>
      </c>
      <c r="J232" s="10"/>
      <c r="K232" s="2" t="n">
        <f>60806</f>
        <v>60806.0</v>
      </c>
    </row>
    <row r="233">
      <c r="A233" s="8" t="s">
        <v>37</v>
      </c>
      <c r="B233" s="9" t="s">
        <v>63</v>
      </c>
      <c r="C233" s="9" t="s">
        <v>64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38</v>
      </c>
      <c r="B234" s="9" t="s">
        <v>63</v>
      </c>
      <c r="C234" s="9" t="s">
        <v>64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39</v>
      </c>
      <c r="B235" s="9" t="s">
        <v>63</v>
      </c>
      <c r="C235" s="9" t="s">
        <v>64</v>
      </c>
      <c r="D235" s="10"/>
      <c r="E235" s="2" t="str">
        <f>"－"</f>
        <v>－</v>
      </c>
      <c r="F235" s="10"/>
      <c r="G235" s="2" t="str">
        <f>"－"</f>
        <v>－</v>
      </c>
      <c r="H235" s="10"/>
      <c r="I235" s="2" t="str">
        <f>"－"</f>
        <v>－</v>
      </c>
      <c r="J235" s="10"/>
      <c r="K235" s="2" t="n">
        <f>60806</f>
        <v>60806.0</v>
      </c>
    </row>
    <row r="236">
      <c r="A236" s="8" t="s">
        <v>40</v>
      </c>
      <c r="B236" s="9" t="s">
        <v>63</v>
      </c>
      <c r="C236" s="9" t="s">
        <v>64</v>
      </c>
      <c r="D236" s="10"/>
      <c r="E236" s="2" t="n">
        <f>32</f>
        <v>32.0</v>
      </c>
      <c r="F236" s="10"/>
      <c r="G236" s="2" t="n">
        <f>84406400</f>
        <v>8.44064E7</v>
      </c>
      <c r="H236" s="10"/>
      <c r="I236" s="2" t="n">
        <f>32</f>
        <v>32.0</v>
      </c>
      <c r="J236" s="10"/>
      <c r="K236" s="2" t="n">
        <f>60806</f>
        <v>60806.0</v>
      </c>
    </row>
    <row r="237">
      <c r="A237" s="8" t="s">
        <v>41</v>
      </c>
      <c r="B237" s="9" t="s">
        <v>63</v>
      </c>
      <c r="C237" s="9" t="s">
        <v>64</v>
      </c>
      <c r="D237" s="10"/>
      <c r="E237" s="2" t="str">
        <f>"－"</f>
        <v>－</v>
      </c>
      <c r="F237" s="10"/>
      <c r="G237" s="2" t="str">
        <f>"－"</f>
        <v>－</v>
      </c>
      <c r="H237" s="10"/>
      <c r="I237" s="2" t="str">
        <f>"－"</f>
        <v>－</v>
      </c>
      <c r="J237" s="10"/>
      <c r="K237" s="2" t="n">
        <f>60806</f>
        <v>60806.0</v>
      </c>
    </row>
    <row r="238">
      <c r="A238" s="8" t="s">
        <v>42</v>
      </c>
      <c r="B238" s="9" t="s">
        <v>63</v>
      </c>
      <c r="C238" s="9" t="s">
        <v>64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43</v>
      </c>
      <c r="B239" s="9" t="s">
        <v>63</v>
      </c>
      <c r="C239" s="9" t="s">
        <v>64</v>
      </c>
      <c r="D239" s="10"/>
      <c r="E239" s="2" t="n">
        <f>112</f>
        <v>112.0</v>
      </c>
      <c r="F239" s="10"/>
      <c r="G239" s="2" t="n">
        <f>294985600</f>
        <v>2.949856E8</v>
      </c>
      <c r="H239" s="10"/>
      <c r="I239" s="2" t="n">
        <f>112</f>
        <v>112.0</v>
      </c>
      <c r="J239" s="10"/>
      <c r="K239" s="2" t="n">
        <f>60806</f>
        <v>60806.0</v>
      </c>
    </row>
    <row r="240">
      <c r="A240" s="8" t="s">
        <v>44</v>
      </c>
      <c r="B240" s="9" t="s">
        <v>63</v>
      </c>
      <c r="C240" s="9" t="s">
        <v>64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45</v>
      </c>
      <c r="B241" s="9" t="s">
        <v>63</v>
      </c>
      <c r="C241" s="9" t="s">
        <v>64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46</v>
      </c>
      <c r="B242" s="9" t="s">
        <v>63</v>
      </c>
      <c r="C242" s="9" t="s">
        <v>64</v>
      </c>
      <c r="D242" s="10"/>
      <c r="E242" s="2" t="n">
        <f>49</f>
        <v>49.0</v>
      </c>
      <c r="F242" s="10"/>
      <c r="G242" s="2" t="n">
        <f>130908400</f>
        <v>1.309084E8</v>
      </c>
      <c r="H242" s="10"/>
      <c r="I242" s="2" t="str">
        <f>"－"</f>
        <v>－</v>
      </c>
      <c r="J242" s="10"/>
      <c r="K242" s="2" t="n">
        <f>60806</f>
        <v>60806.0</v>
      </c>
    </row>
    <row r="243">
      <c r="A243" s="8" t="s">
        <v>47</v>
      </c>
      <c r="B243" s="9" t="s">
        <v>63</v>
      </c>
      <c r="C243" s="9" t="s">
        <v>64</v>
      </c>
      <c r="D243" s="10"/>
      <c r="E243" s="2" t="n">
        <f>252</f>
        <v>252.0</v>
      </c>
      <c r="F243" s="10"/>
      <c r="G243" s="2" t="n">
        <f>672228000</f>
        <v>6.72228E8</v>
      </c>
      <c r="H243" s="10"/>
      <c r="I243" s="2" t="n">
        <f>108</f>
        <v>108.0</v>
      </c>
      <c r="J243" s="10"/>
      <c r="K243" s="2" t="n">
        <f>60806</f>
        <v>60806.0</v>
      </c>
    </row>
    <row r="244">
      <c r="A244" s="8" t="s">
        <v>48</v>
      </c>
      <c r="B244" s="9" t="s">
        <v>63</v>
      </c>
      <c r="C244" s="9" t="s">
        <v>64</v>
      </c>
      <c r="D244" s="10"/>
      <c r="E244" s="2" t="n">
        <f>3848</f>
        <v>3848.0</v>
      </c>
      <c r="F244" s="10"/>
      <c r="G244" s="2" t="n">
        <f>10007878400</f>
        <v>1.00078784E10</v>
      </c>
      <c r="H244" s="10"/>
      <c r="I244" s="2" t="str">
        <f>"－"</f>
        <v>－</v>
      </c>
      <c r="J244" s="10" t="s">
        <v>25</v>
      </c>
      <c r="K244" s="2" t="n">
        <f>56958</f>
        <v>56958.0</v>
      </c>
    </row>
    <row r="245">
      <c r="A245" s="8" t="s">
        <v>49</v>
      </c>
      <c r="B245" s="9" t="s">
        <v>63</v>
      </c>
      <c r="C245" s="9" t="s">
        <v>64</v>
      </c>
      <c r="D245" s="10"/>
      <c r="E245" s="2" t="str">
        <f>"－"</f>
        <v>－</v>
      </c>
      <c r="F245" s="10"/>
      <c r="G245" s="2" t="str">
        <f>"－"</f>
        <v>－</v>
      </c>
      <c r="H245" s="10"/>
      <c r="I245" s="2" t="str">
        <f>"－"</f>
        <v>－</v>
      </c>
      <c r="J245" s="10"/>
      <c r="K245" s="2" t="n">
        <f>56958</f>
        <v>56958.0</v>
      </c>
    </row>
    <row r="246">
      <c r="A246" s="8" t="s">
        <v>16</v>
      </c>
      <c r="B246" s="9" t="s">
        <v>65</v>
      </c>
      <c r="C246" s="9" t="s">
        <v>66</v>
      </c>
      <c r="D246" s="10"/>
      <c r="E246" s="2" t="n">
        <f>1724</f>
        <v>1724.0</v>
      </c>
      <c r="F246" s="10"/>
      <c r="G246" s="2" t="n">
        <f>3140708980</f>
        <v>3.14070898E9</v>
      </c>
      <c r="H246" s="10" t="s">
        <v>34</v>
      </c>
      <c r="I246" s="2" t="n">
        <f>806</f>
        <v>806.0</v>
      </c>
      <c r="J246" s="10"/>
      <c r="K246" s="2" t="n">
        <f>94114</f>
        <v>94114.0</v>
      </c>
    </row>
    <row r="247">
      <c r="A247" s="8" t="s">
        <v>19</v>
      </c>
      <c r="B247" s="9" t="s">
        <v>65</v>
      </c>
      <c r="C247" s="9" t="s">
        <v>66</v>
      </c>
      <c r="D247" s="10"/>
      <c r="E247" s="2" t="n">
        <f>1823</f>
        <v>1823.0</v>
      </c>
      <c r="F247" s="10"/>
      <c r="G247" s="2" t="n">
        <f>3331705160</f>
        <v>3.33170516E9</v>
      </c>
      <c r="H247" s="10" t="s">
        <v>25</v>
      </c>
      <c r="I247" s="2" t="str">
        <f>"－"</f>
        <v>－</v>
      </c>
      <c r="J247" s="10"/>
      <c r="K247" s="2" t="n">
        <f>95546</f>
        <v>95546.0</v>
      </c>
    </row>
    <row r="248">
      <c r="A248" s="8" t="s">
        <v>20</v>
      </c>
      <c r="B248" s="9" t="s">
        <v>65</v>
      </c>
      <c r="C248" s="9" t="s">
        <v>66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21</v>
      </c>
      <c r="B249" s="9" t="s">
        <v>65</v>
      </c>
      <c r="C249" s="9" t="s">
        <v>66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22</v>
      </c>
      <c r="B250" s="9" t="s">
        <v>65</v>
      </c>
      <c r="C250" s="9" t="s">
        <v>66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23</v>
      </c>
      <c r="B251" s="9" t="s">
        <v>65</v>
      </c>
      <c r="C251" s="9" t="s">
        <v>66</v>
      </c>
      <c r="D251" s="10"/>
      <c r="E251" s="2" t="n">
        <f>2190</f>
        <v>2190.0</v>
      </c>
      <c r="F251" s="10"/>
      <c r="G251" s="2" t="n">
        <f>4021929350</f>
        <v>4.02192935E9</v>
      </c>
      <c r="H251" s="10"/>
      <c r="I251" s="2" t="n">
        <f>177</f>
        <v>177.0</v>
      </c>
      <c r="J251" s="10" t="s">
        <v>25</v>
      </c>
      <c r="K251" s="2" t="n">
        <f>93930</f>
        <v>93930.0</v>
      </c>
    </row>
    <row r="252">
      <c r="A252" s="8" t="s">
        <v>24</v>
      </c>
      <c r="B252" s="9" t="s">
        <v>65</v>
      </c>
      <c r="C252" s="9" t="s">
        <v>66</v>
      </c>
      <c r="D252" s="10"/>
      <c r="E252" s="2" t="n">
        <f>2596</f>
        <v>2596.0</v>
      </c>
      <c r="F252" s="10"/>
      <c r="G252" s="2" t="n">
        <f>4738368520</f>
        <v>4.73836852E9</v>
      </c>
      <c r="H252" s="10"/>
      <c r="I252" s="2" t="str">
        <f>"－"</f>
        <v>－</v>
      </c>
      <c r="J252" s="10"/>
      <c r="K252" s="2" t="n">
        <f>96016</f>
        <v>96016.0</v>
      </c>
    </row>
    <row r="253">
      <c r="A253" s="8" t="s">
        <v>26</v>
      </c>
      <c r="B253" s="9" t="s">
        <v>65</v>
      </c>
      <c r="C253" s="9" t="s">
        <v>66</v>
      </c>
      <c r="D253" s="10" t="s">
        <v>34</v>
      </c>
      <c r="E253" s="2" t="n">
        <f>2831</f>
        <v>2831.0</v>
      </c>
      <c r="F253" s="10" t="s">
        <v>34</v>
      </c>
      <c r="G253" s="2" t="n">
        <f>5128837250</f>
        <v>5.12883725E9</v>
      </c>
      <c r="H253" s="10"/>
      <c r="I253" s="2" t="str">
        <f>"－"</f>
        <v>－</v>
      </c>
      <c r="J253" s="10"/>
      <c r="K253" s="2" t="n">
        <f>94280</f>
        <v>94280.0</v>
      </c>
    </row>
    <row r="254">
      <c r="A254" s="8" t="s">
        <v>27</v>
      </c>
      <c r="B254" s="9" t="s">
        <v>65</v>
      </c>
      <c r="C254" s="9" t="s">
        <v>66</v>
      </c>
      <c r="D254" s="10"/>
      <c r="E254" s="2" t="n">
        <f>916</f>
        <v>916.0</v>
      </c>
      <c r="F254" s="10"/>
      <c r="G254" s="2" t="n">
        <f>1648510350</f>
        <v>1.64851035E9</v>
      </c>
      <c r="H254" s="10"/>
      <c r="I254" s="2" t="str">
        <f>"－"</f>
        <v>－</v>
      </c>
      <c r="J254" s="10"/>
      <c r="K254" s="2" t="n">
        <f>94355</f>
        <v>94355.0</v>
      </c>
    </row>
    <row r="255">
      <c r="A255" s="8" t="s">
        <v>28</v>
      </c>
      <c r="B255" s="9" t="s">
        <v>65</v>
      </c>
      <c r="C255" s="9" t="s">
        <v>66</v>
      </c>
      <c r="D255" s="10"/>
      <c r="E255" s="2" t="n">
        <f>2384</f>
        <v>2384.0</v>
      </c>
      <c r="F255" s="10"/>
      <c r="G255" s="2" t="n">
        <f>4310867060</f>
        <v>4.31086706E9</v>
      </c>
      <c r="H255" s="10"/>
      <c r="I255" s="2" t="str">
        <f>"－"</f>
        <v>－</v>
      </c>
      <c r="J255" s="10"/>
      <c r="K255" s="2" t="n">
        <f>95151</f>
        <v>95151.0</v>
      </c>
    </row>
    <row r="256">
      <c r="A256" s="8" t="s">
        <v>29</v>
      </c>
      <c r="B256" s="9" t="s">
        <v>65</v>
      </c>
      <c r="C256" s="9" t="s">
        <v>66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30</v>
      </c>
      <c r="B257" s="9" t="s">
        <v>65</v>
      </c>
      <c r="C257" s="9" t="s">
        <v>66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31</v>
      </c>
      <c r="B258" s="9" t="s">
        <v>65</v>
      </c>
      <c r="C258" s="9" t="s">
        <v>66</v>
      </c>
      <c r="D258" s="10"/>
      <c r="E258" s="2" t="n">
        <f>533</f>
        <v>533.0</v>
      </c>
      <c r="F258" s="10"/>
      <c r="G258" s="2" t="n">
        <f>965904890</f>
        <v>9.6590489E8</v>
      </c>
      <c r="H258" s="10"/>
      <c r="I258" s="2" t="n">
        <f>284</f>
        <v>284.0</v>
      </c>
      <c r="J258" s="10"/>
      <c r="K258" s="2" t="n">
        <f>95455</f>
        <v>95455.0</v>
      </c>
    </row>
    <row r="259">
      <c r="A259" s="8" t="s">
        <v>32</v>
      </c>
      <c r="B259" s="9" t="s">
        <v>65</v>
      </c>
      <c r="C259" s="9" t="s">
        <v>66</v>
      </c>
      <c r="D259" s="10"/>
      <c r="E259" s="2" t="n">
        <f>1010</f>
        <v>1010.0</v>
      </c>
      <c r="F259" s="10"/>
      <c r="G259" s="2" t="n">
        <f>1827369214</f>
        <v>1.827369214E9</v>
      </c>
      <c r="H259" s="10"/>
      <c r="I259" s="2" t="n">
        <f>457</f>
        <v>457.0</v>
      </c>
      <c r="J259" s="10"/>
      <c r="K259" s="2" t="n">
        <f>95438</f>
        <v>95438.0</v>
      </c>
    </row>
    <row r="260">
      <c r="A260" s="8" t="s">
        <v>33</v>
      </c>
      <c r="B260" s="9" t="s">
        <v>65</v>
      </c>
      <c r="C260" s="9" t="s">
        <v>66</v>
      </c>
      <c r="D260" s="10"/>
      <c r="E260" s="2" t="n">
        <f>1402</f>
        <v>1402.0</v>
      </c>
      <c r="F260" s="10"/>
      <c r="G260" s="2" t="n">
        <f>2578207400</f>
        <v>2.5782074E9</v>
      </c>
      <c r="H260" s="10"/>
      <c r="I260" s="2" t="str">
        <f>"－"</f>
        <v>－</v>
      </c>
      <c r="J260" s="10"/>
      <c r="K260" s="2" t="n">
        <f>95433</f>
        <v>95433.0</v>
      </c>
    </row>
    <row r="261">
      <c r="A261" s="8" t="s">
        <v>35</v>
      </c>
      <c r="B261" s="9" t="s">
        <v>65</v>
      </c>
      <c r="C261" s="9" t="s">
        <v>66</v>
      </c>
      <c r="D261" s="10"/>
      <c r="E261" s="2" t="n">
        <f>1388</f>
        <v>1388.0</v>
      </c>
      <c r="F261" s="10"/>
      <c r="G261" s="2" t="n">
        <f>2549986080</f>
        <v>2.54998608E9</v>
      </c>
      <c r="H261" s="10"/>
      <c r="I261" s="2" t="n">
        <f>409</f>
        <v>409.0</v>
      </c>
      <c r="J261" s="10"/>
      <c r="K261" s="2" t="n">
        <f>96411</f>
        <v>96411.0</v>
      </c>
    </row>
    <row r="262">
      <c r="A262" s="8" t="s">
        <v>36</v>
      </c>
      <c r="B262" s="9" t="s">
        <v>65</v>
      </c>
      <c r="C262" s="9" t="s">
        <v>66</v>
      </c>
      <c r="D262" s="10"/>
      <c r="E262" s="2" t="n">
        <f>1388</f>
        <v>1388.0</v>
      </c>
      <c r="F262" s="10"/>
      <c r="G262" s="2" t="n">
        <f>2544891250</f>
        <v>2.54489125E9</v>
      </c>
      <c r="H262" s="10"/>
      <c r="I262" s="2" t="n">
        <f>200</f>
        <v>200.0</v>
      </c>
      <c r="J262" s="10"/>
      <c r="K262" s="2" t="n">
        <f>97302</f>
        <v>97302.0</v>
      </c>
    </row>
    <row r="263">
      <c r="A263" s="8" t="s">
        <v>37</v>
      </c>
      <c r="B263" s="9" t="s">
        <v>65</v>
      </c>
      <c r="C263" s="9" t="s">
        <v>66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38</v>
      </c>
      <c r="B264" s="9" t="s">
        <v>65</v>
      </c>
      <c r="C264" s="9" t="s">
        <v>66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39</v>
      </c>
      <c r="B265" s="9" t="s">
        <v>65</v>
      </c>
      <c r="C265" s="9" t="s">
        <v>66</v>
      </c>
      <c r="D265" s="10"/>
      <c r="E265" s="2" t="n">
        <f>963</f>
        <v>963.0</v>
      </c>
      <c r="F265" s="10"/>
      <c r="G265" s="2" t="n">
        <f>1764368250</f>
        <v>1.76436825E9</v>
      </c>
      <c r="H265" s="10"/>
      <c r="I265" s="2" t="str">
        <f>"－"</f>
        <v>－</v>
      </c>
      <c r="J265" s="10"/>
      <c r="K265" s="2" t="n">
        <f>97302</f>
        <v>97302.0</v>
      </c>
    </row>
    <row r="266">
      <c r="A266" s="8" t="s">
        <v>40</v>
      </c>
      <c r="B266" s="9" t="s">
        <v>65</v>
      </c>
      <c r="C266" s="9" t="s">
        <v>66</v>
      </c>
      <c r="D266" s="10"/>
      <c r="E266" s="2" t="n">
        <f>2798</f>
        <v>2798.0</v>
      </c>
      <c r="F266" s="10"/>
      <c r="G266" s="2" t="n">
        <f>5108863760</f>
        <v>5.10886376E9</v>
      </c>
      <c r="H266" s="10"/>
      <c r="I266" s="2" t="n">
        <f>5</f>
        <v>5.0</v>
      </c>
      <c r="J266" s="10"/>
      <c r="K266" s="2" t="n">
        <f>99766</f>
        <v>99766.0</v>
      </c>
    </row>
    <row r="267">
      <c r="A267" s="8" t="s">
        <v>41</v>
      </c>
      <c r="B267" s="9" t="s">
        <v>65</v>
      </c>
      <c r="C267" s="9" t="s">
        <v>66</v>
      </c>
      <c r="D267" s="10"/>
      <c r="E267" s="2" t="n">
        <f>516</f>
        <v>516.0</v>
      </c>
      <c r="F267" s="10"/>
      <c r="G267" s="2" t="n">
        <f>944028500</f>
        <v>9.440285E8</v>
      </c>
      <c r="H267" s="10"/>
      <c r="I267" s="2" t="str">
        <f>"－"</f>
        <v>－</v>
      </c>
      <c r="J267" s="10"/>
      <c r="K267" s="2" t="n">
        <f>99773</f>
        <v>99773.0</v>
      </c>
    </row>
    <row r="268">
      <c r="A268" s="8" t="s">
        <v>42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43</v>
      </c>
      <c r="B269" s="9" t="s">
        <v>65</v>
      </c>
      <c r="C269" s="9" t="s">
        <v>66</v>
      </c>
      <c r="D269" s="10" t="s">
        <v>25</v>
      </c>
      <c r="E269" s="2" t="n">
        <f>308</f>
        <v>308.0</v>
      </c>
      <c r="F269" s="10" t="s">
        <v>25</v>
      </c>
      <c r="G269" s="2" t="n">
        <f>564590750</f>
        <v>5.6459075E8</v>
      </c>
      <c r="H269" s="10"/>
      <c r="I269" s="2" t="n">
        <f>1</f>
        <v>1.0</v>
      </c>
      <c r="J269" s="10"/>
      <c r="K269" s="2" t="n">
        <f>99749</f>
        <v>99749.0</v>
      </c>
    </row>
    <row r="270">
      <c r="A270" s="8" t="s">
        <v>44</v>
      </c>
      <c r="B270" s="9" t="s">
        <v>65</v>
      </c>
      <c r="C270" s="9" t="s">
        <v>66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45</v>
      </c>
      <c r="B271" s="9" t="s">
        <v>65</v>
      </c>
      <c r="C271" s="9" t="s">
        <v>66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46</v>
      </c>
      <c r="B272" s="9" t="s">
        <v>65</v>
      </c>
      <c r="C272" s="9" t="s">
        <v>66</v>
      </c>
      <c r="D272" s="10"/>
      <c r="E272" s="2" t="n">
        <f>339</f>
        <v>339.0</v>
      </c>
      <c r="F272" s="10"/>
      <c r="G272" s="2" t="n">
        <f>621811550</f>
        <v>6.2181155E8</v>
      </c>
      <c r="H272" s="10"/>
      <c r="I272" s="2" t="str">
        <f>"－"</f>
        <v>－</v>
      </c>
      <c r="J272" s="10"/>
      <c r="K272" s="2" t="n">
        <f>99698</f>
        <v>99698.0</v>
      </c>
    </row>
    <row r="273">
      <c r="A273" s="8" t="s">
        <v>47</v>
      </c>
      <c r="B273" s="9" t="s">
        <v>65</v>
      </c>
      <c r="C273" s="9" t="s">
        <v>66</v>
      </c>
      <c r="D273" s="10"/>
      <c r="E273" s="2" t="n">
        <f>551</f>
        <v>551.0</v>
      </c>
      <c r="F273" s="10"/>
      <c r="G273" s="2" t="n">
        <f>1008701900</f>
        <v>1.0087019E9</v>
      </c>
      <c r="H273" s="10"/>
      <c r="I273" s="2" t="str">
        <f>"－"</f>
        <v>－</v>
      </c>
      <c r="J273" s="10"/>
      <c r="K273" s="2" t="n">
        <f>99792</f>
        <v>99792.0</v>
      </c>
    </row>
    <row r="274">
      <c r="A274" s="8" t="s">
        <v>48</v>
      </c>
      <c r="B274" s="9" t="s">
        <v>65</v>
      </c>
      <c r="C274" s="9" t="s">
        <v>66</v>
      </c>
      <c r="D274" s="10"/>
      <c r="E274" s="2" t="n">
        <f>2123</f>
        <v>2123.0</v>
      </c>
      <c r="F274" s="10"/>
      <c r="G274" s="2" t="n">
        <f>3882066650</f>
        <v>3.88206665E9</v>
      </c>
      <c r="H274" s="10"/>
      <c r="I274" s="2" t="str">
        <f>"－"</f>
        <v>－</v>
      </c>
      <c r="J274" s="10" t="s">
        <v>34</v>
      </c>
      <c r="K274" s="2" t="n">
        <f>101098</f>
        <v>101098.0</v>
      </c>
    </row>
    <row r="275">
      <c r="A275" s="8" t="s">
        <v>49</v>
      </c>
      <c r="B275" s="9" t="s">
        <v>65</v>
      </c>
      <c r="C275" s="9" t="s">
        <v>66</v>
      </c>
      <c r="D275" s="10"/>
      <c r="E275" s="2" t="n">
        <f>1397</f>
        <v>1397.0</v>
      </c>
      <c r="F275" s="10"/>
      <c r="G275" s="2" t="n">
        <f>2564807430</f>
        <v>2.56480743E9</v>
      </c>
      <c r="H275" s="10"/>
      <c r="I275" s="2" t="n">
        <f>23</f>
        <v>23.0</v>
      </c>
      <c r="J275" s="10"/>
      <c r="K275" s="2" t="n">
        <f>101028</f>
        <v>101028.0</v>
      </c>
    </row>
    <row r="276">
      <c r="A276" s="8" t="s">
        <v>16</v>
      </c>
      <c r="B276" s="9" t="s">
        <v>67</v>
      </c>
      <c r="C276" s="9" t="s">
        <v>68</v>
      </c>
      <c r="D276" s="10" t="s">
        <v>54</v>
      </c>
      <c r="E276" s="2" t="str">
        <f>"－"</f>
        <v>－</v>
      </c>
      <c r="F276" s="10" t="s">
        <v>54</v>
      </c>
      <c r="G276" s="2" t="str">
        <f>"－"</f>
        <v>－</v>
      </c>
      <c r="H276" s="10" t="s">
        <v>54</v>
      </c>
      <c r="I276" s="2" t="str">
        <f>"－"</f>
        <v>－</v>
      </c>
      <c r="J276" s="10" t="s">
        <v>54</v>
      </c>
      <c r="K276" s="2" t="str">
        <f>"－"</f>
        <v>－</v>
      </c>
    </row>
    <row r="277">
      <c r="A277" s="8" t="s">
        <v>19</v>
      </c>
      <c r="B277" s="9" t="s">
        <v>67</v>
      </c>
      <c r="C277" s="9" t="s">
        <v>68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20</v>
      </c>
      <c r="B278" s="9" t="s">
        <v>67</v>
      </c>
      <c r="C278" s="9" t="s">
        <v>68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21</v>
      </c>
      <c r="B279" s="9" t="s">
        <v>67</v>
      </c>
      <c r="C279" s="9" t="s">
        <v>68</v>
      </c>
      <c r="D279" s="10"/>
      <c r="E279" s="2"/>
      <c r="F279" s="10"/>
      <c r="G279" s="2"/>
      <c r="H279" s="10"/>
      <c r="I279" s="2"/>
      <c r="J279" s="10"/>
      <c r="K279" s="2"/>
    </row>
    <row r="280">
      <c r="A280" s="8" t="s">
        <v>22</v>
      </c>
      <c r="B280" s="9" t="s">
        <v>67</v>
      </c>
      <c r="C280" s="9" t="s">
        <v>68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23</v>
      </c>
      <c r="B281" s="9" t="s">
        <v>67</v>
      </c>
      <c r="C281" s="9" t="s">
        <v>68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24</v>
      </c>
      <c r="B282" s="9" t="s">
        <v>67</v>
      </c>
      <c r="C282" s="9" t="s">
        <v>68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26</v>
      </c>
      <c r="B283" s="9" t="s">
        <v>67</v>
      </c>
      <c r="C283" s="9" t="s">
        <v>68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27</v>
      </c>
      <c r="B284" s="9" t="s">
        <v>67</v>
      </c>
      <c r="C284" s="9" t="s">
        <v>68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28</v>
      </c>
      <c r="B285" s="9" t="s">
        <v>67</v>
      </c>
      <c r="C285" s="9" t="s">
        <v>68</v>
      </c>
      <c r="D285" s="10"/>
      <c r="E285" s="2" t="str">
        <f>"－"</f>
        <v>－</v>
      </c>
      <c r="F285" s="10"/>
      <c r="G285" s="2" t="str">
        <f>"－"</f>
        <v>－</v>
      </c>
      <c r="H285" s="10"/>
      <c r="I285" s="2" t="str">
        <f>"－"</f>
        <v>－</v>
      </c>
      <c r="J285" s="10"/>
      <c r="K285" s="2" t="str">
        <f>"－"</f>
        <v>－</v>
      </c>
    </row>
    <row r="286">
      <c r="A286" s="8" t="s">
        <v>29</v>
      </c>
      <c r="B286" s="9" t="s">
        <v>67</v>
      </c>
      <c r="C286" s="9" t="s">
        <v>68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30</v>
      </c>
      <c r="B287" s="9" t="s">
        <v>67</v>
      </c>
      <c r="C287" s="9" t="s">
        <v>68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31</v>
      </c>
      <c r="B288" s="9" t="s">
        <v>67</v>
      </c>
      <c r="C288" s="9" t="s">
        <v>68</v>
      </c>
      <c r="D288" s="10"/>
      <c r="E288" s="2" t="str">
        <f>"－"</f>
        <v>－</v>
      </c>
      <c r="F288" s="10"/>
      <c r="G288" s="2" t="str">
        <f>"－"</f>
        <v>－</v>
      </c>
      <c r="H288" s="10"/>
      <c r="I288" s="2" t="str">
        <f>"－"</f>
        <v>－</v>
      </c>
      <c r="J288" s="10"/>
      <c r="K288" s="2" t="str">
        <f>"－"</f>
        <v>－</v>
      </c>
    </row>
    <row r="289">
      <c r="A289" s="8" t="s">
        <v>32</v>
      </c>
      <c r="B289" s="9" t="s">
        <v>67</v>
      </c>
      <c r="C289" s="9" t="s">
        <v>68</v>
      </c>
      <c r="D289" s="10"/>
      <c r="E289" s="2" t="str">
        <f>"－"</f>
        <v>－</v>
      </c>
      <c r="F289" s="10"/>
      <c r="G289" s="2" t="str">
        <f>"－"</f>
        <v>－</v>
      </c>
      <c r="H289" s="10"/>
      <c r="I289" s="2" t="str">
        <f>"－"</f>
        <v>－</v>
      </c>
      <c r="J289" s="10"/>
      <c r="K289" s="2" t="str">
        <f>"－"</f>
        <v>－</v>
      </c>
    </row>
    <row r="290">
      <c r="A290" s="8" t="s">
        <v>33</v>
      </c>
      <c r="B290" s="9" t="s">
        <v>67</v>
      </c>
      <c r="C290" s="9" t="s">
        <v>68</v>
      </c>
      <c r="D290" s="10"/>
      <c r="E290" s="2" t="str">
        <f>"－"</f>
        <v>－</v>
      </c>
      <c r="F290" s="10"/>
      <c r="G290" s="2" t="str">
        <f>"－"</f>
        <v>－</v>
      </c>
      <c r="H290" s="10"/>
      <c r="I290" s="2" t="str">
        <f>"－"</f>
        <v>－</v>
      </c>
      <c r="J290" s="10"/>
      <c r="K290" s="2" t="str">
        <f>"－"</f>
        <v>－</v>
      </c>
    </row>
    <row r="291">
      <c r="A291" s="8" t="s">
        <v>35</v>
      </c>
      <c r="B291" s="9" t="s">
        <v>67</v>
      </c>
      <c r="C291" s="9" t="s">
        <v>68</v>
      </c>
      <c r="D291" s="10"/>
      <c r="E291" s="2" t="str">
        <f>"－"</f>
        <v>－</v>
      </c>
      <c r="F291" s="10"/>
      <c r="G291" s="2" t="str">
        <f>"－"</f>
        <v>－</v>
      </c>
      <c r="H291" s="10"/>
      <c r="I291" s="2" t="str">
        <f>"－"</f>
        <v>－</v>
      </c>
      <c r="J291" s="10"/>
      <c r="K291" s="2" t="str">
        <f>"－"</f>
        <v>－</v>
      </c>
    </row>
    <row r="292">
      <c r="A292" s="8" t="s">
        <v>36</v>
      </c>
      <c r="B292" s="9" t="s">
        <v>67</v>
      </c>
      <c r="C292" s="9" t="s">
        <v>68</v>
      </c>
      <c r="D292" s="10"/>
      <c r="E292" s="2" t="str">
        <f>"－"</f>
        <v>－</v>
      </c>
      <c r="F292" s="10"/>
      <c r="G292" s="2" t="str">
        <f>"－"</f>
        <v>－</v>
      </c>
      <c r="H292" s="10"/>
      <c r="I292" s="2" t="str">
        <f>"－"</f>
        <v>－</v>
      </c>
      <c r="J292" s="10"/>
      <c r="K292" s="2" t="str">
        <f>"－"</f>
        <v>－</v>
      </c>
    </row>
    <row r="293">
      <c r="A293" s="8" t="s">
        <v>37</v>
      </c>
      <c r="B293" s="9" t="s">
        <v>67</v>
      </c>
      <c r="C293" s="9" t="s">
        <v>68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38</v>
      </c>
      <c r="B294" s="9" t="s">
        <v>67</v>
      </c>
      <c r="C294" s="9" t="s">
        <v>68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39</v>
      </c>
      <c r="B295" s="9" t="s">
        <v>67</v>
      </c>
      <c r="C295" s="9" t="s">
        <v>68</v>
      </c>
      <c r="D295" s="10"/>
      <c r="E295" s="2" t="str">
        <f>"－"</f>
        <v>－</v>
      </c>
      <c r="F295" s="10"/>
      <c r="G295" s="2" t="str">
        <f>"－"</f>
        <v>－</v>
      </c>
      <c r="H295" s="10"/>
      <c r="I295" s="2" t="str">
        <f>"－"</f>
        <v>－</v>
      </c>
      <c r="J295" s="10"/>
      <c r="K295" s="2" t="str">
        <f>"－"</f>
        <v>－</v>
      </c>
    </row>
    <row r="296">
      <c r="A296" s="8" t="s">
        <v>40</v>
      </c>
      <c r="B296" s="9" t="s">
        <v>67</v>
      </c>
      <c r="C296" s="9" t="s">
        <v>68</v>
      </c>
      <c r="D296" s="10"/>
      <c r="E296" s="2" t="str">
        <f>"－"</f>
        <v>－</v>
      </c>
      <c r="F296" s="10"/>
      <c r="G296" s="2" t="str">
        <f>"－"</f>
        <v>－</v>
      </c>
      <c r="H296" s="10"/>
      <c r="I296" s="2" t="str">
        <f>"－"</f>
        <v>－</v>
      </c>
      <c r="J296" s="10"/>
      <c r="K296" s="2" t="str">
        <f>"－"</f>
        <v>－</v>
      </c>
    </row>
    <row r="297">
      <c r="A297" s="8" t="s">
        <v>41</v>
      </c>
      <c r="B297" s="9" t="s">
        <v>67</v>
      </c>
      <c r="C297" s="9" t="s">
        <v>68</v>
      </c>
      <c r="D297" s="10"/>
      <c r="E297" s="2" t="str">
        <f>"－"</f>
        <v>－</v>
      </c>
      <c r="F297" s="10"/>
      <c r="G297" s="2" t="str">
        <f>"－"</f>
        <v>－</v>
      </c>
      <c r="H297" s="10"/>
      <c r="I297" s="2" t="str">
        <f>"－"</f>
        <v>－</v>
      </c>
      <c r="J297" s="10"/>
      <c r="K297" s="2" t="str">
        <f>"－"</f>
        <v>－</v>
      </c>
    </row>
    <row r="298">
      <c r="A298" s="8" t="s">
        <v>42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43</v>
      </c>
      <c r="B299" s="9" t="s">
        <v>67</v>
      </c>
      <c r="C299" s="9" t="s">
        <v>68</v>
      </c>
      <c r="D299" s="10"/>
      <c r="E299" s="2" t="str">
        <f>"－"</f>
        <v>－</v>
      </c>
      <c r="F299" s="10"/>
      <c r="G299" s="2" t="str">
        <f>"－"</f>
        <v>－</v>
      </c>
      <c r="H299" s="10"/>
      <c r="I299" s="2" t="str">
        <f>"－"</f>
        <v>－</v>
      </c>
      <c r="J299" s="10"/>
      <c r="K299" s="2" t="str">
        <f>"－"</f>
        <v>－</v>
      </c>
    </row>
    <row r="300">
      <c r="A300" s="8" t="s">
        <v>44</v>
      </c>
      <c r="B300" s="9" t="s">
        <v>67</v>
      </c>
      <c r="C300" s="9" t="s">
        <v>68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45</v>
      </c>
      <c r="B301" s="9" t="s">
        <v>67</v>
      </c>
      <c r="C301" s="9" t="s">
        <v>68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46</v>
      </c>
      <c r="B302" s="9" t="s">
        <v>67</v>
      </c>
      <c r="C302" s="9" t="s">
        <v>68</v>
      </c>
      <c r="D302" s="10"/>
      <c r="E302" s="2" t="str">
        <f>"－"</f>
        <v>－</v>
      </c>
      <c r="F302" s="10"/>
      <c r="G302" s="2" t="str">
        <f>"－"</f>
        <v>－</v>
      </c>
      <c r="H302" s="10"/>
      <c r="I302" s="2" t="str">
        <f>"－"</f>
        <v>－</v>
      </c>
      <c r="J302" s="10"/>
      <c r="K302" s="2" t="str">
        <f>"－"</f>
        <v>－</v>
      </c>
    </row>
    <row r="303">
      <c r="A303" s="8" t="s">
        <v>47</v>
      </c>
      <c r="B303" s="9" t="s">
        <v>67</v>
      </c>
      <c r="C303" s="9" t="s">
        <v>68</v>
      </c>
      <c r="D303" s="10"/>
      <c r="E303" s="2" t="str">
        <f>"－"</f>
        <v>－</v>
      </c>
      <c r="F303" s="10"/>
      <c r="G303" s="2" t="str">
        <f>"－"</f>
        <v>－</v>
      </c>
      <c r="H303" s="10"/>
      <c r="I303" s="2" t="str">
        <f>"－"</f>
        <v>－</v>
      </c>
      <c r="J303" s="10"/>
      <c r="K303" s="2" t="str">
        <f>"－"</f>
        <v>－</v>
      </c>
    </row>
    <row r="304">
      <c r="A304" s="8" t="s">
        <v>48</v>
      </c>
      <c r="B304" s="9" t="s">
        <v>67</v>
      </c>
      <c r="C304" s="9" t="s">
        <v>68</v>
      </c>
      <c r="D304" s="10"/>
      <c r="E304" s="2" t="str">
        <f>"－"</f>
        <v>－</v>
      </c>
      <c r="F304" s="10"/>
      <c r="G304" s="2" t="str">
        <f>"－"</f>
        <v>－</v>
      </c>
      <c r="H304" s="10"/>
      <c r="I304" s="2" t="str">
        <f>"－"</f>
        <v>－</v>
      </c>
      <c r="J304" s="10"/>
      <c r="K304" s="2" t="str">
        <f>"－"</f>
        <v>－</v>
      </c>
    </row>
    <row r="305">
      <c r="A305" s="8" t="s">
        <v>49</v>
      </c>
      <c r="B305" s="9" t="s">
        <v>67</v>
      </c>
      <c r="C305" s="9" t="s">
        <v>68</v>
      </c>
      <c r="D305" s="10"/>
      <c r="E305" s="2" t="str">
        <f>"－"</f>
        <v>－</v>
      </c>
      <c r="F305" s="10"/>
      <c r="G305" s="2" t="str">
        <f>"－"</f>
        <v>－</v>
      </c>
      <c r="H305" s="10"/>
      <c r="I305" s="2" t="str">
        <f>"－"</f>
        <v>－</v>
      </c>
      <c r="J305" s="10"/>
      <c r="K305" s="2" t="str">
        <f>"－"</f>
        <v>－</v>
      </c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8888</f>
        <v>8888.0</v>
      </c>
      <c r="F306" s="10"/>
      <c r="G306" s="2" t="n">
        <f>5701549440</f>
        <v>5.70154944E9</v>
      </c>
      <c r="H306" s="10"/>
      <c r="I306" s="2" t="n">
        <f>653</f>
        <v>653.0</v>
      </c>
      <c r="J306" s="10" t="s">
        <v>34</v>
      </c>
      <c r="K306" s="2" t="n">
        <f>43916</f>
        <v>43916.0</v>
      </c>
    </row>
    <row r="307">
      <c r="A307" s="8" t="s">
        <v>19</v>
      </c>
      <c r="B307" s="9" t="s">
        <v>69</v>
      </c>
      <c r="C307" s="9" t="s">
        <v>70</v>
      </c>
      <c r="D307" s="10"/>
      <c r="E307" s="2" t="n">
        <f>11169</f>
        <v>11169.0</v>
      </c>
      <c r="F307" s="10"/>
      <c r="G307" s="2" t="n">
        <f>7310739000</f>
        <v>7.310739E9</v>
      </c>
      <c r="H307" s="10"/>
      <c r="I307" s="2" t="n">
        <f>1288</f>
        <v>1288.0</v>
      </c>
      <c r="J307" s="10"/>
      <c r="K307" s="2" t="n">
        <f>42289</f>
        <v>42289.0</v>
      </c>
    </row>
    <row r="308">
      <c r="A308" s="8" t="s">
        <v>20</v>
      </c>
      <c r="B308" s="9" t="s">
        <v>69</v>
      </c>
      <c r="C308" s="9" t="s">
        <v>70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21</v>
      </c>
      <c r="B309" s="9" t="s">
        <v>69</v>
      </c>
      <c r="C309" s="9" t="s">
        <v>70</v>
      </c>
      <c r="D309" s="10"/>
      <c r="E309" s="2"/>
      <c r="F309" s="10"/>
      <c r="G309" s="2"/>
      <c r="H309" s="10"/>
      <c r="I309" s="2"/>
      <c r="J309" s="10"/>
      <c r="K309" s="2"/>
    </row>
    <row r="310">
      <c r="A310" s="8" t="s">
        <v>22</v>
      </c>
      <c r="B310" s="9" t="s">
        <v>69</v>
      </c>
      <c r="C310" s="9" t="s">
        <v>70</v>
      </c>
      <c r="D310" s="10"/>
      <c r="E310" s="2"/>
      <c r="F310" s="10"/>
      <c r="G310" s="2"/>
      <c r="H310" s="10"/>
      <c r="I310" s="2"/>
      <c r="J310" s="10"/>
      <c r="K310" s="2"/>
    </row>
    <row r="311">
      <c r="A311" s="8" t="s">
        <v>23</v>
      </c>
      <c r="B311" s="9" t="s">
        <v>69</v>
      </c>
      <c r="C311" s="9" t="s">
        <v>70</v>
      </c>
      <c r="D311" s="10"/>
      <c r="E311" s="2" t="n">
        <f>11165</f>
        <v>11165.0</v>
      </c>
      <c r="F311" s="10"/>
      <c r="G311" s="2" t="n">
        <f>7637607080</f>
        <v>7.63760708E9</v>
      </c>
      <c r="H311" s="10"/>
      <c r="I311" s="2" t="n">
        <f>1166</f>
        <v>1166.0</v>
      </c>
      <c r="J311" s="10"/>
      <c r="K311" s="2" t="n">
        <f>41051</f>
        <v>41051.0</v>
      </c>
    </row>
    <row r="312">
      <c r="A312" s="8" t="s">
        <v>24</v>
      </c>
      <c r="B312" s="9" t="s">
        <v>69</v>
      </c>
      <c r="C312" s="9" t="s">
        <v>70</v>
      </c>
      <c r="D312" s="10"/>
      <c r="E312" s="2" t="n">
        <f>11131</f>
        <v>11131.0</v>
      </c>
      <c r="F312" s="10"/>
      <c r="G312" s="2" t="n">
        <f>7685169747</f>
        <v>7.685169747E9</v>
      </c>
      <c r="H312" s="10"/>
      <c r="I312" s="2" t="n">
        <f>1719</f>
        <v>1719.0</v>
      </c>
      <c r="J312" s="10" t="s">
        <v>25</v>
      </c>
      <c r="K312" s="2" t="n">
        <f>40041</f>
        <v>40041.0</v>
      </c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9671</f>
        <v>9671.0</v>
      </c>
      <c r="F313" s="10"/>
      <c r="G313" s="2" t="n">
        <f>6689975520</f>
        <v>6.68997552E9</v>
      </c>
      <c r="H313" s="10"/>
      <c r="I313" s="2" t="n">
        <f>1759</f>
        <v>1759.0</v>
      </c>
      <c r="J313" s="10"/>
      <c r="K313" s="2" t="n">
        <f>40711</f>
        <v>40711.0</v>
      </c>
    </row>
    <row r="314">
      <c r="A314" s="8" t="s">
        <v>27</v>
      </c>
      <c r="B314" s="9" t="s">
        <v>69</v>
      </c>
      <c r="C314" s="9" t="s">
        <v>70</v>
      </c>
      <c r="D314" s="10"/>
      <c r="E314" s="2" t="n">
        <f>6619</f>
        <v>6619.0</v>
      </c>
      <c r="F314" s="10"/>
      <c r="G314" s="2" t="n">
        <f>4542992919</f>
        <v>4.542992919E9</v>
      </c>
      <c r="H314" s="10"/>
      <c r="I314" s="2" t="n">
        <f>734</f>
        <v>734.0</v>
      </c>
      <c r="J314" s="10"/>
      <c r="K314" s="2" t="n">
        <f>40947</f>
        <v>40947.0</v>
      </c>
    </row>
    <row r="315">
      <c r="A315" s="8" t="s">
        <v>28</v>
      </c>
      <c r="B315" s="9" t="s">
        <v>69</v>
      </c>
      <c r="C315" s="9" t="s">
        <v>70</v>
      </c>
      <c r="D315" s="10"/>
      <c r="E315" s="2" t="n">
        <f>8642</f>
        <v>8642.0</v>
      </c>
      <c r="F315" s="10"/>
      <c r="G315" s="2" t="n">
        <f>5843356080</f>
        <v>5.84335608E9</v>
      </c>
      <c r="H315" s="10"/>
      <c r="I315" s="2" t="n">
        <f>1687</f>
        <v>1687.0</v>
      </c>
      <c r="J315" s="10"/>
      <c r="K315" s="2" t="n">
        <f>41478</f>
        <v>41478.0</v>
      </c>
    </row>
    <row r="316">
      <c r="A316" s="8" t="s">
        <v>29</v>
      </c>
      <c r="B316" s="9" t="s">
        <v>69</v>
      </c>
      <c r="C316" s="9" t="s">
        <v>70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30</v>
      </c>
      <c r="B317" s="9" t="s">
        <v>69</v>
      </c>
      <c r="C317" s="9" t="s">
        <v>70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31</v>
      </c>
      <c r="B318" s="9" t="s">
        <v>69</v>
      </c>
      <c r="C318" s="9" t="s">
        <v>70</v>
      </c>
      <c r="D318" s="10"/>
      <c r="E318" s="2" t="n">
        <f>6953</f>
        <v>6953.0</v>
      </c>
      <c r="F318" s="10"/>
      <c r="G318" s="2" t="n">
        <f>4687377880</f>
        <v>4.68737788E9</v>
      </c>
      <c r="H318" s="10"/>
      <c r="I318" s="2" t="n">
        <f>776</f>
        <v>776.0</v>
      </c>
      <c r="J318" s="10"/>
      <c r="K318" s="2" t="n">
        <f>41776</f>
        <v>41776.0</v>
      </c>
    </row>
    <row r="319">
      <c r="A319" s="8" t="s">
        <v>32</v>
      </c>
      <c r="B319" s="9" t="s">
        <v>69</v>
      </c>
      <c r="C319" s="9" t="s">
        <v>70</v>
      </c>
      <c r="D319" s="10"/>
      <c r="E319" s="2" t="n">
        <f>6988</f>
        <v>6988.0</v>
      </c>
      <c r="F319" s="10"/>
      <c r="G319" s="2" t="n">
        <f>4693673130</f>
        <v>4.69367313E9</v>
      </c>
      <c r="H319" s="10"/>
      <c r="I319" s="2" t="n">
        <f>711</f>
        <v>711.0</v>
      </c>
      <c r="J319" s="10"/>
      <c r="K319" s="2" t="n">
        <f>41224</f>
        <v>41224.0</v>
      </c>
    </row>
    <row r="320">
      <c r="A320" s="8" t="s">
        <v>33</v>
      </c>
      <c r="B320" s="9" t="s">
        <v>69</v>
      </c>
      <c r="C320" s="9" t="s">
        <v>70</v>
      </c>
      <c r="D320" s="10" t="s">
        <v>34</v>
      </c>
      <c r="E320" s="2" t="n">
        <f>11855</f>
        <v>11855.0</v>
      </c>
      <c r="F320" s="10" t="s">
        <v>34</v>
      </c>
      <c r="G320" s="2" t="n">
        <f>8141697240</f>
        <v>8.14169724E9</v>
      </c>
      <c r="H320" s="10" t="s">
        <v>34</v>
      </c>
      <c r="I320" s="2" t="n">
        <f>2104</f>
        <v>2104.0</v>
      </c>
      <c r="J320" s="10"/>
      <c r="K320" s="2" t="n">
        <f>41898</f>
        <v>41898.0</v>
      </c>
    </row>
    <row r="321">
      <c r="A321" s="8" t="s">
        <v>35</v>
      </c>
      <c r="B321" s="9" t="s">
        <v>69</v>
      </c>
      <c r="C321" s="9" t="s">
        <v>70</v>
      </c>
      <c r="D321" s="10"/>
      <c r="E321" s="2" t="n">
        <f>10134</f>
        <v>10134.0</v>
      </c>
      <c r="F321" s="10"/>
      <c r="G321" s="2" t="n">
        <f>6965991880</f>
        <v>6.96599188E9</v>
      </c>
      <c r="H321" s="10"/>
      <c r="I321" s="2" t="n">
        <f>952</f>
        <v>952.0</v>
      </c>
      <c r="J321" s="10"/>
      <c r="K321" s="2" t="n">
        <f>40600</f>
        <v>40600.0</v>
      </c>
    </row>
    <row r="322">
      <c r="A322" s="8" t="s">
        <v>36</v>
      </c>
      <c r="B322" s="9" t="s">
        <v>69</v>
      </c>
      <c r="C322" s="9" t="s">
        <v>70</v>
      </c>
      <c r="D322" s="10"/>
      <c r="E322" s="2" t="n">
        <f>8137</f>
        <v>8137.0</v>
      </c>
      <c r="F322" s="10"/>
      <c r="G322" s="2" t="n">
        <f>5606419760</f>
        <v>5.60641976E9</v>
      </c>
      <c r="H322" s="10"/>
      <c r="I322" s="2" t="n">
        <f>1061</f>
        <v>1061.0</v>
      </c>
      <c r="J322" s="10"/>
      <c r="K322" s="2" t="n">
        <f>41575</f>
        <v>41575.0</v>
      </c>
    </row>
    <row r="323">
      <c r="A323" s="8" t="s">
        <v>37</v>
      </c>
      <c r="B323" s="9" t="s">
        <v>69</v>
      </c>
      <c r="C323" s="9" t="s">
        <v>70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38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39</v>
      </c>
      <c r="B325" s="9" t="s">
        <v>69</v>
      </c>
      <c r="C325" s="9" t="s">
        <v>70</v>
      </c>
      <c r="D325" s="10"/>
      <c r="E325" s="2" t="n">
        <f>8285</f>
        <v>8285.0</v>
      </c>
      <c r="F325" s="10"/>
      <c r="G325" s="2" t="n">
        <f>5820624080</f>
        <v>5.82062408E9</v>
      </c>
      <c r="H325" s="10"/>
      <c r="I325" s="2" t="n">
        <f>748</f>
        <v>748.0</v>
      </c>
      <c r="J325" s="10"/>
      <c r="K325" s="2" t="n">
        <f>41148</f>
        <v>41148.0</v>
      </c>
    </row>
    <row r="326">
      <c r="A326" s="8" t="s">
        <v>40</v>
      </c>
      <c r="B326" s="9" t="s">
        <v>69</v>
      </c>
      <c r="C326" s="9" t="s">
        <v>70</v>
      </c>
      <c r="D326" s="10"/>
      <c r="E326" s="2" t="n">
        <f>9629</f>
        <v>9629.0</v>
      </c>
      <c r="F326" s="10"/>
      <c r="G326" s="2" t="n">
        <f>6902734720</f>
        <v>6.90273472E9</v>
      </c>
      <c r="H326" s="10"/>
      <c r="I326" s="2" t="n">
        <f>731</f>
        <v>731.0</v>
      </c>
      <c r="J326" s="10"/>
      <c r="K326" s="2" t="n">
        <f>41202</f>
        <v>41202.0</v>
      </c>
    </row>
    <row r="327">
      <c r="A327" s="8" t="s">
        <v>41</v>
      </c>
      <c r="B327" s="9" t="s">
        <v>69</v>
      </c>
      <c r="C327" s="9" t="s">
        <v>70</v>
      </c>
      <c r="D327" s="10"/>
      <c r="E327" s="2" t="n">
        <f>8810</f>
        <v>8810.0</v>
      </c>
      <c r="F327" s="10"/>
      <c r="G327" s="2" t="n">
        <f>6291329560</f>
        <v>6.29132956E9</v>
      </c>
      <c r="H327" s="10"/>
      <c r="I327" s="2" t="n">
        <f>1525</f>
        <v>1525.0</v>
      </c>
      <c r="J327" s="10"/>
      <c r="K327" s="2" t="n">
        <f>41226</f>
        <v>41226.0</v>
      </c>
    </row>
    <row r="328">
      <c r="A328" s="8" t="s">
        <v>42</v>
      </c>
      <c r="B328" s="9" t="s">
        <v>69</v>
      </c>
      <c r="C328" s="9" t="s">
        <v>70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43</v>
      </c>
      <c r="B329" s="9" t="s">
        <v>69</v>
      </c>
      <c r="C329" s="9" t="s">
        <v>70</v>
      </c>
      <c r="D329" s="10"/>
      <c r="E329" s="2" t="n">
        <f>5953</f>
        <v>5953.0</v>
      </c>
      <c r="F329" s="10"/>
      <c r="G329" s="2" t="n">
        <f>4260336480</f>
        <v>4.26033648E9</v>
      </c>
      <c r="H329" s="10" t="s">
        <v>25</v>
      </c>
      <c r="I329" s="2" t="n">
        <f>287</f>
        <v>287.0</v>
      </c>
      <c r="J329" s="10"/>
      <c r="K329" s="2" t="n">
        <f>41681</f>
        <v>41681.0</v>
      </c>
    </row>
    <row r="330">
      <c r="A330" s="8" t="s">
        <v>44</v>
      </c>
      <c r="B330" s="9" t="s">
        <v>69</v>
      </c>
      <c r="C330" s="9" t="s">
        <v>70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45</v>
      </c>
      <c r="B331" s="9" t="s">
        <v>69</v>
      </c>
      <c r="C331" s="9" t="s">
        <v>70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46</v>
      </c>
      <c r="B332" s="9" t="s">
        <v>69</v>
      </c>
      <c r="C332" s="9" t="s">
        <v>70</v>
      </c>
      <c r="D332" s="10"/>
      <c r="E332" s="2" t="n">
        <f>5791</f>
        <v>5791.0</v>
      </c>
      <c r="F332" s="10"/>
      <c r="G332" s="2" t="n">
        <f>4127200390</f>
        <v>4.12720039E9</v>
      </c>
      <c r="H332" s="10"/>
      <c r="I332" s="2" t="n">
        <f>497</f>
        <v>497.0</v>
      </c>
      <c r="J332" s="10"/>
      <c r="K332" s="2" t="n">
        <f>42422</f>
        <v>42422.0</v>
      </c>
    </row>
    <row r="333">
      <c r="A333" s="8" t="s">
        <v>47</v>
      </c>
      <c r="B333" s="9" t="s">
        <v>69</v>
      </c>
      <c r="C333" s="9" t="s">
        <v>70</v>
      </c>
      <c r="D333" s="10" t="s">
        <v>25</v>
      </c>
      <c r="E333" s="2" t="n">
        <f>4619</f>
        <v>4619.0</v>
      </c>
      <c r="F333" s="10" t="s">
        <v>25</v>
      </c>
      <c r="G333" s="2" t="n">
        <f>3263881720</f>
        <v>3.26388172E9</v>
      </c>
      <c r="H333" s="10"/>
      <c r="I333" s="2" t="n">
        <f>307</f>
        <v>307.0</v>
      </c>
      <c r="J333" s="10"/>
      <c r="K333" s="2" t="n">
        <f>42656</f>
        <v>42656.0</v>
      </c>
    </row>
    <row r="334">
      <c r="A334" s="8" t="s">
        <v>48</v>
      </c>
      <c r="B334" s="9" t="s">
        <v>69</v>
      </c>
      <c r="C334" s="9" t="s">
        <v>70</v>
      </c>
      <c r="D334" s="10"/>
      <c r="E334" s="2" t="n">
        <f>7881</f>
        <v>7881.0</v>
      </c>
      <c r="F334" s="10"/>
      <c r="G334" s="2" t="n">
        <f>5624239320</f>
        <v>5.62423932E9</v>
      </c>
      <c r="H334" s="10"/>
      <c r="I334" s="2" t="n">
        <f>336</f>
        <v>336.0</v>
      </c>
      <c r="J334" s="10"/>
      <c r="K334" s="2" t="n">
        <f>41685</f>
        <v>41685.0</v>
      </c>
    </row>
    <row r="335">
      <c r="A335" s="8" t="s">
        <v>49</v>
      </c>
      <c r="B335" s="9" t="s">
        <v>69</v>
      </c>
      <c r="C335" s="9" t="s">
        <v>70</v>
      </c>
      <c r="D335" s="10"/>
      <c r="E335" s="2" t="n">
        <f>7200</f>
        <v>7200.0</v>
      </c>
      <c r="F335" s="10"/>
      <c r="G335" s="2" t="n">
        <f>5135349520</f>
        <v>5.13534952E9</v>
      </c>
      <c r="H335" s="10"/>
      <c r="I335" s="2" t="n">
        <f>402</f>
        <v>402.0</v>
      </c>
      <c r="J335" s="10"/>
      <c r="K335" s="2" t="n">
        <f>41452</f>
        <v>41452.0</v>
      </c>
    </row>
    <row r="336">
      <c r="A336" s="8" t="s">
        <v>16</v>
      </c>
      <c r="B336" s="9" t="s">
        <v>71</v>
      </c>
      <c r="C336" s="9" t="s">
        <v>72</v>
      </c>
      <c r="D336" s="10" t="s">
        <v>34</v>
      </c>
      <c r="E336" s="2" t="n">
        <f>3567</f>
        <v>3567.0</v>
      </c>
      <c r="F336" s="10" t="s">
        <v>34</v>
      </c>
      <c r="G336" s="2" t="n">
        <f>11782640600</f>
        <v>1.17826406E10</v>
      </c>
      <c r="H336" s="10"/>
      <c r="I336" s="2" t="n">
        <f>43</f>
        <v>43.0</v>
      </c>
      <c r="J336" s="10"/>
      <c r="K336" s="2" t="n">
        <f>10540</f>
        <v>10540.0</v>
      </c>
    </row>
    <row r="337">
      <c r="A337" s="8" t="s">
        <v>19</v>
      </c>
      <c r="B337" s="9" t="s">
        <v>71</v>
      </c>
      <c r="C337" s="9" t="s">
        <v>72</v>
      </c>
      <c r="D337" s="10"/>
      <c r="E337" s="2" t="n">
        <f>1839</f>
        <v>1839.0</v>
      </c>
      <c r="F337" s="10"/>
      <c r="G337" s="2" t="n">
        <f>6108733100</f>
        <v>6.1087331E9</v>
      </c>
      <c r="H337" s="10"/>
      <c r="I337" s="2" t="n">
        <f>25</f>
        <v>25.0</v>
      </c>
      <c r="J337" s="10"/>
      <c r="K337" s="2" t="n">
        <f>10387</f>
        <v>10387.0</v>
      </c>
    </row>
    <row r="338">
      <c r="A338" s="8" t="s">
        <v>20</v>
      </c>
      <c r="B338" s="9" t="s">
        <v>71</v>
      </c>
      <c r="C338" s="9" t="s">
        <v>72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21</v>
      </c>
      <c r="B339" s="9" t="s">
        <v>71</v>
      </c>
      <c r="C339" s="9" t="s">
        <v>72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22</v>
      </c>
      <c r="B340" s="9" t="s">
        <v>71</v>
      </c>
      <c r="C340" s="9" t="s">
        <v>72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23</v>
      </c>
      <c r="B341" s="9" t="s">
        <v>71</v>
      </c>
      <c r="C341" s="9" t="s">
        <v>72</v>
      </c>
      <c r="D341" s="10"/>
      <c r="E341" s="2" t="n">
        <f>2448</f>
        <v>2448.0</v>
      </c>
      <c r="F341" s="10"/>
      <c r="G341" s="2" t="n">
        <f>8247289000</f>
        <v>8.247289E9</v>
      </c>
      <c r="H341" s="10"/>
      <c r="I341" s="2" t="n">
        <f>88</f>
        <v>88.0</v>
      </c>
      <c r="J341" s="10"/>
      <c r="K341" s="2" t="n">
        <f>10402</f>
        <v>10402.0</v>
      </c>
    </row>
    <row r="342">
      <c r="A342" s="8" t="s">
        <v>24</v>
      </c>
      <c r="B342" s="9" t="s">
        <v>71</v>
      </c>
      <c r="C342" s="9" t="s">
        <v>72</v>
      </c>
      <c r="D342" s="10"/>
      <c r="E342" s="2" t="n">
        <f>553</f>
        <v>553.0</v>
      </c>
      <c r="F342" s="10"/>
      <c r="G342" s="2" t="n">
        <f>1887826300</f>
        <v>1.8878263E9</v>
      </c>
      <c r="H342" s="10"/>
      <c r="I342" s="2" t="n">
        <f>13</f>
        <v>13.0</v>
      </c>
      <c r="J342" s="10"/>
      <c r="K342" s="2" t="n">
        <f>10484</f>
        <v>10484.0</v>
      </c>
    </row>
    <row r="343">
      <c r="A343" s="8" t="s">
        <v>26</v>
      </c>
      <c r="B343" s="9" t="s">
        <v>71</v>
      </c>
      <c r="C343" s="9" t="s">
        <v>72</v>
      </c>
      <c r="D343" s="10"/>
      <c r="E343" s="2" t="n">
        <f>816</f>
        <v>816.0</v>
      </c>
      <c r="F343" s="10"/>
      <c r="G343" s="2" t="n">
        <f>2786974600</f>
        <v>2.7869746E9</v>
      </c>
      <c r="H343" s="10"/>
      <c r="I343" s="2" t="n">
        <f>22</f>
        <v>22.0</v>
      </c>
      <c r="J343" s="10"/>
      <c r="K343" s="2" t="n">
        <f>10559</f>
        <v>10559.0</v>
      </c>
    </row>
    <row r="344">
      <c r="A344" s="8" t="s">
        <v>27</v>
      </c>
      <c r="B344" s="9" t="s">
        <v>71</v>
      </c>
      <c r="C344" s="9" t="s">
        <v>72</v>
      </c>
      <c r="D344" s="10"/>
      <c r="E344" s="2" t="n">
        <f>679</f>
        <v>679.0</v>
      </c>
      <c r="F344" s="10"/>
      <c r="G344" s="2" t="n">
        <f>2321315900</f>
        <v>2.3213159E9</v>
      </c>
      <c r="H344" s="10"/>
      <c r="I344" s="2" t="n">
        <f>26</f>
        <v>26.0</v>
      </c>
      <c r="J344" s="10"/>
      <c r="K344" s="2" t="n">
        <f>10638</f>
        <v>10638.0</v>
      </c>
    </row>
    <row r="345">
      <c r="A345" s="8" t="s">
        <v>28</v>
      </c>
      <c r="B345" s="9" t="s">
        <v>71</v>
      </c>
      <c r="C345" s="9" t="s">
        <v>72</v>
      </c>
      <c r="D345" s="10"/>
      <c r="E345" s="2" t="n">
        <f>1073</f>
        <v>1073.0</v>
      </c>
      <c r="F345" s="10"/>
      <c r="G345" s="2" t="n">
        <f>3656765400</f>
        <v>3.6567654E9</v>
      </c>
      <c r="H345" s="10"/>
      <c r="I345" s="2" t="n">
        <f>16</f>
        <v>16.0</v>
      </c>
      <c r="J345" s="10" t="s">
        <v>34</v>
      </c>
      <c r="K345" s="2" t="n">
        <f>10717</f>
        <v>10717.0</v>
      </c>
    </row>
    <row r="346">
      <c r="A346" s="8" t="s">
        <v>29</v>
      </c>
      <c r="B346" s="9" t="s">
        <v>71</v>
      </c>
      <c r="C346" s="9" t="s">
        <v>72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30</v>
      </c>
      <c r="B347" s="9" t="s">
        <v>71</v>
      </c>
      <c r="C347" s="9" t="s">
        <v>72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31</v>
      </c>
      <c r="B348" s="9" t="s">
        <v>71</v>
      </c>
      <c r="C348" s="9" t="s">
        <v>72</v>
      </c>
      <c r="D348" s="10"/>
      <c r="E348" s="2" t="n">
        <f>1461</f>
        <v>1461.0</v>
      </c>
      <c r="F348" s="10"/>
      <c r="G348" s="2" t="n">
        <f>4984094700</f>
        <v>4.9840947E9</v>
      </c>
      <c r="H348" s="10"/>
      <c r="I348" s="2" t="n">
        <f>12</f>
        <v>12.0</v>
      </c>
      <c r="J348" s="10"/>
      <c r="K348" s="2" t="n">
        <f>10684</f>
        <v>10684.0</v>
      </c>
    </row>
    <row r="349">
      <c r="A349" s="8" t="s">
        <v>32</v>
      </c>
      <c r="B349" s="9" t="s">
        <v>71</v>
      </c>
      <c r="C349" s="9" t="s">
        <v>72</v>
      </c>
      <c r="D349" s="10"/>
      <c r="E349" s="2" t="n">
        <f>906</f>
        <v>906.0</v>
      </c>
      <c r="F349" s="10"/>
      <c r="G349" s="2" t="n">
        <f>3110230900</f>
        <v>3.1102309E9</v>
      </c>
      <c r="H349" s="10"/>
      <c r="I349" s="2" t="n">
        <f>6</f>
        <v>6.0</v>
      </c>
      <c r="J349" s="10"/>
      <c r="K349" s="2" t="n">
        <f>10672</f>
        <v>10672.0</v>
      </c>
    </row>
    <row r="350">
      <c r="A350" s="8" t="s">
        <v>33</v>
      </c>
      <c r="B350" s="9" t="s">
        <v>71</v>
      </c>
      <c r="C350" s="9" t="s">
        <v>72</v>
      </c>
      <c r="D350" s="10"/>
      <c r="E350" s="2" t="n">
        <f>2331</f>
        <v>2331.0</v>
      </c>
      <c r="F350" s="10"/>
      <c r="G350" s="2" t="n">
        <f>8111004000</f>
        <v>8.111004E9</v>
      </c>
      <c r="H350" s="10"/>
      <c r="I350" s="2" t="n">
        <f>8</f>
        <v>8.0</v>
      </c>
      <c r="J350" s="10"/>
      <c r="K350" s="2" t="n">
        <f>10451</f>
        <v>10451.0</v>
      </c>
    </row>
    <row r="351">
      <c r="A351" s="8" t="s">
        <v>35</v>
      </c>
      <c r="B351" s="9" t="s">
        <v>71</v>
      </c>
      <c r="C351" s="9" t="s">
        <v>72</v>
      </c>
      <c r="D351" s="10"/>
      <c r="E351" s="2" t="n">
        <f>849</f>
        <v>849.0</v>
      </c>
      <c r="F351" s="10"/>
      <c r="G351" s="2" t="n">
        <f>2971012100</f>
        <v>2.9710121E9</v>
      </c>
      <c r="H351" s="10"/>
      <c r="I351" s="2" t="n">
        <f>3</f>
        <v>3.0</v>
      </c>
      <c r="J351" s="10"/>
      <c r="K351" s="2" t="n">
        <f>10400</f>
        <v>10400.0</v>
      </c>
    </row>
    <row r="352">
      <c r="A352" s="8" t="s">
        <v>36</v>
      </c>
      <c r="B352" s="9" t="s">
        <v>71</v>
      </c>
      <c r="C352" s="9" t="s">
        <v>72</v>
      </c>
      <c r="D352" s="10"/>
      <c r="E352" s="2" t="n">
        <f>714</f>
        <v>714.0</v>
      </c>
      <c r="F352" s="10"/>
      <c r="G352" s="2" t="n">
        <f>2498433500</f>
        <v>2.4984335E9</v>
      </c>
      <c r="H352" s="10"/>
      <c r="I352" s="2" t="n">
        <f>7</f>
        <v>7.0</v>
      </c>
      <c r="J352" s="10"/>
      <c r="K352" s="2" t="n">
        <f>10412</f>
        <v>10412.0</v>
      </c>
    </row>
    <row r="353">
      <c r="A353" s="8" t="s">
        <v>37</v>
      </c>
      <c r="B353" s="9" t="s">
        <v>71</v>
      </c>
      <c r="C353" s="9" t="s">
        <v>72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38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39</v>
      </c>
      <c r="B355" s="9" t="s">
        <v>71</v>
      </c>
      <c r="C355" s="9" t="s">
        <v>72</v>
      </c>
      <c r="D355" s="10"/>
      <c r="E355" s="2" t="n">
        <f>623</f>
        <v>623.0</v>
      </c>
      <c r="F355" s="10"/>
      <c r="G355" s="2" t="n">
        <f>2182473900</f>
        <v>2.1824739E9</v>
      </c>
      <c r="H355" s="10"/>
      <c r="I355" s="2" t="n">
        <f>5</f>
        <v>5.0</v>
      </c>
      <c r="J355" s="10"/>
      <c r="K355" s="2" t="n">
        <f>10408</f>
        <v>10408.0</v>
      </c>
    </row>
    <row r="356">
      <c r="A356" s="8" t="s">
        <v>40</v>
      </c>
      <c r="B356" s="9" t="s">
        <v>71</v>
      </c>
      <c r="C356" s="9" t="s">
        <v>72</v>
      </c>
      <c r="D356" s="10"/>
      <c r="E356" s="2" t="n">
        <f>572</f>
        <v>572.0</v>
      </c>
      <c r="F356" s="10"/>
      <c r="G356" s="2" t="n">
        <f>2008022000</f>
        <v>2.008022E9</v>
      </c>
      <c r="H356" s="10"/>
      <c r="I356" s="2" t="n">
        <f>21</f>
        <v>21.0</v>
      </c>
      <c r="J356" s="10"/>
      <c r="K356" s="2" t="n">
        <f>10476</f>
        <v>10476.0</v>
      </c>
    </row>
    <row r="357">
      <c r="A357" s="8" t="s">
        <v>41</v>
      </c>
      <c r="B357" s="9" t="s">
        <v>71</v>
      </c>
      <c r="C357" s="9" t="s">
        <v>72</v>
      </c>
      <c r="D357" s="10"/>
      <c r="E357" s="2" t="n">
        <f>525</f>
        <v>525.0</v>
      </c>
      <c r="F357" s="10"/>
      <c r="G357" s="2" t="n">
        <f>1845444700</f>
        <v>1.8454447E9</v>
      </c>
      <c r="H357" s="10"/>
      <c r="I357" s="2" t="n">
        <f>4</f>
        <v>4.0</v>
      </c>
      <c r="J357" s="10"/>
      <c r="K357" s="2" t="n">
        <f>10398</f>
        <v>10398.0</v>
      </c>
    </row>
    <row r="358">
      <c r="A358" s="8" t="s">
        <v>42</v>
      </c>
      <c r="B358" s="9" t="s">
        <v>71</v>
      </c>
      <c r="C358" s="9" t="s">
        <v>72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43</v>
      </c>
      <c r="B359" s="9" t="s">
        <v>71</v>
      </c>
      <c r="C359" s="9" t="s">
        <v>72</v>
      </c>
      <c r="D359" s="10"/>
      <c r="E359" s="2" t="n">
        <f>905</f>
        <v>905.0</v>
      </c>
      <c r="F359" s="10"/>
      <c r="G359" s="2" t="n">
        <f>3191881200</f>
        <v>3.1918812E9</v>
      </c>
      <c r="H359" s="10"/>
      <c r="I359" s="2" t="n">
        <f>27</f>
        <v>27.0</v>
      </c>
      <c r="J359" s="10"/>
      <c r="K359" s="2" t="n">
        <f>10323</f>
        <v>10323.0</v>
      </c>
    </row>
    <row r="360">
      <c r="A360" s="8" t="s">
        <v>44</v>
      </c>
      <c r="B360" s="9" t="s">
        <v>71</v>
      </c>
      <c r="C360" s="9" t="s">
        <v>72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45</v>
      </c>
      <c r="B361" s="9" t="s">
        <v>71</v>
      </c>
      <c r="C361" s="9" t="s">
        <v>72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46</v>
      </c>
      <c r="B362" s="9" t="s">
        <v>71</v>
      </c>
      <c r="C362" s="9" t="s">
        <v>72</v>
      </c>
      <c r="D362" s="10"/>
      <c r="E362" s="2" t="n">
        <f>418</f>
        <v>418.0</v>
      </c>
      <c r="F362" s="10"/>
      <c r="G362" s="2" t="n">
        <f>1479101500</f>
        <v>1.4791015E9</v>
      </c>
      <c r="H362" s="10" t="s">
        <v>25</v>
      </c>
      <c r="I362" s="2" t="n">
        <f>1</f>
        <v>1.0</v>
      </c>
      <c r="J362" s="10"/>
      <c r="K362" s="2" t="n">
        <f>10354</f>
        <v>10354.0</v>
      </c>
    </row>
    <row r="363">
      <c r="A363" s="8" t="s">
        <v>47</v>
      </c>
      <c r="B363" s="9" t="s">
        <v>71</v>
      </c>
      <c r="C363" s="9" t="s">
        <v>72</v>
      </c>
      <c r="D363" s="10" t="s">
        <v>25</v>
      </c>
      <c r="E363" s="2" t="n">
        <f>250</f>
        <v>250.0</v>
      </c>
      <c r="F363" s="10" t="s">
        <v>25</v>
      </c>
      <c r="G363" s="2" t="n">
        <f>884810700</f>
        <v>8.848107E8</v>
      </c>
      <c r="H363" s="10"/>
      <c r="I363" s="2" t="n">
        <f>1</f>
        <v>1.0</v>
      </c>
      <c r="J363" s="10"/>
      <c r="K363" s="2" t="n">
        <f>10416</f>
        <v>10416.0</v>
      </c>
    </row>
    <row r="364">
      <c r="A364" s="8" t="s">
        <v>48</v>
      </c>
      <c r="B364" s="9" t="s">
        <v>71</v>
      </c>
      <c r="C364" s="9" t="s">
        <v>72</v>
      </c>
      <c r="D364" s="10"/>
      <c r="E364" s="2" t="n">
        <f>1478</f>
        <v>1478.0</v>
      </c>
      <c r="F364" s="10"/>
      <c r="G364" s="2" t="n">
        <f>5242069600</f>
        <v>5.2420696E9</v>
      </c>
      <c r="H364" s="10"/>
      <c r="I364" s="2" t="n">
        <f>48</f>
        <v>48.0</v>
      </c>
      <c r="J364" s="10"/>
      <c r="K364" s="2" t="n">
        <f>10038</f>
        <v>10038.0</v>
      </c>
    </row>
    <row r="365">
      <c r="A365" s="8" t="s">
        <v>49</v>
      </c>
      <c r="B365" s="9" t="s">
        <v>71</v>
      </c>
      <c r="C365" s="9" t="s">
        <v>72</v>
      </c>
      <c r="D365" s="10"/>
      <c r="E365" s="2" t="n">
        <f>1216</f>
        <v>1216.0</v>
      </c>
      <c r="F365" s="10"/>
      <c r="G365" s="2" t="n">
        <f>4326113600</f>
        <v>4.3261136E9</v>
      </c>
      <c r="H365" s="10" t="s">
        <v>34</v>
      </c>
      <c r="I365" s="2" t="n">
        <f>91</f>
        <v>91.0</v>
      </c>
      <c r="J365" s="10" t="s">
        <v>25</v>
      </c>
      <c r="K365" s="2" t="n">
        <f>9597</f>
        <v>9597.0</v>
      </c>
    </row>
    <row r="366">
      <c r="A366" s="8" t="s">
        <v>16</v>
      </c>
      <c r="B366" s="9" t="s">
        <v>73</v>
      </c>
      <c r="C366" s="9" t="s">
        <v>74</v>
      </c>
      <c r="D366" s="10" t="s">
        <v>54</v>
      </c>
      <c r="E366" s="2" t="str">
        <f>"－"</f>
        <v>－</v>
      </c>
      <c r="F366" s="10" t="s">
        <v>54</v>
      </c>
      <c r="G366" s="2" t="str">
        <f>"－"</f>
        <v>－</v>
      </c>
      <c r="H366" s="10" t="s">
        <v>54</v>
      </c>
      <c r="I366" s="2" t="str">
        <f>"－"</f>
        <v>－</v>
      </c>
      <c r="J366" s="10" t="s">
        <v>54</v>
      </c>
      <c r="K366" s="2" t="str">
        <f>"－"</f>
        <v>－</v>
      </c>
    </row>
    <row r="367">
      <c r="A367" s="8" t="s">
        <v>19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20</v>
      </c>
      <c r="B368" s="9" t="s">
        <v>73</v>
      </c>
      <c r="C368" s="9" t="s">
        <v>74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21</v>
      </c>
      <c r="B369" s="9" t="s">
        <v>73</v>
      </c>
      <c r="C369" s="9" t="s">
        <v>74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22</v>
      </c>
      <c r="B370" s="9" t="s">
        <v>73</v>
      </c>
      <c r="C370" s="9" t="s">
        <v>74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23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24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29</v>
      </c>
      <c r="B376" s="9" t="s">
        <v>73</v>
      </c>
      <c r="C376" s="9" t="s">
        <v>74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30</v>
      </c>
      <c r="B377" s="9" t="s">
        <v>73</v>
      </c>
      <c r="C377" s="9" t="s">
        <v>74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31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str">
        <f>"－"</f>
        <v>－</v>
      </c>
    </row>
    <row r="379">
      <c r="A379" s="8" t="s">
        <v>32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33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37</v>
      </c>
      <c r="B383" s="9" t="s">
        <v>73</v>
      </c>
      <c r="C383" s="9" t="s">
        <v>74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38</v>
      </c>
      <c r="B384" s="9" t="s">
        <v>73</v>
      </c>
      <c r="C384" s="9" t="s">
        <v>74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39</v>
      </c>
      <c r="B385" s="9" t="s">
        <v>73</v>
      </c>
      <c r="C385" s="9" t="s">
        <v>74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43</v>
      </c>
      <c r="B389" s="9" t="s">
        <v>73</v>
      </c>
      <c r="C389" s="9" t="s">
        <v>74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44</v>
      </c>
      <c r="B390" s="9" t="s">
        <v>73</v>
      </c>
      <c r="C390" s="9" t="s">
        <v>74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45</v>
      </c>
      <c r="B391" s="9" t="s">
        <v>73</v>
      </c>
      <c r="C391" s="9" t="s">
        <v>74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46</v>
      </c>
      <c r="B392" s="9" t="s">
        <v>73</v>
      </c>
      <c r="C392" s="9" t="s">
        <v>74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54</v>
      </c>
      <c r="E396" s="2" t="str">
        <f>"－"</f>
        <v>－</v>
      </c>
      <c r="F396" s="10" t="s">
        <v>54</v>
      </c>
      <c r="G396" s="2" t="str">
        <f>"－"</f>
        <v>－</v>
      </c>
      <c r="H396" s="10" t="s">
        <v>54</v>
      </c>
      <c r="I396" s="2" t="str">
        <f>"－"</f>
        <v>－</v>
      </c>
      <c r="J396" s="10" t="s">
        <v>54</v>
      </c>
      <c r="K396" s="2" t="str">
        <f>"－"</f>
        <v>－</v>
      </c>
    </row>
    <row r="397">
      <c r="A397" s="8" t="s">
        <v>19</v>
      </c>
      <c r="B397" s="9" t="s">
        <v>75</v>
      </c>
      <c r="C397" s="9" t="s">
        <v>76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20</v>
      </c>
      <c r="B398" s="9" t="s">
        <v>75</v>
      </c>
      <c r="C398" s="9" t="s">
        <v>76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21</v>
      </c>
      <c r="B399" s="9" t="s">
        <v>75</v>
      </c>
      <c r="C399" s="9" t="s">
        <v>76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22</v>
      </c>
      <c r="B400" s="9" t="s">
        <v>75</v>
      </c>
      <c r="C400" s="9" t="s">
        <v>76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23</v>
      </c>
      <c r="B401" s="9" t="s">
        <v>75</v>
      </c>
      <c r="C401" s="9" t="s">
        <v>76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24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26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27</v>
      </c>
      <c r="B404" s="9" t="s">
        <v>75</v>
      </c>
      <c r="C404" s="9" t="s">
        <v>76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28</v>
      </c>
      <c r="B405" s="9" t="s">
        <v>75</v>
      </c>
      <c r="C405" s="9" t="s">
        <v>76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29</v>
      </c>
      <c r="B406" s="9" t="s">
        <v>75</v>
      </c>
      <c r="C406" s="9" t="s">
        <v>76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30</v>
      </c>
      <c r="B407" s="9" t="s">
        <v>75</v>
      </c>
      <c r="C407" s="9" t="s">
        <v>76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31</v>
      </c>
      <c r="B408" s="9" t="s">
        <v>75</v>
      </c>
      <c r="C408" s="9" t="s">
        <v>76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32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str">
        <f>"－"</f>
        <v>－</v>
      </c>
    </row>
    <row r="410">
      <c r="A410" s="8" t="s">
        <v>33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str">
        <f>"－"</f>
        <v>－</v>
      </c>
    </row>
    <row r="411">
      <c r="A411" s="8" t="s">
        <v>35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str">
        <f>"－"</f>
        <v>－</v>
      </c>
    </row>
    <row r="412">
      <c r="A412" s="8" t="s">
        <v>36</v>
      </c>
      <c r="B412" s="9" t="s">
        <v>75</v>
      </c>
      <c r="C412" s="9" t="s">
        <v>76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str">
        <f>"－"</f>
        <v>－</v>
      </c>
    </row>
    <row r="413">
      <c r="A413" s="8" t="s">
        <v>37</v>
      </c>
      <c r="B413" s="9" t="s">
        <v>75</v>
      </c>
      <c r="C413" s="9" t="s">
        <v>76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38</v>
      </c>
      <c r="B414" s="9" t="s">
        <v>75</v>
      </c>
      <c r="C414" s="9" t="s">
        <v>76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39</v>
      </c>
      <c r="B415" s="9" t="s">
        <v>75</v>
      </c>
      <c r="C415" s="9" t="s">
        <v>76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str">
        <f>"－"</f>
        <v>－</v>
      </c>
    </row>
    <row r="416">
      <c r="A416" s="8" t="s">
        <v>40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str">
        <f>"－"</f>
        <v>－</v>
      </c>
    </row>
    <row r="417">
      <c r="A417" s="8" t="s">
        <v>41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str">
        <f>"－"</f>
        <v>－</v>
      </c>
    </row>
    <row r="418">
      <c r="A418" s="8" t="s">
        <v>42</v>
      </c>
      <c r="B418" s="9" t="s">
        <v>75</v>
      </c>
      <c r="C418" s="9" t="s">
        <v>76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43</v>
      </c>
      <c r="B419" s="9" t="s">
        <v>75</v>
      </c>
      <c r="C419" s="9" t="s">
        <v>76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str">
        <f>"－"</f>
        <v>－</v>
      </c>
    </row>
    <row r="420">
      <c r="A420" s="8" t="s">
        <v>44</v>
      </c>
      <c r="B420" s="9" t="s">
        <v>75</v>
      </c>
      <c r="C420" s="9" t="s">
        <v>76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45</v>
      </c>
      <c r="B421" s="9" t="s">
        <v>75</v>
      </c>
      <c r="C421" s="9" t="s">
        <v>76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46</v>
      </c>
      <c r="B422" s="9" t="s">
        <v>75</v>
      </c>
      <c r="C422" s="9" t="s">
        <v>76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str">
        <f>"－"</f>
        <v>－</v>
      </c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str">
        <f>"－"</f>
        <v>－</v>
      </c>
    </row>
    <row r="424">
      <c r="A424" s="8" t="s">
        <v>48</v>
      </c>
      <c r="B424" s="9" t="s">
        <v>75</v>
      </c>
      <c r="C424" s="9" t="s">
        <v>76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str">
        <f>"－"</f>
        <v>－</v>
      </c>
    </row>
    <row r="425">
      <c r="A425" s="8" t="s">
        <v>49</v>
      </c>
      <c r="B425" s="9" t="s">
        <v>75</v>
      </c>
      <c r="C425" s="9" t="s">
        <v>76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str">
        <f>"－"</f>
        <v>－</v>
      </c>
    </row>
    <row r="426">
      <c r="A426" s="8" t="s">
        <v>16</v>
      </c>
      <c r="B426" s="9" t="s">
        <v>77</v>
      </c>
      <c r="C426" s="9" t="s">
        <v>78</v>
      </c>
      <c r="D426" s="10" t="s">
        <v>25</v>
      </c>
      <c r="E426" s="2" t="str">
        <f>"－"</f>
        <v>－</v>
      </c>
      <c r="F426" s="10" t="s">
        <v>25</v>
      </c>
      <c r="G426" s="2" t="str">
        <f>"－"</f>
        <v>－</v>
      </c>
      <c r="H426" s="10" t="s">
        <v>54</v>
      </c>
      <c r="I426" s="2" t="str">
        <f>"－"</f>
        <v>－</v>
      </c>
      <c r="J426" s="10" t="s">
        <v>25</v>
      </c>
      <c r="K426" s="2" t="n">
        <f>13488</f>
        <v>13488.0</v>
      </c>
    </row>
    <row r="427">
      <c r="A427" s="8" t="s">
        <v>19</v>
      </c>
      <c r="B427" s="9" t="s">
        <v>77</v>
      </c>
      <c r="C427" s="9" t="s">
        <v>78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13488</f>
        <v>13488.0</v>
      </c>
    </row>
    <row r="428">
      <c r="A428" s="8" t="s">
        <v>20</v>
      </c>
      <c r="B428" s="9" t="s">
        <v>77</v>
      </c>
      <c r="C428" s="9" t="s">
        <v>78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21</v>
      </c>
      <c r="B429" s="9" t="s">
        <v>77</v>
      </c>
      <c r="C429" s="9" t="s">
        <v>78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22</v>
      </c>
      <c r="B430" s="9" t="s">
        <v>77</v>
      </c>
      <c r="C430" s="9" t="s">
        <v>78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23</v>
      </c>
      <c r="B431" s="9" t="s">
        <v>77</v>
      </c>
      <c r="C431" s="9" t="s">
        <v>78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n">
        <f>13488</f>
        <v>13488.0</v>
      </c>
    </row>
    <row r="432">
      <c r="A432" s="8" t="s">
        <v>24</v>
      </c>
      <c r="B432" s="9" t="s">
        <v>77</v>
      </c>
      <c r="C432" s="9" t="s">
        <v>78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13488</f>
        <v>13488.0</v>
      </c>
    </row>
    <row r="433">
      <c r="A433" s="8" t="s">
        <v>26</v>
      </c>
      <c r="B433" s="9" t="s">
        <v>77</v>
      </c>
      <c r="C433" s="9" t="s">
        <v>78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13488</f>
        <v>13488.0</v>
      </c>
    </row>
    <row r="434">
      <c r="A434" s="8" t="s">
        <v>27</v>
      </c>
      <c r="B434" s="9" t="s">
        <v>77</v>
      </c>
      <c r="C434" s="9" t="s">
        <v>78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13488</f>
        <v>13488.0</v>
      </c>
    </row>
    <row r="435">
      <c r="A435" s="8" t="s">
        <v>28</v>
      </c>
      <c r="B435" s="9" t="s">
        <v>77</v>
      </c>
      <c r="C435" s="9" t="s">
        <v>78</v>
      </c>
      <c r="D435" s="10" t="s">
        <v>34</v>
      </c>
      <c r="E435" s="2" t="n">
        <f>10</f>
        <v>10.0</v>
      </c>
      <c r="F435" s="10" t="s">
        <v>34</v>
      </c>
      <c r="G435" s="2" t="n">
        <f>6305000</f>
        <v>6305000.0</v>
      </c>
      <c r="H435" s="10"/>
      <c r="I435" s="2" t="str">
        <f>"－"</f>
        <v>－</v>
      </c>
      <c r="J435" s="10" t="s">
        <v>34</v>
      </c>
      <c r="K435" s="2" t="n">
        <f>13498</f>
        <v>13498.0</v>
      </c>
    </row>
    <row r="436">
      <c r="A436" s="8" t="s">
        <v>29</v>
      </c>
      <c r="B436" s="9" t="s">
        <v>77</v>
      </c>
      <c r="C436" s="9" t="s">
        <v>78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30</v>
      </c>
      <c r="B437" s="9" t="s">
        <v>77</v>
      </c>
      <c r="C437" s="9" t="s">
        <v>78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31</v>
      </c>
      <c r="B438" s="9" t="s">
        <v>77</v>
      </c>
      <c r="C438" s="9" t="s">
        <v>78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13498</f>
        <v>13498.0</v>
      </c>
    </row>
    <row r="439">
      <c r="A439" s="8" t="s">
        <v>32</v>
      </c>
      <c r="B439" s="9" t="s">
        <v>77</v>
      </c>
      <c r="C439" s="9" t="s">
        <v>78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13498</f>
        <v>13498.0</v>
      </c>
    </row>
    <row r="440">
      <c r="A440" s="8" t="s">
        <v>33</v>
      </c>
      <c r="B440" s="9" t="s">
        <v>77</v>
      </c>
      <c r="C440" s="9" t="s">
        <v>78</v>
      </c>
      <c r="D440" s="10"/>
      <c r="E440" s="2" t="str">
        <f>"－"</f>
        <v>－</v>
      </c>
      <c r="F440" s="10"/>
      <c r="G440" s="2" t="str">
        <f>"－"</f>
        <v>－</v>
      </c>
      <c r="H440" s="10"/>
      <c r="I440" s="2" t="str">
        <f>"－"</f>
        <v>－</v>
      </c>
      <c r="J440" s="10"/>
      <c r="K440" s="2" t="n">
        <f>13498</f>
        <v>13498.0</v>
      </c>
    </row>
    <row r="441">
      <c r="A441" s="8" t="s">
        <v>35</v>
      </c>
      <c r="B441" s="9" t="s">
        <v>77</v>
      </c>
      <c r="C441" s="9" t="s">
        <v>78</v>
      </c>
      <c r="D441" s="10"/>
      <c r="E441" s="2" t="str">
        <f>"－"</f>
        <v>－</v>
      </c>
      <c r="F441" s="10"/>
      <c r="G441" s="2" t="str">
        <f>"－"</f>
        <v>－</v>
      </c>
      <c r="H441" s="10"/>
      <c r="I441" s="2" t="str">
        <f>"－"</f>
        <v>－</v>
      </c>
      <c r="J441" s="10"/>
      <c r="K441" s="2" t="n">
        <f>13498</f>
        <v>13498.0</v>
      </c>
    </row>
    <row r="442">
      <c r="A442" s="8" t="s">
        <v>36</v>
      </c>
      <c r="B442" s="9" t="s">
        <v>77</v>
      </c>
      <c r="C442" s="9" t="s">
        <v>78</v>
      </c>
      <c r="D442" s="10"/>
      <c r="E442" s="2" t="str">
        <f>"－"</f>
        <v>－</v>
      </c>
      <c r="F442" s="10"/>
      <c r="G442" s="2" t="str">
        <f>"－"</f>
        <v>－</v>
      </c>
      <c r="H442" s="10"/>
      <c r="I442" s="2" t="str">
        <f>"－"</f>
        <v>－</v>
      </c>
      <c r="J442" s="10"/>
      <c r="K442" s="2" t="n">
        <f>13498</f>
        <v>13498.0</v>
      </c>
    </row>
    <row r="443">
      <c r="A443" s="8" t="s">
        <v>37</v>
      </c>
      <c r="B443" s="9" t="s">
        <v>77</v>
      </c>
      <c r="C443" s="9" t="s">
        <v>78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38</v>
      </c>
      <c r="B444" s="9" t="s">
        <v>77</v>
      </c>
      <c r="C444" s="9" t="s">
        <v>78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39</v>
      </c>
      <c r="B445" s="9" t="s">
        <v>77</v>
      </c>
      <c r="C445" s="9" t="s">
        <v>78</v>
      </c>
      <c r="D445" s="10"/>
      <c r="E445" s="2" t="str">
        <f>"－"</f>
        <v>－</v>
      </c>
      <c r="F445" s="10"/>
      <c r="G445" s="2" t="str">
        <f>"－"</f>
        <v>－</v>
      </c>
      <c r="H445" s="10"/>
      <c r="I445" s="2" t="str">
        <f>"－"</f>
        <v>－</v>
      </c>
      <c r="J445" s="10"/>
      <c r="K445" s="2" t="n">
        <f>13498</f>
        <v>13498.0</v>
      </c>
    </row>
    <row r="446">
      <c r="A446" s="8" t="s">
        <v>40</v>
      </c>
      <c r="B446" s="9" t="s">
        <v>77</v>
      </c>
      <c r="C446" s="9" t="s">
        <v>78</v>
      </c>
      <c r="D446" s="10"/>
      <c r="E446" s="2" t="str">
        <f>"－"</f>
        <v>－</v>
      </c>
      <c r="F446" s="10"/>
      <c r="G446" s="2" t="str">
        <f>"－"</f>
        <v>－</v>
      </c>
      <c r="H446" s="10"/>
      <c r="I446" s="2" t="str">
        <f>"－"</f>
        <v>－</v>
      </c>
      <c r="J446" s="10"/>
      <c r="K446" s="2" t="n">
        <f>13498</f>
        <v>13498.0</v>
      </c>
    </row>
    <row r="447">
      <c r="A447" s="8" t="s">
        <v>41</v>
      </c>
      <c r="B447" s="9" t="s">
        <v>77</v>
      </c>
      <c r="C447" s="9" t="s">
        <v>78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n">
        <f>13498</f>
        <v>13498.0</v>
      </c>
    </row>
    <row r="448">
      <c r="A448" s="8" t="s">
        <v>42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43</v>
      </c>
      <c r="B449" s="9" t="s">
        <v>77</v>
      </c>
      <c r="C449" s="9" t="s">
        <v>78</v>
      </c>
      <c r="D449" s="10"/>
      <c r="E449" s="2" t="str">
        <f>"－"</f>
        <v>－</v>
      </c>
      <c r="F449" s="10"/>
      <c r="G449" s="2" t="str">
        <f>"－"</f>
        <v>－</v>
      </c>
      <c r="H449" s="10"/>
      <c r="I449" s="2" t="str">
        <f>"－"</f>
        <v>－</v>
      </c>
      <c r="J449" s="10"/>
      <c r="K449" s="2" t="n">
        <f>13498</f>
        <v>13498.0</v>
      </c>
    </row>
    <row r="450">
      <c r="A450" s="8" t="s">
        <v>44</v>
      </c>
      <c r="B450" s="9" t="s">
        <v>77</v>
      </c>
      <c r="C450" s="9" t="s">
        <v>78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45</v>
      </c>
      <c r="B451" s="9" t="s">
        <v>77</v>
      </c>
      <c r="C451" s="9" t="s">
        <v>78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46</v>
      </c>
      <c r="B452" s="9" t="s">
        <v>77</v>
      </c>
      <c r="C452" s="9" t="s">
        <v>78</v>
      </c>
      <c r="D452" s="10"/>
      <c r="E452" s="2" t="str">
        <f>"－"</f>
        <v>－</v>
      </c>
      <c r="F452" s="10"/>
      <c r="G452" s="2" t="str">
        <f>"－"</f>
        <v>－</v>
      </c>
      <c r="H452" s="10"/>
      <c r="I452" s="2" t="str">
        <f>"－"</f>
        <v>－</v>
      </c>
      <c r="J452" s="10"/>
      <c r="K452" s="2" t="n">
        <f>13498</f>
        <v>13498.0</v>
      </c>
    </row>
    <row r="453">
      <c r="A453" s="8" t="s">
        <v>47</v>
      </c>
      <c r="B453" s="9" t="s">
        <v>77</v>
      </c>
      <c r="C453" s="9" t="s">
        <v>78</v>
      </c>
      <c r="D453" s="10"/>
      <c r="E453" s="2" t="str">
        <f>"－"</f>
        <v>－</v>
      </c>
      <c r="F453" s="10"/>
      <c r="G453" s="2" t="str">
        <f>"－"</f>
        <v>－</v>
      </c>
      <c r="H453" s="10"/>
      <c r="I453" s="2" t="str">
        <f>"－"</f>
        <v>－</v>
      </c>
      <c r="J453" s="10"/>
      <c r="K453" s="2" t="n">
        <f>13498</f>
        <v>13498.0</v>
      </c>
    </row>
    <row r="454">
      <c r="A454" s="8" t="s">
        <v>48</v>
      </c>
      <c r="B454" s="9" t="s">
        <v>77</v>
      </c>
      <c r="C454" s="9" t="s">
        <v>78</v>
      </c>
      <c r="D454" s="10"/>
      <c r="E454" s="2" t="str">
        <f>"－"</f>
        <v>－</v>
      </c>
      <c r="F454" s="10"/>
      <c r="G454" s="2" t="str">
        <f>"－"</f>
        <v>－</v>
      </c>
      <c r="H454" s="10"/>
      <c r="I454" s="2" t="str">
        <f>"－"</f>
        <v>－</v>
      </c>
      <c r="J454" s="10"/>
      <c r="K454" s="2" t="n">
        <f>13498</f>
        <v>13498.0</v>
      </c>
    </row>
    <row r="455">
      <c r="A455" s="8" t="s">
        <v>49</v>
      </c>
      <c r="B455" s="9" t="s">
        <v>77</v>
      </c>
      <c r="C455" s="9" t="s">
        <v>78</v>
      </c>
      <c r="D455" s="10"/>
      <c r="E455" s="2" t="str">
        <f>"－"</f>
        <v>－</v>
      </c>
      <c r="F455" s="10"/>
      <c r="G455" s="2" t="str">
        <f>"－"</f>
        <v>－</v>
      </c>
      <c r="H455" s="10"/>
      <c r="I455" s="2" t="str">
        <f>"－"</f>
        <v>－</v>
      </c>
      <c r="J455" s="10"/>
      <c r="K455" s="2" t="n">
        <f>13498</f>
        <v>13498.0</v>
      </c>
    </row>
    <row r="456">
      <c r="A456" s="8" t="s">
        <v>16</v>
      </c>
      <c r="B456" s="9" t="s">
        <v>79</v>
      </c>
      <c r="C456" s="9" t="s">
        <v>80</v>
      </c>
      <c r="D456" s="10"/>
      <c r="E456" s="2" t="n">
        <f>6</f>
        <v>6.0</v>
      </c>
      <c r="F456" s="10"/>
      <c r="G456" s="2" t="n">
        <f>1297000</f>
        <v>1297000.0</v>
      </c>
      <c r="H456" s="10" t="s">
        <v>54</v>
      </c>
      <c r="I456" s="2" t="str">
        <f>"－"</f>
        <v>－</v>
      </c>
      <c r="J456" s="10"/>
      <c r="K456" s="2" t="n">
        <f>157</f>
        <v>157.0</v>
      </c>
    </row>
    <row r="457">
      <c r="A457" s="8" t="s">
        <v>19</v>
      </c>
      <c r="B457" s="9" t="s">
        <v>79</v>
      </c>
      <c r="C457" s="9" t="s">
        <v>80</v>
      </c>
      <c r="D457" s="10"/>
      <c r="E457" s="2" t="n">
        <f>19</f>
        <v>19.0</v>
      </c>
      <c r="F457" s="10"/>
      <c r="G457" s="2" t="n">
        <f>3918000</f>
        <v>3918000.0</v>
      </c>
      <c r="H457" s="10"/>
      <c r="I457" s="2" t="str">
        <f>"－"</f>
        <v>－</v>
      </c>
      <c r="J457" s="10"/>
      <c r="K457" s="2" t="n">
        <f>152</f>
        <v>152.0</v>
      </c>
    </row>
    <row r="458">
      <c r="A458" s="8" t="s">
        <v>20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21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22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23</v>
      </c>
      <c r="B461" s="9" t="s">
        <v>79</v>
      </c>
      <c r="C461" s="9" t="s">
        <v>80</v>
      </c>
      <c r="D461" s="10"/>
      <c r="E461" s="2" t="n">
        <f>11</f>
        <v>11.0</v>
      </c>
      <c r="F461" s="10"/>
      <c r="G461" s="2" t="n">
        <f>2236500</f>
        <v>2236500.0</v>
      </c>
      <c r="H461" s="10"/>
      <c r="I461" s="2" t="str">
        <f>"－"</f>
        <v>－</v>
      </c>
      <c r="J461" s="10"/>
      <c r="K461" s="2" t="n">
        <f>153</f>
        <v>153.0</v>
      </c>
    </row>
    <row r="462">
      <c r="A462" s="8" t="s">
        <v>24</v>
      </c>
      <c r="B462" s="9" t="s">
        <v>79</v>
      </c>
      <c r="C462" s="9" t="s">
        <v>80</v>
      </c>
      <c r="D462" s="10"/>
      <c r="E462" s="2" t="n">
        <f>9</f>
        <v>9.0</v>
      </c>
      <c r="F462" s="10"/>
      <c r="G462" s="2" t="n">
        <f>1784500</f>
        <v>1784500.0</v>
      </c>
      <c r="H462" s="10"/>
      <c r="I462" s="2" t="str">
        <f>"－"</f>
        <v>－</v>
      </c>
      <c r="J462" s="10"/>
      <c r="K462" s="2" t="n">
        <f>153</f>
        <v>153.0</v>
      </c>
    </row>
    <row r="463">
      <c r="A463" s="8" t="s">
        <v>26</v>
      </c>
      <c r="B463" s="9" t="s">
        <v>79</v>
      </c>
      <c r="C463" s="9" t="s">
        <v>80</v>
      </c>
      <c r="D463" s="10"/>
      <c r="E463" s="2" t="n">
        <f>12</f>
        <v>12.0</v>
      </c>
      <c r="F463" s="10"/>
      <c r="G463" s="2" t="n">
        <f>2455000</f>
        <v>2455000.0</v>
      </c>
      <c r="H463" s="10"/>
      <c r="I463" s="2" t="str">
        <f>"－"</f>
        <v>－</v>
      </c>
      <c r="J463" s="10" t="s">
        <v>34</v>
      </c>
      <c r="K463" s="2" t="n">
        <f>158</f>
        <v>158.0</v>
      </c>
    </row>
    <row r="464">
      <c r="A464" s="8" t="s">
        <v>27</v>
      </c>
      <c r="B464" s="9" t="s">
        <v>79</v>
      </c>
      <c r="C464" s="9" t="s">
        <v>80</v>
      </c>
      <c r="D464" s="10"/>
      <c r="E464" s="2" t="n">
        <f>7</f>
        <v>7.0</v>
      </c>
      <c r="F464" s="10"/>
      <c r="G464" s="2" t="n">
        <f>1421500</f>
        <v>1421500.0</v>
      </c>
      <c r="H464" s="10"/>
      <c r="I464" s="2" t="str">
        <f>"－"</f>
        <v>－</v>
      </c>
      <c r="J464" s="10" t="s">
        <v>25</v>
      </c>
      <c r="K464" s="2" t="n">
        <f>61</f>
        <v>61.0</v>
      </c>
    </row>
    <row r="465">
      <c r="A465" s="8" t="s">
        <v>28</v>
      </c>
      <c r="B465" s="9" t="s">
        <v>79</v>
      </c>
      <c r="C465" s="9" t="s">
        <v>80</v>
      </c>
      <c r="D465" s="10"/>
      <c r="E465" s="2" t="n">
        <f>11</f>
        <v>11.0</v>
      </c>
      <c r="F465" s="10"/>
      <c r="G465" s="2" t="n">
        <f>2259000</f>
        <v>2259000.0</v>
      </c>
      <c r="H465" s="10"/>
      <c r="I465" s="2" t="str">
        <f>"－"</f>
        <v>－</v>
      </c>
      <c r="J465" s="10"/>
      <c r="K465" s="2" t="n">
        <f>63</f>
        <v>63.0</v>
      </c>
    </row>
    <row r="466">
      <c r="A466" s="8" t="s">
        <v>29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30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31</v>
      </c>
      <c r="B468" s="9" t="s">
        <v>79</v>
      </c>
      <c r="C468" s="9" t="s">
        <v>80</v>
      </c>
      <c r="D468" s="10"/>
      <c r="E468" s="2" t="n">
        <f>10</f>
        <v>10.0</v>
      </c>
      <c r="F468" s="10"/>
      <c r="G468" s="2" t="n">
        <f>2028500</f>
        <v>2028500.0</v>
      </c>
      <c r="H468" s="10"/>
      <c r="I468" s="2" t="str">
        <f>"－"</f>
        <v>－</v>
      </c>
      <c r="J468" s="10"/>
      <c r="K468" s="2" t="n">
        <f>67</f>
        <v>67.0</v>
      </c>
    </row>
    <row r="469">
      <c r="A469" s="8" t="s">
        <v>32</v>
      </c>
      <c r="B469" s="9" t="s">
        <v>79</v>
      </c>
      <c r="C469" s="9" t="s">
        <v>80</v>
      </c>
      <c r="D469" s="10"/>
      <c r="E469" s="2" t="n">
        <f>4</f>
        <v>4.0</v>
      </c>
      <c r="F469" s="10"/>
      <c r="G469" s="2" t="n">
        <f>796500</f>
        <v>796500.0</v>
      </c>
      <c r="H469" s="10"/>
      <c r="I469" s="2" t="str">
        <f>"－"</f>
        <v>－</v>
      </c>
      <c r="J469" s="10"/>
      <c r="K469" s="2" t="n">
        <f>69</f>
        <v>69.0</v>
      </c>
    </row>
    <row r="470">
      <c r="A470" s="8" t="s">
        <v>33</v>
      </c>
      <c r="B470" s="9" t="s">
        <v>79</v>
      </c>
      <c r="C470" s="9" t="s">
        <v>80</v>
      </c>
      <c r="D470" s="10" t="s">
        <v>34</v>
      </c>
      <c r="E470" s="2" t="n">
        <f>29</f>
        <v>29.0</v>
      </c>
      <c r="F470" s="10" t="s">
        <v>34</v>
      </c>
      <c r="G470" s="2" t="n">
        <f>5597500</f>
        <v>5597500.0</v>
      </c>
      <c r="H470" s="10"/>
      <c r="I470" s="2" t="str">
        <f>"－"</f>
        <v>－</v>
      </c>
      <c r="J470" s="10"/>
      <c r="K470" s="2" t="n">
        <f>76</f>
        <v>76.0</v>
      </c>
    </row>
    <row r="471">
      <c r="A471" s="8" t="s">
        <v>35</v>
      </c>
      <c r="B471" s="9" t="s">
        <v>79</v>
      </c>
      <c r="C471" s="9" t="s">
        <v>80</v>
      </c>
      <c r="D471" s="10" t="s">
        <v>25</v>
      </c>
      <c r="E471" s="2" t="n">
        <f>1</f>
        <v>1.0</v>
      </c>
      <c r="F471" s="10" t="s">
        <v>25</v>
      </c>
      <c r="G471" s="2" t="n">
        <f>187000</f>
        <v>187000.0</v>
      </c>
      <c r="H471" s="10"/>
      <c r="I471" s="2" t="str">
        <f>"－"</f>
        <v>－</v>
      </c>
      <c r="J471" s="10"/>
      <c r="K471" s="2" t="n">
        <f>77</f>
        <v>77.0</v>
      </c>
    </row>
    <row r="472">
      <c r="A472" s="8" t="s">
        <v>36</v>
      </c>
      <c r="B472" s="9" t="s">
        <v>79</v>
      </c>
      <c r="C472" s="9" t="s">
        <v>80</v>
      </c>
      <c r="D472" s="10"/>
      <c r="E472" s="2" t="n">
        <f>8</f>
        <v>8.0</v>
      </c>
      <c r="F472" s="10"/>
      <c r="G472" s="2" t="n">
        <f>1608000</f>
        <v>1608000.0</v>
      </c>
      <c r="H472" s="10"/>
      <c r="I472" s="2" t="str">
        <f>"－"</f>
        <v>－</v>
      </c>
      <c r="J472" s="10"/>
      <c r="K472" s="2" t="n">
        <f>83</f>
        <v>83.0</v>
      </c>
    </row>
    <row r="473">
      <c r="A473" s="8" t="s">
        <v>37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38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39</v>
      </c>
      <c r="B475" s="9" t="s">
        <v>79</v>
      </c>
      <c r="C475" s="9" t="s">
        <v>80</v>
      </c>
      <c r="D475" s="10"/>
      <c r="E475" s="2" t="n">
        <f>10</f>
        <v>10.0</v>
      </c>
      <c r="F475" s="10"/>
      <c r="G475" s="2" t="n">
        <f>1925500</f>
        <v>1925500.0</v>
      </c>
      <c r="H475" s="10"/>
      <c r="I475" s="2" t="str">
        <f>"－"</f>
        <v>－</v>
      </c>
      <c r="J475" s="10"/>
      <c r="K475" s="2" t="n">
        <f>92</f>
        <v>92.0</v>
      </c>
    </row>
    <row r="476">
      <c r="A476" s="8" t="s">
        <v>40</v>
      </c>
      <c r="B476" s="9" t="s">
        <v>79</v>
      </c>
      <c r="C476" s="9" t="s">
        <v>80</v>
      </c>
      <c r="D476" s="10"/>
      <c r="E476" s="2" t="n">
        <f>14</f>
        <v>14.0</v>
      </c>
      <c r="F476" s="10"/>
      <c r="G476" s="2" t="n">
        <f>2764500</f>
        <v>2764500.0</v>
      </c>
      <c r="H476" s="10"/>
      <c r="I476" s="2" t="str">
        <f>"－"</f>
        <v>－</v>
      </c>
      <c r="J476" s="10"/>
      <c r="K476" s="2" t="n">
        <f>91</f>
        <v>91.0</v>
      </c>
    </row>
    <row r="477">
      <c r="A477" s="8" t="s">
        <v>41</v>
      </c>
      <c r="B477" s="9" t="s">
        <v>79</v>
      </c>
      <c r="C477" s="9" t="s">
        <v>80</v>
      </c>
      <c r="D477" s="10"/>
      <c r="E477" s="2" t="n">
        <f>10</f>
        <v>10.0</v>
      </c>
      <c r="F477" s="10"/>
      <c r="G477" s="2" t="n">
        <f>1935000</f>
        <v>1935000.0</v>
      </c>
      <c r="H477" s="10"/>
      <c r="I477" s="2" t="str">
        <f>"－"</f>
        <v>－</v>
      </c>
      <c r="J477" s="10"/>
      <c r="K477" s="2" t="n">
        <f>90</f>
        <v>90.0</v>
      </c>
    </row>
    <row r="478">
      <c r="A478" s="8" t="s">
        <v>42</v>
      </c>
      <c r="B478" s="9" t="s">
        <v>79</v>
      </c>
      <c r="C478" s="9" t="s">
        <v>80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43</v>
      </c>
      <c r="B479" s="9" t="s">
        <v>79</v>
      </c>
      <c r="C479" s="9" t="s">
        <v>80</v>
      </c>
      <c r="D479" s="10"/>
      <c r="E479" s="2" t="n">
        <f>23</f>
        <v>23.0</v>
      </c>
      <c r="F479" s="10"/>
      <c r="G479" s="2" t="n">
        <f>4309000</f>
        <v>4309000.0</v>
      </c>
      <c r="H479" s="10"/>
      <c r="I479" s="2" t="str">
        <f>"－"</f>
        <v>－</v>
      </c>
      <c r="J479" s="10"/>
      <c r="K479" s="2" t="n">
        <f>93</f>
        <v>93.0</v>
      </c>
    </row>
    <row r="480">
      <c r="A480" s="8" t="s">
        <v>44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45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46</v>
      </c>
      <c r="B482" s="9" t="s">
        <v>79</v>
      </c>
      <c r="C482" s="9" t="s">
        <v>80</v>
      </c>
      <c r="D482" s="10"/>
      <c r="E482" s="2" t="n">
        <f>18</f>
        <v>18.0</v>
      </c>
      <c r="F482" s="10"/>
      <c r="G482" s="2" t="n">
        <f>3350500</f>
        <v>3350500.0</v>
      </c>
      <c r="H482" s="10"/>
      <c r="I482" s="2" t="str">
        <f>"－"</f>
        <v>－</v>
      </c>
      <c r="J482" s="10"/>
      <c r="K482" s="2" t="n">
        <f>106</f>
        <v>106.0</v>
      </c>
    </row>
    <row r="483">
      <c r="A483" s="8" t="s">
        <v>47</v>
      </c>
      <c r="B483" s="9" t="s">
        <v>79</v>
      </c>
      <c r="C483" s="9" t="s">
        <v>80</v>
      </c>
      <c r="D483" s="10"/>
      <c r="E483" s="2" t="n">
        <f>5</f>
        <v>5.0</v>
      </c>
      <c r="F483" s="10"/>
      <c r="G483" s="2" t="n">
        <f>890000</f>
        <v>890000.0</v>
      </c>
      <c r="H483" s="10"/>
      <c r="I483" s="2" t="str">
        <f>"－"</f>
        <v>－</v>
      </c>
      <c r="J483" s="10"/>
      <c r="K483" s="2" t="n">
        <f>111</f>
        <v>111.0</v>
      </c>
    </row>
    <row r="484">
      <c r="A484" s="8" t="s">
        <v>48</v>
      </c>
      <c r="B484" s="9" t="s">
        <v>79</v>
      </c>
      <c r="C484" s="9" t="s">
        <v>80</v>
      </c>
      <c r="D484" s="10"/>
      <c r="E484" s="2" t="n">
        <f>15</f>
        <v>15.0</v>
      </c>
      <c r="F484" s="10"/>
      <c r="G484" s="2" t="n">
        <f>2803000</f>
        <v>2803000.0</v>
      </c>
      <c r="H484" s="10"/>
      <c r="I484" s="2" t="str">
        <f>"－"</f>
        <v>－</v>
      </c>
      <c r="J484" s="10"/>
      <c r="K484" s="2" t="n">
        <f>124</f>
        <v>124.0</v>
      </c>
    </row>
    <row r="485">
      <c r="A485" s="8" t="s">
        <v>49</v>
      </c>
      <c r="B485" s="9" t="s">
        <v>79</v>
      </c>
      <c r="C485" s="9" t="s">
        <v>80</v>
      </c>
      <c r="D485" s="10"/>
      <c r="E485" s="2" t="n">
        <f>8</f>
        <v>8.0</v>
      </c>
      <c r="F485" s="10"/>
      <c r="G485" s="2" t="n">
        <f>1485000</f>
        <v>1485000.0</v>
      </c>
      <c r="H485" s="10"/>
      <c r="I485" s="2" t="str">
        <f>"－"</f>
        <v>－</v>
      </c>
      <c r="J485" s="10"/>
      <c r="K485" s="2" t="n">
        <f>127</f>
        <v>127.0</v>
      </c>
    </row>
    <row r="486">
      <c r="A486" s="8" t="s">
        <v>16</v>
      </c>
      <c r="B486" s="9" t="s">
        <v>81</v>
      </c>
      <c r="C486" s="9" t="s">
        <v>82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19</v>
      </c>
      <c r="B487" s="9" t="s">
        <v>81</v>
      </c>
      <c r="C487" s="9" t="s">
        <v>82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20</v>
      </c>
      <c r="B488" s="9" t="s">
        <v>81</v>
      </c>
      <c r="C488" s="9" t="s">
        <v>82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21</v>
      </c>
      <c r="B489" s="9" t="s">
        <v>81</v>
      </c>
      <c r="C489" s="9" t="s">
        <v>82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22</v>
      </c>
      <c r="B490" s="9" t="s">
        <v>81</v>
      </c>
      <c r="C490" s="9" t="s">
        <v>82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23</v>
      </c>
      <c r="B491" s="9" t="s">
        <v>81</v>
      </c>
      <c r="C491" s="9" t="s">
        <v>82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24</v>
      </c>
      <c r="B492" s="9" t="s">
        <v>81</v>
      </c>
      <c r="C492" s="9" t="s">
        <v>82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26</v>
      </c>
      <c r="B493" s="9" t="s">
        <v>81</v>
      </c>
      <c r="C493" s="9" t="s">
        <v>82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27</v>
      </c>
      <c r="B494" s="9" t="s">
        <v>81</v>
      </c>
      <c r="C494" s="9" t="s">
        <v>82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28</v>
      </c>
      <c r="B495" s="9" t="s">
        <v>81</v>
      </c>
      <c r="C495" s="9" t="s">
        <v>82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29</v>
      </c>
      <c r="B496" s="9" t="s">
        <v>81</v>
      </c>
      <c r="C496" s="9" t="s">
        <v>82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30</v>
      </c>
      <c r="B497" s="9" t="s">
        <v>81</v>
      </c>
      <c r="C497" s="9" t="s">
        <v>82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31</v>
      </c>
      <c r="B498" s="9" t="s">
        <v>81</v>
      </c>
      <c r="C498" s="9" t="s">
        <v>82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32</v>
      </c>
      <c r="B499" s="9" t="s">
        <v>81</v>
      </c>
      <c r="C499" s="9" t="s">
        <v>82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33</v>
      </c>
      <c r="B500" s="9" t="s">
        <v>81</v>
      </c>
      <c r="C500" s="9" t="s">
        <v>82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35</v>
      </c>
      <c r="B501" s="9" t="s">
        <v>81</v>
      </c>
      <c r="C501" s="9" t="s">
        <v>82</v>
      </c>
      <c r="D501" s="10"/>
      <c r="E501" s="2"/>
      <c r="F501" s="10"/>
      <c r="G501" s="2"/>
      <c r="H501" s="10"/>
      <c r="I501" s="2"/>
      <c r="J501" s="10"/>
      <c r="K501" s="2"/>
    </row>
    <row r="502">
      <c r="A502" s="8" t="s">
        <v>36</v>
      </c>
      <c r="B502" s="9" t="s">
        <v>81</v>
      </c>
      <c r="C502" s="9" t="s">
        <v>82</v>
      </c>
      <c r="D502" s="10"/>
      <c r="E502" s="2"/>
      <c r="F502" s="10"/>
      <c r="G502" s="2"/>
      <c r="H502" s="10"/>
      <c r="I502" s="2"/>
      <c r="J502" s="10"/>
      <c r="K502" s="2"/>
    </row>
    <row r="503">
      <c r="A503" s="8" t="s">
        <v>37</v>
      </c>
      <c r="B503" s="9" t="s">
        <v>81</v>
      </c>
      <c r="C503" s="9" t="s">
        <v>82</v>
      </c>
      <c r="D503" s="10"/>
      <c r="E503" s="2"/>
      <c r="F503" s="10"/>
      <c r="G503" s="2"/>
      <c r="H503" s="10"/>
      <c r="I503" s="2"/>
      <c r="J503" s="10"/>
      <c r="K503" s="2"/>
    </row>
    <row r="504">
      <c r="A504" s="8" t="s">
        <v>38</v>
      </c>
      <c r="B504" s="9" t="s">
        <v>81</v>
      </c>
      <c r="C504" s="9" t="s">
        <v>82</v>
      </c>
      <c r="D504" s="10"/>
      <c r="E504" s="2"/>
      <c r="F504" s="10"/>
      <c r="G504" s="2"/>
      <c r="H504" s="10"/>
      <c r="I504" s="2"/>
      <c r="J504" s="10"/>
      <c r="K504" s="2"/>
    </row>
    <row r="505">
      <c r="A505" s="8" t="s">
        <v>39</v>
      </c>
      <c r="B505" s="9" t="s">
        <v>81</v>
      </c>
      <c r="C505" s="9" t="s">
        <v>82</v>
      </c>
      <c r="D505" s="10"/>
      <c r="E505" s="2"/>
      <c r="F505" s="10"/>
      <c r="G505" s="2"/>
      <c r="H505" s="10"/>
      <c r="I505" s="2"/>
      <c r="J505" s="10"/>
      <c r="K505" s="2"/>
    </row>
    <row r="506">
      <c r="A506" s="8" t="s">
        <v>40</v>
      </c>
      <c r="B506" s="9" t="s">
        <v>81</v>
      </c>
      <c r="C506" s="9" t="s">
        <v>82</v>
      </c>
      <c r="D506" s="10"/>
      <c r="E506" s="2"/>
      <c r="F506" s="10"/>
      <c r="G506" s="2"/>
      <c r="H506" s="10"/>
      <c r="I506" s="2"/>
      <c r="J506" s="10"/>
      <c r="K506" s="2"/>
    </row>
    <row r="507">
      <c r="A507" s="8" t="s">
        <v>41</v>
      </c>
      <c r="B507" s="9" t="s">
        <v>81</v>
      </c>
      <c r="C507" s="9" t="s">
        <v>82</v>
      </c>
      <c r="D507" s="10"/>
      <c r="E507" s="2"/>
      <c r="F507" s="10"/>
      <c r="G507" s="2"/>
      <c r="H507" s="10"/>
      <c r="I507" s="2"/>
      <c r="J507" s="10"/>
      <c r="K507" s="2"/>
    </row>
    <row r="508">
      <c r="A508" s="8" t="s">
        <v>42</v>
      </c>
      <c r="B508" s="9" t="s">
        <v>81</v>
      </c>
      <c r="C508" s="9" t="s">
        <v>82</v>
      </c>
      <c r="D508" s="10"/>
      <c r="E508" s="2"/>
      <c r="F508" s="10"/>
      <c r="G508" s="2"/>
      <c r="H508" s="10"/>
      <c r="I508" s="2"/>
      <c r="J508" s="10"/>
      <c r="K508" s="2"/>
    </row>
    <row r="509">
      <c r="A509" s="8" t="s">
        <v>43</v>
      </c>
      <c r="B509" s="9" t="s">
        <v>81</v>
      </c>
      <c r="C509" s="9" t="s">
        <v>82</v>
      </c>
      <c r="D509" s="10"/>
      <c r="E509" s="2"/>
      <c r="F509" s="10"/>
      <c r="G509" s="2"/>
      <c r="H509" s="10"/>
      <c r="I509" s="2"/>
      <c r="J509" s="10"/>
      <c r="K509" s="2"/>
    </row>
    <row r="510">
      <c r="A510" s="8" t="s">
        <v>44</v>
      </c>
      <c r="B510" s="9" t="s">
        <v>81</v>
      </c>
      <c r="C510" s="9" t="s">
        <v>82</v>
      </c>
      <c r="D510" s="10"/>
      <c r="E510" s="2"/>
      <c r="F510" s="10"/>
      <c r="G510" s="2"/>
      <c r="H510" s="10"/>
      <c r="I510" s="2"/>
      <c r="J510" s="10"/>
      <c r="K510" s="2"/>
    </row>
    <row r="511">
      <c r="A511" s="8" t="s">
        <v>45</v>
      </c>
      <c r="B511" s="9" t="s">
        <v>81</v>
      </c>
      <c r="C511" s="9" t="s">
        <v>82</v>
      </c>
      <c r="D511" s="10"/>
      <c r="E511" s="2"/>
      <c r="F511" s="10"/>
      <c r="G511" s="2"/>
      <c r="H511" s="10"/>
      <c r="I511" s="2"/>
      <c r="J511" s="10"/>
      <c r="K511" s="2"/>
    </row>
    <row r="512">
      <c r="A512" s="8" t="s">
        <v>46</v>
      </c>
      <c r="B512" s="9" t="s">
        <v>81</v>
      </c>
      <c r="C512" s="9" t="s">
        <v>82</v>
      </c>
      <c r="D512" s="10"/>
      <c r="E512" s="2"/>
      <c r="F512" s="10"/>
      <c r="G512" s="2"/>
      <c r="H512" s="10"/>
      <c r="I512" s="2"/>
      <c r="J512" s="10"/>
      <c r="K512" s="2"/>
    </row>
    <row r="513">
      <c r="A513" s="8" t="s">
        <v>47</v>
      </c>
      <c r="B513" s="9" t="s">
        <v>81</v>
      </c>
      <c r="C513" s="9" t="s">
        <v>82</v>
      </c>
      <c r="D513" s="10"/>
      <c r="E513" s="2"/>
      <c r="F513" s="10"/>
      <c r="G513" s="2"/>
      <c r="H513" s="10"/>
      <c r="I513" s="2"/>
      <c r="J513" s="10"/>
      <c r="K513" s="2"/>
    </row>
    <row r="514">
      <c r="A514" s="8" t="s">
        <v>48</v>
      </c>
      <c r="B514" s="9" t="s">
        <v>81</v>
      </c>
      <c r="C514" s="9" t="s">
        <v>82</v>
      </c>
      <c r="D514" s="10"/>
      <c r="E514" s="2"/>
      <c r="F514" s="10"/>
      <c r="G514" s="2"/>
      <c r="H514" s="10"/>
      <c r="I514" s="2"/>
      <c r="J514" s="10"/>
      <c r="K514" s="2"/>
    </row>
    <row r="515">
      <c r="A515" s="8" t="s">
        <v>49</v>
      </c>
      <c r="B515" s="9" t="s">
        <v>81</v>
      </c>
      <c r="C515" s="9" t="s">
        <v>82</v>
      </c>
      <c r="D515" s="10"/>
      <c r="E515" s="2"/>
      <c r="F515" s="10"/>
      <c r="G515" s="2"/>
      <c r="H515" s="10"/>
      <c r="I515" s="2"/>
      <c r="J515" s="10"/>
      <c r="K515" s="2"/>
    </row>
    <row r="516">
      <c r="A516" s="8" t="s">
        <v>16</v>
      </c>
      <c r="B516" s="9" t="s">
        <v>83</v>
      </c>
      <c r="C516" s="9" t="s">
        <v>84</v>
      </c>
      <c r="D516" s="10" t="s">
        <v>54</v>
      </c>
      <c r="E516" s="2" t="str">
        <f>"－"</f>
        <v>－</v>
      </c>
      <c r="F516" s="10" t="s">
        <v>54</v>
      </c>
      <c r="G516" s="2" t="str">
        <f>"－"</f>
        <v>－</v>
      </c>
      <c r="H516" s="10" t="s">
        <v>54</v>
      </c>
      <c r="I516" s="2" t="str">
        <f>"－"</f>
        <v>－</v>
      </c>
      <c r="J516" s="10" t="s">
        <v>54</v>
      </c>
      <c r="K516" s="2" t="str">
        <f>"－"</f>
        <v>－</v>
      </c>
    </row>
    <row r="517">
      <c r="A517" s="8" t="s">
        <v>19</v>
      </c>
      <c r="B517" s="9" t="s">
        <v>83</v>
      </c>
      <c r="C517" s="9" t="s">
        <v>84</v>
      </c>
      <c r="D517" s="10"/>
      <c r="E517" s="2" t="str">
        <f>"－"</f>
        <v>－</v>
      </c>
      <c r="F517" s="10"/>
      <c r="G517" s="2" t="str">
        <f>"－"</f>
        <v>－</v>
      </c>
      <c r="H517" s="10"/>
      <c r="I517" s="2" t="str">
        <f>"－"</f>
        <v>－</v>
      </c>
      <c r="J517" s="10"/>
      <c r="K517" s="2" t="str">
        <f>"－"</f>
        <v>－</v>
      </c>
    </row>
    <row r="518">
      <c r="A518" s="8" t="s">
        <v>20</v>
      </c>
      <c r="B518" s="9" t="s">
        <v>83</v>
      </c>
      <c r="C518" s="9" t="s">
        <v>84</v>
      </c>
      <c r="D518" s="10"/>
      <c r="E518" s="2"/>
      <c r="F518" s="10"/>
      <c r="G518" s="2"/>
      <c r="H518" s="10"/>
      <c r="I518" s="2"/>
      <c r="J518" s="10"/>
      <c r="K518" s="2"/>
    </row>
    <row r="519">
      <c r="A519" s="8" t="s">
        <v>21</v>
      </c>
      <c r="B519" s="9" t="s">
        <v>83</v>
      </c>
      <c r="C519" s="9" t="s">
        <v>84</v>
      </c>
      <c r="D519" s="10"/>
      <c r="E519" s="2"/>
      <c r="F519" s="10"/>
      <c r="G519" s="2"/>
      <c r="H519" s="10"/>
      <c r="I519" s="2"/>
      <c r="J519" s="10"/>
      <c r="K519" s="2"/>
    </row>
    <row r="520">
      <c r="A520" s="8" t="s">
        <v>22</v>
      </c>
      <c r="B520" s="9" t="s">
        <v>83</v>
      </c>
      <c r="C520" s="9" t="s">
        <v>84</v>
      </c>
      <c r="D520" s="10"/>
      <c r="E520" s="2"/>
      <c r="F520" s="10"/>
      <c r="G520" s="2"/>
      <c r="H520" s="10"/>
      <c r="I520" s="2"/>
      <c r="J520" s="10"/>
      <c r="K520" s="2"/>
    </row>
    <row r="521">
      <c r="A521" s="8" t="s">
        <v>23</v>
      </c>
      <c r="B521" s="9" t="s">
        <v>83</v>
      </c>
      <c r="C521" s="9" t="s">
        <v>84</v>
      </c>
      <c r="D521" s="10"/>
      <c r="E521" s="2" t="str">
        <f>"－"</f>
        <v>－</v>
      </c>
      <c r="F521" s="10"/>
      <c r="G521" s="2" t="str">
        <f>"－"</f>
        <v>－</v>
      </c>
      <c r="H521" s="10"/>
      <c r="I521" s="2" t="str">
        <f>"－"</f>
        <v>－</v>
      </c>
      <c r="J521" s="10"/>
      <c r="K521" s="2" t="str">
        <f>"－"</f>
        <v>－</v>
      </c>
    </row>
    <row r="522">
      <c r="A522" s="8" t="s">
        <v>24</v>
      </c>
      <c r="B522" s="9" t="s">
        <v>83</v>
      </c>
      <c r="C522" s="9" t="s">
        <v>84</v>
      </c>
      <c r="D522" s="10"/>
      <c r="E522" s="2" t="str">
        <f>"－"</f>
        <v>－</v>
      </c>
      <c r="F522" s="10"/>
      <c r="G522" s="2" t="str">
        <f>"－"</f>
        <v>－</v>
      </c>
      <c r="H522" s="10"/>
      <c r="I522" s="2" t="str">
        <f>"－"</f>
        <v>－</v>
      </c>
      <c r="J522" s="10"/>
      <c r="K522" s="2" t="str">
        <f>"－"</f>
        <v>－</v>
      </c>
    </row>
    <row r="523">
      <c r="A523" s="8" t="s">
        <v>26</v>
      </c>
      <c r="B523" s="9" t="s">
        <v>83</v>
      </c>
      <c r="C523" s="9" t="s">
        <v>84</v>
      </c>
      <c r="D523" s="10"/>
      <c r="E523" s="2" t="str">
        <f>"－"</f>
        <v>－</v>
      </c>
      <c r="F523" s="10"/>
      <c r="G523" s="2" t="str">
        <f>"－"</f>
        <v>－</v>
      </c>
      <c r="H523" s="10"/>
      <c r="I523" s="2" t="str">
        <f>"－"</f>
        <v>－</v>
      </c>
      <c r="J523" s="10"/>
      <c r="K523" s="2" t="str">
        <f>"－"</f>
        <v>－</v>
      </c>
    </row>
    <row r="524">
      <c r="A524" s="8" t="s">
        <v>27</v>
      </c>
      <c r="B524" s="9" t="s">
        <v>83</v>
      </c>
      <c r="C524" s="9" t="s">
        <v>84</v>
      </c>
      <c r="D524" s="10"/>
      <c r="E524" s="2" t="str">
        <f>"－"</f>
        <v>－</v>
      </c>
      <c r="F524" s="10"/>
      <c r="G524" s="2" t="str">
        <f>"－"</f>
        <v>－</v>
      </c>
      <c r="H524" s="10"/>
      <c r="I524" s="2" t="str">
        <f>"－"</f>
        <v>－</v>
      </c>
      <c r="J524" s="10"/>
      <c r="K524" s="2" t="str">
        <f>"－"</f>
        <v>－</v>
      </c>
    </row>
    <row r="525">
      <c r="A525" s="8" t="s">
        <v>28</v>
      </c>
      <c r="B525" s="9" t="s">
        <v>83</v>
      </c>
      <c r="C525" s="9" t="s">
        <v>84</v>
      </c>
      <c r="D525" s="10"/>
      <c r="E525" s="2" t="str">
        <f>"－"</f>
        <v>－</v>
      </c>
      <c r="F525" s="10"/>
      <c r="G525" s="2" t="str">
        <f>"－"</f>
        <v>－</v>
      </c>
      <c r="H525" s="10"/>
      <c r="I525" s="2" t="str">
        <f>"－"</f>
        <v>－</v>
      </c>
      <c r="J525" s="10"/>
      <c r="K525" s="2" t="str">
        <f>"－"</f>
        <v>－</v>
      </c>
    </row>
    <row r="526">
      <c r="A526" s="8" t="s">
        <v>29</v>
      </c>
      <c r="B526" s="9" t="s">
        <v>83</v>
      </c>
      <c r="C526" s="9" t="s">
        <v>84</v>
      </c>
      <c r="D526" s="10"/>
      <c r="E526" s="2"/>
      <c r="F526" s="10"/>
      <c r="G526" s="2"/>
      <c r="H526" s="10"/>
      <c r="I526" s="2"/>
      <c r="J526" s="10"/>
      <c r="K526" s="2"/>
    </row>
    <row r="527">
      <c r="A527" s="8" t="s">
        <v>30</v>
      </c>
      <c r="B527" s="9" t="s">
        <v>83</v>
      </c>
      <c r="C527" s="9" t="s">
        <v>84</v>
      </c>
      <c r="D527" s="10"/>
      <c r="E527" s="2"/>
      <c r="F527" s="10"/>
      <c r="G527" s="2"/>
      <c r="H527" s="10"/>
      <c r="I527" s="2"/>
      <c r="J527" s="10"/>
      <c r="K527" s="2"/>
    </row>
    <row r="528">
      <c r="A528" s="8" t="s">
        <v>31</v>
      </c>
      <c r="B528" s="9" t="s">
        <v>83</v>
      </c>
      <c r="C528" s="9" t="s">
        <v>84</v>
      </c>
      <c r="D528" s="10"/>
      <c r="E528" s="2" t="str">
        <f>"－"</f>
        <v>－</v>
      </c>
      <c r="F528" s="10"/>
      <c r="G528" s="2" t="str">
        <f>"－"</f>
        <v>－</v>
      </c>
      <c r="H528" s="10"/>
      <c r="I528" s="2" t="str">
        <f>"－"</f>
        <v>－</v>
      </c>
      <c r="J528" s="10"/>
      <c r="K528" s="2" t="str">
        <f>"－"</f>
        <v>－</v>
      </c>
    </row>
    <row r="529">
      <c r="A529" s="8" t="s">
        <v>32</v>
      </c>
      <c r="B529" s="9" t="s">
        <v>83</v>
      </c>
      <c r="C529" s="9" t="s">
        <v>84</v>
      </c>
      <c r="D529" s="10"/>
      <c r="E529" s="2" t="str">
        <f>"－"</f>
        <v>－</v>
      </c>
      <c r="F529" s="10"/>
      <c r="G529" s="2" t="str">
        <f>"－"</f>
        <v>－</v>
      </c>
      <c r="H529" s="10"/>
      <c r="I529" s="2" t="str">
        <f>"－"</f>
        <v>－</v>
      </c>
      <c r="J529" s="10"/>
      <c r="K529" s="2" t="str">
        <f>"－"</f>
        <v>－</v>
      </c>
    </row>
    <row r="530">
      <c r="A530" s="8" t="s">
        <v>33</v>
      </c>
      <c r="B530" s="9" t="s">
        <v>83</v>
      </c>
      <c r="C530" s="9" t="s">
        <v>84</v>
      </c>
      <c r="D530" s="10"/>
      <c r="E530" s="2" t="str">
        <f>"－"</f>
        <v>－</v>
      </c>
      <c r="F530" s="10"/>
      <c r="G530" s="2" t="str">
        <f>"－"</f>
        <v>－</v>
      </c>
      <c r="H530" s="10"/>
      <c r="I530" s="2" t="str">
        <f>"－"</f>
        <v>－</v>
      </c>
      <c r="J530" s="10"/>
      <c r="K530" s="2" t="str">
        <f>"－"</f>
        <v>－</v>
      </c>
    </row>
    <row r="531">
      <c r="A531" s="8" t="s">
        <v>35</v>
      </c>
      <c r="B531" s="9" t="s">
        <v>83</v>
      </c>
      <c r="C531" s="9" t="s">
        <v>84</v>
      </c>
      <c r="D531" s="10"/>
      <c r="E531" s="2" t="str">
        <f>"－"</f>
        <v>－</v>
      </c>
      <c r="F531" s="10"/>
      <c r="G531" s="2" t="str">
        <f>"－"</f>
        <v>－</v>
      </c>
      <c r="H531" s="10"/>
      <c r="I531" s="2" t="str">
        <f>"－"</f>
        <v>－</v>
      </c>
      <c r="J531" s="10"/>
      <c r="K531" s="2" t="str">
        <f>"－"</f>
        <v>－</v>
      </c>
    </row>
    <row r="532">
      <c r="A532" s="8" t="s">
        <v>36</v>
      </c>
      <c r="B532" s="9" t="s">
        <v>83</v>
      </c>
      <c r="C532" s="9" t="s">
        <v>84</v>
      </c>
      <c r="D532" s="10"/>
      <c r="E532" s="2" t="str">
        <f>"－"</f>
        <v>－</v>
      </c>
      <c r="F532" s="10"/>
      <c r="G532" s="2" t="str">
        <f>"－"</f>
        <v>－</v>
      </c>
      <c r="H532" s="10"/>
      <c r="I532" s="2" t="str">
        <f>"－"</f>
        <v>－</v>
      </c>
      <c r="J532" s="10"/>
      <c r="K532" s="2" t="str">
        <f>"－"</f>
        <v>－</v>
      </c>
    </row>
    <row r="533">
      <c r="A533" s="8" t="s">
        <v>37</v>
      </c>
      <c r="B533" s="9" t="s">
        <v>83</v>
      </c>
      <c r="C533" s="9" t="s">
        <v>84</v>
      </c>
      <c r="D533" s="10"/>
      <c r="E533" s="2"/>
      <c r="F533" s="10"/>
      <c r="G533" s="2"/>
      <c r="H533" s="10"/>
      <c r="I533" s="2"/>
      <c r="J533" s="10"/>
      <c r="K533" s="2"/>
    </row>
    <row r="534">
      <c r="A534" s="8" t="s">
        <v>38</v>
      </c>
      <c r="B534" s="9" t="s">
        <v>83</v>
      </c>
      <c r="C534" s="9" t="s">
        <v>84</v>
      </c>
      <c r="D534" s="10"/>
      <c r="E534" s="2"/>
      <c r="F534" s="10"/>
      <c r="G534" s="2"/>
      <c r="H534" s="10"/>
      <c r="I534" s="2"/>
      <c r="J534" s="10"/>
      <c r="K534" s="2"/>
    </row>
    <row r="535">
      <c r="A535" s="8" t="s">
        <v>39</v>
      </c>
      <c r="B535" s="9" t="s">
        <v>83</v>
      </c>
      <c r="C535" s="9" t="s">
        <v>84</v>
      </c>
      <c r="D535" s="10"/>
      <c r="E535" s="2" t="str">
        <f>"－"</f>
        <v>－</v>
      </c>
      <c r="F535" s="10"/>
      <c r="G535" s="2" t="str">
        <f>"－"</f>
        <v>－</v>
      </c>
      <c r="H535" s="10"/>
      <c r="I535" s="2" t="str">
        <f>"－"</f>
        <v>－</v>
      </c>
      <c r="J535" s="10"/>
      <c r="K535" s="2" t="str">
        <f>"－"</f>
        <v>－</v>
      </c>
    </row>
    <row r="536">
      <c r="A536" s="8" t="s">
        <v>40</v>
      </c>
      <c r="B536" s="9" t="s">
        <v>83</v>
      </c>
      <c r="C536" s="9" t="s">
        <v>84</v>
      </c>
      <c r="D536" s="10"/>
      <c r="E536" s="2" t="str">
        <f>"－"</f>
        <v>－</v>
      </c>
      <c r="F536" s="10"/>
      <c r="G536" s="2" t="str">
        <f>"－"</f>
        <v>－</v>
      </c>
      <c r="H536" s="10"/>
      <c r="I536" s="2" t="str">
        <f>"－"</f>
        <v>－</v>
      </c>
      <c r="J536" s="10"/>
      <c r="K536" s="2" t="str">
        <f>"－"</f>
        <v>－</v>
      </c>
    </row>
    <row r="537">
      <c r="A537" s="8" t="s">
        <v>41</v>
      </c>
      <c r="B537" s="9" t="s">
        <v>83</v>
      </c>
      <c r="C537" s="9" t="s">
        <v>84</v>
      </c>
      <c r="D537" s="10"/>
      <c r="E537" s="2" t="str">
        <f>"－"</f>
        <v>－</v>
      </c>
      <c r="F537" s="10"/>
      <c r="G537" s="2" t="str">
        <f>"－"</f>
        <v>－</v>
      </c>
      <c r="H537" s="10"/>
      <c r="I537" s="2" t="str">
        <f>"－"</f>
        <v>－</v>
      </c>
      <c r="J537" s="10"/>
      <c r="K537" s="2" t="str">
        <f>"－"</f>
        <v>－</v>
      </c>
    </row>
    <row r="538">
      <c r="A538" s="8" t="s">
        <v>42</v>
      </c>
      <c r="B538" s="9" t="s">
        <v>83</v>
      </c>
      <c r="C538" s="9" t="s">
        <v>84</v>
      </c>
      <c r="D538" s="10"/>
      <c r="E538" s="2"/>
      <c r="F538" s="10"/>
      <c r="G538" s="2"/>
      <c r="H538" s="10"/>
      <c r="I538" s="2"/>
      <c r="J538" s="10"/>
      <c r="K538" s="2"/>
    </row>
    <row r="539">
      <c r="A539" s="8" t="s">
        <v>43</v>
      </c>
      <c r="B539" s="9" t="s">
        <v>83</v>
      </c>
      <c r="C539" s="9" t="s">
        <v>84</v>
      </c>
      <c r="D539" s="10"/>
      <c r="E539" s="2" t="str">
        <f>"－"</f>
        <v>－</v>
      </c>
      <c r="F539" s="10"/>
      <c r="G539" s="2" t="str">
        <f>"－"</f>
        <v>－</v>
      </c>
      <c r="H539" s="10"/>
      <c r="I539" s="2" t="str">
        <f>"－"</f>
        <v>－</v>
      </c>
      <c r="J539" s="10"/>
      <c r="K539" s="2" t="str">
        <f>"－"</f>
        <v>－</v>
      </c>
    </row>
    <row r="540">
      <c r="A540" s="8" t="s">
        <v>44</v>
      </c>
      <c r="B540" s="9" t="s">
        <v>83</v>
      </c>
      <c r="C540" s="9" t="s">
        <v>84</v>
      </c>
      <c r="D540" s="10"/>
      <c r="E540" s="2"/>
      <c r="F540" s="10"/>
      <c r="G540" s="2"/>
      <c r="H540" s="10"/>
      <c r="I540" s="2"/>
      <c r="J540" s="10"/>
      <c r="K540" s="2"/>
    </row>
    <row r="541">
      <c r="A541" s="8" t="s">
        <v>45</v>
      </c>
      <c r="B541" s="9" t="s">
        <v>83</v>
      </c>
      <c r="C541" s="9" t="s">
        <v>84</v>
      </c>
      <c r="D541" s="10"/>
      <c r="E541" s="2"/>
      <c r="F541" s="10"/>
      <c r="G541" s="2"/>
      <c r="H541" s="10"/>
      <c r="I541" s="2"/>
      <c r="J541" s="10"/>
      <c r="K541" s="2"/>
    </row>
    <row r="542">
      <c r="A542" s="8" t="s">
        <v>46</v>
      </c>
      <c r="B542" s="9" t="s">
        <v>83</v>
      </c>
      <c r="C542" s="9" t="s">
        <v>84</v>
      </c>
      <c r="D542" s="10"/>
      <c r="E542" s="2" t="str">
        <f>"－"</f>
        <v>－</v>
      </c>
      <c r="F542" s="10"/>
      <c r="G542" s="2" t="str">
        <f>"－"</f>
        <v>－</v>
      </c>
      <c r="H542" s="10"/>
      <c r="I542" s="2" t="str">
        <f>"－"</f>
        <v>－</v>
      </c>
      <c r="J542" s="10"/>
      <c r="K542" s="2" t="str">
        <f>"－"</f>
        <v>－</v>
      </c>
    </row>
    <row r="543">
      <c r="A543" s="8" t="s">
        <v>47</v>
      </c>
      <c r="B543" s="9" t="s">
        <v>83</v>
      </c>
      <c r="C543" s="9" t="s">
        <v>84</v>
      </c>
      <c r="D543" s="10"/>
      <c r="E543" s="2" t="str">
        <f>"－"</f>
        <v>－</v>
      </c>
      <c r="F543" s="10"/>
      <c r="G543" s="2" t="str">
        <f>"－"</f>
        <v>－</v>
      </c>
      <c r="H543" s="10"/>
      <c r="I543" s="2" t="str">
        <f>"－"</f>
        <v>－</v>
      </c>
      <c r="J543" s="10"/>
      <c r="K543" s="2" t="str">
        <f>"－"</f>
        <v>－</v>
      </c>
    </row>
    <row r="544">
      <c r="A544" s="8" t="s">
        <v>48</v>
      </c>
      <c r="B544" s="9" t="s">
        <v>83</v>
      </c>
      <c r="C544" s="9" t="s">
        <v>84</v>
      </c>
      <c r="D544" s="10"/>
      <c r="E544" s="2" t="str">
        <f>"－"</f>
        <v>－</v>
      </c>
      <c r="F544" s="10"/>
      <c r="G544" s="2" t="str">
        <f>"－"</f>
        <v>－</v>
      </c>
      <c r="H544" s="10"/>
      <c r="I544" s="2" t="str">
        <f>"－"</f>
        <v>－</v>
      </c>
      <c r="J544" s="10"/>
      <c r="K544" s="2" t="str">
        <f>"－"</f>
        <v>－</v>
      </c>
    </row>
    <row r="545">
      <c r="A545" s="8" t="s">
        <v>49</v>
      </c>
      <c r="B545" s="9" t="s">
        <v>83</v>
      </c>
      <c r="C545" s="9" t="s">
        <v>84</v>
      </c>
      <c r="D545" s="10"/>
      <c r="E545" s="2" t="str">
        <f>"－"</f>
        <v>－</v>
      </c>
      <c r="F545" s="10"/>
      <c r="G545" s="2" t="str">
        <f>"－"</f>
        <v>－</v>
      </c>
      <c r="H545" s="10"/>
      <c r="I545" s="2" t="str">
        <f>"－"</f>
        <v>－</v>
      </c>
      <c r="J545" s="10"/>
      <c r="K545" s="2" t="str">
        <f>"－"</f>
        <v>－</v>
      </c>
    </row>
    <row r="546">
      <c r="A546" s="8" t="s">
        <v>16</v>
      </c>
      <c r="B546" s="9" t="s">
        <v>85</v>
      </c>
      <c r="C546" s="9" t="s">
        <v>86</v>
      </c>
      <c r="D546" s="10" t="s">
        <v>54</v>
      </c>
      <c r="E546" s="2" t="str">
        <f>"－"</f>
        <v>－</v>
      </c>
      <c r="F546" s="10" t="s">
        <v>54</v>
      </c>
      <c r="G546" s="2" t="str">
        <f>"－"</f>
        <v>－</v>
      </c>
      <c r="H546" s="10" t="s">
        <v>54</v>
      </c>
      <c r="I546" s="2" t="str">
        <f>"－"</f>
        <v>－</v>
      </c>
      <c r="J546" s="10" t="s">
        <v>54</v>
      </c>
      <c r="K546" s="2" t="str">
        <f>"－"</f>
        <v>－</v>
      </c>
    </row>
    <row r="547">
      <c r="A547" s="8" t="s">
        <v>19</v>
      </c>
      <c r="B547" s="9" t="s">
        <v>85</v>
      </c>
      <c r="C547" s="9" t="s">
        <v>86</v>
      </c>
      <c r="D547" s="10"/>
      <c r="E547" s="2" t="str">
        <f>"－"</f>
        <v>－</v>
      </c>
      <c r="F547" s="10"/>
      <c r="G547" s="2" t="str">
        <f>"－"</f>
        <v>－</v>
      </c>
      <c r="H547" s="10"/>
      <c r="I547" s="2" t="str">
        <f>"－"</f>
        <v>－</v>
      </c>
      <c r="J547" s="10"/>
      <c r="K547" s="2" t="str">
        <f>"－"</f>
        <v>－</v>
      </c>
    </row>
    <row r="548">
      <c r="A548" s="8" t="s">
        <v>20</v>
      </c>
      <c r="B548" s="9" t="s">
        <v>85</v>
      </c>
      <c r="C548" s="9" t="s">
        <v>86</v>
      </c>
      <c r="D548" s="10"/>
      <c r="E548" s="2"/>
      <c r="F548" s="10"/>
      <c r="G548" s="2"/>
      <c r="H548" s="10"/>
      <c r="I548" s="2"/>
      <c r="J548" s="10"/>
      <c r="K548" s="2"/>
    </row>
    <row r="549">
      <c r="A549" s="8" t="s">
        <v>21</v>
      </c>
      <c r="B549" s="9" t="s">
        <v>85</v>
      </c>
      <c r="C549" s="9" t="s">
        <v>86</v>
      </c>
      <c r="D549" s="10"/>
      <c r="E549" s="2"/>
      <c r="F549" s="10"/>
      <c r="G549" s="2"/>
      <c r="H549" s="10"/>
      <c r="I549" s="2"/>
      <c r="J549" s="10"/>
      <c r="K549" s="2"/>
    </row>
    <row r="550">
      <c r="A550" s="8" t="s">
        <v>22</v>
      </c>
      <c r="B550" s="9" t="s">
        <v>85</v>
      </c>
      <c r="C550" s="9" t="s">
        <v>86</v>
      </c>
      <c r="D550" s="10"/>
      <c r="E550" s="2"/>
      <c r="F550" s="10"/>
      <c r="G550" s="2"/>
      <c r="H550" s="10"/>
      <c r="I550" s="2"/>
      <c r="J550" s="10"/>
      <c r="K550" s="2"/>
    </row>
    <row r="551">
      <c r="A551" s="8" t="s">
        <v>23</v>
      </c>
      <c r="B551" s="9" t="s">
        <v>85</v>
      </c>
      <c r="C551" s="9" t="s">
        <v>86</v>
      </c>
      <c r="D551" s="10"/>
      <c r="E551" s="2" t="str">
        <f>"－"</f>
        <v>－</v>
      </c>
      <c r="F551" s="10"/>
      <c r="G551" s="2" t="str">
        <f>"－"</f>
        <v>－</v>
      </c>
      <c r="H551" s="10"/>
      <c r="I551" s="2" t="str">
        <f>"－"</f>
        <v>－</v>
      </c>
      <c r="J551" s="10"/>
      <c r="K551" s="2" t="str">
        <f>"－"</f>
        <v>－</v>
      </c>
    </row>
    <row r="552">
      <c r="A552" s="8" t="s">
        <v>24</v>
      </c>
      <c r="B552" s="9" t="s">
        <v>85</v>
      </c>
      <c r="C552" s="9" t="s">
        <v>86</v>
      </c>
      <c r="D552" s="10"/>
      <c r="E552" s="2" t="str">
        <f>"－"</f>
        <v>－</v>
      </c>
      <c r="F552" s="10"/>
      <c r="G552" s="2" t="str">
        <f>"－"</f>
        <v>－</v>
      </c>
      <c r="H552" s="10"/>
      <c r="I552" s="2" t="str">
        <f>"－"</f>
        <v>－</v>
      </c>
      <c r="J552" s="10"/>
      <c r="K552" s="2" t="str">
        <f>"－"</f>
        <v>－</v>
      </c>
    </row>
    <row r="553">
      <c r="A553" s="8" t="s">
        <v>26</v>
      </c>
      <c r="B553" s="9" t="s">
        <v>85</v>
      </c>
      <c r="C553" s="9" t="s">
        <v>86</v>
      </c>
      <c r="D553" s="10"/>
      <c r="E553" s="2" t="str">
        <f>"－"</f>
        <v>－</v>
      </c>
      <c r="F553" s="10"/>
      <c r="G553" s="2" t="str">
        <f>"－"</f>
        <v>－</v>
      </c>
      <c r="H553" s="10"/>
      <c r="I553" s="2" t="str">
        <f>"－"</f>
        <v>－</v>
      </c>
      <c r="J553" s="10"/>
      <c r="K553" s="2" t="str">
        <f>"－"</f>
        <v>－</v>
      </c>
    </row>
    <row r="554">
      <c r="A554" s="8" t="s">
        <v>27</v>
      </c>
      <c r="B554" s="9" t="s">
        <v>85</v>
      </c>
      <c r="C554" s="9" t="s">
        <v>86</v>
      </c>
      <c r="D554" s="10"/>
      <c r="E554" s="2" t="str">
        <f>"－"</f>
        <v>－</v>
      </c>
      <c r="F554" s="10"/>
      <c r="G554" s="2" t="str">
        <f>"－"</f>
        <v>－</v>
      </c>
      <c r="H554" s="10"/>
      <c r="I554" s="2" t="str">
        <f>"－"</f>
        <v>－</v>
      </c>
      <c r="J554" s="10"/>
      <c r="K554" s="2" t="str">
        <f>"－"</f>
        <v>－</v>
      </c>
    </row>
    <row r="555">
      <c r="A555" s="8" t="s">
        <v>28</v>
      </c>
      <c r="B555" s="9" t="s">
        <v>85</v>
      </c>
      <c r="C555" s="9" t="s">
        <v>86</v>
      </c>
      <c r="D555" s="10"/>
      <c r="E555" s="2" t="str">
        <f>"－"</f>
        <v>－</v>
      </c>
      <c r="F555" s="10"/>
      <c r="G555" s="2" t="str">
        <f>"－"</f>
        <v>－</v>
      </c>
      <c r="H555" s="10"/>
      <c r="I555" s="2" t="str">
        <f>"－"</f>
        <v>－</v>
      </c>
      <c r="J555" s="10"/>
      <c r="K555" s="2" t="str">
        <f>"－"</f>
        <v>－</v>
      </c>
    </row>
    <row r="556">
      <c r="A556" s="8" t="s">
        <v>29</v>
      </c>
      <c r="B556" s="9" t="s">
        <v>85</v>
      </c>
      <c r="C556" s="9" t="s">
        <v>86</v>
      </c>
      <c r="D556" s="10"/>
      <c r="E556" s="2"/>
      <c r="F556" s="10"/>
      <c r="G556" s="2"/>
      <c r="H556" s="10"/>
      <c r="I556" s="2"/>
      <c r="J556" s="10"/>
      <c r="K556" s="2"/>
    </row>
    <row r="557">
      <c r="A557" s="8" t="s">
        <v>30</v>
      </c>
      <c r="B557" s="9" t="s">
        <v>85</v>
      </c>
      <c r="C557" s="9" t="s">
        <v>86</v>
      </c>
      <c r="D557" s="10"/>
      <c r="E557" s="2"/>
      <c r="F557" s="10"/>
      <c r="G557" s="2"/>
      <c r="H557" s="10"/>
      <c r="I557" s="2"/>
      <c r="J557" s="10"/>
      <c r="K557" s="2"/>
    </row>
    <row r="558">
      <c r="A558" s="8" t="s">
        <v>31</v>
      </c>
      <c r="B558" s="9" t="s">
        <v>85</v>
      </c>
      <c r="C558" s="9" t="s">
        <v>86</v>
      </c>
      <c r="D558" s="10"/>
      <c r="E558" s="2" t="str">
        <f>"－"</f>
        <v>－</v>
      </c>
      <c r="F558" s="10"/>
      <c r="G558" s="2" t="str">
        <f>"－"</f>
        <v>－</v>
      </c>
      <c r="H558" s="10"/>
      <c r="I558" s="2" t="str">
        <f>"－"</f>
        <v>－</v>
      </c>
      <c r="J558" s="10"/>
      <c r="K558" s="2" t="str">
        <f>"－"</f>
        <v>－</v>
      </c>
    </row>
    <row r="559">
      <c r="A559" s="8" t="s">
        <v>32</v>
      </c>
      <c r="B559" s="9" t="s">
        <v>85</v>
      </c>
      <c r="C559" s="9" t="s">
        <v>86</v>
      </c>
      <c r="D559" s="10"/>
      <c r="E559" s="2" t="str">
        <f>"－"</f>
        <v>－</v>
      </c>
      <c r="F559" s="10"/>
      <c r="G559" s="2" t="str">
        <f>"－"</f>
        <v>－</v>
      </c>
      <c r="H559" s="10"/>
      <c r="I559" s="2" t="str">
        <f>"－"</f>
        <v>－</v>
      </c>
      <c r="J559" s="10"/>
      <c r="K559" s="2" t="str">
        <f>"－"</f>
        <v>－</v>
      </c>
    </row>
    <row r="560">
      <c r="A560" s="8" t="s">
        <v>33</v>
      </c>
      <c r="B560" s="9" t="s">
        <v>85</v>
      </c>
      <c r="C560" s="9" t="s">
        <v>86</v>
      </c>
      <c r="D560" s="10"/>
      <c r="E560" s="2" t="str">
        <f>"－"</f>
        <v>－</v>
      </c>
      <c r="F560" s="10"/>
      <c r="G560" s="2" t="str">
        <f>"－"</f>
        <v>－</v>
      </c>
      <c r="H560" s="10"/>
      <c r="I560" s="2" t="str">
        <f>"－"</f>
        <v>－</v>
      </c>
      <c r="J560" s="10"/>
      <c r="K560" s="2" t="str">
        <f>"－"</f>
        <v>－</v>
      </c>
    </row>
    <row r="561">
      <c r="A561" s="8" t="s">
        <v>35</v>
      </c>
      <c r="B561" s="9" t="s">
        <v>85</v>
      </c>
      <c r="C561" s="9" t="s">
        <v>86</v>
      </c>
      <c r="D561" s="10"/>
      <c r="E561" s="2" t="str">
        <f>"－"</f>
        <v>－</v>
      </c>
      <c r="F561" s="10"/>
      <c r="G561" s="2" t="str">
        <f>"－"</f>
        <v>－</v>
      </c>
      <c r="H561" s="10"/>
      <c r="I561" s="2" t="str">
        <f>"－"</f>
        <v>－</v>
      </c>
      <c r="J561" s="10"/>
      <c r="K561" s="2" t="str">
        <f>"－"</f>
        <v>－</v>
      </c>
    </row>
    <row r="562">
      <c r="A562" s="8" t="s">
        <v>36</v>
      </c>
      <c r="B562" s="9" t="s">
        <v>85</v>
      </c>
      <c r="C562" s="9" t="s">
        <v>86</v>
      </c>
      <c r="D562" s="10"/>
      <c r="E562" s="2" t="str">
        <f>"－"</f>
        <v>－</v>
      </c>
      <c r="F562" s="10"/>
      <c r="G562" s="2" t="str">
        <f>"－"</f>
        <v>－</v>
      </c>
      <c r="H562" s="10"/>
      <c r="I562" s="2" t="str">
        <f>"－"</f>
        <v>－</v>
      </c>
      <c r="J562" s="10"/>
      <c r="K562" s="2" t="str">
        <f>"－"</f>
        <v>－</v>
      </c>
    </row>
    <row r="563">
      <c r="A563" s="8" t="s">
        <v>37</v>
      </c>
      <c r="B563" s="9" t="s">
        <v>85</v>
      </c>
      <c r="C563" s="9" t="s">
        <v>86</v>
      </c>
      <c r="D563" s="10"/>
      <c r="E563" s="2"/>
      <c r="F563" s="10"/>
      <c r="G563" s="2"/>
      <c r="H563" s="10"/>
      <c r="I563" s="2"/>
      <c r="J563" s="10"/>
      <c r="K563" s="2"/>
    </row>
    <row r="564">
      <c r="A564" s="8" t="s">
        <v>38</v>
      </c>
      <c r="B564" s="9" t="s">
        <v>85</v>
      </c>
      <c r="C564" s="9" t="s">
        <v>86</v>
      </c>
      <c r="D564" s="10"/>
      <c r="E564" s="2"/>
      <c r="F564" s="10"/>
      <c r="G564" s="2"/>
      <c r="H564" s="10"/>
      <c r="I564" s="2"/>
      <c r="J564" s="10"/>
      <c r="K564" s="2"/>
    </row>
    <row r="565">
      <c r="A565" s="8" t="s">
        <v>39</v>
      </c>
      <c r="B565" s="9" t="s">
        <v>85</v>
      </c>
      <c r="C565" s="9" t="s">
        <v>86</v>
      </c>
      <c r="D565" s="10"/>
      <c r="E565" s="2" t="str">
        <f>"－"</f>
        <v>－</v>
      </c>
      <c r="F565" s="10"/>
      <c r="G565" s="2" t="str">
        <f>"－"</f>
        <v>－</v>
      </c>
      <c r="H565" s="10"/>
      <c r="I565" s="2" t="str">
        <f>"－"</f>
        <v>－</v>
      </c>
      <c r="J565" s="10"/>
      <c r="K565" s="2" t="str">
        <f>"－"</f>
        <v>－</v>
      </c>
    </row>
    <row r="566">
      <c r="A566" s="8" t="s">
        <v>40</v>
      </c>
      <c r="B566" s="9" t="s">
        <v>85</v>
      </c>
      <c r="C566" s="9" t="s">
        <v>86</v>
      </c>
      <c r="D566" s="10"/>
      <c r="E566" s="2" t="str">
        <f>"－"</f>
        <v>－</v>
      </c>
      <c r="F566" s="10"/>
      <c r="G566" s="2" t="str">
        <f>"－"</f>
        <v>－</v>
      </c>
      <c r="H566" s="10"/>
      <c r="I566" s="2" t="str">
        <f>"－"</f>
        <v>－</v>
      </c>
      <c r="J566" s="10"/>
      <c r="K566" s="2" t="str">
        <f>"－"</f>
        <v>－</v>
      </c>
    </row>
    <row r="567">
      <c r="A567" s="8" t="s">
        <v>41</v>
      </c>
      <c r="B567" s="9" t="s">
        <v>85</v>
      </c>
      <c r="C567" s="9" t="s">
        <v>86</v>
      </c>
      <c r="D567" s="10"/>
      <c r="E567" s="2" t="str">
        <f>"－"</f>
        <v>－</v>
      </c>
      <c r="F567" s="10"/>
      <c r="G567" s="2" t="str">
        <f>"－"</f>
        <v>－</v>
      </c>
      <c r="H567" s="10"/>
      <c r="I567" s="2" t="str">
        <f>"－"</f>
        <v>－</v>
      </c>
      <c r="J567" s="10"/>
      <c r="K567" s="2" t="str">
        <f>"－"</f>
        <v>－</v>
      </c>
    </row>
    <row r="568">
      <c r="A568" s="8" t="s">
        <v>42</v>
      </c>
      <c r="B568" s="9" t="s">
        <v>85</v>
      </c>
      <c r="C568" s="9" t="s">
        <v>86</v>
      </c>
      <c r="D568" s="10"/>
      <c r="E568" s="2"/>
      <c r="F568" s="10"/>
      <c r="G568" s="2"/>
      <c r="H568" s="10"/>
      <c r="I568" s="2"/>
      <c r="J568" s="10"/>
      <c r="K568" s="2"/>
    </row>
    <row r="569">
      <c r="A569" s="8" t="s">
        <v>43</v>
      </c>
      <c r="B569" s="9" t="s">
        <v>85</v>
      </c>
      <c r="C569" s="9" t="s">
        <v>86</v>
      </c>
      <c r="D569" s="10"/>
      <c r="E569" s="2" t="str">
        <f>"－"</f>
        <v>－</v>
      </c>
      <c r="F569" s="10"/>
      <c r="G569" s="2" t="str">
        <f>"－"</f>
        <v>－</v>
      </c>
      <c r="H569" s="10"/>
      <c r="I569" s="2" t="str">
        <f>"－"</f>
        <v>－</v>
      </c>
      <c r="J569" s="10"/>
      <c r="K569" s="2" t="str">
        <f>"－"</f>
        <v>－</v>
      </c>
    </row>
    <row r="570">
      <c r="A570" s="8" t="s">
        <v>44</v>
      </c>
      <c r="B570" s="9" t="s">
        <v>85</v>
      </c>
      <c r="C570" s="9" t="s">
        <v>86</v>
      </c>
      <c r="D570" s="10"/>
      <c r="E570" s="2"/>
      <c r="F570" s="10"/>
      <c r="G570" s="2"/>
      <c r="H570" s="10"/>
      <c r="I570" s="2"/>
      <c r="J570" s="10"/>
      <c r="K570" s="2"/>
    </row>
    <row r="571">
      <c r="A571" s="8" t="s">
        <v>45</v>
      </c>
      <c r="B571" s="9" t="s">
        <v>85</v>
      </c>
      <c r="C571" s="9" t="s">
        <v>86</v>
      </c>
      <c r="D571" s="10"/>
      <c r="E571" s="2"/>
      <c r="F571" s="10"/>
      <c r="G571" s="2"/>
      <c r="H571" s="10"/>
      <c r="I571" s="2"/>
      <c r="J571" s="10"/>
      <c r="K571" s="2"/>
    </row>
    <row r="572">
      <c r="A572" s="8" t="s">
        <v>46</v>
      </c>
      <c r="B572" s="9" t="s">
        <v>85</v>
      </c>
      <c r="C572" s="9" t="s">
        <v>86</v>
      </c>
      <c r="D572" s="10"/>
      <c r="E572" s="2" t="str">
        <f>"－"</f>
        <v>－</v>
      </c>
      <c r="F572" s="10"/>
      <c r="G572" s="2" t="str">
        <f>"－"</f>
        <v>－</v>
      </c>
      <c r="H572" s="10"/>
      <c r="I572" s="2" t="str">
        <f>"－"</f>
        <v>－</v>
      </c>
      <c r="J572" s="10"/>
      <c r="K572" s="2" t="str">
        <f>"－"</f>
        <v>－</v>
      </c>
    </row>
    <row r="573">
      <c r="A573" s="8" t="s">
        <v>47</v>
      </c>
      <c r="B573" s="9" t="s">
        <v>85</v>
      </c>
      <c r="C573" s="9" t="s">
        <v>86</v>
      </c>
      <c r="D573" s="10"/>
      <c r="E573" s="2" t="str">
        <f>"－"</f>
        <v>－</v>
      </c>
      <c r="F573" s="10"/>
      <c r="G573" s="2" t="str">
        <f>"－"</f>
        <v>－</v>
      </c>
      <c r="H573" s="10"/>
      <c r="I573" s="2" t="str">
        <f>"－"</f>
        <v>－</v>
      </c>
      <c r="J573" s="10"/>
      <c r="K573" s="2" t="str">
        <f>"－"</f>
        <v>－</v>
      </c>
    </row>
    <row r="574">
      <c r="A574" s="8" t="s">
        <v>48</v>
      </c>
      <c r="B574" s="9" t="s">
        <v>85</v>
      </c>
      <c r="C574" s="9" t="s">
        <v>86</v>
      </c>
      <c r="D574" s="10"/>
      <c r="E574" s="2" t="str">
        <f>"－"</f>
        <v>－</v>
      </c>
      <c r="F574" s="10"/>
      <c r="G574" s="2" t="str">
        <f>"－"</f>
        <v>－</v>
      </c>
      <c r="H574" s="10"/>
      <c r="I574" s="2" t="str">
        <f>"－"</f>
        <v>－</v>
      </c>
      <c r="J574" s="10"/>
      <c r="K574" s="2" t="str">
        <f>"－"</f>
        <v>－</v>
      </c>
    </row>
    <row r="575">
      <c r="A575" s="8" t="s">
        <v>49</v>
      </c>
      <c r="B575" s="9" t="s">
        <v>85</v>
      </c>
      <c r="C575" s="9" t="s">
        <v>86</v>
      </c>
      <c r="D575" s="10"/>
      <c r="E575" s="2" t="str">
        <f>"－"</f>
        <v>－</v>
      </c>
      <c r="F575" s="10"/>
      <c r="G575" s="2" t="str">
        <f>"－"</f>
        <v>－</v>
      </c>
      <c r="H575" s="10"/>
      <c r="I575" s="2" t="str">
        <f>"－"</f>
        <v>－</v>
      </c>
      <c r="J575" s="10"/>
      <c r="K575" s="2" t="str">
        <f>"－"</f>
        <v>－</v>
      </c>
    </row>
    <row r="576">
      <c r="A576" s="8" t="s">
        <v>16</v>
      </c>
      <c r="B576" s="9" t="s">
        <v>87</v>
      </c>
      <c r="C576" s="9" t="s">
        <v>88</v>
      </c>
      <c r="D576" s="10" t="s">
        <v>54</v>
      </c>
      <c r="E576" s="2" t="str">
        <f>"－"</f>
        <v>－</v>
      </c>
      <c r="F576" s="10" t="s">
        <v>54</v>
      </c>
      <c r="G576" s="2" t="str">
        <f>"－"</f>
        <v>－</v>
      </c>
      <c r="H576" s="10" t="s">
        <v>54</v>
      </c>
      <c r="I576" s="2" t="str">
        <f>"－"</f>
        <v>－</v>
      </c>
      <c r="J576" s="10" t="s">
        <v>54</v>
      </c>
      <c r="K576" s="2" t="str">
        <f>"－"</f>
        <v>－</v>
      </c>
    </row>
    <row r="577">
      <c r="A577" s="8" t="s">
        <v>19</v>
      </c>
      <c r="B577" s="9" t="s">
        <v>87</v>
      </c>
      <c r="C577" s="9" t="s">
        <v>88</v>
      </c>
      <c r="D577" s="10"/>
      <c r="E577" s="2" t="str">
        <f>"－"</f>
        <v>－</v>
      </c>
      <c r="F577" s="10"/>
      <c r="G577" s="2" t="str">
        <f>"－"</f>
        <v>－</v>
      </c>
      <c r="H577" s="10"/>
      <c r="I577" s="2" t="str">
        <f>"－"</f>
        <v>－</v>
      </c>
      <c r="J577" s="10"/>
      <c r="K577" s="2" t="str">
        <f>"－"</f>
        <v>－</v>
      </c>
    </row>
    <row r="578">
      <c r="A578" s="8" t="s">
        <v>20</v>
      </c>
      <c r="B578" s="9" t="s">
        <v>87</v>
      </c>
      <c r="C578" s="9" t="s">
        <v>88</v>
      </c>
      <c r="D578" s="10"/>
      <c r="E578" s="2"/>
      <c r="F578" s="10"/>
      <c r="G578" s="2"/>
      <c r="H578" s="10"/>
      <c r="I578" s="2"/>
      <c r="J578" s="10"/>
      <c r="K578" s="2"/>
    </row>
    <row r="579">
      <c r="A579" s="8" t="s">
        <v>21</v>
      </c>
      <c r="B579" s="9" t="s">
        <v>87</v>
      </c>
      <c r="C579" s="9" t="s">
        <v>88</v>
      </c>
      <c r="D579" s="10"/>
      <c r="E579" s="2"/>
      <c r="F579" s="10"/>
      <c r="G579" s="2"/>
      <c r="H579" s="10"/>
      <c r="I579" s="2"/>
      <c r="J579" s="10"/>
      <c r="K579" s="2"/>
    </row>
    <row r="580">
      <c r="A580" s="8" t="s">
        <v>22</v>
      </c>
      <c r="B580" s="9" t="s">
        <v>87</v>
      </c>
      <c r="C580" s="9" t="s">
        <v>88</v>
      </c>
      <c r="D580" s="10"/>
      <c r="E580" s="2"/>
      <c r="F580" s="10"/>
      <c r="G580" s="2"/>
      <c r="H580" s="10"/>
      <c r="I580" s="2"/>
      <c r="J580" s="10"/>
      <c r="K580" s="2"/>
    </row>
    <row r="581">
      <c r="A581" s="8" t="s">
        <v>23</v>
      </c>
      <c r="B581" s="9" t="s">
        <v>87</v>
      </c>
      <c r="C581" s="9" t="s">
        <v>88</v>
      </c>
      <c r="D581" s="10"/>
      <c r="E581" s="2" t="str">
        <f>"－"</f>
        <v>－</v>
      </c>
      <c r="F581" s="10"/>
      <c r="G581" s="2" t="str">
        <f>"－"</f>
        <v>－</v>
      </c>
      <c r="H581" s="10"/>
      <c r="I581" s="2" t="str">
        <f>"－"</f>
        <v>－</v>
      </c>
      <c r="J581" s="10"/>
      <c r="K581" s="2" t="str">
        <f>"－"</f>
        <v>－</v>
      </c>
    </row>
    <row r="582">
      <c r="A582" s="8" t="s">
        <v>24</v>
      </c>
      <c r="B582" s="9" t="s">
        <v>87</v>
      </c>
      <c r="C582" s="9" t="s">
        <v>88</v>
      </c>
      <c r="D582" s="10"/>
      <c r="E582" s="2" t="str">
        <f>"－"</f>
        <v>－</v>
      </c>
      <c r="F582" s="10"/>
      <c r="G582" s="2" t="str">
        <f>"－"</f>
        <v>－</v>
      </c>
      <c r="H582" s="10"/>
      <c r="I582" s="2" t="str">
        <f>"－"</f>
        <v>－</v>
      </c>
      <c r="J582" s="10"/>
      <c r="K582" s="2" t="str">
        <f>"－"</f>
        <v>－</v>
      </c>
    </row>
    <row r="583">
      <c r="A583" s="8" t="s">
        <v>26</v>
      </c>
      <c r="B583" s="9" t="s">
        <v>87</v>
      </c>
      <c r="C583" s="9" t="s">
        <v>88</v>
      </c>
      <c r="D583" s="10"/>
      <c r="E583" s="2" t="str">
        <f>"－"</f>
        <v>－</v>
      </c>
      <c r="F583" s="10"/>
      <c r="G583" s="2" t="str">
        <f>"－"</f>
        <v>－</v>
      </c>
      <c r="H583" s="10"/>
      <c r="I583" s="2" t="str">
        <f>"－"</f>
        <v>－</v>
      </c>
      <c r="J583" s="10"/>
      <c r="K583" s="2" t="str">
        <f>"－"</f>
        <v>－</v>
      </c>
    </row>
    <row r="584">
      <c r="A584" s="8" t="s">
        <v>27</v>
      </c>
      <c r="B584" s="9" t="s">
        <v>87</v>
      </c>
      <c r="C584" s="9" t="s">
        <v>88</v>
      </c>
      <c r="D584" s="10"/>
      <c r="E584" s="2" t="str">
        <f>"－"</f>
        <v>－</v>
      </c>
      <c r="F584" s="10"/>
      <c r="G584" s="2" t="str">
        <f>"－"</f>
        <v>－</v>
      </c>
      <c r="H584" s="10"/>
      <c r="I584" s="2" t="str">
        <f>"－"</f>
        <v>－</v>
      </c>
      <c r="J584" s="10"/>
      <c r="K584" s="2" t="str">
        <f>"－"</f>
        <v>－</v>
      </c>
    </row>
    <row r="585">
      <c r="A585" s="8" t="s">
        <v>28</v>
      </c>
      <c r="B585" s="9" t="s">
        <v>87</v>
      </c>
      <c r="C585" s="9" t="s">
        <v>88</v>
      </c>
      <c r="D585" s="10"/>
      <c r="E585" s="2" t="str">
        <f>"－"</f>
        <v>－</v>
      </c>
      <c r="F585" s="10"/>
      <c r="G585" s="2" t="str">
        <f>"－"</f>
        <v>－</v>
      </c>
      <c r="H585" s="10"/>
      <c r="I585" s="2" t="str">
        <f>"－"</f>
        <v>－</v>
      </c>
      <c r="J585" s="10"/>
      <c r="K585" s="2" t="str">
        <f>"－"</f>
        <v>－</v>
      </c>
    </row>
    <row r="586">
      <c r="A586" s="8" t="s">
        <v>29</v>
      </c>
      <c r="B586" s="9" t="s">
        <v>87</v>
      </c>
      <c r="C586" s="9" t="s">
        <v>88</v>
      </c>
      <c r="D586" s="10"/>
      <c r="E586" s="2"/>
      <c r="F586" s="10"/>
      <c r="G586" s="2"/>
      <c r="H586" s="10"/>
      <c r="I586" s="2"/>
      <c r="J586" s="10"/>
      <c r="K586" s="2"/>
    </row>
    <row r="587">
      <c r="A587" s="8" t="s">
        <v>30</v>
      </c>
      <c r="B587" s="9" t="s">
        <v>87</v>
      </c>
      <c r="C587" s="9" t="s">
        <v>88</v>
      </c>
      <c r="D587" s="10"/>
      <c r="E587" s="2"/>
      <c r="F587" s="10"/>
      <c r="G587" s="2"/>
      <c r="H587" s="10"/>
      <c r="I587" s="2"/>
      <c r="J587" s="10"/>
      <c r="K587" s="2"/>
    </row>
    <row r="588">
      <c r="A588" s="8" t="s">
        <v>31</v>
      </c>
      <c r="B588" s="9" t="s">
        <v>87</v>
      </c>
      <c r="C588" s="9" t="s">
        <v>88</v>
      </c>
      <c r="D588" s="10"/>
      <c r="E588" s="2" t="str">
        <f>"－"</f>
        <v>－</v>
      </c>
      <c r="F588" s="10"/>
      <c r="G588" s="2" t="str">
        <f>"－"</f>
        <v>－</v>
      </c>
      <c r="H588" s="10"/>
      <c r="I588" s="2" t="str">
        <f>"－"</f>
        <v>－</v>
      </c>
      <c r="J588" s="10"/>
      <c r="K588" s="2" t="str">
        <f>"－"</f>
        <v>－</v>
      </c>
    </row>
    <row r="589">
      <c r="A589" s="8" t="s">
        <v>32</v>
      </c>
      <c r="B589" s="9" t="s">
        <v>87</v>
      </c>
      <c r="C589" s="9" t="s">
        <v>88</v>
      </c>
      <c r="D589" s="10"/>
      <c r="E589" s="2" t="str">
        <f>"－"</f>
        <v>－</v>
      </c>
      <c r="F589" s="10"/>
      <c r="G589" s="2" t="str">
        <f>"－"</f>
        <v>－</v>
      </c>
      <c r="H589" s="10"/>
      <c r="I589" s="2" t="str">
        <f>"－"</f>
        <v>－</v>
      </c>
      <c r="J589" s="10"/>
      <c r="K589" s="2" t="str">
        <f>"－"</f>
        <v>－</v>
      </c>
    </row>
    <row r="590">
      <c r="A590" s="8" t="s">
        <v>33</v>
      </c>
      <c r="B590" s="9" t="s">
        <v>87</v>
      </c>
      <c r="C590" s="9" t="s">
        <v>88</v>
      </c>
      <c r="D590" s="10"/>
      <c r="E590" s="2" t="str">
        <f>"－"</f>
        <v>－</v>
      </c>
      <c r="F590" s="10"/>
      <c r="G590" s="2" t="str">
        <f>"－"</f>
        <v>－</v>
      </c>
      <c r="H590" s="10"/>
      <c r="I590" s="2" t="str">
        <f>"－"</f>
        <v>－</v>
      </c>
      <c r="J590" s="10"/>
      <c r="K590" s="2" t="str">
        <f>"－"</f>
        <v>－</v>
      </c>
    </row>
    <row r="591">
      <c r="A591" s="8" t="s">
        <v>35</v>
      </c>
      <c r="B591" s="9" t="s">
        <v>87</v>
      </c>
      <c r="C591" s="9" t="s">
        <v>88</v>
      </c>
      <c r="D591" s="10"/>
      <c r="E591" s="2" t="str">
        <f>"－"</f>
        <v>－</v>
      </c>
      <c r="F591" s="10"/>
      <c r="G591" s="2" t="str">
        <f>"－"</f>
        <v>－</v>
      </c>
      <c r="H591" s="10"/>
      <c r="I591" s="2" t="str">
        <f>"－"</f>
        <v>－</v>
      </c>
      <c r="J591" s="10"/>
      <c r="K591" s="2" t="str">
        <f>"－"</f>
        <v>－</v>
      </c>
    </row>
    <row r="592">
      <c r="A592" s="8" t="s">
        <v>36</v>
      </c>
      <c r="B592" s="9" t="s">
        <v>87</v>
      </c>
      <c r="C592" s="9" t="s">
        <v>88</v>
      </c>
      <c r="D592" s="10"/>
      <c r="E592" s="2" t="str">
        <f>"－"</f>
        <v>－</v>
      </c>
      <c r="F592" s="10"/>
      <c r="G592" s="2" t="str">
        <f>"－"</f>
        <v>－</v>
      </c>
      <c r="H592" s="10"/>
      <c r="I592" s="2" t="str">
        <f>"－"</f>
        <v>－</v>
      </c>
      <c r="J592" s="10"/>
      <c r="K592" s="2" t="str">
        <f>"－"</f>
        <v>－</v>
      </c>
    </row>
    <row r="593">
      <c r="A593" s="8" t="s">
        <v>37</v>
      </c>
      <c r="B593" s="9" t="s">
        <v>87</v>
      </c>
      <c r="C593" s="9" t="s">
        <v>88</v>
      </c>
      <c r="D593" s="10"/>
      <c r="E593" s="2"/>
      <c r="F593" s="10"/>
      <c r="G593" s="2"/>
      <c r="H593" s="10"/>
      <c r="I593" s="2"/>
      <c r="J593" s="10"/>
      <c r="K593" s="2"/>
    </row>
    <row r="594">
      <c r="A594" s="8" t="s">
        <v>38</v>
      </c>
      <c r="B594" s="9" t="s">
        <v>87</v>
      </c>
      <c r="C594" s="9" t="s">
        <v>88</v>
      </c>
      <c r="D594" s="10"/>
      <c r="E594" s="2"/>
      <c r="F594" s="10"/>
      <c r="G594" s="2"/>
      <c r="H594" s="10"/>
      <c r="I594" s="2"/>
      <c r="J594" s="10"/>
      <c r="K594" s="2"/>
    </row>
    <row r="595">
      <c r="A595" s="8" t="s">
        <v>39</v>
      </c>
      <c r="B595" s="9" t="s">
        <v>87</v>
      </c>
      <c r="C595" s="9" t="s">
        <v>88</v>
      </c>
      <c r="D595" s="10"/>
      <c r="E595" s="2" t="str">
        <f>"－"</f>
        <v>－</v>
      </c>
      <c r="F595" s="10"/>
      <c r="G595" s="2" t="str">
        <f>"－"</f>
        <v>－</v>
      </c>
      <c r="H595" s="10"/>
      <c r="I595" s="2" t="str">
        <f>"－"</f>
        <v>－</v>
      </c>
      <c r="J595" s="10"/>
      <c r="K595" s="2" t="str">
        <f>"－"</f>
        <v>－</v>
      </c>
    </row>
    <row r="596">
      <c r="A596" s="8" t="s">
        <v>40</v>
      </c>
      <c r="B596" s="9" t="s">
        <v>87</v>
      </c>
      <c r="C596" s="9" t="s">
        <v>88</v>
      </c>
      <c r="D596" s="10"/>
      <c r="E596" s="2" t="str">
        <f>"－"</f>
        <v>－</v>
      </c>
      <c r="F596" s="10"/>
      <c r="G596" s="2" t="str">
        <f>"－"</f>
        <v>－</v>
      </c>
      <c r="H596" s="10"/>
      <c r="I596" s="2" t="str">
        <f>"－"</f>
        <v>－</v>
      </c>
      <c r="J596" s="10"/>
      <c r="K596" s="2" t="str">
        <f>"－"</f>
        <v>－</v>
      </c>
    </row>
    <row r="597">
      <c r="A597" s="8" t="s">
        <v>41</v>
      </c>
      <c r="B597" s="9" t="s">
        <v>87</v>
      </c>
      <c r="C597" s="9" t="s">
        <v>88</v>
      </c>
      <c r="D597" s="10"/>
      <c r="E597" s="2" t="str">
        <f>"－"</f>
        <v>－</v>
      </c>
      <c r="F597" s="10"/>
      <c r="G597" s="2" t="str">
        <f>"－"</f>
        <v>－</v>
      </c>
      <c r="H597" s="10"/>
      <c r="I597" s="2" t="str">
        <f>"－"</f>
        <v>－</v>
      </c>
      <c r="J597" s="10"/>
      <c r="K597" s="2" t="str">
        <f>"－"</f>
        <v>－</v>
      </c>
    </row>
    <row r="598">
      <c r="A598" s="8" t="s">
        <v>42</v>
      </c>
      <c r="B598" s="9" t="s">
        <v>87</v>
      </c>
      <c r="C598" s="9" t="s">
        <v>88</v>
      </c>
      <c r="D598" s="10"/>
      <c r="E598" s="2"/>
      <c r="F598" s="10"/>
      <c r="G598" s="2"/>
      <c r="H598" s="10"/>
      <c r="I598" s="2"/>
      <c r="J598" s="10"/>
      <c r="K598" s="2"/>
    </row>
    <row r="599">
      <c r="A599" s="8" t="s">
        <v>43</v>
      </c>
      <c r="B599" s="9" t="s">
        <v>87</v>
      </c>
      <c r="C599" s="9" t="s">
        <v>88</v>
      </c>
      <c r="D599" s="10"/>
      <c r="E599" s="2" t="str">
        <f>"－"</f>
        <v>－</v>
      </c>
      <c r="F599" s="10"/>
      <c r="G599" s="2" t="str">
        <f>"－"</f>
        <v>－</v>
      </c>
      <c r="H599" s="10"/>
      <c r="I599" s="2" t="str">
        <f>"－"</f>
        <v>－</v>
      </c>
      <c r="J599" s="10"/>
      <c r="K599" s="2" t="str">
        <f>"－"</f>
        <v>－</v>
      </c>
    </row>
    <row r="600">
      <c r="A600" s="8" t="s">
        <v>44</v>
      </c>
      <c r="B600" s="9" t="s">
        <v>87</v>
      </c>
      <c r="C600" s="9" t="s">
        <v>88</v>
      </c>
      <c r="D600" s="10"/>
      <c r="E600" s="2"/>
      <c r="F600" s="10"/>
      <c r="G600" s="2"/>
      <c r="H600" s="10"/>
      <c r="I600" s="2"/>
      <c r="J600" s="10"/>
      <c r="K600" s="2"/>
    </row>
    <row r="601">
      <c r="A601" s="8" t="s">
        <v>45</v>
      </c>
      <c r="B601" s="9" t="s">
        <v>87</v>
      </c>
      <c r="C601" s="9" t="s">
        <v>88</v>
      </c>
      <c r="D601" s="10"/>
      <c r="E601" s="2"/>
      <c r="F601" s="10"/>
      <c r="G601" s="2"/>
      <c r="H601" s="10"/>
      <c r="I601" s="2"/>
      <c r="J601" s="10"/>
      <c r="K601" s="2"/>
    </row>
    <row r="602">
      <c r="A602" s="8" t="s">
        <v>46</v>
      </c>
      <c r="B602" s="9" t="s">
        <v>87</v>
      </c>
      <c r="C602" s="9" t="s">
        <v>88</v>
      </c>
      <c r="D602" s="10"/>
      <c r="E602" s="2" t="str">
        <f>"－"</f>
        <v>－</v>
      </c>
      <c r="F602" s="10"/>
      <c r="G602" s="2" t="str">
        <f>"－"</f>
        <v>－</v>
      </c>
      <c r="H602" s="10"/>
      <c r="I602" s="2" t="str">
        <f>"－"</f>
        <v>－</v>
      </c>
      <c r="J602" s="10"/>
      <c r="K602" s="2" t="str">
        <f>"－"</f>
        <v>－</v>
      </c>
    </row>
    <row r="603">
      <c r="A603" s="8" t="s">
        <v>47</v>
      </c>
      <c r="B603" s="9" t="s">
        <v>87</v>
      </c>
      <c r="C603" s="9" t="s">
        <v>88</v>
      </c>
      <c r="D603" s="10"/>
      <c r="E603" s="2" t="str">
        <f>"－"</f>
        <v>－</v>
      </c>
      <c r="F603" s="10"/>
      <c r="G603" s="2" t="str">
        <f>"－"</f>
        <v>－</v>
      </c>
      <c r="H603" s="10"/>
      <c r="I603" s="2" t="str">
        <f>"－"</f>
        <v>－</v>
      </c>
      <c r="J603" s="10"/>
      <c r="K603" s="2" t="str">
        <f>"－"</f>
        <v>－</v>
      </c>
    </row>
    <row r="604">
      <c r="A604" s="8" t="s">
        <v>48</v>
      </c>
      <c r="B604" s="9" t="s">
        <v>87</v>
      </c>
      <c r="C604" s="9" t="s">
        <v>88</v>
      </c>
      <c r="D604" s="10"/>
      <c r="E604" s="2" t="str">
        <f>"－"</f>
        <v>－</v>
      </c>
      <c r="F604" s="10"/>
      <c r="G604" s="2" t="str">
        <f>"－"</f>
        <v>－</v>
      </c>
      <c r="H604" s="10"/>
      <c r="I604" s="2" t="str">
        <f>"－"</f>
        <v>－</v>
      </c>
      <c r="J604" s="10"/>
      <c r="K604" s="2" t="str">
        <f>"－"</f>
        <v>－</v>
      </c>
    </row>
    <row r="605">
      <c r="A605" s="8" t="s">
        <v>49</v>
      </c>
      <c r="B605" s="9" t="s">
        <v>87</v>
      </c>
      <c r="C605" s="9" t="s">
        <v>88</v>
      </c>
      <c r="D605" s="10"/>
      <c r="E605" s="2" t="str">
        <f>"－"</f>
        <v>－</v>
      </c>
      <c r="F605" s="10"/>
      <c r="G605" s="2" t="str">
        <f>"－"</f>
        <v>－</v>
      </c>
      <c r="H605" s="10"/>
      <c r="I605" s="2" t="str">
        <f>"－"</f>
        <v>－</v>
      </c>
      <c r="J605" s="10"/>
      <c r="K605" s="2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