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<sst xmlns="http://schemas.openxmlformats.org/spreadsheetml/2006/main" count="680" uniqueCount="71">
  <si>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</si>
  <si>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</si>
  <si>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</si>
  <si>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</si>
  <si>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</si>
  <si>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</si>
  <si>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</si>
  <si>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</si>
  <si>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</si>
  <si>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</si>
  <si>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</si>
  <si>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</si>
  <si>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</si>
  <si>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</si>
  <si>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</si>
  <si>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</si>
  <si>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</si>
  <si>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</si>
  <si>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</si>
  <si>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</si>
  <si>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</si>
  <si>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</si>
  <si>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</si>
  <si>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</si>
  <si>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</si>
  <si>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</si>
  <si>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11.1</t>
  </si>
  <si>
    <t>日経225オプション</t>
  </si>
  <si>
    <t>Nikkei 225 Options</t>
  </si>
  <si>
    <t>2</t>
  </si>
  <si>
    <t>◎</t>
  </si>
  <si>
    <t>3</t>
  </si>
  <si>
    <t>4</t>
  </si>
  <si>
    <t>5</t>
  </si>
  <si>
    <t>6</t>
  </si>
  <si>
    <t>7</t>
  </si>
  <si>
    <t>8</t>
  </si>
  <si>
    <t>9</t>
  </si>
  <si>
    <t>10</t>
  </si>
  <si>
    <t>●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</si>
  <si>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</si>
  <si>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</si>
  <si>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</si>
  <si>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</si>
  <si>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</si>
  <si>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</si>
  <si>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</si>
  <si>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</si>
  <si>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</si>
  <si>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</si>
  <si>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</si>
  <si>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</si>
  <si>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</si>
  <si>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</si>
  <si>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</si>
  <si>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</si>
  <si>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</si>
  <si>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</si>
  <si>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</si>
  <si>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</si>
  <si>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日経225ミニオプション</t>
  </si>
  <si>
    <t>Nikkei 225 mini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</si>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</sst>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8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60142</f>
        <v>60142.0</v>
      </c>
      <c r="F10" s="23"/>
      <c r="G10" s="25" t="n">
        <f>46040</f>
        <v>46040.0</v>
      </c>
      <c r="H10" s="23"/>
      <c r="I10" s="26" t="n">
        <f>106182</f>
        <v>106182.0</v>
      </c>
      <c r="J10" s="24"/>
      <c r="K10" s="25" t="n">
        <f>11666910893</f>
        <v>1.1666910893E10</v>
      </c>
      <c r="L10" s="23"/>
      <c r="M10" s="25" t="n">
        <f>9276012645</f>
        <v>9.276012645E9</v>
      </c>
      <c r="N10" s="23"/>
      <c r="O10" s="26" t="n">
        <f>20942923538</f>
        <v>2.0942923538E10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15330</f>
        <v>15330.0</v>
      </c>
      <c r="U10" s="23"/>
      <c r="V10" s="25" t="n">
        <f>10679</f>
        <v>10679.0</v>
      </c>
      <c r="W10" s="23"/>
      <c r="X10" s="26" t="n">
        <f>26009</f>
        <v>26009.0</v>
      </c>
      <c r="Y10" s="24"/>
      <c r="Z10" s="25" t="n">
        <f>965065</f>
        <v>965065.0</v>
      </c>
      <c r="AA10" s="23"/>
      <c r="AB10" s="25" t="n">
        <f>619133</f>
        <v>619133.0</v>
      </c>
      <c r="AC10" s="23"/>
      <c r="AD10" s="26" t="n">
        <f>1584198</f>
        <v>1584198.0</v>
      </c>
    </row>
    <row r="11">
      <c r="A11" s="30" t="s">
        <v>29</v>
      </c>
      <c r="B11" s="22" t="s">
        <v>27</v>
      </c>
      <c r="C11" s="22" t="s">
        <v>28</v>
      </c>
      <c r="D11" s="24"/>
      <c r="E11" s="25" t="n">
        <f>60485</f>
        <v>60485.0</v>
      </c>
      <c r="F11" s="23" t="s">
        <v>30</v>
      </c>
      <c r="G11" s="25" t="n">
        <f>57740</f>
        <v>57740.0</v>
      </c>
      <c r="H11" s="23"/>
      <c r="I11" s="26" t="n">
        <f>118225</f>
        <v>118225.0</v>
      </c>
      <c r="J11" s="24"/>
      <c r="K11" s="25" t="n">
        <f>12438878214</f>
        <v>1.2438878214E10</v>
      </c>
      <c r="L11" s="23" t="s">
        <v>30</v>
      </c>
      <c r="M11" s="25" t="n">
        <f>14535010767</f>
        <v>1.4535010767E10</v>
      </c>
      <c r="N11" s="23"/>
      <c r="O11" s="26" t="n">
        <f>26973888981</f>
        <v>2.6973888981E10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14406</f>
        <v>14406.0</v>
      </c>
      <c r="U11" s="23" t="s">
        <v>30</v>
      </c>
      <c r="V11" s="25" t="n">
        <f>17830</f>
        <v>17830.0</v>
      </c>
      <c r="W11" s="23" t="s">
        <v>30</v>
      </c>
      <c r="X11" s="26" t="n">
        <f>32236</f>
        <v>32236.0</v>
      </c>
      <c r="Y11" s="24"/>
      <c r="Z11" s="25" t="n">
        <f>974508</f>
        <v>974508.0</v>
      </c>
      <c r="AA11" s="23"/>
      <c r="AB11" s="25" t="n">
        <f>628483</f>
        <v>628483.0</v>
      </c>
      <c r="AC11" s="23"/>
      <c r="AD11" s="26" t="n">
        <f>1602991</f>
        <v>1602991.0</v>
      </c>
    </row>
    <row r="12">
      <c r="A12" s="30" t="s">
        <v>31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32</v>
      </c>
      <c r="B13" s="22" t="s">
        <v>27</v>
      </c>
      <c r="C13" s="22" t="s">
        <v>28</v>
      </c>
      <c r="D13" s="24"/>
      <c r="E13" s="25"/>
      <c r="F13" s="23"/>
      <c r="G13" s="25"/>
      <c r="H13" s="23"/>
      <c r="I13" s="26"/>
      <c r="J13" s="24"/>
      <c r="K13" s="25"/>
      <c r="L13" s="23"/>
      <c r="M13" s="25"/>
      <c r="N13" s="23"/>
      <c r="O13" s="26"/>
      <c r="P13" s="27"/>
      <c r="Q13" s="28"/>
      <c r="R13" s="29"/>
      <c r="S13" s="24"/>
      <c r="T13" s="25"/>
      <c r="U13" s="23"/>
      <c r="V13" s="25"/>
      <c r="W13" s="23"/>
      <c r="X13" s="26"/>
      <c r="Y13" s="24"/>
      <c r="Z13" s="25"/>
      <c r="AA13" s="23"/>
      <c r="AB13" s="25"/>
      <c r="AC13" s="23"/>
      <c r="AD13" s="26"/>
    </row>
    <row r="14">
      <c r="A14" s="30" t="s">
        <v>33</v>
      </c>
      <c r="B14" s="22" t="s">
        <v>27</v>
      </c>
      <c r="C14" s="22" t="s">
        <v>28</v>
      </c>
      <c r="D14" s="24"/>
      <c r="E14" s="25"/>
      <c r="F14" s="23"/>
      <c r="G14" s="25"/>
      <c r="H14" s="23"/>
      <c r="I14" s="26"/>
      <c r="J14" s="24"/>
      <c r="K14" s="25"/>
      <c r="L14" s="23"/>
      <c r="M14" s="25"/>
      <c r="N14" s="23"/>
      <c r="O14" s="26"/>
      <c r="P14" s="27"/>
      <c r="Q14" s="28"/>
      <c r="R14" s="29"/>
      <c r="S14" s="24"/>
      <c r="T14" s="25"/>
      <c r="U14" s="23"/>
      <c r="V14" s="25"/>
      <c r="W14" s="23"/>
      <c r="X14" s="26"/>
      <c r="Y14" s="24"/>
      <c r="Z14" s="25"/>
      <c r="AA14" s="23"/>
      <c r="AB14" s="25"/>
      <c r="AC14" s="23"/>
      <c r="AD14" s="26"/>
    </row>
    <row r="15">
      <c r="A15" s="30" t="s">
        <v>34</v>
      </c>
      <c r="B15" s="22" t="s">
        <v>27</v>
      </c>
      <c r="C15" s="22" t="s">
        <v>28</v>
      </c>
      <c r="D15" s="24" t="s">
        <v>30</v>
      </c>
      <c r="E15" s="25" t="n">
        <f>74338</f>
        <v>74338.0</v>
      </c>
      <c r="F15" s="23"/>
      <c r="G15" s="25" t="n">
        <f>52792</f>
        <v>52792.0</v>
      </c>
      <c r="H15" s="23" t="s">
        <v>30</v>
      </c>
      <c r="I15" s="26" t="n">
        <f>127130</f>
        <v>127130.0</v>
      </c>
      <c r="J15" s="24"/>
      <c r="K15" s="25" t="n">
        <f>12949275708</f>
        <v>1.2949275708E10</v>
      </c>
      <c r="L15" s="23"/>
      <c r="M15" s="25" t="n">
        <f>11701545210</f>
        <v>1.170154521E10</v>
      </c>
      <c r="N15" s="23"/>
      <c r="O15" s="26" t="n">
        <f>24650820918</f>
        <v>2.4650820918E10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 t="s">
        <v>30</v>
      </c>
      <c r="T15" s="25" t="n">
        <f>17272</f>
        <v>17272.0</v>
      </c>
      <c r="U15" s="23"/>
      <c r="V15" s="25" t="n">
        <f>8826</f>
        <v>8826.0</v>
      </c>
      <c r="W15" s="23"/>
      <c r="X15" s="26" t="n">
        <f>26098</f>
        <v>26098.0</v>
      </c>
      <c r="Y15" s="24"/>
      <c r="Z15" s="25" t="n">
        <f>977377</f>
        <v>977377.0</v>
      </c>
      <c r="AA15" s="23"/>
      <c r="AB15" s="25" t="n">
        <f>623933</f>
        <v>623933.0</v>
      </c>
      <c r="AC15" s="23"/>
      <c r="AD15" s="26" t="n">
        <f>1601310</f>
        <v>1601310.0</v>
      </c>
    </row>
    <row r="16">
      <c r="A16" s="30" t="s">
        <v>35</v>
      </c>
      <c r="B16" s="22" t="s">
        <v>27</v>
      </c>
      <c r="C16" s="22" t="s">
        <v>28</v>
      </c>
      <c r="D16" s="24"/>
      <c r="E16" s="25" t="n">
        <f>53614</f>
        <v>53614.0</v>
      </c>
      <c r="F16" s="23"/>
      <c r="G16" s="25" t="n">
        <f>51346</f>
        <v>51346.0</v>
      </c>
      <c r="H16" s="23"/>
      <c r="I16" s="26" t="n">
        <f>104960</f>
        <v>104960.0</v>
      </c>
      <c r="J16" s="24"/>
      <c r="K16" s="25" t="n">
        <f>9247084571</f>
        <v>9.247084571E9</v>
      </c>
      <c r="L16" s="23"/>
      <c r="M16" s="25" t="n">
        <f>11910539558</f>
        <v>1.1910539558E10</v>
      </c>
      <c r="N16" s="23"/>
      <c r="O16" s="26" t="n">
        <f>21157624129</f>
        <v>2.1157624129E10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9947</f>
        <v>9947.0</v>
      </c>
      <c r="U16" s="23"/>
      <c r="V16" s="25" t="n">
        <f>12185</f>
        <v>12185.0</v>
      </c>
      <c r="W16" s="23"/>
      <c r="X16" s="26" t="n">
        <f>22132</f>
        <v>22132.0</v>
      </c>
      <c r="Y16" s="24"/>
      <c r="Z16" s="25" t="n">
        <f>980939</f>
        <v>980939.0</v>
      </c>
      <c r="AA16" s="23"/>
      <c r="AB16" s="25" t="n">
        <f>627312</f>
        <v>627312.0</v>
      </c>
      <c r="AC16" s="23"/>
      <c r="AD16" s="26" t="n">
        <f>1608251</f>
        <v>1608251.0</v>
      </c>
    </row>
    <row r="17">
      <c r="A17" s="30" t="s">
        <v>36</v>
      </c>
      <c r="B17" s="22" t="s">
        <v>27</v>
      </c>
      <c r="C17" s="22" t="s">
        <v>28</v>
      </c>
      <c r="D17" s="24"/>
      <c r="E17" s="25" t="n">
        <f>51428</f>
        <v>51428.0</v>
      </c>
      <c r="F17" s="23"/>
      <c r="G17" s="25" t="n">
        <f>47377</f>
        <v>47377.0</v>
      </c>
      <c r="H17" s="23"/>
      <c r="I17" s="26" t="n">
        <f>98805</f>
        <v>98805.0</v>
      </c>
      <c r="J17" s="24"/>
      <c r="K17" s="25" t="n">
        <f>9294519652</f>
        <v>9.294519652E9</v>
      </c>
      <c r="L17" s="23"/>
      <c r="M17" s="25" t="n">
        <f>6504669559</f>
        <v>6.504669559E9</v>
      </c>
      <c r="N17" s="23"/>
      <c r="O17" s="26" t="n">
        <f>15799189211</f>
        <v>1.5799189211E10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4"/>
      <c r="T17" s="25" t="n">
        <f>8454</f>
        <v>8454.0</v>
      </c>
      <c r="U17" s="23"/>
      <c r="V17" s="25" t="n">
        <f>11979</f>
        <v>11979.0</v>
      </c>
      <c r="W17" s="23"/>
      <c r="X17" s="26" t="n">
        <f>20433</f>
        <v>20433.0</v>
      </c>
      <c r="Y17" s="24"/>
      <c r="Z17" s="25" t="n">
        <f>989188</f>
        <v>989188.0</v>
      </c>
      <c r="AA17" s="23"/>
      <c r="AB17" s="25" t="n">
        <f>631980</f>
        <v>631980.0</v>
      </c>
      <c r="AC17" s="23"/>
      <c r="AD17" s="26" t="n">
        <f>1621168</f>
        <v>1621168.0</v>
      </c>
    </row>
    <row r="18">
      <c r="A18" s="30" t="s">
        <v>37</v>
      </c>
      <c r="B18" s="22" t="s">
        <v>27</v>
      </c>
      <c r="C18" s="22" t="s">
        <v>28</v>
      </c>
      <c r="D18" s="24"/>
      <c r="E18" s="25" t="n">
        <f>59982</f>
        <v>59982.0</v>
      </c>
      <c r="F18" s="23"/>
      <c r="G18" s="25" t="n">
        <f>53826</f>
        <v>53826.0</v>
      </c>
      <c r="H18" s="23"/>
      <c r="I18" s="26" t="n">
        <f>113808</f>
        <v>113808.0</v>
      </c>
      <c r="J18" s="24"/>
      <c r="K18" s="25" t="n">
        <f>12777154255</f>
        <v>1.2777154255E10</v>
      </c>
      <c r="L18" s="23"/>
      <c r="M18" s="25" t="n">
        <f>9303443230</f>
        <v>9.30344323E9</v>
      </c>
      <c r="N18" s="23"/>
      <c r="O18" s="26" t="n">
        <f>22080597485</f>
        <v>2.2080597485E10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4"/>
      <c r="T18" s="25" t="n">
        <f>15126</f>
        <v>15126.0</v>
      </c>
      <c r="U18" s="23"/>
      <c r="V18" s="25" t="n">
        <f>13283</f>
        <v>13283.0</v>
      </c>
      <c r="W18" s="23"/>
      <c r="X18" s="26" t="n">
        <f>28409</f>
        <v>28409.0</v>
      </c>
      <c r="Y18" s="24" t="s">
        <v>30</v>
      </c>
      <c r="Z18" s="25" t="n">
        <f>1002417</f>
        <v>1002417.0</v>
      </c>
      <c r="AA18" s="23" t="s">
        <v>30</v>
      </c>
      <c r="AB18" s="25" t="n">
        <f>635451</f>
        <v>635451.0</v>
      </c>
      <c r="AC18" s="23" t="s">
        <v>30</v>
      </c>
      <c r="AD18" s="26" t="n">
        <f>1637868</f>
        <v>1637868.0</v>
      </c>
    </row>
    <row r="19">
      <c r="A19" s="30" t="s">
        <v>38</v>
      </c>
      <c r="B19" s="22" t="s">
        <v>27</v>
      </c>
      <c r="C19" s="22" t="s">
        <v>28</v>
      </c>
      <c r="D19" s="24"/>
      <c r="E19" s="25" t="n">
        <f>39485</f>
        <v>39485.0</v>
      </c>
      <c r="F19" s="23"/>
      <c r="G19" s="25" t="n">
        <f>26472</f>
        <v>26472.0</v>
      </c>
      <c r="H19" s="23"/>
      <c r="I19" s="26" t="n">
        <f>65957</f>
        <v>65957.0</v>
      </c>
      <c r="J19" s="24"/>
      <c r="K19" s="25" t="n">
        <f>7595466215</f>
        <v>7.595466215E9</v>
      </c>
      <c r="L19" s="23"/>
      <c r="M19" s="25" t="n">
        <f>7063897900</f>
        <v>7.0638979E9</v>
      </c>
      <c r="N19" s="23"/>
      <c r="O19" s="26" t="n">
        <f>14659364115</f>
        <v>1.4659364115E10</v>
      </c>
      <c r="P19" s="27" t="n">
        <f>7168</f>
        <v>7168.0</v>
      </c>
      <c r="Q19" s="28" t="n">
        <f>18074</f>
        <v>18074.0</v>
      </c>
      <c r="R19" s="29" t="n">
        <f>25242</f>
        <v>25242.0</v>
      </c>
      <c r="S19" s="24"/>
      <c r="T19" s="25" t="n">
        <f>10268</f>
        <v>10268.0</v>
      </c>
      <c r="U19" s="23"/>
      <c r="V19" s="25" t="n">
        <f>4967</f>
        <v>4967.0</v>
      </c>
      <c r="W19" s="23"/>
      <c r="X19" s="26" t="n">
        <f>15235</f>
        <v>15235.0</v>
      </c>
      <c r="Y19" s="24" t="s">
        <v>39</v>
      </c>
      <c r="Z19" s="25" t="n">
        <f>893095</f>
        <v>893095.0</v>
      </c>
      <c r="AA19" s="23" t="s">
        <v>39</v>
      </c>
      <c r="AB19" s="25" t="n">
        <f>566123</f>
        <v>566123.0</v>
      </c>
      <c r="AC19" s="23" t="s">
        <v>39</v>
      </c>
      <c r="AD19" s="26" t="n">
        <f>1459218</f>
        <v>1459218.0</v>
      </c>
    </row>
    <row r="20">
      <c r="A20" s="30" t="s">
        <v>40</v>
      </c>
      <c r="B20" s="22" t="s">
        <v>27</v>
      </c>
      <c r="C20" s="22" t="s">
        <v>28</v>
      </c>
      <c r="D20" s="24"/>
      <c r="E20" s="25"/>
      <c r="F20" s="23"/>
      <c r="G20" s="25"/>
      <c r="H20" s="23"/>
      <c r="I20" s="26"/>
      <c r="J20" s="24"/>
      <c r="K20" s="25"/>
      <c r="L20" s="23"/>
      <c r="M20" s="25"/>
      <c r="N20" s="23"/>
      <c r="O20" s="26"/>
      <c r="P20" s="27"/>
      <c r="Q20" s="28"/>
      <c r="R20" s="29"/>
      <c r="S20" s="24"/>
      <c r="T20" s="25"/>
      <c r="U20" s="23"/>
      <c r="V20" s="25"/>
      <c r="W20" s="23"/>
      <c r="X20" s="26"/>
      <c r="Y20" s="24"/>
      <c r="Z20" s="25"/>
      <c r="AA20" s="23"/>
      <c r="AB20" s="25"/>
      <c r="AC20" s="23"/>
      <c r="AD20" s="26"/>
    </row>
    <row r="21">
      <c r="A21" s="30" t="s">
        <v>41</v>
      </c>
      <c r="B21" s="22" t="s">
        <v>27</v>
      </c>
      <c r="C21" s="22" t="s">
        <v>28</v>
      </c>
      <c r="D21" s="24"/>
      <c r="E21" s="25"/>
      <c r="F21" s="23"/>
      <c r="G21" s="25"/>
      <c r="H21" s="23"/>
      <c r="I21" s="26"/>
      <c r="J21" s="24"/>
      <c r="K21" s="25"/>
      <c r="L21" s="23"/>
      <c r="M21" s="25"/>
      <c r="N21" s="23"/>
      <c r="O21" s="26"/>
      <c r="P21" s="27"/>
      <c r="Q21" s="28"/>
      <c r="R21" s="29"/>
      <c r="S21" s="24"/>
      <c r="T21" s="25"/>
      <c r="U21" s="23"/>
      <c r="V21" s="25"/>
      <c r="W21" s="23"/>
      <c r="X21" s="26"/>
      <c r="Y21" s="24"/>
      <c r="Z21" s="25"/>
      <c r="AA21" s="23"/>
      <c r="AB21" s="25"/>
      <c r="AC21" s="23"/>
      <c r="AD21" s="26"/>
    </row>
    <row r="22">
      <c r="A22" s="30" t="s">
        <v>42</v>
      </c>
      <c r="B22" s="22" t="s">
        <v>27</v>
      </c>
      <c r="C22" s="22" t="s">
        <v>28</v>
      </c>
      <c r="D22" s="24"/>
      <c r="E22" s="25" t="n">
        <f>37793</f>
        <v>37793.0</v>
      </c>
      <c r="F22" s="23"/>
      <c r="G22" s="25" t="n">
        <f>27941</f>
        <v>27941.0</v>
      </c>
      <c r="H22" s="23"/>
      <c r="I22" s="26" t="n">
        <f>65734</f>
        <v>65734.0</v>
      </c>
      <c r="J22" s="24"/>
      <c r="K22" s="25" t="n">
        <f>6501515880</f>
        <v>6.50151588E9</v>
      </c>
      <c r="L22" s="23"/>
      <c r="M22" s="25" t="n">
        <f>7591505690</f>
        <v>7.59150569E9</v>
      </c>
      <c r="N22" s="23"/>
      <c r="O22" s="26" t="n">
        <f>14093021570</f>
        <v>1.409302157E10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/>
      <c r="T22" s="25" t="n">
        <f>7876</f>
        <v>7876.0</v>
      </c>
      <c r="U22" s="23"/>
      <c r="V22" s="25" t="n">
        <f>6288</f>
        <v>6288.0</v>
      </c>
      <c r="W22" s="23"/>
      <c r="X22" s="26" t="n">
        <f>14164</f>
        <v>14164.0</v>
      </c>
      <c r="Y22" s="24"/>
      <c r="Z22" s="25" t="n">
        <f>904170</f>
        <v>904170.0</v>
      </c>
      <c r="AA22" s="23"/>
      <c r="AB22" s="25" t="n">
        <f>572196</f>
        <v>572196.0</v>
      </c>
      <c r="AC22" s="23"/>
      <c r="AD22" s="26" t="n">
        <f>1476366</f>
        <v>1476366.0</v>
      </c>
    </row>
    <row r="23">
      <c r="A23" s="30" t="s">
        <v>43</v>
      </c>
      <c r="B23" s="22" t="s">
        <v>27</v>
      </c>
      <c r="C23" s="22" t="s">
        <v>28</v>
      </c>
      <c r="D23" s="24"/>
      <c r="E23" s="25" t="n">
        <f>37005</f>
        <v>37005.0</v>
      </c>
      <c r="F23" s="23" t="s">
        <v>39</v>
      </c>
      <c r="G23" s="25" t="n">
        <f>21729</f>
        <v>21729.0</v>
      </c>
      <c r="H23" s="23"/>
      <c r="I23" s="26" t="n">
        <f>58734</f>
        <v>58734.0</v>
      </c>
      <c r="J23" s="24"/>
      <c r="K23" s="25" t="n">
        <f>8242970544</f>
        <v>8.242970544E9</v>
      </c>
      <c r="L23" s="23"/>
      <c r="M23" s="25" t="n">
        <f>9498148140</f>
        <v>9.49814814E9</v>
      </c>
      <c r="N23" s="23"/>
      <c r="O23" s="26" t="n">
        <f>17741118684</f>
        <v>1.7741118684E10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7289</f>
        <v>7289.0</v>
      </c>
      <c r="U23" s="23"/>
      <c r="V23" s="25" t="n">
        <f>6995</f>
        <v>6995.0</v>
      </c>
      <c r="W23" s="23"/>
      <c r="X23" s="26" t="n">
        <f>14284</f>
        <v>14284.0</v>
      </c>
      <c r="Y23" s="24"/>
      <c r="Z23" s="25" t="n">
        <f>909559</f>
        <v>909559.0</v>
      </c>
      <c r="AA23" s="23"/>
      <c r="AB23" s="25" t="n">
        <f>576538</f>
        <v>576538.0</v>
      </c>
      <c r="AC23" s="23"/>
      <c r="AD23" s="26" t="n">
        <f>1486097</f>
        <v>1486097.0</v>
      </c>
    </row>
    <row r="24">
      <c r="A24" s="30" t="s">
        <v>44</v>
      </c>
      <c r="B24" s="22" t="s">
        <v>27</v>
      </c>
      <c r="C24" s="22" t="s">
        <v>28</v>
      </c>
      <c r="D24" s="24"/>
      <c r="E24" s="25" t="n">
        <f>48913</f>
        <v>48913.0</v>
      </c>
      <c r="F24" s="23"/>
      <c r="G24" s="25" t="n">
        <f>47600</f>
        <v>47600.0</v>
      </c>
      <c r="H24" s="23"/>
      <c r="I24" s="26" t="n">
        <f>96513</f>
        <v>96513.0</v>
      </c>
      <c r="J24" s="24"/>
      <c r="K24" s="25" t="n">
        <f>8386899975</f>
        <v>8.386899975E9</v>
      </c>
      <c r="L24" s="23"/>
      <c r="M24" s="25" t="n">
        <f>11011793090</f>
        <v>1.101179309E10</v>
      </c>
      <c r="N24" s="23"/>
      <c r="O24" s="26" t="n">
        <f>19398693065</f>
        <v>1.9398693065E10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5850</f>
        <v>5850.0</v>
      </c>
      <c r="U24" s="23"/>
      <c r="V24" s="25" t="n">
        <f>12910</f>
        <v>12910.0</v>
      </c>
      <c r="W24" s="23"/>
      <c r="X24" s="26" t="n">
        <f>18760</f>
        <v>18760.0</v>
      </c>
      <c r="Y24" s="24"/>
      <c r="Z24" s="25" t="n">
        <f>918668</f>
        <v>918668.0</v>
      </c>
      <c r="AA24" s="23"/>
      <c r="AB24" s="25" t="n">
        <f>578245</f>
        <v>578245.0</v>
      </c>
      <c r="AC24" s="23"/>
      <c r="AD24" s="26" t="n">
        <f>1496913</f>
        <v>1496913.0</v>
      </c>
    </row>
    <row r="25">
      <c r="A25" s="30" t="s">
        <v>45</v>
      </c>
      <c r="B25" s="22" t="s">
        <v>27</v>
      </c>
      <c r="C25" s="22" t="s">
        <v>28</v>
      </c>
      <c r="D25" s="24"/>
      <c r="E25" s="25" t="n">
        <f>68592</f>
        <v>68592.0</v>
      </c>
      <c r="F25" s="23"/>
      <c r="G25" s="25" t="n">
        <f>44718</f>
        <v>44718.0</v>
      </c>
      <c r="H25" s="23"/>
      <c r="I25" s="26" t="n">
        <f>113310</f>
        <v>113310.0</v>
      </c>
      <c r="J25" s="24" t="s">
        <v>30</v>
      </c>
      <c r="K25" s="25" t="n">
        <f>18095711330</f>
        <v>1.809571133E10</v>
      </c>
      <c r="L25" s="23"/>
      <c r="M25" s="25" t="n">
        <f>12714561890</f>
        <v>1.271456189E10</v>
      </c>
      <c r="N25" s="23" t="s">
        <v>30</v>
      </c>
      <c r="O25" s="26" t="n">
        <f>30810273220</f>
        <v>3.081027322E10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15527</f>
        <v>15527.0</v>
      </c>
      <c r="U25" s="23"/>
      <c r="V25" s="25" t="n">
        <f>13446</f>
        <v>13446.0</v>
      </c>
      <c r="W25" s="23"/>
      <c r="X25" s="26" t="n">
        <f>28973</f>
        <v>28973.0</v>
      </c>
      <c r="Y25" s="24"/>
      <c r="Z25" s="25" t="n">
        <f>940863</f>
        <v>940863.0</v>
      </c>
      <c r="AA25" s="23"/>
      <c r="AB25" s="25" t="n">
        <f>587625</f>
        <v>587625.0</v>
      </c>
      <c r="AC25" s="23"/>
      <c r="AD25" s="26" t="n">
        <f>1528488</f>
        <v>1528488.0</v>
      </c>
    </row>
    <row r="26">
      <c r="A26" s="30" t="s">
        <v>46</v>
      </c>
      <c r="B26" s="22" t="s">
        <v>27</v>
      </c>
      <c r="C26" s="22" t="s">
        <v>28</v>
      </c>
      <c r="D26" s="24" t="s">
        <v>39</v>
      </c>
      <c r="E26" s="25" t="n">
        <f>30558</f>
        <v>30558.0</v>
      </c>
      <c r="F26" s="23"/>
      <c r="G26" s="25" t="n">
        <f>26370</f>
        <v>26370.0</v>
      </c>
      <c r="H26" s="23"/>
      <c r="I26" s="26" t="n">
        <f>56928</f>
        <v>56928.0</v>
      </c>
      <c r="J26" s="24"/>
      <c r="K26" s="25" t="n">
        <f>7909567990</f>
        <v>7.90956799E9</v>
      </c>
      <c r="L26" s="23"/>
      <c r="M26" s="25" t="n">
        <f>7898635623</f>
        <v>7.898635623E9</v>
      </c>
      <c r="N26" s="23"/>
      <c r="O26" s="26" t="n">
        <f>15808203613</f>
        <v>1.5808203613E10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5900</f>
        <v>5900.0</v>
      </c>
      <c r="U26" s="23"/>
      <c r="V26" s="25" t="n">
        <f>8790</f>
        <v>8790.0</v>
      </c>
      <c r="W26" s="23"/>
      <c r="X26" s="26" t="n">
        <f>14690</f>
        <v>14690.0</v>
      </c>
      <c r="Y26" s="24"/>
      <c r="Z26" s="25" t="n">
        <f>945180</f>
        <v>945180.0</v>
      </c>
      <c r="AA26" s="23"/>
      <c r="AB26" s="25" t="n">
        <f>589501</f>
        <v>589501.0</v>
      </c>
      <c r="AC26" s="23"/>
      <c r="AD26" s="26" t="n">
        <f>1534681</f>
        <v>1534681.0</v>
      </c>
    </row>
    <row r="27">
      <c r="A27" s="30" t="s">
        <v>47</v>
      </c>
      <c r="B27" s="22" t="s">
        <v>27</v>
      </c>
      <c r="C27" s="22" t="s">
        <v>28</v>
      </c>
      <c r="D27" s="24"/>
      <c r="E27" s="25"/>
      <c r="F27" s="23"/>
      <c r="G27" s="25"/>
      <c r="H27" s="23"/>
      <c r="I27" s="26"/>
      <c r="J27" s="24"/>
      <c r="K27" s="25"/>
      <c r="L27" s="23"/>
      <c r="M27" s="25"/>
      <c r="N27" s="23"/>
      <c r="O27" s="26"/>
      <c r="P27" s="27"/>
      <c r="Q27" s="28"/>
      <c r="R27" s="29"/>
      <c r="S27" s="24"/>
      <c r="T27" s="25"/>
      <c r="U27" s="23"/>
      <c r="V27" s="25"/>
      <c r="W27" s="23"/>
      <c r="X27" s="26"/>
      <c r="Y27" s="24"/>
      <c r="Z27" s="25"/>
      <c r="AA27" s="23"/>
      <c r="AB27" s="25"/>
      <c r="AC27" s="23"/>
      <c r="AD27" s="26"/>
    </row>
    <row r="28">
      <c r="A28" s="30" t="s">
        <v>48</v>
      </c>
      <c r="B28" s="22" t="s">
        <v>27</v>
      </c>
      <c r="C28" s="22" t="s">
        <v>28</v>
      </c>
      <c r="D28" s="24"/>
      <c r="E28" s="25"/>
      <c r="F28" s="23"/>
      <c r="G28" s="25"/>
      <c r="H28" s="23"/>
      <c r="I28" s="26"/>
      <c r="J28" s="24"/>
      <c r="K28" s="25"/>
      <c r="L28" s="23"/>
      <c r="M28" s="25"/>
      <c r="N28" s="23"/>
      <c r="O28" s="26"/>
      <c r="P28" s="27"/>
      <c r="Q28" s="28"/>
      <c r="R28" s="29"/>
      <c r="S28" s="24"/>
      <c r="T28" s="25"/>
      <c r="U28" s="23"/>
      <c r="V28" s="25"/>
      <c r="W28" s="23"/>
      <c r="X28" s="26"/>
      <c r="Y28" s="24"/>
      <c r="Z28" s="25"/>
      <c r="AA28" s="23"/>
      <c r="AB28" s="25"/>
      <c r="AC28" s="23"/>
      <c r="AD28" s="26"/>
    </row>
    <row r="29">
      <c r="A29" s="30" t="s">
        <v>49</v>
      </c>
      <c r="B29" s="22" t="s">
        <v>27</v>
      </c>
      <c r="C29" s="22" t="s">
        <v>28</v>
      </c>
      <c r="D29" s="24"/>
      <c r="E29" s="25" t="n">
        <f>37275</f>
        <v>37275.0</v>
      </c>
      <c r="F29" s="23"/>
      <c r="G29" s="25" t="n">
        <f>33019</f>
        <v>33019.0</v>
      </c>
      <c r="H29" s="23"/>
      <c r="I29" s="26" t="n">
        <f>70294</f>
        <v>70294.0</v>
      </c>
      <c r="J29" s="24"/>
      <c r="K29" s="25" t="n">
        <f>12198496339</f>
        <v>1.2198496339E10</v>
      </c>
      <c r="L29" s="23"/>
      <c r="M29" s="25" t="n">
        <f>10415586704</f>
        <v>1.0415586704E10</v>
      </c>
      <c r="N29" s="23"/>
      <c r="O29" s="26" t="n">
        <f>22614083043</f>
        <v>2.2614083043E10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 t="s">
        <v>39</v>
      </c>
      <c r="T29" s="25" t="n">
        <f>4772</f>
        <v>4772.0</v>
      </c>
      <c r="U29" s="23"/>
      <c r="V29" s="25" t="n">
        <f>9430</f>
        <v>9430.0</v>
      </c>
      <c r="W29" s="23"/>
      <c r="X29" s="26" t="n">
        <f>14202</f>
        <v>14202.0</v>
      </c>
      <c r="Y29" s="24"/>
      <c r="Z29" s="25" t="n">
        <f>952957</f>
        <v>952957.0</v>
      </c>
      <c r="AA29" s="23"/>
      <c r="AB29" s="25" t="n">
        <f>597070</f>
        <v>597070.0</v>
      </c>
      <c r="AC29" s="23"/>
      <c r="AD29" s="26" t="n">
        <f>1550027</f>
        <v>1550027.0</v>
      </c>
    </row>
    <row r="30">
      <c r="A30" s="30" t="s">
        <v>50</v>
      </c>
      <c r="B30" s="22" t="s">
        <v>27</v>
      </c>
      <c r="C30" s="22" t="s">
        <v>28</v>
      </c>
      <c r="D30" s="24"/>
      <c r="E30" s="25" t="n">
        <f>41121</f>
        <v>41121.0</v>
      </c>
      <c r="F30" s="23"/>
      <c r="G30" s="25" t="n">
        <f>33394</f>
        <v>33394.0</v>
      </c>
      <c r="H30" s="23"/>
      <c r="I30" s="26" t="n">
        <f>74515</f>
        <v>74515.0</v>
      </c>
      <c r="J30" s="24"/>
      <c r="K30" s="25" t="n">
        <f>8005921076</f>
        <v>8.005921076E9</v>
      </c>
      <c r="L30" s="23"/>
      <c r="M30" s="25" t="n">
        <f>11438491470</f>
        <v>1.143849147E10</v>
      </c>
      <c r="N30" s="23"/>
      <c r="O30" s="26" t="n">
        <f>19444412546</f>
        <v>1.9444412546E10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/>
      <c r="T30" s="25" t="n">
        <f>9334</f>
        <v>9334.0</v>
      </c>
      <c r="U30" s="23"/>
      <c r="V30" s="25" t="n">
        <f>8707</f>
        <v>8707.0</v>
      </c>
      <c r="W30" s="23"/>
      <c r="X30" s="26" t="n">
        <f>18041</f>
        <v>18041.0</v>
      </c>
      <c r="Y30" s="24"/>
      <c r="Z30" s="25" t="n">
        <f>958643</f>
        <v>958643.0</v>
      </c>
      <c r="AA30" s="23"/>
      <c r="AB30" s="25" t="n">
        <f>602167</f>
        <v>602167.0</v>
      </c>
      <c r="AC30" s="23"/>
      <c r="AD30" s="26" t="n">
        <f>1560810</f>
        <v>1560810.0</v>
      </c>
    </row>
    <row r="31">
      <c r="A31" s="30" t="s">
        <v>51</v>
      </c>
      <c r="B31" s="22" t="s">
        <v>27</v>
      </c>
      <c r="C31" s="22" t="s">
        <v>28</v>
      </c>
      <c r="D31" s="24"/>
      <c r="E31" s="25" t="n">
        <f>43609</f>
        <v>43609.0</v>
      </c>
      <c r="F31" s="23"/>
      <c r="G31" s="25" t="n">
        <f>27724</f>
        <v>27724.0</v>
      </c>
      <c r="H31" s="23"/>
      <c r="I31" s="26" t="n">
        <f>71333</f>
        <v>71333.0</v>
      </c>
      <c r="J31" s="24"/>
      <c r="K31" s="25" t="n">
        <f>9551324045</f>
        <v>9.551324045E9</v>
      </c>
      <c r="L31" s="23"/>
      <c r="M31" s="25" t="n">
        <f>6013058950</f>
        <v>6.01305895E9</v>
      </c>
      <c r="N31" s="23"/>
      <c r="O31" s="26" t="n">
        <f>15564382995</f>
        <v>1.5564382995E10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8219</f>
        <v>8219.0</v>
      </c>
      <c r="U31" s="23"/>
      <c r="V31" s="25" t="n">
        <f>4398</f>
        <v>4398.0</v>
      </c>
      <c r="W31" s="23"/>
      <c r="X31" s="26" t="n">
        <f>12617</f>
        <v>12617.0</v>
      </c>
      <c r="Y31" s="24"/>
      <c r="Z31" s="25" t="n">
        <f>963825</f>
        <v>963825.0</v>
      </c>
      <c r="AA31" s="23"/>
      <c r="AB31" s="25" t="n">
        <f>606201</f>
        <v>606201.0</v>
      </c>
      <c r="AC31" s="23"/>
      <c r="AD31" s="26" t="n">
        <f>1570026</f>
        <v>1570026.0</v>
      </c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/>
      <c r="E33" s="25" t="n">
        <f>54603</f>
        <v>54603.0</v>
      </c>
      <c r="F33" s="23"/>
      <c r="G33" s="25" t="n">
        <f>28776</f>
        <v>28776.0</v>
      </c>
      <c r="H33" s="23"/>
      <c r="I33" s="26" t="n">
        <f>83379</f>
        <v>83379.0</v>
      </c>
      <c r="J33" s="24"/>
      <c r="K33" s="25" t="n">
        <f>11964127580</f>
        <v>1.196412758E10</v>
      </c>
      <c r="L33" s="23"/>
      <c r="M33" s="25" t="n">
        <f>6206667436</f>
        <v>6.206667436E9</v>
      </c>
      <c r="N33" s="23"/>
      <c r="O33" s="26" t="n">
        <f>18170795016</f>
        <v>1.8170795016E10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11478</f>
        <v>11478.0</v>
      </c>
      <c r="U33" s="23"/>
      <c r="V33" s="25" t="n">
        <f>5283</f>
        <v>5283.0</v>
      </c>
      <c r="W33" s="23"/>
      <c r="X33" s="26" t="n">
        <f>16761</f>
        <v>16761.0</v>
      </c>
      <c r="Y33" s="24"/>
      <c r="Z33" s="25" t="n">
        <f>976188</f>
        <v>976188.0</v>
      </c>
      <c r="AA33" s="23"/>
      <c r="AB33" s="25" t="n">
        <f>612096</f>
        <v>612096.0</v>
      </c>
      <c r="AC33" s="23"/>
      <c r="AD33" s="26" t="n">
        <f>1588284</f>
        <v>1588284.0</v>
      </c>
    </row>
    <row r="34">
      <c r="A34" s="30" t="s">
        <v>54</v>
      </c>
      <c r="B34" s="22" t="s">
        <v>27</v>
      </c>
      <c r="C34" s="22" t="s">
        <v>28</v>
      </c>
      <c r="D34" s="24"/>
      <c r="E34" s="25"/>
      <c r="F34" s="23"/>
      <c r="G34" s="25"/>
      <c r="H34" s="23"/>
      <c r="I34" s="26"/>
      <c r="J34" s="24"/>
      <c r="K34" s="25"/>
      <c r="L34" s="23"/>
      <c r="M34" s="25"/>
      <c r="N34" s="23"/>
      <c r="O34" s="26"/>
      <c r="P34" s="27"/>
      <c r="Q34" s="28"/>
      <c r="R34" s="29"/>
      <c r="S34" s="24"/>
      <c r="T34" s="25"/>
      <c r="U34" s="23"/>
      <c r="V34" s="25"/>
      <c r="W34" s="23"/>
      <c r="X34" s="26"/>
      <c r="Y34" s="24"/>
      <c r="Z34" s="25"/>
      <c r="AA34" s="23"/>
      <c r="AB34" s="25"/>
      <c r="AC34" s="23"/>
      <c r="AD34" s="26"/>
    </row>
    <row r="35">
      <c r="A35" s="30" t="s">
        <v>55</v>
      </c>
      <c r="B35" s="22" t="s">
        <v>27</v>
      </c>
      <c r="C35" s="22" t="s">
        <v>28</v>
      </c>
      <c r="D35" s="24"/>
      <c r="E35" s="25"/>
      <c r="F35" s="23"/>
      <c r="G35" s="25"/>
      <c r="H35" s="23"/>
      <c r="I35" s="26"/>
      <c r="J35" s="24"/>
      <c r="K35" s="25"/>
      <c r="L35" s="23"/>
      <c r="M35" s="25"/>
      <c r="N35" s="23"/>
      <c r="O35" s="26"/>
      <c r="P35" s="27"/>
      <c r="Q35" s="28"/>
      <c r="R35" s="29"/>
      <c r="S35" s="24"/>
      <c r="T35" s="25"/>
      <c r="U35" s="23"/>
      <c r="V35" s="25"/>
      <c r="W35" s="23"/>
      <c r="X35" s="26"/>
      <c r="Y35" s="24"/>
      <c r="Z35" s="25"/>
      <c r="AA35" s="23"/>
      <c r="AB35" s="25"/>
      <c r="AC35" s="23"/>
      <c r="AD35" s="26"/>
    </row>
    <row r="36">
      <c r="A36" s="30" t="s">
        <v>56</v>
      </c>
      <c r="B36" s="22" t="s">
        <v>27</v>
      </c>
      <c r="C36" s="22" t="s">
        <v>28</v>
      </c>
      <c r="D36" s="24"/>
      <c r="E36" s="25" t="n">
        <f>32979</f>
        <v>32979.0</v>
      </c>
      <c r="F36" s="23"/>
      <c r="G36" s="25" t="n">
        <f>22089</f>
        <v>22089.0</v>
      </c>
      <c r="H36" s="23" t="s">
        <v>39</v>
      </c>
      <c r="I36" s="26" t="n">
        <f>55068</f>
        <v>55068.0</v>
      </c>
      <c r="J36" s="24"/>
      <c r="K36" s="25" t="n">
        <f>9120096810</f>
        <v>9.12009681E9</v>
      </c>
      <c r="L36" s="23"/>
      <c r="M36" s="25" t="n">
        <f>5661105142</f>
        <v>5.661105142E9</v>
      </c>
      <c r="N36" s="23"/>
      <c r="O36" s="26" t="n">
        <f>14781201952</f>
        <v>1.4781201952E10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6182</f>
        <v>6182.0</v>
      </c>
      <c r="U36" s="23" t="s">
        <v>39</v>
      </c>
      <c r="V36" s="25" t="n">
        <f>3857</f>
        <v>3857.0</v>
      </c>
      <c r="W36" s="23"/>
      <c r="X36" s="26" t="n">
        <f>10039</f>
        <v>10039.0</v>
      </c>
      <c r="Y36" s="24"/>
      <c r="Z36" s="25" t="n">
        <f>979320</f>
        <v>979320.0</v>
      </c>
      <c r="AA36" s="23"/>
      <c r="AB36" s="25" t="n">
        <f>611732</f>
        <v>611732.0</v>
      </c>
      <c r="AC36" s="23"/>
      <c r="AD36" s="26" t="n">
        <f>1591052</f>
        <v>1591052.0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33798</f>
        <v>33798.0</v>
      </c>
      <c r="F37" s="23"/>
      <c r="G37" s="25" t="n">
        <f>22686</f>
        <v>22686.0</v>
      </c>
      <c r="H37" s="23"/>
      <c r="I37" s="26" t="n">
        <f>56484</f>
        <v>56484.0</v>
      </c>
      <c r="J37" s="24"/>
      <c r="K37" s="25" t="n">
        <f>9802810845</f>
        <v>9.802810845E9</v>
      </c>
      <c r="L37" s="23"/>
      <c r="M37" s="25" t="n">
        <f>4629630450</f>
        <v>4.62963045E9</v>
      </c>
      <c r="N37" s="23"/>
      <c r="O37" s="26" t="n">
        <f>14432441295</f>
        <v>1.4432441295E10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5715</f>
        <v>5715.0</v>
      </c>
      <c r="U37" s="23"/>
      <c r="V37" s="25" t="n">
        <f>4201</f>
        <v>4201.0</v>
      </c>
      <c r="W37" s="23" t="s">
        <v>39</v>
      </c>
      <c r="X37" s="26" t="n">
        <f>9916</f>
        <v>9916.0</v>
      </c>
      <c r="Y37" s="24"/>
      <c r="Z37" s="25" t="n">
        <f>988025</f>
        <v>988025.0</v>
      </c>
      <c r="AA37" s="23"/>
      <c r="AB37" s="25" t="n">
        <f>614344</f>
        <v>614344.0</v>
      </c>
      <c r="AC37" s="23"/>
      <c r="AD37" s="26" t="n">
        <f>1602369</f>
        <v>1602369.0</v>
      </c>
    </row>
    <row r="38">
      <c r="A38" s="30" t="s">
        <v>58</v>
      </c>
      <c r="B38" s="22" t="s">
        <v>27</v>
      </c>
      <c r="C38" s="22" t="s">
        <v>28</v>
      </c>
      <c r="D38" s="24"/>
      <c r="E38" s="25" t="n">
        <f>37680</f>
        <v>37680.0</v>
      </c>
      <c r="F38" s="23"/>
      <c r="G38" s="25" t="n">
        <f>25538</f>
        <v>25538.0</v>
      </c>
      <c r="H38" s="23"/>
      <c r="I38" s="26" t="n">
        <f>63218</f>
        <v>63218.0</v>
      </c>
      <c r="J38" s="24" t="s">
        <v>39</v>
      </c>
      <c r="K38" s="25" t="n">
        <f>4318116070</f>
        <v>4.31811607E9</v>
      </c>
      <c r="L38" s="23" t="s">
        <v>39</v>
      </c>
      <c r="M38" s="25" t="n">
        <f>4046042482</f>
        <v>4.046042482E9</v>
      </c>
      <c r="N38" s="23" t="s">
        <v>39</v>
      </c>
      <c r="O38" s="26" t="n">
        <f>8364158552</f>
        <v>8.364158552E9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10539</f>
        <v>10539.0</v>
      </c>
      <c r="U38" s="23"/>
      <c r="V38" s="25" t="n">
        <f>6228</f>
        <v>6228.0</v>
      </c>
      <c r="W38" s="23"/>
      <c r="X38" s="26" t="n">
        <f>16767</f>
        <v>16767.0</v>
      </c>
      <c r="Y38" s="24"/>
      <c r="Z38" s="25" t="n">
        <f>993970</f>
        <v>993970.0</v>
      </c>
      <c r="AA38" s="23"/>
      <c r="AB38" s="25" t="n">
        <f>614677</f>
        <v>614677.0</v>
      </c>
      <c r="AC38" s="23"/>
      <c r="AD38" s="26" t="n">
        <f>1608647</f>
        <v>1608647.0</v>
      </c>
    </row>
    <row r="39">
      <c r="A39" s="30" t="s">
        <v>59</v>
      </c>
      <c r="B39" s="22" t="s">
        <v>27</v>
      </c>
      <c r="C39" s="22" t="s">
        <v>28</v>
      </c>
      <c r="D39" s="24"/>
      <c r="E39" s="25" t="n">
        <f>43688</f>
        <v>43688.0</v>
      </c>
      <c r="F39" s="23"/>
      <c r="G39" s="25" t="n">
        <f>30524</f>
        <v>30524.0</v>
      </c>
      <c r="H39" s="23"/>
      <c r="I39" s="26" t="n">
        <f>74212</f>
        <v>74212.0</v>
      </c>
      <c r="J39" s="24"/>
      <c r="K39" s="25" t="n">
        <f>12002615650</f>
        <v>1.200261565E10</v>
      </c>
      <c r="L39" s="23"/>
      <c r="M39" s="25" t="n">
        <f>6592936790</f>
        <v>6.59293679E9</v>
      </c>
      <c r="N39" s="23"/>
      <c r="O39" s="26" t="n">
        <f>18595552440</f>
        <v>1.859555244E10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5624</f>
        <v>5624.0</v>
      </c>
      <c r="U39" s="23"/>
      <c r="V39" s="25" t="n">
        <f>4796</f>
        <v>4796.0</v>
      </c>
      <c r="W39" s="23"/>
      <c r="X39" s="26" t="n">
        <f>10420</f>
        <v>10420.0</v>
      </c>
      <c r="Y39" s="24"/>
      <c r="Z39" s="25" t="n">
        <f>1001082</f>
        <v>1001082.0</v>
      </c>
      <c r="AA39" s="23"/>
      <c r="AB39" s="25" t="n">
        <f>620104</f>
        <v>620104.0</v>
      </c>
      <c r="AC39" s="23"/>
      <c r="AD39" s="26" t="n">
        <f>1621186</f>
        <v>1621186.0</v>
      </c>
    </row>
    <row r="40">
      <c r="A40" s="30" t="s">
        <v>26</v>
      </c>
      <c r="B40" s="22" t="s">
        <v>60</v>
      </c>
      <c r="C40" s="22" t="s">
        <v>61</v>
      </c>
      <c r="D40" s="24" t="s">
        <v>30</v>
      </c>
      <c r="E40" s="25" t="n">
        <f>42718</f>
        <v>42718.0</v>
      </c>
      <c r="F40" s="23" t="s">
        <v>30</v>
      </c>
      <c r="G40" s="25" t="n">
        <f>37095</f>
        <v>37095.0</v>
      </c>
      <c r="H40" s="23" t="s">
        <v>30</v>
      </c>
      <c r="I40" s="26" t="n">
        <f>79813</f>
        <v>79813.0</v>
      </c>
      <c r="J40" s="24" t="s">
        <v>30</v>
      </c>
      <c r="K40" s="25" t="n">
        <f>217671650</f>
        <v>2.1767165E8</v>
      </c>
      <c r="L40" s="23"/>
      <c r="M40" s="25" t="n">
        <f>246457920</f>
        <v>2.4645792E8</v>
      </c>
      <c r="N40" s="23"/>
      <c r="O40" s="26" t="n">
        <f>464129570</f>
        <v>4.6412957E8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 t="s">
        <v>30</v>
      </c>
      <c r="T40" s="25" t="n">
        <f>4350</f>
        <v>4350.0</v>
      </c>
      <c r="U40" s="23"/>
      <c r="V40" s="25" t="n">
        <f>1870</f>
        <v>1870.0</v>
      </c>
      <c r="W40" s="23" t="s">
        <v>30</v>
      </c>
      <c r="X40" s="26" t="n">
        <f>6220</f>
        <v>6220.0</v>
      </c>
      <c r="Y40" s="24"/>
      <c r="Z40" s="25" t="n">
        <f>38000</f>
        <v>38000.0</v>
      </c>
      <c r="AA40" s="23" t="s">
        <v>30</v>
      </c>
      <c r="AB40" s="25" t="n">
        <f>40971</f>
        <v>40971.0</v>
      </c>
      <c r="AC40" s="23"/>
      <c r="AD40" s="26" t="n">
        <f>78971</f>
        <v>78971.0</v>
      </c>
    </row>
    <row r="41">
      <c r="A41" s="30" t="s">
        <v>29</v>
      </c>
      <c r="B41" s="22" t="s">
        <v>60</v>
      </c>
      <c r="C41" s="22" t="s">
        <v>61</v>
      </c>
      <c r="D41" s="24" t="s">
        <v>39</v>
      </c>
      <c r="E41" s="25" t="n">
        <f>8303</f>
        <v>8303.0</v>
      </c>
      <c r="F41" s="23" t="s">
        <v>39</v>
      </c>
      <c r="G41" s="25" t="n">
        <f>7857</f>
        <v>7857.0</v>
      </c>
      <c r="H41" s="23" t="s">
        <v>39</v>
      </c>
      <c r="I41" s="26" t="n">
        <f>16160</f>
        <v>16160.0</v>
      </c>
      <c r="J41" s="24" t="s">
        <v>39</v>
      </c>
      <c r="K41" s="25" t="n">
        <f>89666140</f>
        <v>8.966614E7</v>
      </c>
      <c r="L41" s="23"/>
      <c r="M41" s="25" t="n">
        <f>141720780</f>
        <v>1.4172078E8</v>
      </c>
      <c r="N41" s="23"/>
      <c r="O41" s="26" t="n">
        <f>231386920</f>
        <v>2.3138692E8</v>
      </c>
      <c r="P41" s="27" t="n">
        <f>4</f>
        <v>4.0</v>
      </c>
      <c r="Q41" s="28" t="n">
        <f>13302</f>
        <v>13302.0</v>
      </c>
      <c r="R41" s="29" t="n">
        <f>13306</f>
        <v>13306.0</v>
      </c>
      <c r="S41" s="24"/>
      <c r="T41" s="25" t="n">
        <f>570</f>
        <v>570.0</v>
      </c>
      <c r="U41" s="23" t="s">
        <v>39</v>
      </c>
      <c r="V41" s="25" t="n">
        <f>140</f>
        <v>140.0</v>
      </c>
      <c r="W41" s="23" t="s">
        <v>39</v>
      </c>
      <c r="X41" s="26" t="n">
        <f>710</f>
        <v>710.0</v>
      </c>
      <c r="Y41" s="24" t="s">
        <v>39</v>
      </c>
      <c r="Z41" s="25" t="n">
        <f>8940</f>
        <v>8940.0</v>
      </c>
      <c r="AA41" s="23" t="s">
        <v>39</v>
      </c>
      <c r="AB41" s="25" t="n">
        <f>9540</f>
        <v>9540.0</v>
      </c>
      <c r="AC41" s="23" t="s">
        <v>39</v>
      </c>
      <c r="AD41" s="26" t="n">
        <f>18480</f>
        <v>18480.0</v>
      </c>
    </row>
    <row r="42">
      <c r="A42" s="30" t="s">
        <v>31</v>
      </c>
      <c r="B42" s="22" t="s">
        <v>60</v>
      </c>
      <c r="C42" s="22" t="s">
        <v>61</v>
      </c>
      <c r="D42" s="24"/>
      <c r="E42" s="25"/>
      <c r="F42" s="23"/>
      <c r="G42" s="25"/>
      <c r="H42" s="23"/>
      <c r="I42" s="26"/>
      <c r="J42" s="24"/>
      <c r="K42" s="25"/>
      <c r="L42" s="23"/>
      <c r="M42" s="25"/>
      <c r="N42" s="23"/>
      <c r="O42" s="26"/>
      <c r="P42" s="27"/>
      <c r="Q42" s="28"/>
      <c r="R42" s="29"/>
      <c r="S42" s="24"/>
      <c r="T42" s="25"/>
      <c r="U42" s="23"/>
      <c r="V42" s="25"/>
      <c r="W42" s="23"/>
      <c r="X42" s="26"/>
      <c r="Y42" s="24"/>
      <c r="Z42" s="25"/>
      <c r="AA42" s="23"/>
      <c r="AB42" s="25"/>
      <c r="AC42" s="23"/>
      <c r="AD42" s="26"/>
    </row>
    <row r="43">
      <c r="A43" s="30" t="s">
        <v>32</v>
      </c>
      <c r="B43" s="22" t="s">
        <v>60</v>
      </c>
      <c r="C43" s="22" t="s">
        <v>61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33</v>
      </c>
      <c r="B44" s="22" t="s">
        <v>60</v>
      </c>
      <c r="C44" s="22" t="s">
        <v>61</v>
      </c>
      <c r="D44" s="24"/>
      <c r="E44" s="25"/>
      <c r="F44" s="23"/>
      <c r="G44" s="25"/>
      <c r="H44" s="23"/>
      <c r="I44" s="26"/>
      <c r="J44" s="24"/>
      <c r="K44" s="25"/>
      <c r="L44" s="23"/>
      <c r="M44" s="25"/>
      <c r="N44" s="23"/>
      <c r="O44" s="26"/>
      <c r="P44" s="27"/>
      <c r="Q44" s="28"/>
      <c r="R44" s="29"/>
      <c r="S44" s="24"/>
      <c r="T44" s="25"/>
      <c r="U44" s="23"/>
      <c r="V44" s="25"/>
      <c r="W44" s="23"/>
      <c r="X44" s="26"/>
      <c r="Y44" s="24"/>
      <c r="Z44" s="25"/>
      <c r="AA44" s="23"/>
      <c r="AB44" s="25"/>
      <c r="AC44" s="23"/>
      <c r="AD44" s="26"/>
    </row>
    <row r="45">
      <c r="A45" s="30" t="s">
        <v>34</v>
      </c>
      <c r="B45" s="22" t="s">
        <v>60</v>
      </c>
      <c r="C45" s="22" t="s">
        <v>61</v>
      </c>
      <c r="D45" s="24"/>
      <c r="E45" s="25" t="n">
        <f>14198</f>
        <v>14198.0</v>
      </c>
      <c r="F45" s="23"/>
      <c r="G45" s="25" t="n">
        <f>14972</f>
        <v>14972.0</v>
      </c>
      <c r="H45" s="23"/>
      <c r="I45" s="26" t="n">
        <f>29170</f>
        <v>29170.0</v>
      </c>
      <c r="J45" s="24"/>
      <c r="K45" s="25" t="n">
        <f>131428850</f>
        <v>1.3142885E8</v>
      </c>
      <c r="L45" s="23"/>
      <c r="M45" s="25" t="n">
        <f>265846040</f>
        <v>2.6584604E8</v>
      </c>
      <c r="N45" s="23"/>
      <c r="O45" s="26" t="n">
        <f>397274890</f>
        <v>3.9727489E8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790</f>
        <v>790.0</v>
      </c>
      <c r="U45" s="23"/>
      <c r="V45" s="25" t="n">
        <f>280</f>
        <v>280.0</v>
      </c>
      <c r="W45" s="23"/>
      <c r="X45" s="26" t="n">
        <f>1070</f>
        <v>1070.0</v>
      </c>
      <c r="Y45" s="24"/>
      <c r="Z45" s="25" t="n">
        <f>11231</f>
        <v>11231.0</v>
      </c>
      <c r="AA45" s="23"/>
      <c r="AB45" s="25" t="n">
        <f>13806</f>
        <v>13806.0</v>
      </c>
      <c r="AC45" s="23"/>
      <c r="AD45" s="26" t="n">
        <f>25037</f>
        <v>25037.0</v>
      </c>
    </row>
    <row r="46">
      <c r="A46" s="30" t="s">
        <v>35</v>
      </c>
      <c r="B46" s="22" t="s">
        <v>60</v>
      </c>
      <c r="C46" s="22" t="s">
        <v>61</v>
      </c>
      <c r="D46" s="24"/>
      <c r="E46" s="25" t="n">
        <f>9622</f>
        <v>9622.0</v>
      </c>
      <c r="F46" s="23"/>
      <c r="G46" s="25" t="n">
        <f>9735</f>
        <v>9735.0</v>
      </c>
      <c r="H46" s="23"/>
      <c r="I46" s="26" t="n">
        <f>19357</f>
        <v>19357.0</v>
      </c>
      <c r="J46" s="24"/>
      <c r="K46" s="25" t="n">
        <f>91467470</f>
        <v>9.146747E7</v>
      </c>
      <c r="L46" s="23"/>
      <c r="M46" s="25" t="n">
        <f>99914400</f>
        <v>9.99144E7</v>
      </c>
      <c r="N46" s="23" t="s">
        <v>39</v>
      </c>
      <c r="O46" s="26" t="n">
        <f>191381870</f>
        <v>1.9138187E8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 t="s">
        <v>39</v>
      </c>
      <c r="T46" s="25" t="n">
        <f>400</f>
        <v>400.0</v>
      </c>
      <c r="U46" s="23"/>
      <c r="V46" s="25" t="n">
        <f>980</f>
        <v>980.0</v>
      </c>
      <c r="W46" s="23"/>
      <c r="X46" s="26" t="n">
        <f>1380</f>
        <v>1380.0</v>
      </c>
      <c r="Y46" s="24"/>
      <c r="Z46" s="25" t="n">
        <f>14257</f>
        <v>14257.0</v>
      </c>
      <c r="AA46" s="23"/>
      <c r="AB46" s="25" t="n">
        <f>14343</f>
        <v>14343.0</v>
      </c>
      <c r="AC46" s="23"/>
      <c r="AD46" s="26" t="n">
        <f>28600</f>
        <v>28600.0</v>
      </c>
    </row>
    <row r="47">
      <c r="A47" s="30" t="s">
        <v>36</v>
      </c>
      <c r="B47" s="22" t="s">
        <v>60</v>
      </c>
      <c r="C47" s="22" t="s">
        <v>61</v>
      </c>
      <c r="D47" s="24"/>
      <c r="E47" s="25" t="n">
        <f>13381</f>
        <v>13381.0</v>
      </c>
      <c r="F47" s="23"/>
      <c r="G47" s="25" t="n">
        <f>14056</f>
        <v>14056.0</v>
      </c>
      <c r="H47" s="23"/>
      <c r="I47" s="26" t="n">
        <f>27437</f>
        <v>27437.0</v>
      </c>
      <c r="J47" s="24"/>
      <c r="K47" s="25" t="n">
        <f>131303190</f>
        <v>1.3130319E8</v>
      </c>
      <c r="L47" s="23"/>
      <c r="M47" s="25" t="n">
        <f>121709370</f>
        <v>1.2170937E8</v>
      </c>
      <c r="N47" s="23"/>
      <c r="O47" s="26" t="n">
        <f>253012560</f>
        <v>2.5301256E8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840</f>
        <v>840.0</v>
      </c>
      <c r="U47" s="23"/>
      <c r="V47" s="25" t="n">
        <f>1200</f>
        <v>1200.0</v>
      </c>
      <c r="W47" s="23"/>
      <c r="X47" s="26" t="n">
        <f>2040</f>
        <v>2040.0</v>
      </c>
      <c r="Y47" s="24"/>
      <c r="Z47" s="25" t="n">
        <f>16672</f>
        <v>16672.0</v>
      </c>
      <c r="AA47" s="23"/>
      <c r="AB47" s="25" t="n">
        <f>16853</f>
        <v>16853.0</v>
      </c>
      <c r="AC47" s="23"/>
      <c r="AD47" s="26" t="n">
        <f>33525</f>
        <v>33525.0</v>
      </c>
    </row>
    <row r="48">
      <c r="A48" s="30" t="s">
        <v>37</v>
      </c>
      <c r="B48" s="22" t="s">
        <v>60</v>
      </c>
      <c r="C48" s="22" t="s">
        <v>61</v>
      </c>
      <c r="D48" s="24"/>
      <c r="E48" s="25" t="n">
        <f>20579</f>
        <v>20579.0</v>
      </c>
      <c r="F48" s="23"/>
      <c r="G48" s="25" t="n">
        <f>16980</f>
        <v>16980.0</v>
      </c>
      <c r="H48" s="23"/>
      <c r="I48" s="26" t="n">
        <f>37559</f>
        <v>37559.0</v>
      </c>
      <c r="J48" s="24"/>
      <c r="K48" s="25" t="n">
        <f>202560570</f>
        <v>2.0256057E8</v>
      </c>
      <c r="L48" s="23"/>
      <c r="M48" s="25" t="n">
        <f>156031870</f>
        <v>1.5603187E8</v>
      </c>
      <c r="N48" s="23"/>
      <c r="O48" s="26" t="n">
        <f>358592440</f>
        <v>3.5859244E8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/>
      <c r="T48" s="25" t="n">
        <f>1430</f>
        <v>1430.0</v>
      </c>
      <c r="U48" s="23"/>
      <c r="V48" s="25" t="n">
        <f>840</f>
        <v>840.0</v>
      </c>
      <c r="W48" s="23"/>
      <c r="X48" s="26" t="n">
        <f>2270</f>
        <v>2270.0</v>
      </c>
      <c r="Y48" s="24"/>
      <c r="Z48" s="25" t="n">
        <f>22048</f>
        <v>22048.0</v>
      </c>
      <c r="AA48" s="23"/>
      <c r="AB48" s="25" t="n">
        <f>20091</f>
        <v>20091.0</v>
      </c>
      <c r="AC48" s="23"/>
      <c r="AD48" s="26" t="n">
        <f>42139</f>
        <v>42139.0</v>
      </c>
    </row>
    <row r="49">
      <c r="A49" s="30" t="s">
        <v>38</v>
      </c>
      <c r="B49" s="22" t="s">
        <v>60</v>
      </c>
      <c r="C49" s="22" t="s">
        <v>61</v>
      </c>
      <c r="D49" s="24"/>
      <c r="E49" s="25" t="n">
        <f>16225</f>
        <v>16225.0</v>
      </c>
      <c r="F49" s="23"/>
      <c r="G49" s="25" t="n">
        <f>17653</f>
        <v>17653.0</v>
      </c>
      <c r="H49" s="23"/>
      <c r="I49" s="26" t="n">
        <f>33878</f>
        <v>33878.0</v>
      </c>
      <c r="J49" s="24"/>
      <c r="K49" s="25" t="n">
        <f>166434780</f>
        <v>1.6643478E8</v>
      </c>
      <c r="L49" s="23"/>
      <c r="M49" s="25" t="n">
        <f>169150240</f>
        <v>1.6915024E8</v>
      </c>
      <c r="N49" s="23"/>
      <c r="O49" s="26" t="n">
        <f>335585020</f>
        <v>3.3558502E8</v>
      </c>
      <c r="P49" s="27" t="n">
        <f>377</f>
        <v>377.0</v>
      </c>
      <c r="Q49" s="28" t="n">
        <f>1898</f>
        <v>1898.0</v>
      </c>
      <c r="R49" s="29" t="n">
        <f>2275</f>
        <v>2275.0</v>
      </c>
      <c r="S49" s="24"/>
      <c r="T49" s="25" t="n">
        <f>690</f>
        <v>690.0</v>
      </c>
      <c r="U49" s="23"/>
      <c r="V49" s="25" t="n">
        <f>1350</f>
        <v>1350.0</v>
      </c>
      <c r="W49" s="23"/>
      <c r="X49" s="26" t="n">
        <f>2040</f>
        <v>2040.0</v>
      </c>
      <c r="Y49" s="24"/>
      <c r="Z49" s="25" t="n">
        <f>18463</f>
        <v>18463.0</v>
      </c>
      <c r="AA49" s="23"/>
      <c r="AB49" s="25" t="n">
        <f>21334</f>
        <v>21334.0</v>
      </c>
      <c r="AC49" s="23"/>
      <c r="AD49" s="26" t="n">
        <f>39797</f>
        <v>39797.0</v>
      </c>
    </row>
    <row r="50">
      <c r="A50" s="30" t="s">
        <v>40</v>
      </c>
      <c r="B50" s="22" t="s">
        <v>60</v>
      </c>
      <c r="C50" s="22" t="s">
        <v>61</v>
      </c>
      <c r="D50" s="24"/>
      <c r="E50" s="25"/>
      <c r="F50" s="23"/>
      <c r="G50" s="25"/>
      <c r="H50" s="23"/>
      <c r="I50" s="26"/>
      <c r="J50" s="24"/>
      <c r="K50" s="25"/>
      <c r="L50" s="23"/>
      <c r="M50" s="25"/>
      <c r="N50" s="23"/>
      <c r="O50" s="26"/>
      <c r="P50" s="27"/>
      <c r="Q50" s="28"/>
      <c r="R50" s="29"/>
      <c r="S50" s="24"/>
      <c r="T50" s="25"/>
      <c r="U50" s="23"/>
      <c r="V50" s="25"/>
      <c r="W50" s="23"/>
      <c r="X50" s="26"/>
      <c r="Y50" s="24"/>
      <c r="Z50" s="25"/>
      <c r="AA50" s="23"/>
      <c r="AB50" s="25"/>
      <c r="AC50" s="23"/>
      <c r="AD50" s="26"/>
    </row>
    <row r="51">
      <c r="A51" s="30" t="s">
        <v>41</v>
      </c>
      <c r="B51" s="22" t="s">
        <v>60</v>
      </c>
      <c r="C51" s="22" t="s">
        <v>61</v>
      </c>
      <c r="D51" s="24"/>
      <c r="E51" s="25"/>
      <c r="F51" s="23"/>
      <c r="G51" s="25"/>
      <c r="H51" s="23"/>
      <c r="I51" s="26"/>
      <c r="J51" s="24"/>
      <c r="K51" s="25"/>
      <c r="L51" s="23"/>
      <c r="M51" s="25"/>
      <c r="N51" s="23"/>
      <c r="O51" s="26"/>
      <c r="P51" s="27"/>
      <c r="Q51" s="28"/>
      <c r="R51" s="29"/>
      <c r="S51" s="24"/>
      <c r="T51" s="25"/>
      <c r="U51" s="23"/>
      <c r="V51" s="25"/>
      <c r="W51" s="23"/>
      <c r="X51" s="26"/>
      <c r="Y51" s="24"/>
      <c r="Z51" s="25"/>
      <c r="AA51" s="23"/>
      <c r="AB51" s="25"/>
      <c r="AC51" s="23"/>
      <c r="AD51" s="26"/>
    </row>
    <row r="52">
      <c r="A52" s="30" t="s">
        <v>42</v>
      </c>
      <c r="B52" s="22" t="s">
        <v>60</v>
      </c>
      <c r="C52" s="22" t="s">
        <v>61</v>
      </c>
      <c r="D52" s="24"/>
      <c r="E52" s="25" t="n">
        <f>27207</f>
        <v>27207.0</v>
      </c>
      <c r="F52" s="23"/>
      <c r="G52" s="25" t="n">
        <f>18761</f>
        <v>18761.0</v>
      </c>
      <c r="H52" s="23"/>
      <c r="I52" s="26" t="n">
        <f>45968</f>
        <v>45968.0</v>
      </c>
      <c r="J52" s="24"/>
      <c r="K52" s="25" t="n">
        <f>188847710</f>
        <v>1.8884771E8</v>
      </c>
      <c r="L52" s="23"/>
      <c r="M52" s="25" t="n">
        <f>194054840</f>
        <v>1.9405484E8</v>
      </c>
      <c r="N52" s="23"/>
      <c r="O52" s="26" t="n">
        <f>382902550</f>
        <v>3.8290255E8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1620</f>
        <v>1620.0</v>
      </c>
      <c r="U52" s="23"/>
      <c r="V52" s="25" t="n">
        <f>940</f>
        <v>940.0</v>
      </c>
      <c r="W52" s="23"/>
      <c r="X52" s="26" t="n">
        <f>2560</f>
        <v>2560.0</v>
      </c>
      <c r="Y52" s="24"/>
      <c r="Z52" s="25" t="n">
        <f>28603</f>
        <v>28603.0</v>
      </c>
      <c r="AA52" s="23"/>
      <c r="AB52" s="25" t="n">
        <f>28434</f>
        <v>28434.0</v>
      </c>
      <c r="AC52" s="23"/>
      <c r="AD52" s="26" t="n">
        <f>57037</f>
        <v>57037.0</v>
      </c>
    </row>
    <row r="53">
      <c r="A53" s="30" t="s">
        <v>43</v>
      </c>
      <c r="B53" s="22" t="s">
        <v>60</v>
      </c>
      <c r="C53" s="22" t="s">
        <v>61</v>
      </c>
      <c r="D53" s="24"/>
      <c r="E53" s="25" t="n">
        <f>17029</f>
        <v>17029.0</v>
      </c>
      <c r="F53" s="23"/>
      <c r="G53" s="25" t="n">
        <f>19266</f>
        <v>19266.0</v>
      </c>
      <c r="H53" s="23"/>
      <c r="I53" s="26" t="n">
        <f>36295</f>
        <v>36295.0</v>
      </c>
      <c r="J53" s="24"/>
      <c r="K53" s="25" t="n">
        <f>96784590</f>
        <v>9.678459E7</v>
      </c>
      <c r="L53" s="23"/>
      <c r="M53" s="25" t="n">
        <f>150603400</f>
        <v>1.506034E8</v>
      </c>
      <c r="N53" s="23"/>
      <c r="O53" s="26" t="n">
        <f>247387990</f>
        <v>2.4738799E8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1460</f>
        <v>1460.0</v>
      </c>
      <c r="U53" s="23"/>
      <c r="V53" s="25" t="n">
        <f>810</f>
        <v>810.0</v>
      </c>
      <c r="W53" s="23"/>
      <c r="X53" s="26" t="n">
        <f>2270</f>
        <v>2270.0</v>
      </c>
      <c r="Y53" s="24"/>
      <c r="Z53" s="25" t="n">
        <f>32172</f>
        <v>32172.0</v>
      </c>
      <c r="AA53" s="23"/>
      <c r="AB53" s="25" t="n">
        <f>30879</f>
        <v>30879.0</v>
      </c>
      <c r="AC53" s="23"/>
      <c r="AD53" s="26" t="n">
        <f>63051</f>
        <v>63051.0</v>
      </c>
    </row>
    <row r="54">
      <c r="A54" s="30" t="s">
        <v>44</v>
      </c>
      <c r="B54" s="22" t="s">
        <v>60</v>
      </c>
      <c r="C54" s="22" t="s">
        <v>61</v>
      </c>
      <c r="D54" s="24"/>
      <c r="E54" s="25" t="n">
        <f>37552</f>
        <v>37552.0</v>
      </c>
      <c r="F54" s="23"/>
      <c r="G54" s="25" t="n">
        <f>32235</f>
        <v>32235.0</v>
      </c>
      <c r="H54" s="23"/>
      <c r="I54" s="26" t="n">
        <f>69787</f>
        <v>69787.0</v>
      </c>
      <c r="J54" s="24"/>
      <c r="K54" s="25" t="n">
        <f>175095240</f>
        <v>1.7509524E8</v>
      </c>
      <c r="L54" s="23" t="s">
        <v>30</v>
      </c>
      <c r="M54" s="25" t="n">
        <f>376446940</f>
        <v>3.7644694E8</v>
      </c>
      <c r="N54" s="23" t="s">
        <v>30</v>
      </c>
      <c r="O54" s="26" t="n">
        <f>551542180</f>
        <v>5.5154218E8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2800</f>
        <v>2800.0</v>
      </c>
      <c r="U54" s="23"/>
      <c r="V54" s="25" t="n">
        <f>2540</f>
        <v>2540.0</v>
      </c>
      <c r="W54" s="23"/>
      <c r="X54" s="26" t="n">
        <f>5340</f>
        <v>5340.0</v>
      </c>
      <c r="Y54" s="24"/>
      <c r="Z54" s="25" t="n">
        <f>38332</f>
        <v>38332.0</v>
      </c>
      <c r="AA54" s="23"/>
      <c r="AB54" s="25" t="n">
        <f>34878</f>
        <v>34878.0</v>
      </c>
      <c r="AC54" s="23"/>
      <c r="AD54" s="26" t="n">
        <f>73210</f>
        <v>73210.0</v>
      </c>
    </row>
    <row r="55">
      <c r="A55" s="30" t="s">
        <v>45</v>
      </c>
      <c r="B55" s="22" t="s">
        <v>60</v>
      </c>
      <c r="C55" s="22" t="s">
        <v>61</v>
      </c>
      <c r="D55" s="24"/>
      <c r="E55" s="25" t="n">
        <f>34905</f>
        <v>34905.0</v>
      </c>
      <c r="F55" s="23"/>
      <c r="G55" s="25" t="n">
        <f>27510</f>
        <v>27510.0</v>
      </c>
      <c r="H55" s="23"/>
      <c r="I55" s="26" t="n">
        <f>62415</f>
        <v>62415.0</v>
      </c>
      <c r="J55" s="24"/>
      <c r="K55" s="25" t="n">
        <f>192629100</f>
        <v>1.926291E8</v>
      </c>
      <c r="L55" s="23"/>
      <c r="M55" s="25" t="n">
        <f>241531710</f>
        <v>2.4153171E8</v>
      </c>
      <c r="N55" s="23"/>
      <c r="O55" s="26" t="n">
        <f>434160810</f>
        <v>4.3416081E8</v>
      </c>
      <c r="P55" s="27" t="str">
        <f>"－"</f>
        <v>－</v>
      </c>
      <c r="Q55" s="28" t="str">
        <f>"－"</f>
        <v>－</v>
      </c>
      <c r="R55" s="29" t="str">
        <f>"－"</f>
        <v>－</v>
      </c>
      <c r="S55" s="24"/>
      <c r="T55" s="25" t="n">
        <f>2750</f>
        <v>2750.0</v>
      </c>
      <c r="U55" s="23"/>
      <c r="V55" s="25" t="n">
        <f>2150</f>
        <v>2150.0</v>
      </c>
      <c r="W55" s="23"/>
      <c r="X55" s="26" t="n">
        <f>4900</f>
        <v>4900.0</v>
      </c>
      <c r="Y55" s="24" t="s">
        <v>30</v>
      </c>
      <c r="Z55" s="25" t="n">
        <f>49307</f>
        <v>49307.0</v>
      </c>
      <c r="AA55" s="23"/>
      <c r="AB55" s="25" t="n">
        <f>38861</f>
        <v>38861.0</v>
      </c>
      <c r="AC55" s="23" t="s">
        <v>30</v>
      </c>
      <c r="AD55" s="26" t="n">
        <f>88168</f>
        <v>88168.0</v>
      </c>
    </row>
    <row r="56">
      <c r="A56" s="30" t="s">
        <v>46</v>
      </c>
      <c r="B56" s="22" t="s">
        <v>60</v>
      </c>
      <c r="C56" s="22" t="s">
        <v>61</v>
      </c>
      <c r="D56" s="24"/>
      <c r="E56" s="25" t="n">
        <f>12096</f>
        <v>12096.0</v>
      </c>
      <c r="F56" s="23"/>
      <c r="G56" s="25" t="n">
        <f>11179</f>
        <v>11179.0</v>
      </c>
      <c r="H56" s="23"/>
      <c r="I56" s="26" t="n">
        <f>23275</f>
        <v>23275.0</v>
      </c>
      <c r="J56" s="24"/>
      <c r="K56" s="25" t="n">
        <f>103744510</f>
        <v>1.0374451E8</v>
      </c>
      <c r="L56" s="23"/>
      <c r="M56" s="25" t="n">
        <f>140873330</f>
        <v>1.4087333E8</v>
      </c>
      <c r="N56" s="23"/>
      <c r="O56" s="26" t="n">
        <f>244617840</f>
        <v>2.4461784E8</v>
      </c>
      <c r="P56" s="27" t="n">
        <f>319</f>
        <v>319.0</v>
      </c>
      <c r="Q56" s="28" t="n">
        <f>4796</f>
        <v>4796.0</v>
      </c>
      <c r="R56" s="29" t="n">
        <f>5115</f>
        <v>5115.0</v>
      </c>
      <c r="S56" s="24"/>
      <c r="T56" s="25" t="n">
        <f>810</f>
        <v>810.0</v>
      </c>
      <c r="U56" s="23"/>
      <c r="V56" s="25" t="n">
        <f>430</f>
        <v>430.0</v>
      </c>
      <c r="W56" s="23"/>
      <c r="X56" s="26" t="n">
        <f>1240</f>
        <v>1240.0</v>
      </c>
      <c r="Y56" s="24"/>
      <c r="Z56" s="25" t="n">
        <f>17727</f>
        <v>17727.0</v>
      </c>
      <c r="AA56" s="23"/>
      <c r="AB56" s="25" t="n">
        <f>16451</f>
        <v>16451.0</v>
      </c>
      <c r="AC56" s="23"/>
      <c r="AD56" s="26" t="n">
        <f>34178</f>
        <v>34178.0</v>
      </c>
    </row>
    <row r="57">
      <c r="A57" s="30" t="s">
        <v>47</v>
      </c>
      <c r="B57" s="22" t="s">
        <v>60</v>
      </c>
      <c r="C57" s="22" t="s">
        <v>61</v>
      </c>
      <c r="D57" s="24"/>
      <c r="E57" s="25"/>
      <c r="F57" s="23"/>
      <c r="G57" s="25"/>
      <c r="H57" s="23"/>
      <c r="I57" s="26"/>
      <c r="J57" s="24"/>
      <c r="K57" s="25"/>
      <c r="L57" s="23"/>
      <c r="M57" s="25"/>
      <c r="N57" s="23"/>
      <c r="O57" s="26"/>
      <c r="P57" s="27"/>
      <c r="Q57" s="28"/>
      <c r="R57" s="29"/>
      <c r="S57" s="24"/>
      <c r="T57" s="25"/>
      <c r="U57" s="23"/>
      <c r="V57" s="25"/>
      <c r="W57" s="23"/>
      <c r="X57" s="26"/>
      <c r="Y57" s="24"/>
      <c r="Z57" s="25"/>
      <c r="AA57" s="23"/>
      <c r="AB57" s="25"/>
      <c r="AC57" s="23"/>
      <c r="AD57" s="26"/>
    </row>
    <row r="58">
      <c r="A58" s="30" t="s">
        <v>48</v>
      </c>
      <c r="B58" s="22" t="s">
        <v>60</v>
      </c>
      <c r="C58" s="22" t="s">
        <v>61</v>
      </c>
      <c r="D58" s="24"/>
      <c r="E58" s="25"/>
      <c r="F58" s="23"/>
      <c r="G58" s="25"/>
      <c r="H58" s="23"/>
      <c r="I58" s="26"/>
      <c r="J58" s="24"/>
      <c r="K58" s="25"/>
      <c r="L58" s="23"/>
      <c r="M58" s="25"/>
      <c r="N58" s="23"/>
      <c r="O58" s="26"/>
      <c r="P58" s="27"/>
      <c r="Q58" s="28"/>
      <c r="R58" s="29"/>
      <c r="S58" s="24"/>
      <c r="T58" s="25"/>
      <c r="U58" s="23"/>
      <c r="V58" s="25"/>
      <c r="W58" s="23"/>
      <c r="X58" s="26"/>
      <c r="Y58" s="24"/>
      <c r="Z58" s="25"/>
      <c r="AA58" s="23"/>
      <c r="AB58" s="25"/>
      <c r="AC58" s="23"/>
      <c r="AD58" s="26"/>
    </row>
    <row r="59">
      <c r="A59" s="30" t="s">
        <v>49</v>
      </c>
      <c r="B59" s="22" t="s">
        <v>60</v>
      </c>
      <c r="C59" s="22" t="s">
        <v>61</v>
      </c>
      <c r="D59" s="24"/>
      <c r="E59" s="25" t="n">
        <f>29136</f>
        <v>29136.0</v>
      </c>
      <c r="F59" s="23"/>
      <c r="G59" s="25" t="n">
        <f>23142</f>
        <v>23142.0</v>
      </c>
      <c r="H59" s="23"/>
      <c r="I59" s="26" t="n">
        <f>52278</f>
        <v>52278.0</v>
      </c>
      <c r="J59" s="24"/>
      <c r="K59" s="25" t="n">
        <f>186681220</f>
        <v>1.8668122E8</v>
      </c>
      <c r="L59" s="23"/>
      <c r="M59" s="25" t="n">
        <f>239445140</f>
        <v>2.3944514E8</v>
      </c>
      <c r="N59" s="23"/>
      <c r="O59" s="26" t="n">
        <f>426126360</f>
        <v>4.2612636E8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1610</f>
        <v>1610.0</v>
      </c>
      <c r="U59" s="23"/>
      <c r="V59" s="25" t="n">
        <f>1370</f>
        <v>1370.0</v>
      </c>
      <c r="W59" s="23"/>
      <c r="X59" s="26" t="n">
        <f>2980</f>
        <v>2980.0</v>
      </c>
      <c r="Y59" s="24"/>
      <c r="Z59" s="25" t="n">
        <f>25918</f>
        <v>25918.0</v>
      </c>
      <c r="AA59" s="23"/>
      <c r="AB59" s="25" t="n">
        <f>22433</f>
        <v>22433.0</v>
      </c>
      <c r="AC59" s="23"/>
      <c r="AD59" s="26" t="n">
        <f>48351</f>
        <v>48351.0</v>
      </c>
    </row>
    <row r="60">
      <c r="A60" s="30" t="s">
        <v>50</v>
      </c>
      <c r="B60" s="22" t="s">
        <v>60</v>
      </c>
      <c r="C60" s="22" t="s">
        <v>61</v>
      </c>
      <c r="D60" s="24"/>
      <c r="E60" s="25" t="n">
        <f>19946</f>
        <v>19946.0</v>
      </c>
      <c r="F60" s="23"/>
      <c r="G60" s="25" t="n">
        <f>23343</f>
        <v>23343.0</v>
      </c>
      <c r="H60" s="23"/>
      <c r="I60" s="26" t="n">
        <f>43289</f>
        <v>43289.0</v>
      </c>
      <c r="J60" s="24"/>
      <c r="K60" s="25" t="n">
        <f>137105820</f>
        <v>1.3710582E8</v>
      </c>
      <c r="L60" s="23"/>
      <c r="M60" s="25" t="n">
        <f>139443030</f>
        <v>1.3944303E8</v>
      </c>
      <c r="N60" s="23"/>
      <c r="O60" s="26" t="n">
        <f>276548850</f>
        <v>2.7654885E8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/>
      <c r="T60" s="25" t="n">
        <f>560</f>
        <v>560.0</v>
      </c>
      <c r="U60" s="23"/>
      <c r="V60" s="25" t="n">
        <f>2536</f>
        <v>2536.0</v>
      </c>
      <c r="W60" s="23"/>
      <c r="X60" s="26" t="n">
        <f>3096</f>
        <v>3096.0</v>
      </c>
      <c r="Y60" s="24"/>
      <c r="Z60" s="25" t="n">
        <f>32709</f>
        <v>32709.0</v>
      </c>
      <c r="AA60" s="23"/>
      <c r="AB60" s="25" t="n">
        <f>26381</f>
        <v>26381.0</v>
      </c>
      <c r="AC60" s="23"/>
      <c r="AD60" s="26" t="n">
        <f>59090</f>
        <v>59090.0</v>
      </c>
    </row>
    <row r="61">
      <c r="A61" s="30" t="s">
        <v>51</v>
      </c>
      <c r="B61" s="22" t="s">
        <v>60</v>
      </c>
      <c r="C61" s="22" t="s">
        <v>61</v>
      </c>
      <c r="D61" s="24"/>
      <c r="E61" s="25" t="n">
        <f>29287</f>
        <v>29287.0</v>
      </c>
      <c r="F61" s="23"/>
      <c r="G61" s="25" t="n">
        <f>23938</f>
        <v>23938.0</v>
      </c>
      <c r="H61" s="23"/>
      <c r="I61" s="26" t="n">
        <f>53225</f>
        <v>53225.0</v>
      </c>
      <c r="J61" s="24"/>
      <c r="K61" s="25" t="n">
        <f>132141210</f>
        <v>1.3214121E8</v>
      </c>
      <c r="L61" s="23"/>
      <c r="M61" s="25" t="n">
        <f>184259270</f>
        <v>1.8425927E8</v>
      </c>
      <c r="N61" s="23"/>
      <c r="O61" s="26" t="n">
        <f>316400480</f>
        <v>3.1640048E8</v>
      </c>
      <c r="P61" s="27" t="str">
        <f>"－"</f>
        <v>－</v>
      </c>
      <c r="Q61" s="28" t="str">
        <f>"－"</f>
        <v>－</v>
      </c>
      <c r="R61" s="29" t="str">
        <f>"－"</f>
        <v>－</v>
      </c>
      <c r="S61" s="24"/>
      <c r="T61" s="25" t="n">
        <f>2090</f>
        <v>2090.0</v>
      </c>
      <c r="U61" s="23" t="s">
        <v>30</v>
      </c>
      <c r="V61" s="25" t="n">
        <f>2650</f>
        <v>2650.0</v>
      </c>
      <c r="W61" s="23"/>
      <c r="X61" s="26" t="n">
        <f>4740</f>
        <v>4740.0</v>
      </c>
      <c r="Y61" s="24"/>
      <c r="Z61" s="25" t="n">
        <f>41652</f>
        <v>41652.0</v>
      </c>
      <c r="AA61" s="23"/>
      <c r="AB61" s="25" t="n">
        <f>29607</f>
        <v>29607.0</v>
      </c>
      <c r="AC61" s="23"/>
      <c r="AD61" s="26" t="n">
        <f>71259</f>
        <v>71259.0</v>
      </c>
    </row>
    <row r="62">
      <c r="A62" s="30" t="s">
        <v>52</v>
      </c>
      <c r="B62" s="22" t="s">
        <v>60</v>
      </c>
      <c r="C62" s="22" t="s">
        <v>61</v>
      </c>
      <c r="D62" s="24"/>
      <c r="E62" s="25"/>
      <c r="F62" s="23"/>
      <c r="G62" s="25"/>
      <c r="H62" s="23"/>
      <c r="I62" s="26"/>
      <c r="J62" s="24"/>
      <c r="K62" s="25"/>
      <c r="L62" s="23"/>
      <c r="M62" s="25"/>
      <c r="N62" s="23"/>
      <c r="O62" s="26"/>
      <c r="P62" s="27"/>
      <c r="Q62" s="28"/>
      <c r="R62" s="29"/>
      <c r="S62" s="24"/>
      <c r="T62" s="25"/>
      <c r="U62" s="23"/>
      <c r="V62" s="25"/>
      <c r="W62" s="23"/>
      <c r="X62" s="26"/>
      <c r="Y62" s="24"/>
      <c r="Z62" s="25"/>
      <c r="AA62" s="23"/>
      <c r="AB62" s="25"/>
      <c r="AC62" s="23"/>
      <c r="AD62" s="26"/>
    </row>
    <row r="63">
      <c r="A63" s="30" t="s">
        <v>53</v>
      </c>
      <c r="B63" s="22" t="s">
        <v>60</v>
      </c>
      <c r="C63" s="22" t="s">
        <v>61</v>
      </c>
      <c r="D63" s="24"/>
      <c r="E63" s="25" t="n">
        <f>20292</f>
        <v>20292.0</v>
      </c>
      <c r="F63" s="23"/>
      <c r="G63" s="25" t="n">
        <f>15047</f>
        <v>15047.0</v>
      </c>
      <c r="H63" s="23"/>
      <c r="I63" s="26" t="n">
        <f>35339</f>
        <v>35339.0</v>
      </c>
      <c r="J63" s="24"/>
      <c r="K63" s="25" t="n">
        <f>140858300</f>
        <v>1.408583E8</v>
      </c>
      <c r="L63" s="23"/>
      <c r="M63" s="25" t="n">
        <f>167603540</f>
        <v>1.6760354E8</v>
      </c>
      <c r="N63" s="23"/>
      <c r="O63" s="26" t="n">
        <f>308461840</f>
        <v>3.0846184E8</v>
      </c>
      <c r="P63" s="27" t="n">
        <f>31</f>
        <v>31.0</v>
      </c>
      <c r="Q63" s="28" t="n">
        <f>3220</f>
        <v>3220.0</v>
      </c>
      <c r="R63" s="29" t="n">
        <f>3251</f>
        <v>3251.0</v>
      </c>
      <c r="S63" s="24"/>
      <c r="T63" s="25" t="n">
        <f>1280</f>
        <v>1280.0</v>
      </c>
      <c r="U63" s="23"/>
      <c r="V63" s="25" t="n">
        <f>270</f>
        <v>270.0</v>
      </c>
      <c r="W63" s="23"/>
      <c r="X63" s="26" t="n">
        <f>1550</f>
        <v>1550.0</v>
      </c>
      <c r="Y63" s="24"/>
      <c r="Z63" s="25" t="n">
        <f>23126</f>
        <v>23126.0</v>
      </c>
      <c r="AA63" s="23"/>
      <c r="AB63" s="25" t="n">
        <f>19306</f>
        <v>19306.0</v>
      </c>
      <c r="AC63" s="23"/>
      <c r="AD63" s="26" t="n">
        <f>42432</f>
        <v>42432.0</v>
      </c>
    </row>
    <row r="64">
      <c r="A64" s="30" t="s">
        <v>54</v>
      </c>
      <c r="B64" s="22" t="s">
        <v>60</v>
      </c>
      <c r="C64" s="22" t="s">
        <v>61</v>
      </c>
      <c r="D64" s="24"/>
      <c r="E64" s="25"/>
      <c r="F64" s="23"/>
      <c r="G64" s="25"/>
      <c r="H64" s="23"/>
      <c r="I64" s="26"/>
      <c r="J64" s="24"/>
      <c r="K64" s="25"/>
      <c r="L64" s="23"/>
      <c r="M64" s="25"/>
      <c r="N64" s="23"/>
      <c r="O64" s="26"/>
      <c r="P64" s="27"/>
      <c r="Q64" s="28"/>
      <c r="R64" s="29"/>
      <c r="S64" s="24"/>
      <c r="T64" s="25"/>
      <c r="U64" s="23"/>
      <c r="V64" s="25"/>
      <c r="W64" s="23"/>
      <c r="X64" s="26"/>
      <c r="Y64" s="24"/>
      <c r="Z64" s="25"/>
      <c r="AA64" s="23"/>
      <c r="AB64" s="25"/>
      <c r="AC64" s="23"/>
      <c r="AD64" s="26"/>
    </row>
    <row r="65">
      <c r="A65" s="30" t="s">
        <v>55</v>
      </c>
      <c r="B65" s="22" t="s">
        <v>60</v>
      </c>
      <c r="C65" s="22" t="s">
        <v>61</v>
      </c>
      <c r="D65" s="24"/>
      <c r="E65" s="25"/>
      <c r="F65" s="23"/>
      <c r="G65" s="25"/>
      <c r="H65" s="23"/>
      <c r="I65" s="26"/>
      <c r="J65" s="24"/>
      <c r="K65" s="25"/>
      <c r="L65" s="23"/>
      <c r="M65" s="25"/>
      <c r="N65" s="23"/>
      <c r="O65" s="26"/>
      <c r="P65" s="27"/>
      <c r="Q65" s="28"/>
      <c r="R65" s="29"/>
      <c r="S65" s="24"/>
      <c r="T65" s="25"/>
      <c r="U65" s="23"/>
      <c r="V65" s="25"/>
      <c r="W65" s="23"/>
      <c r="X65" s="26"/>
      <c r="Y65" s="24"/>
      <c r="Z65" s="25"/>
      <c r="AA65" s="23"/>
      <c r="AB65" s="25"/>
      <c r="AC65" s="23"/>
      <c r="AD65" s="26"/>
    </row>
    <row r="66">
      <c r="A66" s="30" t="s">
        <v>56</v>
      </c>
      <c r="B66" s="22" t="s">
        <v>60</v>
      </c>
      <c r="C66" s="22" t="s">
        <v>61</v>
      </c>
      <c r="D66" s="24"/>
      <c r="E66" s="25" t="n">
        <f>21640</f>
        <v>21640.0</v>
      </c>
      <c r="F66" s="23"/>
      <c r="G66" s="25" t="n">
        <f>20568</f>
        <v>20568.0</v>
      </c>
      <c r="H66" s="23"/>
      <c r="I66" s="26" t="n">
        <f>42208</f>
        <v>42208.0</v>
      </c>
      <c r="J66" s="24"/>
      <c r="K66" s="25" t="n">
        <f>183048020</f>
        <v>1.8304802E8</v>
      </c>
      <c r="L66" s="23"/>
      <c r="M66" s="25" t="n">
        <f>207395720</f>
        <v>2.0739572E8</v>
      </c>
      <c r="N66" s="23"/>
      <c r="O66" s="26" t="n">
        <f>390443740</f>
        <v>3.9044374E8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660</f>
        <v>660.0</v>
      </c>
      <c r="U66" s="23"/>
      <c r="V66" s="25" t="n">
        <f>1390</f>
        <v>1390.0</v>
      </c>
      <c r="W66" s="23"/>
      <c r="X66" s="26" t="n">
        <f>2050</f>
        <v>2050.0</v>
      </c>
      <c r="Y66" s="24"/>
      <c r="Z66" s="25" t="n">
        <f>29296</f>
        <v>29296.0</v>
      </c>
      <c r="AA66" s="23"/>
      <c r="AB66" s="25" t="n">
        <f>23195</f>
        <v>23195.0</v>
      </c>
      <c r="AC66" s="23"/>
      <c r="AD66" s="26" t="n">
        <f>52491</f>
        <v>52491.0</v>
      </c>
    </row>
    <row r="67">
      <c r="A67" s="30" t="s">
        <v>57</v>
      </c>
      <c r="B67" s="22" t="s">
        <v>60</v>
      </c>
      <c r="C67" s="22" t="s">
        <v>61</v>
      </c>
      <c r="D67" s="24"/>
      <c r="E67" s="25" t="n">
        <f>16905</f>
        <v>16905.0</v>
      </c>
      <c r="F67" s="23"/>
      <c r="G67" s="25" t="n">
        <f>20123</f>
        <v>20123.0</v>
      </c>
      <c r="H67" s="23"/>
      <c r="I67" s="26" t="n">
        <f>37028</f>
        <v>37028.0</v>
      </c>
      <c r="J67" s="24"/>
      <c r="K67" s="25" t="n">
        <f>202863840</f>
        <v>2.0286384E8</v>
      </c>
      <c r="L67" s="23"/>
      <c r="M67" s="25" t="n">
        <f>170297500</f>
        <v>1.702975E8</v>
      </c>
      <c r="N67" s="23"/>
      <c r="O67" s="26" t="n">
        <f>373161340</f>
        <v>3.7316134E8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620</f>
        <v>620.0</v>
      </c>
      <c r="U67" s="23"/>
      <c r="V67" s="25" t="n">
        <f>780</f>
        <v>780.0</v>
      </c>
      <c r="W67" s="23"/>
      <c r="X67" s="26" t="n">
        <f>1400</f>
        <v>1400.0</v>
      </c>
      <c r="Y67" s="24"/>
      <c r="Z67" s="25" t="n">
        <f>31330</f>
        <v>31330.0</v>
      </c>
      <c r="AA67" s="23"/>
      <c r="AB67" s="25" t="n">
        <f>22501</f>
        <v>22501.0</v>
      </c>
      <c r="AC67" s="23"/>
      <c r="AD67" s="26" t="n">
        <f>53831</f>
        <v>53831.0</v>
      </c>
    </row>
    <row r="68">
      <c r="A68" s="30" t="s">
        <v>58</v>
      </c>
      <c r="B68" s="22" t="s">
        <v>60</v>
      </c>
      <c r="C68" s="22" t="s">
        <v>61</v>
      </c>
      <c r="D68" s="24"/>
      <c r="E68" s="25" t="n">
        <f>23249</f>
        <v>23249.0</v>
      </c>
      <c r="F68" s="23"/>
      <c r="G68" s="25" t="n">
        <f>20037</f>
        <v>20037.0</v>
      </c>
      <c r="H68" s="23"/>
      <c r="I68" s="26" t="n">
        <f>43286</f>
        <v>43286.0</v>
      </c>
      <c r="J68" s="24"/>
      <c r="K68" s="25" t="n">
        <f>210744320</f>
        <v>2.1074432E8</v>
      </c>
      <c r="L68" s="23"/>
      <c r="M68" s="25" t="n">
        <f>245071950</f>
        <v>2.4507195E8</v>
      </c>
      <c r="N68" s="23"/>
      <c r="O68" s="26" t="n">
        <f>455816270</f>
        <v>4.5581627E8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n">
        <f>1430</f>
        <v>1430.0</v>
      </c>
      <c r="U68" s="23"/>
      <c r="V68" s="25" t="n">
        <f>1810</f>
        <v>1810.0</v>
      </c>
      <c r="W68" s="23"/>
      <c r="X68" s="26" t="n">
        <f>3240</f>
        <v>3240.0</v>
      </c>
      <c r="Y68" s="24"/>
      <c r="Z68" s="25" t="n">
        <f>34021</f>
        <v>34021.0</v>
      </c>
      <c r="AA68" s="23"/>
      <c r="AB68" s="25" t="n">
        <f>23246</f>
        <v>23246.0</v>
      </c>
      <c r="AC68" s="23"/>
      <c r="AD68" s="26" t="n">
        <f>57267</f>
        <v>57267.0</v>
      </c>
    </row>
    <row r="69">
      <c r="A69" s="30" t="s">
        <v>59</v>
      </c>
      <c r="B69" s="22" t="s">
        <v>60</v>
      </c>
      <c r="C69" s="22" t="s">
        <v>61</v>
      </c>
      <c r="D69" s="24"/>
      <c r="E69" s="25" t="n">
        <f>21508</f>
        <v>21508.0</v>
      </c>
      <c r="F69" s="23"/>
      <c r="G69" s="25" t="n">
        <f>16969</f>
        <v>16969.0</v>
      </c>
      <c r="H69" s="23"/>
      <c r="I69" s="26" t="n">
        <f>38477</f>
        <v>38477.0</v>
      </c>
      <c r="J69" s="24"/>
      <c r="K69" s="25" t="n">
        <f>100101040</f>
        <v>1.0010104E8</v>
      </c>
      <c r="L69" s="23" t="s">
        <v>39</v>
      </c>
      <c r="M69" s="25" t="n">
        <f>92907750</f>
        <v>9.290775E7</v>
      </c>
      <c r="N69" s="23"/>
      <c r="O69" s="26" t="n">
        <f>193008790</f>
        <v>1.9300879E8</v>
      </c>
      <c r="P69" s="27" t="str">
        <f>"－"</f>
        <v>－</v>
      </c>
      <c r="Q69" s="28" t="str">
        <f>"－"</f>
        <v>－</v>
      </c>
      <c r="R69" s="29" t="str">
        <f>"－"</f>
        <v>－</v>
      </c>
      <c r="S69" s="24"/>
      <c r="T69" s="25" t="n">
        <f>940</f>
        <v>940.0</v>
      </c>
      <c r="U69" s="23"/>
      <c r="V69" s="25" t="n">
        <f>550</f>
        <v>550.0</v>
      </c>
      <c r="W69" s="23"/>
      <c r="X69" s="26" t="n">
        <f>1490</f>
        <v>1490.0</v>
      </c>
      <c r="Y69" s="24"/>
      <c r="Z69" s="25" t="n">
        <f>33530</f>
        <v>33530.0</v>
      </c>
      <c r="AA69" s="23"/>
      <c r="AB69" s="25" t="n">
        <f>25540</f>
        <v>25540.0</v>
      </c>
      <c r="AC69" s="23"/>
      <c r="AD69" s="26" t="n">
        <f>59070</f>
        <v>59070.0</v>
      </c>
    </row>
    <row r="70">
      <c r="A70" s="30" t="s">
        <v>26</v>
      </c>
      <c r="B70" s="22" t="s">
        <v>62</v>
      </c>
      <c r="C70" s="22" t="s">
        <v>63</v>
      </c>
      <c r="D70" s="24"/>
      <c r="E70" s="25" t="n">
        <f>1475</f>
        <v>1475.0</v>
      </c>
      <c r="F70" s="23"/>
      <c r="G70" s="25" t="n">
        <f>2935</f>
        <v>2935.0</v>
      </c>
      <c r="H70" s="23"/>
      <c r="I70" s="26" t="n">
        <f>4410</f>
        <v>4410.0</v>
      </c>
      <c r="J70" s="24"/>
      <c r="K70" s="25" t="n">
        <f>209625000</f>
        <v>2.09625E8</v>
      </c>
      <c r="L70" s="23"/>
      <c r="M70" s="25" t="n">
        <f>500984660</f>
        <v>5.0098466E8</v>
      </c>
      <c r="N70" s="23"/>
      <c r="O70" s="26" t="n">
        <f>710609660</f>
        <v>7.1060966E8</v>
      </c>
      <c r="P70" s="27" t="str">
        <f>"－"</f>
        <v>－</v>
      </c>
      <c r="Q70" s="28" t="str">
        <f>"－"</f>
        <v>－</v>
      </c>
      <c r="R70" s="29" t="str">
        <f>"－"</f>
        <v>－</v>
      </c>
      <c r="S70" s="24"/>
      <c r="T70" s="25" t="n">
        <f>575</f>
        <v>575.0</v>
      </c>
      <c r="U70" s="23"/>
      <c r="V70" s="25" t="n">
        <f>1590</f>
        <v>1590.0</v>
      </c>
      <c r="W70" s="23"/>
      <c r="X70" s="26" t="n">
        <f>2165</f>
        <v>2165.0</v>
      </c>
      <c r="Y70" s="24"/>
      <c r="Z70" s="25" t="n">
        <f>97897</f>
        <v>97897.0</v>
      </c>
      <c r="AA70" s="23"/>
      <c r="AB70" s="25" t="n">
        <f>52185</f>
        <v>52185.0</v>
      </c>
      <c r="AC70" s="23"/>
      <c r="AD70" s="26" t="n">
        <f>150082</f>
        <v>150082.0</v>
      </c>
    </row>
    <row r="71">
      <c r="A71" s="30" t="s">
        <v>29</v>
      </c>
      <c r="B71" s="22" t="s">
        <v>62</v>
      </c>
      <c r="C71" s="22" t="s">
        <v>63</v>
      </c>
      <c r="D71" s="24"/>
      <c r="E71" s="25" t="n">
        <f>969</f>
        <v>969.0</v>
      </c>
      <c r="F71" s="23"/>
      <c r="G71" s="25" t="n">
        <f>1146</f>
        <v>1146.0</v>
      </c>
      <c r="H71" s="23"/>
      <c r="I71" s="26" t="n">
        <f>2115</f>
        <v>2115.0</v>
      </c>
      <c r="J71" s="24"/>
      <c r="K71" s="25" t="n">
        <f>165376000</f>
        <v>1.65376E8</v>
      </c>
      <c r="L71" s="23"/>
      <c r="M71" s="25" t="n">
        <f>111390000</f>
        <v>1.1139E8</v>
      </c>
      <c r="N71" s="23"/>
      <c r="O71" s="26" t="n">
        <f>276766000</f>
        <v>2.76766E8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/>
      <c r="T71" s="25" t="n">
        <f>969</f>
        <v>969.0</v>
      </c>
      <c r="U71" s="23"/>
      <c r="V71" s="25" t="n">
        <f>946</f>
        <v>946.0</v>
      </c>
      <c r="W71" s="23"/>
      <c r="X71" s="26" t="n">
        <f>1915</f>
        <v>1915.0</v>
      </c>
      <c r="Y71" s="24"/>
      <c r="Z71" s="25" t="n">
        <f>98866</f>
        <v>98866.0</v>
      </c>
      <c r="AA71" s="23"/>
      <c r="AB71" s="25" t="n">
        <f>53331</f>
        <v>53331.0</v>
      </c>
      <c r="AC71" s="23"/>
      <c r="AD71" s="26" t="n">
        <f>152197</f>
        <v>152197.0</v>
      </c>
    </row>
    <row r="72">
      <c r="A72" s="30" t="s">
        <v>31</v>
      </c>
      <c r="B72" s="22" t="s">
        <v>62</v>
      </c>
      <c r="C72" s="22" t="s">
        <v>63</v>
      </c>
      <c r="D72" s="24"/>
      <c r="E72" s="25"/>
      <c r="F72" s="23"/>
      <c r="G72" s="25"/>
      <c r="H72" s="23"/>
      <c r="I72" s="26"/>
      <c r="J72" s="24"/>
      <c r="K72" s="25"/>
      <c r="L72" s="23"/>
      <c r="M72" s="25"/>
      <c r="N72" s="23"/>
      <c r="O72" s="26"/>
      <c r="P72" s="27"/>
      <c r="Q72" s="28"/>
      <c r="R72" s="29"/>
      <c r="S72" s="24"/>
      <c r="T72" s="25"/>
      <c r="U72" s="23"/>
      <c r="V72" s="25"/>
      <c r="W72" s="23"/>
      <c r="X72" s="26"/>
      <c r="Y72" s="24"/>
      <c r="Z72" s="25"/>
      <c r="AA72" s="23"/>
      <c r="AB72" s="25"/>
      <c r="AC72" s="23"/>
      <c r="AD72" s="26"/>
    </row>
    <row r="73">
      <c r="A73" s="30" t="s">
        <v>32</v>
      </c>
      <c r="B73" s="22" t="s">
        <v>62</v>
      </c>
      <c r="C73" s="22" t="s">
        <v>63</v>
      </c>
      <c r="D73" s="24"/>
      <c r="E73" s="25"/>
      <c r="F73" s="23"/>
      <c r="G73" s="25"/>
      <c r="H73" s="23"/>
      <c r="I73" s="26"/>
      <c r="J73" s="24"/>
      <c r="K73" s="25"/>
      <c r="L73" s="23"/>
      <c r="M73" s="25"/>
      <c r="N73" s="23"/>
      <c r="O73" s="26"/>
      <c r="P73" s="27"/>
      <c r="Q73" s="28"/>
      <c r="R73" s="29"/>
      <c r="S73" s="24"/>
      <c r="T73" s="25"/>
      <c r="U73" s="23"/>
      <c r="V73" s="25"/>
      <c r="W73" s="23"/>
      <c r="X73" s="26"/>
      <c r="Y73" s="24"/>
      <c r="Z73" s="25"/>
      <c r="AA73" s="23"/>
      <c r="AB73" s="25"/>
      <c r="AC73" s="23"/>
      <c r="AD73" s="26"/>
    </row>
    <row r="74">
      <c r="A74" s="30" t="s">
        <v>33</v>
      </c>
      <c r="B74" s="22" t="s">
        <v>62</v>
      </c>
      <c r="C74" s="22" t="s">
        <v>63</v>
      </c>
      <c r="D74" s="24"/>
      <c r="E74" s="25"/>
      <c r="F74" s="23"/>
      <c r="G74" s="25"/>
      <c r="H74" s="23"/>
      <c r="I74" s="26"/>
      <c r="J74" s="24"/>
      <c r="K74" s="25"/>
      <c r="L74" s="23"/>
      <c r="M74" s="25"/>
      <c r="N74" s="23"/>
      <c r="O74" s="26"/>
      <c r="P74" s="27"/>
      <c r="Q74" s="28"/>
      <c r="R74" s="29"/>
      <c r="S74" s="24"/>
      <c r="T74" s="25"/>
      <c r="U74" s="23"/>
      <c r="V74" s="25"/>
      <c r="W74" s="23"/>
      <c r="X74" s="26"/>
      <c r="Y74" s="24"/>
      <c r="Z74" s="25"/>
      <c r="AA74" s="23"/>
      <c r="AB74" s="25"/>
      <c r="AC74" s="23"/>
      <c r="AD74" s="26"/>
    </row>
    <row r="75">
      <c r="A75" s="30" t="s">
        <v>34</v>
      </c>
      <c r="B75" s="22" t="s">
        <v>62</v>
      </c>
      <c r="C75" s="22" t="s">
        <v>63</v>
      </c>
      <c r="D75" s="24"/>
      <c r="E75" s="25" t="n">
        <f>2523</f>
        <v>2523.0</v>
      </c>
      <c r="F75" s="23"/>
      <c r="G75" s="25" t="n">
        <f>2232</f>
        <v>2232.0</v>
      </c>
      <c r="H75" s="23"/>
      <c r="I75" s="26" t="n">
        <f>4755</f>
        <v>4755.0</v>
      </c>
      <c r="J75" s="24"/>
      <c r="K75" s="25" t="n">
        <f>408860656</f>
        <v>4.08860656E8</v>
      </c>
      <c r="L75" s="23"/>
      <c r="M75" s="25" t="n">
        <f>240206000</f>
        <v>2.40206E8</v>
      </c>
      <c r="N75" s="23"/>
      <c r="O75" s="26" t="n">
        <f>649066656</f>
        <v>6.49066656E8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/>
      <c r="T75" s="25" t="n">
        <f>1423</f>
        <v>1423.0</v>
      </c>
      <c r="U75" s="23"/>
      <c r="V75" s="25" t="n">
        <f>732</f>
        <v>732.0</v>
      </c>
      <c r="W75" s="23"/>
      <c r="X75" s="26" t="n">
        <f>2155</f>
        <v>2155.0</v>
      </c>
      <c r="Y75" s="24"/>
      <c r="Z75" s="25" t="n">
        <f>99697</f>
        <v>99697.0</v>
      </c>
      <c r="AA75" s="23"/>
      <c r="AB75" s="25" t="n">
        <f>55163</f>
        <v>55163.0</v>
      </c>
      <c r="AC75" s="23"/>
      <c r="AD75" s="26" t="n">
        <f>154860</f>
        <v>154860.0</v>
      </c>
    </row>
    <row r="76">
      <c r="A76" s="30" t="s">
        <v>35</v>
      </c>
      <c r="B76" s="22" t="s">
        <v>62</v>
      </c>
      <c r="C76" s="22" t="s">
        <v>63</v>
      </c>
      <c r="D76" s="24"/>
      <c r="E76" s="25" t="n">
        <f>4370</f>
        <v>4370.0</v>
      </c>
      <c r="F76" s="23"/>
      <c r="G76" s="25" t="n">
        <f>830</f>
        <v>830.0</v>
      </c>
      <c r="H76" s="23"/>
      <c r="I76" s="26" t="n">
        <f>5200</f>
        <v>5200.0</v>
      </c>
      <c r="J76" s="24"/>
      <c r="K76" s="25" t="n">
        <f>878057490</f>
        <v>8.7805749E8</v>
      </c>
      <c r="L76" s="23"/>
      <c r="M76" s="25" t="n">
        <f>258500000</f>
        <v>2.585E8</v>
      </c>
      <c r="N76" s="23"/>
      <c r="O76" s="26" t="n">
        <f>1136557490</f>
        <v>1.13655749E9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n">
        <f>2640</f>
        <v>2640.0</v>
      </c>
      <c r="U76" s="23" t="s">
        <v>39</v>
      </c>
      <c r="V76" s="25" t="str">
        <f>"－"</f>
        <v>－</v>
      </c>
      <c r="W76" s="23"/>
      <c r="X76" s="26" t="n">
        <f>2640</f>
        <v>2640.0</v>
      </c>
      <c r="Y76" s="24"/>
      <c r="Z76" s="25" t="n">
        <f>102467</f>
        <v>102467.0</v>
      </c>
      <c r="AA76" s="23"/>
      <c r="AB76" s="25" t="n">
        <f>55743</f>
        <v>55743.0</v>
      </c>
      <c r="AC76" s="23"/>
      <c r="AD76" s="26" t="n">
        <f>158210</f>
        <v>158210.0</v>
      </c>
    </row>
    <row r="77">
      <c r="A77" s="30" t="s">
        <v>36</v>
      </c>
      <c r="B77" s="22" t="s">
        <v>62</v>
      </c>
      <c r="C77" s="22" t="s">
        <v>63</v>
      </c>
      <c r="D77" s="24"/>
      <c r="E77" s="25" t="n">
        <f>1775</f>
        <v>1775.0</v>
      </c>
      <c r="F77" s="23"/>
      <c r="G77" s="25" t="n">
        <f>2775</f>
        <v>2775.0</v>
      </c>
      <c r="H77" s="23"/>
      <c r="I77" s="26" t="n">
        <f>4550</f>
        <v>4550.0</v>
      </c>
      <c r="J77" s="24"/>
      <c r="K77" s="25" t="n">
        <f>62925000</f>
        <v>6.2925E7</v>
      </c>
      <c r="L77" s="23"/>
      <c r="M77" s="25" t="n">
        <f>221900000</f>
        <v>2.219E8</v>
      </c>
      <c r="N77" s="23"/>
      <c r="O77" s="26" t="n">
        <f>284825000</f>
        <v>2.84825E8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n">
        <f>75</f>
        <v>75.0</v>
      </c>
      <c r="U77" s="23"/>
      <c r="V77" s="25" t="n">
        <f>75</f>
        <v>75.0</v>
      </c>
      <c r="W77" s="23"/>
      <c r="X77" s="26" t="n">
        <f>150</f>
        <v>150.0</v>
      </c>
      <c r="Y77" s="24"/>
      <c r="Z77" s="25" t="n">
        <f>103167</f>
        <v>103167.0</v>
      </c>
      <c r="AA77" s="23"/>
      <c r="AB77" s="25" t="n">
        <f>57843</f>
        <v>57843.0</v>
      </c>
      <c r="AC77" s="23"/>
      <c r="AD77" s="26" t="n">
        <f>161010</f>
        <v>161010.0</v>
      </c>
    </row>
    <row r="78">
      <c r="A78" s="30" t="s">
        <v>37</v>
      </c>
      <c r="B78" s="22" t="s">
        <v>62</v>
      </c>
      <c r="C78" s="22" t="s">
        <v>63</v>
      </c>
      <c r="D78" s="24" t="s">
        <v>30</v>
      </c>
      <c r="E78" s="25" t="n">
        <f>5006</f>
        <v>5006.0</v>
      </c>
      <c r="F78" s="23"/>
      <c r="G78" s="25" t="n">
        <f>3546</f>
        <v>3546.0</v>
      </c>
      <c r="H78" s="23" t="s">
        <v>30</v>
      </c>
      <c r="I78" s="26" t="n">
        <f>8552</f>
        <v>8552.0</v>
      </c>
      <c r="J78" s="24"/>
      <c r="K78" s="25" t="n">
        <f>1337956996</f>
        <v>1.337956996E9</v>
      </c>
      <c r="L78" s="23"/>
      <c r="M78" s="25" t="n">
        <f>923787020</f>
        <v>9.2378702E8</v>
      </c>
      <c r="N78" s="23"/>
      <c r="O78" s="26" t="n">
        <f>2261744016</f>
        <v>2.261744016E9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n">
        <f>1146</f>
        <v>1146.0</v>
      </c>
      <c r="U78" s="23"/>
      <c r="V78" s="25" t="n">
        <f>746</f>
        <v>746.0</v>
      </c>
      <c r="W78" s="23"/>
      <c r="X78" s="26" t="n">
        <f>1892</f>
        <v>1892.0</v>
      </c>
      <c r="Y78" s="24" t="s">
        <v>30</v>
      </c>
      <c r="Z78" s="25" t="n">
        <f>105217</f>
        <v>105217.0</v>
      </c>
      <c r="AA78" s="23" t="s">
        <v>30</v>
      </c>
      <c r="AB78" s="25" t="n">
        <f>59147</f>
        <v>59147.0</v>
      </c>
      <c r="AC78" s="23" t="s">
        <v>30</v>
      </c>
      <c r="AD78" s="26" t="n">
        <f>164364</f>
        <v>164364.0</v>
      </c>
    </row>
    <row r="79">
      <c r="A79" s="30" t="s">
        <v>38</v>
      </c>
      <c r="B79" s="22" t="s">
        <v>62</v>
      </c>
      <c r="C79" s="22" t="s">
        <v>63</v>
      </c>
      <c r="D79" s="24"/>
      <c r="E79" s="25" t="n">
        <f>3295</f>
        <v>3295.0</v>
      </c>
      <c r="F79" s="23"/>
      <c r="G79" s="25" t="n">
        <f>690</f>
        <v>690.0</v>
      </c>
      <c r="H79" s="23"/>
      <c r="I79" s="26" t="n">
        <f>3985</f>
        <v>3985.0</v>
      </c>
      <c r="J79" s="24"/>
      <c r="K79" s="25" t="n">
        <f>1158345962</f>
        <v>1.158345962E9</v>
      </c>
      <c r="L79" s="23"/>
      <c r="M79" s="25" t="n">
        <f>574560000</f>
        <v>5.7456E8</v>
      </c>
      <c r="N79" s="23"/>
      <c r="O79" s="26" t="n">
        <f>1732905962</f>
        <v>1.732905962E9</v>
      </c>
      <c r="P79" s="27" t="n">
        <f>5470</f>
        <v>5470.0</v>
      </c>
      <c r="Q79" s="28" t="n">
        <f>1050</f>
        <v>1050.0</v>
      </c>
      <c r="R79" s="29" t="n">
        <f>6520</f>
        <v>6520.0</v>
      </c>
      <c r="S79" s="24" t="s">
        <v>30</v>
      </c>
      <c r="T79" s="25" t="n">
        <f>5185</f>
        <v>5185.0</v>
      </c>
      <c r="U79" s="23"/>
      <c r="V79" s="25" t="str">
        <f>"－"</f>
        <v>－</v>
      </c>
      <c r="W79" s="23" t="s">
        <v>30</v>
      </c>
      <c r="X79" s="26" t="n">
        <f>5185</f>
        <v>5185.0</v>
      </c>
      <c r="Y79" s="24" t="s">
        <v>39</v>
      </c>
      <c r="Z79" s="25" t="n">
        <f>93564</f>
        <v>93564.0</v>
      </c>
      <c r="AA79" s="23"/>
      <c r="AB79" s="25" t="n">
        <f>49015</f>
        <v>49015.0</v>
      </c>
      <c r="AC79" s="23"/>
      <c r="AD79" s="26" t="n">
        <f>142579</f>
        <v>142579.0</v>
      </c>
    </row>
    <row r="80">
      <c r="A80" s="30" t="s">
        <v>40</v>
      </c>
      <c r="B80" s="22" t="s">
        <v>62</v>
      </c>
      <c r="C80" s="22" t="s">
        <v>63</v>
      </c>
      <c r="D80" s="24"/>
      <c r="E80" s="25"/>
      <c r="F80" s="23"/>
      <c r="G80" s="25"/>
      <c r="H80" s="23"/>
      <c r="I80" s="26"/>
      <c r="J80" s="24"/>
      <c r="K80" s="25"/>
      <c r="L80" s="23"/>
      <c r="M80" s="25"/>
      <c r="N80" s="23"/>
      <c r="O80" s="26"/>
      <c r="P80" s="27"/>
      <c r="Q80" s="28"/>
      <c r="R80" s="29"/>
      <c r="S80" s="24"/>
      <c r="T80" s="25"/>
      <c r="U80" s="23"/>
      <c r="V80" s="25"/>
      <c r="W80" s="23"/>
      <c r="X80" s="26"/>
      <c r="Y80" s="24"/>
      <c r="Z80" s="25"/>
      <c r="AA80" s="23"/>
      <c r="AB80" s="25"/>
      <c r="AC80" s="23"/>
      <c r="AD80" s="26"/>
    </row>
    <row r="81">
      <c r="A81" s="30" t="s">
        <v>41</v>
      </c>
      <c r="B81" s="22" t="s">
        <v>62</v>
      </c>
      <c r="C81" s="22" t="s">
        <v>63</v>
      </c>
      <c r="D81" s="24"/>
      <c r="E81" s="25"/>
      <c r="F81" s="23"/>
      <c r="G81" s="25"/>
      <c r="H81" s="23"/>
      <c r="I81" s="26"/>
      <c r="J81" s="24"/>
      <c r="K81" s="25"/>
      <c r="L81" s="23"/>
      <c r="M81" s="25"/>
      <c r="N81" s="23"/>
      <c r="O81" s="26"/>
      <c r="P81" s="27"/>
      <c r="Q81" s="28"/>
      <c r="R81" s="29"/>
      <c r="S81" s="24"/>
      <c r="T81" s="25"/>
      <c r="U81" s="23"/>
      <c r="V81" s="25"/>
      <c r="W81" s="23"/>
      <c r="X81" s="26"/>
      <c r="Y81" s="24"/>
      <c r="Z81" s="25"/>
      <c r="AA81" s="23"/>
      <c r="AB81" s="25"/>
      <c r="AC81" s="23"/>
      <c r="AD81" s="26"/>
    </row>
    <row r="82">
      <c r="A82" s="30" t="s">
        <v>42</v>
      </c>
      <c r="B82" s="22" t="s">
        <v>62</v>
      </c>
      <c r="C82" s="22" t="s">
        <v>63</v>
      </c>
      <c r="D82" s="24"/>
      <c r="E82" s="25" t="n">
        <f>2971</f>
        <v>2971.0</v>
      </c>
      <c r="F82" s="23"/>
      <c r="G82" s="25" t="n">
        <f>150</f>
        <v>150.0</v>
      </c>
      <c r="H82" s="23"/>
      <c r="I82" s="26" t="n">
        <f>3121</f>
        <v>3121.0</v>
      </c>
      <c r="J82" s="24"/>
      <c r="K82" s="25" t="n">
        <f>616903787</f>
        <v>6.16903787E8</v>
      </c>
      <c r="L82" s="23"/>
      <c r="M82" s="25" t="n">
        <f>110900000</f>
        <v>1.109E8</v>
      </c>
      <c r="N82" s="23"/>
      <c r="O82" s="26" t="n">
        <f>727803787</f>
        <v>7.27803787E8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n">
        <f>2685</f>
        <v>2685.0</v>
      </c>
      <c r="U82" s="23"/>
      <c r="V82" s="25" t="n">
        <f>50</f>
        <v>50.0</v>
      </c>
      <c r="W82" s="23"/>
      <c r="X82" s="26" t="n">
        <f>2735</f>
        <v>2735.0</v>
      </c>
      <c r="Y82" s="24"/>
      <c r="Z82" s="25" t="n">
        <f>93579</f>
        <v>93579.0</v>
      </c>
      <c r="AA82" s="23" t="s">
        <v>39</v>
      </c>
      <c r="AB82" s="25" t="n">
        <f>48915</f>
        <v>48915.0</v>
      </c>
      <c r="AC82" s="23" t="s">
        <v>39</v>
      </c>
      <c r="AD82" s="26" t="n">
        <f>142494</f>
        <v>142494.0</v>
      </c>
    </row>
    <row r="83">
      <c r="A83" s="30" t="s">
        <v>43</v>
      </c>
      <c r="B83" s="22" t="s">
        <v>62</v>
      </c>
      <c r="C83" s="22" t="s">
        <v>63</v>
      </c>
      <c r="D83" s="24"/>
      <c r="E83" s="25" t="n">
        <f>500</f>
        <v>500.0</v>
      </c>
      <c r="F83" s="23"/>
      <c r="G83" s="25" t="n">
        <f>652</f>
        <v>652.0</v>
      </c>
      <c r="H83" s="23"/>
      <c r="I83" s="26" t="n">
        <f>1152</f>
        <v>1152.0</v>
      </c>
      <c r="J83" s="24"/>
      <c r="K83" s="25" t="n">
        <f>414350000</f>
        <v>4.1435E8</v>
      </c>
      <c r="L83" s="23"/>
      <c r="M83" s="25" t="n">
        <f>330768000</f>
        <v>3.30768E8</v>
      </c>
      <c r="N83" s="23"/>
      <c r="O83" s="26" t="n">
        <f>745118000</f>
        <v>7.45118E8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n">
        <f>500</f>
        <v>500.0</v>
      </c>
      <c r="U83" s="23"/>
      <c r="V83" s="25" t="n">
        <f>650</f>
        <v>650.0</v>
      </c>
      <c r="W83" s="23"/>
      <c r="X83" s="26" t="n">
        <f>1150</f>
        <v>1150.0</v>
      </c>
      <c r="Y83" s="24"/>
      <c r="Z83" s="25" t="n">
        <f>94079</f>
        <v>94079.0</v>
      </c>
      <c r="AA83" s="23"/>
      <c r="AB83" s="25" t="n">
        <f>49567</f>
        <v>49567.0</v>
      </c>
      <c r="AC83" s="23"/>
      <c r="AD83" s="26" t="n">
        <f>143646</f>
        <v>143646.0</v>
      </c>
    </row>
    <row r="84">
      <c r="A84" s="30" t="s">
        <v>44</v>
      </c>
      <c r="B84" s="22" t="s">
        <v>62</v>
      </c>
      <c r="C84" s="22" t="s">
        <v>63</v>
      </c>
      <c r="D84" s="24"/>
      <c r="E84" s="25" t="n">
        <f>1320</f>
        <v>1320.0</v>
      </c>
      <c r="F84" s="23"/>
      <c r="G84" s="25" t="n">
        <f>1000</f>
        <v>1000.0</v>
      </c>
      <c r="H84" s="23"/>
      <c r="I84" s="26" t="n">
        <f>2320</f>
        <v>2320.0</v>
      </c>
      <c r="J84" s="24"/>
      <c r="K84" s="25" t="n">
        <f>360310500</f>
        <v>3.603105E8</v>
      </c>
      <c r="L84" s="23"/>
      <c r="M84" s="25" t="n">
        <f>281584000</f>
        <v>2.81584E8</v>
      </c>
      <c r="N84" s="23"/>
      <c r="O84" s="26" t="n">
        <f>641894500</f>
        <v>6.418945E8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n">
        <f>700</f>
        <v>700.0</v>
      </c>
      <c r="U84" s="23"/>
      <c r="V84" s="25" t="n">
        <f>400</f>
        <v>400.0</v>
      </c>
      <c r="W84" s="23"/>
      <c r="X84" s="26" t="n">
        <f>1100</f>
        <v>1100.0</v>
      </c>
      <c r="Y84" s="24"/>
      <c r="Z84" s="25" t="n">
        <f>94679</f>
        <v>94679.0</v>
      </c>
      <c r="AA84" s="23"/>
      <c r="AB84" s="25" t="n">
        <f>49564</f>
        <v>49564.0</v>
      </c>
      <c r="AC84" s="23"/>
      <c r="AD84" s="26" t="n">
        <f>144243</f>
        <v>144243.0</v>
      </c>
    </row>
    <row r="85">
      <c r="A85" s="30" t="s">
        <v>45</v>
      </c>
      <c r="B85" s="22" t="s">
        <v>62</v>
      </c>
      <c r="C85" s="22" t="s">
        <v>63</v>
      </c>
      <c r="D85" s="24"/>
      <c r="E85" s="25" t="n">
        <f>703</f>
        <v>703.0</v>
      </c>
      <c r="F85" s="23"/>
      <c r="G85" s="25" t="n">
        <f>1745</f>
        <v>1745.0</v>
      </c>
      <c r="H85" s="23"/>
      <c r="I85" s="26" t="n">
        <f>2448</f>
        <v>2448.0</v>
      </c>
      <c r="J85" s="24"/>
      <c r="K85" s="25" t="n">
        <f>767168725</f>
        <v>7.67168725E8</v>
      </c>
      <c r="L85" s="23"/>
      <c r="M85" s="25" t="n">
        <f>1172088425</f>
        <v>1.172088425E9</v>
      </c>
      <c r="N85" s="23"/>
      <c r="O85" s="26" t="n">
        <f>1939257150</f>
        <v>1.93925715E9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n">
        <f>303</f>
        <v>303.0</v>
      </c>
      <c r="U85" s="23"/>
      <c r="V85" s="25" t="n">
        <f>1070</f>
        <v>1070.0</v>
      </c>
      <c r="W85" s="23"/>
      <c r="X85" s="26" t="n">
        <f>1373</f>
        <v>1373.0</v>
      </c>
      <c r="Y85" s="24"/>
      <c r="Z85" s="25" t="n">
        <f>95382</f>
        <v>95382.0</v>
      </c>
      <c r="AA85" s="23"/>
      <c r="AB85" s="25" t="n">
        <f>50818</f>
        <v>50818.0</v>
      </c>
      <c r="AC85" s="23"/>
      <c r="AD85" s="26" t="n">
        <f>146200</f>
        <v>146200.0</v>
      </c>
    </row>
    <row r="86">
      <c r="A86" s="30" t="s">
        <v>46</v>
      </c>
      <c r="B86" s="22" t="s">
        <v>62</v>
      </c>
      <c r="C86" s="22" t="s">
        <v>63</v>
      </c>
      <c r="D86" s="24"/>
      <c r="E86" s="25" t="n">
        <f>2000</f>
        <v>2000.0</v>
      </c>
      <c r="F86" s="23"/>
      <c r="G86" s="25" t="n">
        <f>1650</f>
        <v>1650.0</v>
      </c>
      <c r="H86" s="23"/>
      <c r="I86" s="26" t="n">
        <f>3650</f>
        <v>3650.0</v>
      </c>
      <c r="J86" s="24"/>
      <c r="K86" s="25" t="n">
        <f>1087090000</f>
        <v>1.08709E9</v>
      </c>
      <c r="L86" s="23"/>
      <c r="M86" s="25" t="n">
        <f>216172700</f>
        <v>2.161727E8</v>
      </c>
      <c r="N86" s="23"/>
      <c r="O86" s="26" t="n">
        <f>1303262700</f>
        <v>1.3032627E9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 t="s">
        <v>39</v>
      </c>
      <c r="T86" s="25" t="str">
        <f>"－"</f>
        <v>－</v>
      </c>
      <c r="U86" s="23"/>
      <c r="V86" s="25" t="n">
        <f>500</f>
        <v>500.0</v>
      </c>
      <c r="W86" s="23"/>
      <c r="X86" s="26" t="n">
        <f>500</f>
        <v>500.0</v>
      </c>
      <c r="Y86" s="24"/>
      <c r="Z86" s="25" t="n">
        <f>96512</f>
        <v>96512.0</v>
      </c>
      <c r="AA86" s="23"/>
      <c r="AB86" s="25" t="n">
        <f>50918</f>
        <v>50918.0</v>
      </c>
      <c r="AC86" s="23"/>
      <c r="AD86" s="26" t="n">
        <f>147430</f>
        <v>147430.0</v>
      </c>
    </row>
    <row r="87">
      <c r="A87" s="30" t="s">
        <v>47</v>
      </c>
      <c r="B87" s="22" t="s">
        <v>62</v>
      </c>
      <c r="C87" s="22" t="s">
        <v>63</v>
      </c>
      <c r="D87" s="24"/>
      <c r="E87" s="25"/>
      <c r="F87" s="23"/>
      <c r="G87" s="25"/>
      <c r="H87" s="23"/>
      <c r="I87" s="26"/>
      <c r="J87" s="24"/>
      <c r="K87" s="25"/>
      <c r="L87" s="23"/>
      <c r="M87" s="25"/>
      <c r="N87" s="23"/>
      <c r="O87" s="26"/>
      <c r="P87" s="27"/>
      <c r="Q87" s="28"/>
      <c r="R87" s="29"/>
      <c r="S87" s="24"/>
      <c r="T87" s="25"/>
      <c r="U87" s="23"/>
      <c r="V87" s="25"/>
      <c r="W87" s="23"/>
      <c r="X87" s="26"/>
      <c r="Y87" s="24"/>
      <c r="Z87" s="25"/>
      <c r="AA87" s="23"/>
      <c r="AB87" s="25"/>
      <c r="AC87" s="23"/>
      <c r="AD87" s="26"/>
    </row>
    <row r="88">
      <c r="A88" s="30" t="s">
        <v>48</v>
      </c>
      <c r="B88" s="22" t="s">
        <v>62</v>
      </c>
      <c r="C88" s="22" t="s">
        <v>63</v>
      </c>
      <c r="D88" s="24"/>
      <c r="E88" s="25"/>
      <c r="F88" s="23"/>
      <c r="G88" s="25"/>
      <c r="H88" s="23"/>
      <c r="I88" s="26"/>
      <c r="J88" s="24"/>
      <c r="K88" s="25"/>
      <c r="L88" s="23"/>
      <c r="M88" s="25"/>
      <c r="N88" s="23"/>
      <c r="O88" s="26"/>
      <c r="P88" s="27"/>
      <c r="Q88" s="28"/>
      <c r="R88" s="29"/>
      <c r="S88" s="24"/>
      <c r="T88" s="25"/>
      <c r="U88" s="23"/>
      <c r="V88" s="25"/>
      <c r="W88" s="23"/>
      <c r="X88" s="26"/>
      <c r="Y88" s="24"/>
      <c r="Z88" s="25"/>
      <c r="AA88" s="23"/>
      <c r="AB88" s="25"/>
      <c r="AC88" s="23"/>
      <c r="AD88" s="26"/>
    </row>
    <row r="89">
      <c r="A89" s="30" t="s">
        <v>49</v>
      </c>
      <c r="B89" s="22" t="s">
        <v>62</v>
      </c>
      <c r="C89" s="22" t="s">
        <v>63</v>
      </c>
      <c r="D89" s="24"/>
      <c r="E89" s="25" t="n">
        <f>1825</f>
        <v>1825.0</v>
      </c>
      <c r="F89" s="23"/>
      <c r="G89" s="25" t="n">
        <f>925</f>
        <v>925.0</v>
      </c>
      <c r="H89" s="23"/>
      <c r="I89" s="26" t="n">
        <f>2750</f>
        <v>2750.0</v>
      </c>
      <c r="J89" s="24"/>
      <c r="K89" s="25" t="n">
        <f>713522500</f>
        <v>7.135225E8</v>
      </c>
      <c r="L89" s="23"/>
      <c r="M89" s="25" t="n">
        <f>594977500</f>
        <v>5.949775E8</v>
      </c>
      <c r="N89" s="23"/>
      <c r="O89" s="26" t="n">
        <f>1308500000</f>
        <v>1.3085E9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n">
        <f>900</f>
        <v>900.0</v>
      </c>
      <c r="U89" s="23"/>
      <c r="V89" s="25" t="n">
        <f>900</f>
        <v>900.0</v>
      </c>
      <c r="W89" s="23"/>
      <c r="X89" s="26" t="n">
        <f>1800</f>
        <v>1800.0</v>
      </c>
      <c r="Y89" s="24"/>
      <c r="Z89" s="25" t="n">
        <f>97287</f>
        <v>97287.0</v>
      </c>
      <c r="AA89" s="23"/>
      <c r="AB89" s="25" t="n">
        <f>51643</f>
        <v>51643.0</v>
      </c>
      <c r="AC89" s="23"/>
      <c r="AD89" s="26" t="n">
        <f>148930</f>
        <v>148930.0</v>
      </c>
    </row>
    <row r="90">
      <c r="A90" s="30" t="s">
        <v>50</v>
      </c>
      <c r="B90" s="22" t="s">
        <v>62</v>
      </c>
      <c r="C90" s="22" t="s">
        <v>63</v>
      </c>
      <c r="D90" s="24"/>
      <c r="E90" s="25" t="n">
        <f>422</f>
        <v>422.0</v>
      </c>
      <c r="F90" s="23"/>
      <c r="G90" s="25" t="n">
        <f>1130</f>
        <v>1130.0</v>
      </c>
      <c r="H90" s="23"/>
      <c r="I90" s="26" t="n">
        <f>1552</f>
        <v>1552.0</v>
      </c>
      <c r="J90" s="24"/>
      <c r="K90" s="25" t="n">
        <f>63303000</f>
        <v>6.3303E7</v>
      </c>
      <c r="L90" s="23"/>
      <c r="M90" s="25" t="n">
        <f>93402400</f>
        <v>9.34024E7</v>
      </c>
      <c r="N90" s="23" t="s">
        <v>39</v>
      </c>
      <c r="O90" s="26" t="n">
        <f>156705400</f>
        <v>1.567054E8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n">
        <f>50</f>
        <v>50.0</v>
      </c>
      <c r="U90" s="23"/>
      <c r="V90" s="25" t="n">
        <f>450</f>
        <v>450.0</v>
      </c>
      <c r="W90" s="23"/>
      <c r="X90" s="26" t="n">
        <f>500</f>
        <v>500.0</v>
      </c>
      <c r="Y90" s="24"/>
      <c r="Z90" s="25" t="n">
        <f>97465</f>
        <v>97465.0</v>
      </c>
      <c r="AA90" s="23"/>
      <c r="AB90" s="25" t="n">
        <f>51488</f>
        <v>51488.0</v>
      </c>
      <c r="AC90" s="23"/>
      <c r="AD90" s="26" t="n">
        <f>148953</f>
        <v>148953.0</v>
      </c>
    </row>
    <row r="91">
      <c r="A91" s="30" t="s">
        <v>51</v>
      </c>
      <c r="B91" s="22" t="s">
        <v>62</v>
      </c>
      <c r="C91" s="22" t="s">
        <v>63</v>
      </c>
      <c r="D91" s="24"/>
      <c r="E91" s="25" t="n">
        <f>1300</f>
        <v>1300.0</v>
      </c>
      <c r="F91" s="23"/>
      <c r="G91" s="25" t="n">
        <f>1634</f>
        <v>1634.0</v>
      </c>
      <c r="H91" s="23"/>
      <c r="I91" s="26" t="n">
        <f>2934</f>
        <v>2934.0</v>
      </c>
      <c r="J91" s="24"/>
      <c r="K91" s="25" t="n">
        <f>569700000</f>
        <v>5.697E8</v>
      </c>
      <c r="L91" s="23"/>
      <c r="M91" s="25" t="n">
        <f>813390240</f>
        <v>8.1339024E8</v>
      </c>
      <c r="N91" s="23"/>
      <c r="O91" s="26" t="n">
        <f>1383090240</f>
        <v>1.38309024E9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n">
        <f>700</f>
        <v>700.0</v>
      </c>
      <c r="U91" s="23"/>
      <c r="V91" s="25" t="n">
        <f>1400</f>
        <v>1400.0</v>
      </c>
      <c r="W91" s="23"/>
      <c r="X91" s="26" t="n">
        <f>2100</f>
        <v>2100.0</v>
      </c>
      <c r="Y91" s="24"/>
      <c r="Z91" s="25" t="n">
        <f>98095</f>
        <v>98095.0</v>
      </c>
      <c r="AA91" s="23"/>
      <c r="AB91" s="25" t="n">
        <f>52140</f>
        <v>52140.0</v>
      </c>
      <c r="AC91" s="23"/>
      <c r="AD91" s="26" t="n">
        <f>150235</f>
        <v>150235.0</v>
      </c>
    </row>
    <row r="92">
      <c r="A92" s="30" t="s">
        <v>52</v>
      </c>
      <c r="B92" s="22" t="s">
        <v>62</v>
      </c>
      <c r="C92" s="22" t="s">
        <v>63</v>
      </c>
      <c r="D92" s="24"/>
      <c r="E92" s="25"/>
      <c r="F92" s="23"/>
      <c r="G92" s="25"/>
      <c r="H92" s="23"/>
      <c r="I92" s="26"/>
      <c r="J92" s="24"/>
      <c r="K92" s="25"/>
      <c r="L92" s="23"/>
      <c r="M92" s="25"/>
      <c r="N92" s="23"/>
      <c r="O92" s="26"/>
      <c r="P92" s="27"/>
      <c r="Q92" s="28"/>
      <c r="R92" s="29"/>
      <c r="S92" s="24"/>
      <c r="T92" s="25"/>
      <c r="U92" s="23"/>
      <c r="V92" s="25"/>
      <c r="W92" s="23"/>
      <c r="X92" s="26"/>
      <c r="Y92" s="24"/>
      <c r="Z92" s="25"/>
      <c r="AA92" s="23"/>
      <c r="AB92" s="25"/>
      <c r="AC92" s="23"/>
      <c r="AD92" s="26"/>
    </row>
    <row r="93">
      <c r="A93" s="30" t="s">
        <v>53</v>
      </c>
      <c r="B93" s="22" t="s">
        <v>62</v>
      </c>
      <c r="C93" s="22" t="s">
        <v>63</v>
      </c>
      <c r="D93" s="24"/>
      <c r="E93" s="25" t="n">
        <f>2050</f>
        <v>2050.0</v>
      </c>
      <c r="F93" s="23"/>
      <c r="G93" s="25" t="n">
        <f>2850</f>
        <v>2850.0</v>
      </c>
      <c r="H93" s="23"/>
      <c r="I93" s="26" t="n">
        <f>4900</f>
        <v>4900.0</v>
      </c>
      <c r="J93" s="24"/>
      <c r="K93" s="25" t="n">
        <f>2199750000</f>
        <v>2.19975E9</v>
      </c>
      <c r="L93" s="23" t="s">
        <v>30</v>
      </c>
      <c r="M93" s="25" t="n">
        <f>2489125000</f>
        <v>2.489125E9</v>
      </c>
      <c r="N93" s="23" t="s">
        <v>30</v>
      </c>
      <c r="O93" s="26" t="n">
        <f>4688875000</f>
        <v>4.688875E9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str">
        <f>"－"</f>
        <v>－</v>
      </c>
      <c r="U93" s="23"/>
      <c r="V93" s="25" t="str">
        <f>"－"</f>
        <v>－</v>
      </c>
      <c r="W93" s="23" t="s">
        <v>39</v>
      </c>
      <c r="X93" s="26" t="str">
        <f>"－"</f>
        <v>－</v>
      </c>
      <c r="Y93" s="24"/>
      <c r="Z93" s="25" t="n">
        <f>99125</f>
        <v>99125.0</v>
      </c>
      <c r="AA93" s="23"/>
      <c r="AB93" s="25" t="n">
        <f>53806</f>
        <v>53806.0</v>
      </c>
      <c r="AC93" s="23"/>
      <c r="AD93" s="26" t="n">
        <f>152931</f>
        <v>152931.0</v>
      </c>
    </row>
    <row r="94">
      <c r="A94" s="30" t="s">
        <v>54</v>
      </c>
      <c r="B94" s="22" t="s">
        <v>62</v>
      </c>
      <c r="C94" s="22" t="s">
        <v>63</v>
      </c>
      <c r="D94" s="24"/>
      <c r="E94" s="25"/>
      <c r="F94" s="23"/>
      <c r="G94" s="25"/>
      <c r="H94" s="23"/>
      <c r="I94" s="26"/>
      <c r="J94" s="24"/>
      <c r="K94" s="25"/>
      <c r="L94" s="23"/>
      <c r="M94" s="25"/>
      <c r="N94" s="23"/>
      <c r="O94" s="26"/>
      <c r="P94" s="27"/>
      <c r="Q94" s="28"/>
      <c r="R94" s="29"/>
      <c r="S94" s="24"/>
      <c r="T94" s="25"/>
      <c r="U94" s="23"/>
      <c r="V94" s="25"/>
      <c r="W94" s="23"/>
      <c r="X94" s="26"/>
      <c r="Y94" s="24"/>
      <c r="Z94" s="25"/>
      <c r="AA94" s="23"/>
      <c r="AB94" s="25"/>
      <c r="AC94" s="23"/>
      <c r="AD94" s="26"/>
    </row>
    <row r="95">
      <c r="A95" s="30" t="s">
        <v>55</v>
      </c>
      <c r="B95" s="22" t="s">
        <v>62</v>
      </c>
      <c r="C95" s="22" t="s">
        <v>63</v>
      </c>
      <c r="D95" s="24"/>
      <c r="E95" s="25"/>
      <c r="F95" s="23"/>
      <c r="G95" s="25"/>
      <c r="H95" s="23"/>
      <c r="I95" s="26"/>
      <c r="J95" s="24"/>
      <c r="K95" s="25"/>
      <c r="L95" s="23"/>
      <c r="M95" s="25"/>
      <c r="N95" s="23"/>
      <c r="O95" s="26"/>
      <c r="P95" s="27"/>
      <c r="Q95" s="28"/>
      <c r="R95" s="29"/>
      <c r="S95" s="24"/>
      <c r="T95" s="25"/>
      <c r="U95" s="23"/>
      <c r="V95" s="25"/>
      <c r="W95" s="23"/>
      <c r="X95" s="26"/>
      <c r="Y95" s="24"/>
      <c r="Z95" s="25"/>
      <c r="AA95" s="23"/>
      <c r="AB95" s="25"/>
      <c r="AC95" s="23"/>
      <c r="AD95" s="26"/>
    </row>
    <row r="96">
      <c r="A96" s="30" t="s">
        <v>56</v>
      </c>
      <c r="B96" s="22" t="s">
        <v>62</v>
      </c>
      <c r="C96" s="22" t="s">
        <v>63</v>
      </c>
      <c r="D96" s="24"/>
      <c r="E96" s="25" t="n">
        <f>220</f>
        <v>220.0</v>
      </c>
      <c r="F96" s="23"/>
      <c r="G96" s="25" t="n">
        <f>350</f>
        <v>350.0</v>
      </c>
      <c r="H96" s="23" t="s">
        <v>39</v>
      </c>
      <c r="I96" s="26" t="n">
        <f>570</f>
        <v>570.0</v>
      </c>
      <c r="J96" s="24"/>
      <c r="K96" s="25" t="n">
        <f>471560000</f>
        <v>4.7156E8</v>
      </c>
      <c r="L96" s="23"/>
      <c r="M96" s="25" t="n">
        <f>521675000</f>
        <v>5.21675E8</v>
      </c>
      <c r="N96" s="23"/>
      <c r="O96" s="26" t="n">
        <f>993235000</f>
        <v>9.93235E8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str">
        <f>"－"</f>
        <v>－</v>
      </c>
      <c r="U96" s="23"/>
      <c r="V96" s="25" t="str">
        <f>"－"</f>
        <v>－</v>
      </c>
      <c r="W96" s="23"/>
      <c r="X96" s="26" t="str">
        <f>"－"</f>
        <v>－</v>
      </c>
      <c r="Y96" s="24"/>
      <c r="Z96" s="25" t="n">
        <f>99345</f>
        <v>99345.0</v>
      </c>
      <c r="AA96" s="23"/>
      <c r="AB96" s="25" t="n">
        <f>53136</f>
        <v>53136.0</v>
      </c>
      <c r="AC96" s="23"/>
      <c r="AD96" s="26" t="n">
        <f>152481</f>
        <v>152481.0</v>
      </c>
    </row>
    <row r="97">
      <c r="A97" s="30" t="s">
        <v>57</v>
      </c>
      <c r="B97" s="22" t="s">
        <v>62</v>
      </c>
      <c r="C97" s="22" t="s">
        <v>63</v>
      </c>
      <c r="D97" s="24" t="s">
        <v>39</v>
      </c>
      <c r="E97" s="25" t="n">
        <f>120</f>
        <v>120.0</v>
      </c>
      <c r="F97" s="23"/>
      <c r="G97" s="25" t="n">
        <f>3197</f>
        <v>3197.0</v>
      </c>
      <c r="H97" s="23"/>
      <c r="I97" s="26" t="n">
        <f>3317</f>
        <v>3317.0</v>
      </c>
      <c r="J97" s="24" t="s">
        <v>39</v>
      </c>
      <c r="K97" s="25" t="n">
        <f>4800000</f>
        <v>4800000.0</v>
      </c>
      <c r="L97" s="23"/>
      <c r="M97" s="25" t="n">
        <f>1208386330</f>
        <v>1.20838633E9</v>
      </c>
      <c r="N97" s="23"/>
      <c r="O97" s="26" t="n">
        <f>1213186330</f>
        <v>1.21318633E9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str">
        <f>"－"</f>
        <v>－</v>
      </c>
      <c r="U97" s="23"/>
      <c r="V97" s="25" t="str">
        <f>"－"</f>
        <v>－</v>
      </c>
      <c r="W97" s="23"/>
      <c r="X97" s="26" t="str">
        <f>"－"</f>
        <v>－</v>
      </c>
      <c r="Y97" s="24"/>
      <c r="Z97" s="25" t="n">
        <f>99245</f>
        <v>99245.0</v>
      </c>
      <c r="AA97" s="23"/>
      <c r="AB97" s="25" t="n">
        <f>53456</f>
        <v>53456.0</v>
      </c>
      <c r="AC97" s="23"/>
      <c r="AD97" s="26" t="n">
        <f>152701</f>
        <v>152701.0</v>
      </c>
    </row>
    <row r="98">
      <c r="A98" s="30" t="s">
        <v>58</v>
      </c>
      <c r="B98" s="22" t="s">
        <v>62</v>
      </c>
      <c r="C98" s="22" t="s">
        <v>63</v>
      </c>
      <c r="D98" s="24"/>
      <c r="E98" s="25" t="n">
        <f>1600</f>
        <v>1600.0</v>
      </c>
      <c r="F98" s="23" t="s">
        <v>30</v>
      </c>
      <c r="G98" s="25" t="n">
        <f>4778</f>
        <v>4778.0</v>
      </c>
      <c r="H98" s="23"/>
      <c r="I98" s="26" t="n">
        <f>6378</f>
        <v>6378.0</v>
      </c>
      <c r="J98" s="24" t="s">
        <v>30</v>
      </c>
      <c r="K98" s="25" t="n">
        <f>2640750000</f>
        <v>2.64075E9</v>
      </c>
      <c r="L98" s="23"/>
      <c r="M98" s="25" t="n">
        <f>1686927500</f>
        <v>1.6869275E9</v>
      </c>
      <c r="N98" s="23"/>
      <c r="O98" s="26" t="n">
        <f>4327677500</f>
        <v>4.3276775E9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n">
        <f>1500</f>
        <v>1500.0</v>
      </c>
      <c r="U98" s="23" t="s">
        <v>30</v>
      </c>
      <c r="V98" s="25" t="n">
        <f>3475</f>
        <v>3475.0</v>
      </c>
      <c r="W98" s="23"/>
      <c r="X98" s="26" t="n">
        <f>4975</f>
        <v>4975.0</v>
      </c>
      <c r="Y98" s="24"/>
      <c r="Z98" s="25" t="n">
        <f>100752</f>
        <v>100752.0</v>
      </c>
      <c r="AA98" s="23"/>
      <c r="AB98" s="25" t="n">
        <f>54940</f>
        <v>54940.0</v>
      </c>
      <c r="AC98" s="23"/>
      <c r="AD98" s="26" t="n">
        <f>155692</f>
        <v>155692.0</v>
      </c>
    </row>
    <row r="99">
      <c r="A99" s="30" t="s">
        <v>59</v>
      </c>
      <c r="B99" s="22" t="s">
        <v>62</v>
      </c>
      <c r="C99" s="22" t="s">
        <v>63</v>
      </c>
      <c r="D99" s="24"/>
      <c r="E99" s="25" t="n">
        <f>695</f>
        <v>695.0</v>
      </c>
      <c r="F99" s="23" t="s">
        <v>39</v>
      </c>
      <c r="G99" s="25" t="n">
        <f>4</f>
        <v>4.0</v>
      </c>
      <c r="H99" s="23"/>
      <c r="I99" s="26" t="n">
        <f>699</f>
        <v>699.0</v>
      </c>
      <c r="J99" s="24"/>
      <c r="K99" s="25" t="n">
        <f>164975360</f>
        <v>1.6497536E8</v>
      </c>
      <c r="L99" s="23" t="s">
        <v>39</v>
      </c>
      <c r="M99" s="25" t="n">
        <f>212000</f>
        <v>212000.0</v>
      </c>
      <c r="N99" s="23"/>
      <c r="O99" s="26" t="n">
        <f>165187360</f>
        <v>1.6518736E8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n">
        <f>150</f>
        <v>150.0</v>
      </c>
      <c r="U99" s="23"/>
      <c r="V99" s="25" t="str">
        <f>"－"</f>
        <v>－</v>
      </c>
      <c r="W99" s="23"/>
      <c r="X99" s="26" t="n">
        <f>150</f>
        <v>150.0</v>
      </c>
      <c r="Y99" s="24"/>
      <c r="Z99" s="25" t="n">
        <f>100862</f>
        <v>100862.0</v>
      </c>
      <c r="AA99" s="23"/>
      <c r="AB99" s="25" t="n">
        <f>54942</f>
        <v>54942.0</v>
      </c>
      <c r="AC99" s="23"/>
      <c r="AD99" s="26" t="n">
        <f>155804</f>
        <v>155804.0</v>
      </c>
    </row>
    <row r="100">
      <c r="A100" s="30" t="s">
        <v>26</v>
      </c>
      <c r="B100" s="22" t="s">
        <v>64</v>
      </c>
      <c r="C100" s="22" t="s">
        <v>65</v>
      </c>
      <c r="D100" s="24" t="s">
        <v>66</v>
      </c>
      <c r="E100" s="25" t="str">
        <f>"－"</f>
        <v>－</v>
      </c>
      <c r="F100" s="23" t="s">
        <v>66</v>
      </c>
      <c r="G100" s="25" t="str">
        <f>"－"</f>
        <v>－</v>
      </c>
      <c r="H100" s="23" t="s">
        <v>66</v>
      </c>
      <c r="I100" s="26" t="str">
        <f>"－"</f>
        <v>－</v>
      </c>
      <c r="J100" s="24" t="s">
        <v>66</v>
      </c>
      <c r="K100" s="25" t="str">
        <f>"－"</f>
        <v>－</v>
      </c>
      <c r="L100" s="23" t="s">
        <v>66</v>
      </c>
      <c r="M100" s="25" t="str">
        <f>"－"</f>
        <v>－</v>
      </c>
      <c r="N100" s="23" t="s">
        <v>66</v>
      </c>
      <c r="O100" s="26" t="str">
        <f>"－"</f>
        <v>－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 t="s">
        <v>66</v>
      </c>
      <c r="T100" s="25" t="str">
        <f>"－"</f>
        <v>－</v>
      </c>
      <c r="U100" s="23" t="s">
        <v>66</v>
      </c>
      <c r="V100" s="25" t="str">
        <f>"－"</f>
        <v>－</v>
      </c>
      <c r="W100" s="23" t="s">
        <v>66</v>
      </c>
      <c r="X100" s="26" t="str">
        <f>"－"</f>
        <v>－</v>
      </c>
      <c r="Y100" s="24" t="s">
        <v>66</v>
      </c>
      <c r="Z100" s="25" t="str">
        <f>"－"</f>
        <v>－</v>
      </c>
      <c r="AA100" s="23" t="s">
        <v>66</v>
      </c>
      <c r="AB100" s="25" t="str">
        <f>"－"</f>
        <v>－</v>
      </c>
      <c r="AC100" s="23" t="s">
        <v>66</v>
      </c>
      <c r="AD100" s="26" t="str">
        <f>"－"</f>
        <v>－</v>
      </c>
    </row>
    <row r="101">
      <c r="A101" s="30" t="s">
        <v>29</v>
      </c>
      <c r="B101" s="22" t="s">
        <v>64</v>
      </c>
      <c r="C101" s="22" t="s">
        <v>65</v>
      </c>
      <c r="D101" s="24"/>
      <c r="E101" s="25" t="str">
        <f>"－"</f>
        <v>－</v>
      </c>
      <c r="F101" s="23"/>
      <c r="G101" s="25" t="str">
        <f>"－"</f>
        <v>－</v>
      </c>
      <c r="H101" s="23"/>
      <c r="I101" s="26" t="str">
        <f>"－"</f>
        <v>－</v>
      </c>
      <c r="J101" s="24"/>
      <c r="K101" s="25" t="str">
        <f>"－"</f>
        <v>－</v>
      </c>
      <c r="L101" s="23"/>
      <c r="M101" s="25" t="str">
        <f>"－"</f>
        <v>－</v>
      </c>
      <c r="N101" s="23"/>
      <c r="O101" s="26" t="str">
        <f>"－"</f>
        <v>－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str">
        <f>"－"</f>
        <v>－</v>
      </c>
      <c r="U101" s="23"/>
      <c r="V101" s="25" t="str">
        <f>"－"</f>
        <v>－</v>
      </c>
      <c r="W101" s="23"/>
      <c r="X101" s="26" t="str">
        <f>"－"</f>
        <v>－</v>
      </c>
      <c r="Y101" s="24"/>
      <c r="Z101" s="25" t="str">
        <f>"－"</f>
        <v>－</v>
      </c>
      <c r="AA101" s="23"/>
      <c r="AB101" s="25" t="str">
        <f>"－"</f>
        <v>－</v>
      </c>
      <c r="AC101" s="23"/>
      <c r="AD101" s="26" t="str">
        <f>"－"</f>
        <v>－</v>
      </c>
    </row>
    <row r="102">
      <c r="A102" s="30" t="s">
        <v>31</v>
      </c>
      <c r="B102" s="22" t="s">
        <v>64</v>
      </c>
      <c r="C102" s="22" t="s">
        <v>65</v>
      </c>
      <c r="D102" s="24"/>
      <c r="E102" s="25"/>
      <c r="F102" s="23"/>
      <c r="G102" s="25"/>
      <c r="H102" s="23"/>
      <c r="I102" s="26"/>
      <c r="J102" s="24"/>
      <c r="K102" s="25"/>
      <c r="L102" s="23"/>
      <c r="M102" s="25"/>
      <c r="N102" s="23"/>
      <c r="O102" s="26"/>
      <c r="P102" s="27"/>
      <c r="Q102" s="28"/>
      <c r="R102" s="29"/>
      <c r="S102" s="24"/>
      <c r="T102" s="25"/>
      <c r="U102" s="23"/>
      <c r="V102" s="25"/>
      <c r="W102" s="23"/>
      <c r="X102" s="26"/>
      <c r="Y102" s="24"/>
      <c r="Z102" s="25"/>
      <c r="AA102" s="23"/>
      <c r="AB102" s="25"/>
      <c r="AC102" s="23"/>
      <c r="AD102" s="26"/>
    </row>
    <row r="103">
      <c r="A103" s="30" t="s">
        <v>32</v>
      </c>
      <c r="B103" s="22" t="s">
        <v>64</v>
      </c>
      <c r="C103" s="22" t="s">
        <v>65</v>
      </c>
      <c r="D103" s="24"/>
      <c r="E103" s="25"/>
      <c r="F103" s="23"/>
      <c r="G103" s="25"/>
      <c r="H103" s="23"/>
      <c r="I103" s="26"/>
      <c r="J103" s="24"/>
      <c r="K103" s="25"/>
      <c r="L103" s="23"/>
      <c r="M103" s="25"/>
      <c r="N103" s="23"/>
      <c r="O103" s="26"/>
      <c r="P103" s="27"/>
      <c r="Q103" s="28"/>
      <c r="R103" s="29"/>
      <c r="S103" s="24"/>
      <c r="T103" s="25"/>
      <c r="U103" s="23"/>
      <c r="V103" s="25"/>
      <c r="W103" s="23"/>
      <c r="X103" s="26"/>
      <c r="Y103" s="24"/>
      <c r="Z103" s="25"/>
      <c r="AA103" s="23"/>
      <c r="AB103" s="25"/>
      <c r="AC103" s="23"/>
      <c r="AD103" s="26"/>
    </row>
    <row r="104">
      <c r="A104" s="30" t="s">
        <v>33</v>
      </c>
      <c r="B104" s="22" t="s">
        <v>64</v>
      </c>
      <c r="C104" s="22" t="s">
        <v>65</v>
      </c>
      <c r="D104" s="24"/>
      <c r="E104" s="25"/>
      <c r="F104" s="23"/>
      <c r="G104" s="25"/>
      <c r="H104" s="23"/>
      <c r="I104" s="26"/>
      <c r="J104" s="24"/>
      <c r="K104" s="25"/>
      <c r="L104" s="23"/>
      <c r="M104" s="25"/>
      <c r="N104" s="23"/>
      <c r="O104" s="26"/>
      <c r="P104" s="27"/>
      <c r="Q104" s="28"/>
      <c r="R104" s="29"/>
      <c r="S104" s="24"/>
      <c r="T104" s="25"/>
      <c r="U104" s="23"/>
      <c r="V104" s="25"/>
      <c r="W104" s="23"/>
      <c r="X104" s="26"/>
      <c r="Y104" s="24"/>
      <c r="Z104" s="25"/>
      <c r="AA104" s="23"/>
      <c r="AB104" s="25"/>
      <c r="AC104" s="23"/>
      <c r="AD104" s="26"/>
    </row>
    <row r="105">
      <c r="A105" s="30" t="s">
        <v>34</v>
      </c>
      <c r="B105" s="22" t="s">
        <v>64</v>
      </c>
      <c r="C105" s="22" t="s">
        <v>65</v>
      </c>
      <c r="D105" s="24"/>
      <c r="E105" s="25" t="str">
        <f>"－"</f>
        <v>－</v>
      </c>
      <c r="F105" s="23"/>
      <c r="G105" s="25" t="str">
        <f>"－"</f>
        <v>－</v>
      </c>
      <c r="H105" s="23"/>
      <c r="I105" s="26" t="str">
        <f>"－"</f>
        <v>－</v>
      </c>
      <c r="J105" s="24"/>
      <c r="K105" s="25" t="str">
        <f>"－"</f>
        <v>－</v>
      </c>
      <c r="L105" s="23"/>
      <c r="M105" s="25" t="str">
        <f>"－"</f>
        <v>－</v>
      </c>
      <c r="N105" s="23"/>
      <c r="O105" s="26" t="str">
        <f>"－"</f>
        <v>－</v>
      </c>
      <c r="P105" s="27" t="str">
        <f>"－"</f>
        <v>－</v>
      </c>
      <c r="Q105" s="28" t="str">
        <f>"－"</f>
        <v>－</v>
      </c>
      <c r="R105" s="29" t="str">
        <f>"－"</f>
        <v>－</v>
      </c>
      <c r="S105" s="24"/>
      <c r="T105" s="25" t="str">
        <f>"－"</f>
        <v>－</v>
      </c>
      <c r="U105" s="23"/>
      <c r="V105" s="25" t="str">
        <f>"－"</f>
        <v>－</v>
      </c>
      <c r="W105" s="23"/>
      <c r="X105" s="26" t="str">
        <f>"－"</f>
        <v>－</v>
      </c>
      <c r="Y105" s="24"/>
      <c r="Z105" s="25" t="str">
        <f>"－"</f>
        <v>－</v>
      </c>
      <c r="AA105" s="23"/>
      <c r="AB105" s="25" t="str">
        <f>"－"</f>
        <v>－</v>
      </c>
      <c r="AC105" s="23"/>
      <c r="AD105" s="26" t="str">
        <f>"－"</f>
        <v>－</v>
      </c>
    </row>
    <row r="106">
      <c r="A106" s="30" t="s">
        <v>35</v>
      </c>
      <c r="B106" s="22" t="s">
        <v>64</v>
      </c>
      <c r="C106" s="22" t="s">
        <v>65</v>
      </c>
      <c r="D106" s="24"/>
      <c r="E106" s="25" t="str">
        <f>"－"</f>
        <v>－</v>
      </c>
      <c r="F106" s="23"/>
      <c r="G106" s="25" t="str">
        <f>"－"</f>
        <v>－</v>
      </c>
      <c r="H106" s="23"/>
      <c r="I106" s="26" t="str">
        <f>"－"</f>
        <v>－</v>
      </c>
      <c r="J106" s="24"/>
      <c r="K106" s="25" t="str">
        <f>"－"</f>
        <v>－</v>
      </c>
      <c r="L106" s="23"/>
      <c r="M106" s="25" t="str">
        <f>"－"</f>
        <v>－</v>
      </c>
      <c r="N106" s="23"/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/>
      <c r="T106" s="25" t="str">
        <f>"－"</f>
        <v>－</v>
      </c>
      <c r="U106" s="23"/>
      <c r="V106" s="25" t="str">
        <f>"－"</f>
        <v>－</v>
      </c>
      <c r="W106" s="23"/>
      <c r="X106" s="26" t="str">
        <f>"－"</f>
        <v>－</v>
      </c>
      <c r="Y106" s="24"/>
      <c r="Z106" s="25" t="str">
        <f>"－"</f>
        <v>－</v>
      </c>
      <c r="AA106" s="23"/>
      <c r="AB106" s="25" t="str">
        <f>"－"</f>
        <v>－</v>
      </c>
      <c r="AC106" s="23"/>
      <c r="AD106" s="26" t="str">
        <f>"－"</f>
        <v>－</v>
      </c>
    </row>
    <row r="107">
      <c r="A107" s="30" t="s">
        <v>36</v>
      </c>
      <c r="B107" s="22" t="s">
        <v>64</v>
      </c>
      <c r="C107" s="22" t="s">
        <v>65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37</v>
      </c>
      <c r="B108" s="22" t="s">
        <v>64</v>
      </c>
      <c r="C108" s="22" t="s">
        <v>65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38</v>
      </c>
      <c r="B109" s="22" t="s">
        <v>64</v>
      </c>
      <c r="C109" s="22" t="s">
        <v>65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40</v>
      </c>
      <c r="B110" s="22" t="s">
        <v>64</v>
      </c>
      <c r="C110" s="22" t="s">
        <v>65</v>
      </c>
      <c r="D110" s="24"/>
      <c r="E110" s="25"/>
      <c r="F110" s="23"/>
      <c r="G110" s="25"/>
      <c r="H110" s="23"/>
      <c r="I110" s="26"/>
      <c r="J110" s="24"/>
      <c r="K110" s="25"/>
      <c r="L110" s="23"/>
      <c r="M110" s="25"/>
      <c r="N110" s="23"/>
      <c r="O110" s="26"/>
      <c r="P110" s="27"/>
      <c r="Q110" s="28"/>
      <c r="R110" s="29"/>
      <c r="S110" s="24"/>
      <c r="T110" s="25"/>
      <c r="U110" s="23"/>
      <c r="V110" s="25"/>
      <c r="W110" s="23"/>
      <c r="X110" s="26"/>
      <c r="Y110" s="24"/>
      <c r="Z110" s="25"/>
      <c r="AA110" s="23"/>
      <c r="AB110" s="25"/>
      <c r="AC110" s="23"/>
      <c r="AD110" s="26"/>
    </row>
    <row r="111">
      <c r="A111" s="30" t="s">
        <v>41</v>
      </c>
      <c r="B111" s="22" t="s">
        <v>64</v>
      </c>
      <c r="C111" s="22" t="s">
        <v>65</v>
      </c>
      <c r="D111" s="24"/>
      <c r="E111" s="25"/>
      <c r="F111" s="23"/>
      <c r="G111" s="25"/>
      <c r="H111" s="23"/>
      <c r="I111" s="26"/>
      <c r="J111" s="24"/>
      <c r="K111" s="25"/>
      <c r="L111" s="23"/>
      <c r="M111" s="25"/>
      <c r="N111" s="23"/>
      <c r="O111" s="26"/>
      <c r="P111" s="27"/>
      <c r="Q111" s="28"/>
      <c r="R111" s="29"/>
      <c r="S111" s="24"/>
      <c r="T111" s="25"/>
      <c r="U111" s="23"/>
      <c r="V111" s="25"/>
      <c r="W111" s="23"/>
      <c r="X111" s="26"/>
      <c r="Y111" s="24"/>
      <c r="Z111" s="25"/>
      <c r="AA111" s="23"/>
      <c r="AB111" s="25"/>
      <c r="AC111" s="23"/>
      <c r="AD111" s="26"/>
    </row>
    <row r="112">
      <c r="A112" s="30" t="s">
        <v>42</v>
      </c>
      <c r="B112" s="22" t="s">
        <v>64</v>
      </c>
      <c r="C112" s="22" t="s">
        <v>65</v>
      </c>
      <c r="D112" s="24"/>
      <c r="E112" s="25" t="str">
        <f>"－"</f>
        <v>－</v>
      </c>
      <c r="F112" s="23"/>
      <c r="G112" s="25" t="str">
        <f>"－"</f>
        <v>－</v>
      </c>
      <c r="H112" s="23"/>
      <c r="I112" s="26" t="str">
        <f>"－"</f>
        <v>－</v>
      </c>
      <c r="J112" s="24"/>
      <c r="K112" s="25" t="str">
        <f>"－"</f>
        <v>－</v>
      </c>
      <c r="L112" s="23"/>
      <c r="M112" s="25" t="str">
        <f>"－"</f>
        <v>－</v>
      </c>
      <c r="N112" s="23"/>
      <c r="O112" s="26" t="str">
        <f>"－"</f>
        <v>－</v>
      </c>
      <c r="P112" s="27" t="str">
        <f>"－"</f>
        <v>－</v>
      </c>
      <c r="Q112" s="28" t="str">
        <f>"－"</f>
        <v>－</v>
      </c>
      <c r="R112" s="29" t="str">
        <f>"－"</f>
        <v>－</v>
      </c>
      <c r="S112" s="24"/>
      <c r="T112" s="25" t="str">
        <f>"－"</f>
        <v>－</v>
      </c>
      <c r="U112" s="23"/>
      <c r="V112" s="25" t="str">
        <f>"－"</f>
        <v>－</v>
      </c>
      <c r="W112" s="23"/>
      <c r="X112" s="26" t="str">
        <f>"－"</f>
        <v>－</v>
      </c>
      <c r="Y112" s="24"/>
      <c r="Z112" s="25" t="str">
        <f>"－"</f>
        <v>－</v>
      </c>
      <c r="AA112" s="23"/>
      <c r="AB112" s="25" t="str">
        <f>"－"</f>
        <v>－</v>
      </c>
      <c r="AC112" s="23"/>
      <c r="AD112" s="26" t="str">
        <f>"－"</f>
        <v>－</v>
      </c>
    </row>
    <row r="113">
      <c r="A113" s="30" t="s">
        <v>43</v>
      </c>
      <c r="B113" s="22" t="s">
        <v>64</v>
      </c>
      <c r="C113" s="22" t="s">
        <v>65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44</v>
      </c>
      <c r="B114" s="22" t="s">
        <v>64</v>
      </c>
      <c r="C114" s="22" t="s">
        <v>65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45</v>
      </c>
      <c r="B115" s="22" t="s">
        <v>64</v>
      </c>
      <c r="C115" s="22" t="s">
        <v>65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46</v>
      </c>
      <c r="B116" s="22" t="s">
        <v>64</v>
      </c>
      <c r="C116" s="22" t="s">
        <v>65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47</v>
      </c>
      <c r="B117" s="22" t="s">
        <v>64</v>
      </c>
      <c r="C117" s="22" t="s">
        <v>65</v>
      </c>
      <c r="D117" s="24"/>
      <c r="E117" s="25"/>
      <c r="F117" s="23"/>
      <c r="G117" s="25"/>
      <c r="H117" s="23"/>
      <c r="I117" s="26"/>
      <c r="J117" s="24"/>
      <c r="K117" s="25"/>
      <c r="L117" s="23"/>
      <c r="M117" s="25"/>
      <c r="N117" s="23"/>
      <c r="O117" s="26"/>
      <c r="P117" s="27"/>
      <c r="Q117" s="28"/>
      <c r="R117" s="29"/>
      <c r="S117" s="24"/>
      <c r="T117" s="25"/>
      <c r="U117" s="23"/>
      <c r="V117" s="25"/>
      <c r="W117" s="23"/>
      <c r="X117" s="26"/>
      <c r="Y117" s="24"/>
      <c r="Z117" s="25"/>
      <c r="AA117" s="23"/>
      <c r="AB117" s="25"/>
      <c r="AC117" s="23"/>
      <c r="AD117" s="26"/>
    </row>
    <row r="118">
      <c r="A118" s="30" t="s">
        <v>48</v>
      </c>
      <c r="B118" s="22" t="s">
        <v>64</v>
      </c>
      <c r="C118" s="22" t="s">
        <v>65</v>
      </c>
      <c r="D118" s="24"/>
      <c r="E118" s="25"/>
      <c r="F118" s="23"/>
      <c r="G118" s="25"/>
      <c r="H118" s="23"/>
      <c r="I118" s="26"/>
      <c r="J118" s="24"/>
      <c r="K118" s="25"/>
      <c r="L118" s="23"/>
      <c r="M118" s="25"/>
      <c r="N118" s="23"/>
      <c r="O118" s="26"/>
      <c r="P118" s="27"/>
      <c r="Q118" s="28"/>
      <c r="R118" s="29"/>
      <c r="S118" s="24"/>
      <c r="T118" s="25"/>
      <c r="U118" s="23"/>
      <c r="V118" s="25"/>
      <c r="W118" s="23"/>
      <c r="X118" s="26"/>
      <c r="Y118" s="24"/>
      <c r="Z118" s="25"/>
      <c r="AA118" s="23"/>
      <c r="AB118" s="25"/>
      <c r="AC118" s="23"/>
      <c r="AD118" s="26"/>
    </row>
    <row r="119">
      <c r="A119" s="30" t="s">
        <v>49</v>
      </c>
      <c r="B119" s="22" t="s">
        <v>64</v>
      </c>
      <c r="C119" s="22" t="s">
        <v>65</v>
      </c>
      <c r="D119" s="24"/>
      <c r="E119" s="25" t="str">
        <f>"－"</f>
        <v>－</v>
      </c>
      <c r="F119" s="23"/>
      <c r="G119" s="25" t="str">
        <f>"－"</f>
        <v>－</v>
      </c>
      <c r="H119" s="23"/>
      <c r="I119" s="26" t="str">
        <f>"－"</f>
        <v>－</v>
      </c>
      <c r="J119" s="24"/>
      <c r="K119" s="25" t="str">
        <f>"－"</f>
        <v>－</v>
      </c>
      <c r="L119" s="23"/>
      <c r="M119" s="25" t="str">
        <f>"－"</f>
        <v>－</v>
      </c>
      <c r="N119" s="23"/>
      <c r="O119" s="26" t="str">
        <f>"－"</f>
        <v>－</v>
      </c>
      <c r="P119" s="27" t="str">
        <f>"－"</f>
        <v>－</v>
      </c>
      <c r="Q119" s="28" t="str">
        <f>"－"</f>
        <v>－</v>
      </c>
      <c r="R119" s="29" t="str">
        <f>"－"</f>
        <v>－</v>
      </c>
      <c r="S119" s="24"/>
      <c r="T119" s="25" t="str">
        <f>"－"</f>
        <v>－</v>
      </c>
      <c r="U119" s="23"/>
      <c r="V119" s="25" t="str">
        <f>"－"</f>
        <v>－</v>
      </c>
      <c r="W119" s="23"/>
      <c r="X119" s="26" t="str">
        <f>"－"</f>
        <v>－</v>
      </c>
      <c r="Y119" s="24"/>
      <c r="Z119" s="25" t="str">
        <f>"－"</f>
        <v>－</v>
      </c>
      <c r="AA119" s="23"/>
      <c r="AB119" s="25" t="str">
        <f>"－"</f>
        <v>－</v>
      </c>
      <c r="AC119" s="23"/>
      <c r="AD119" s="26" t="str">
        <f>"－"</f>
        <v>－</v>
      </c>
    </row>
    <row r="120">
      <c r="A120" s="30" t="s">
        <v>50</v>
      </c>
      <c r="B120" s="22" t="s">
        <v>64</v>
      </c>
      <c r="C120" s="22" t="s">
        <v>65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51</v>
      </c>
      <c r="B121" s="22" t="s">
        <v>64</v>
      </c>
      <c r="C121" s="22" t="s">
        <v>65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52</v>
      </c>
      <c r="B122" s="22" t="s">
        <v>64</v>
      </c>
      <c r="C122" s="22" t="s">
        <v>65</v>
      </c>
      <c r="D122" s="24"/>
      <c r="E122" s="25"/>
      <c r="F122" s="23"/>
      <c r="G122" s="25"/>
      <c r="H122" s="23"/>
      <c r="I122" s="26"/>
      <c r="J122" s="24"/>
      <c r="K122" s="25"/>
      <c r="L122" s="23"/>
      <c r="M122" s="25"/>
      <c r="N122" s="23"/>
      <c r="O122" s="26"/>
      <c r="P122" s="27"/>
      <c r="Q122" s="28"/>
      <c r="R122" s="29"/>
      <c r="S122" s="24"/>
      <c r="T122" s="25"/>
      <c r="U122" s="23"/>
      <c r="V122" s="25"/>
      <c r="W122" s="23"/>
      <c r="X122" s="26"/>
      <c r="Y122" s="24"/>
      <c r="Z122" s="25"/>
      <c r="AA122" s="23"/>
      <c r="AB122" s="25"/>
      <c r="AC122" s="23"/>
      <c r="AD122" s="26"/>
    </row>
    <row r="123">
      <c r="A123" s="30" t="s">
        <v>53</v>
      </c>
      <c r="B123" s="22" t="s">
        <v>64</v>
      </c>
      <c r="C123" s="22" t="s">
        <v>65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54</v>
      </c>
      <c r="B124" s="22" t="s">
        <v>64</v>
      </c>
      <c r="C124" s="22" t="s">
        <v>65</v>
      </c>
      <c r="D124" s="24"/>
      <c r="E124" s="25"/>
      <c r="F124" s="23"/>
      <c r="G124" s="25"/>
      <c r="H124" s="23"/>
      <c r="I124" s="26"/>
      <c r="J124" s="24"/>
      <c r="K124" s="25"/>
      <c r="L124" s="23"/>
      <c r="M124" s="25"/>
      <c r="N124" s="23"/>
      <c r="O124" s="26"/>
      <c r="P124" s="27"/>
      <c r="Q124" s="28"/>
      <c r="R124" s="29"/>
      <c r="S124" s="24"/>
      <c r="T124" s="25"/>
      <c r="U124" s="23"/>
      <c r="V124" s="25"/>
      <c r="W124" s="23"/>
      <c r="X124" s="26"/>
      <c r="Y124" s="24"/>
      <c r="Z124" s="25"/>
      <c r="AA124" s="23"/>
      <c r="AB124" s="25"/>
      <c r="AC124" s="23"/>
      <c r="AD124" s="26"/>
    </row>
    <row r="125">
      <c r="A125" s="30" t="s">
        <v>55</v>
      </c>
      <c r="B125" s="22" t="s">
        <v>64</v>
      </c>
      <c r="C125" s="22" t="s">
        <v>65</v>
      </c>
      <c r="D125" s="24"/>
      <c r="E125" s="25"/>
      <c r="F125" s="23"/>
      <c r="G125" s="25"/>
      <c r="H125" s="23"/>
      <c r="I125" s="26"/>
      <c r="J125" s="24"/>
      <c r="K125" s="25"/>
      <c r="L125" s="23"/>
      <c r="M125" s="25"/>
      <c r="N125" s="23"/>
      <c r="O125" s="26"/>
      <c r="P125" s="27"/>
      <c r="Q125" s="28"/>
      <c r="R125" s="29"/>
      <c r="S125" s="24"/>
      <c r="T125" s="25"/>
      <c r="U125" s="23"/>
      <c r="V125" s="25"/>
      <c r="W125" s="23"/>
      <c r="X125" s="26"/>
      <c r="Y125" s="24"/>
      <c r="Z125" s="25"/>
      <c r="AA125" s="23"/>
      <c r="AB125" s="25"/>
      <c r="AC125" s="23"/>
      <c r="AD125" s="26"/>
    </row>
    <row r="126">
      <c r="A126" s="30" t="s">
        <v>56</v>
      </c>
      <c r="B126" s="22" t="s">
        <v>64</v>
      </c>
      <c r="C126" s="22" t="s">
        <v>65</v>
      </c>
      <c r="D126" s="24"/>
      <c r="E126" s="25" t="str">
        <f>"－"</f>
        <v>－</v>
      </c>
      <c r="F126" s="23"/>
      <c r="G126" s="25" t="str">
        <f>"－"</f>
        <v>－</v>
      </c>
      <c r="H126" s="23"/>
      <c r="I126" s="26" t="str">
        <f>"－"</f>
        <v>－</v>
      </c>
      <c r="J126" s="24"/>
      <c r="K126" s="25" t="str">
        <f>"－"</f>
        <v>－</v>
      </c>
      <c r="L126" s="23"/>
      <c r="M126" s="25" t="str">
        <f>"－"</f>
        <v>－</v>
      </c>
      <c r="N126" s="23"/>
      <c r="O126" s="26" t="str">
        <f>"－"</f>
        <v>－</v>
      </c>
      <c r="P126" s="27" t="str">
        <f>"－"</f>
        <v>－</v>
      </c>
      <c r="Q126" s="28" t="str">
        <f>"－"</f>
        <v>－</v>
      </c>
      <c r="R126" s="29" t="str">
        <f>"－"</f>
        <v>－</v>
      </c>
      <c r="S126" s="24"/>
      <c r="T126" s="25" t="str">
        <f>"－"</f>
        <v>－</v>
      </c>
      <c r="U126" s="23"/>
      <c r="V126" s="25" t="str">
        <f>"－"</f>
        <v>－</v>
      </c>
      <c r="W126" s="23"/>
      <c r="X126" s="26" t="str">
        <f>"－"</f>
        <v>－</v>
      </c>
      <c r="Y126" s="24"/>
      <c r="Z126" s="25" t="str">
        <f>"－"</f>
        <v>－</v>
      </c>
      <c r="AA126" s="23"/>
      <c r="AB126" s="25" t="str">
        <f>"－"</f>
        <v>－</v>
      </c>
      <c r="AC126" s="23"/>
      <c r="AD126" s="26" t="str">
        <f>"－"</f>
        <v>－</v>
      </c>
    </row>
    <row r="127">
      <c r="A127" s="30" t="s">
        <v>57</v>
      </c>
      <c r="B127" s="22" t="s">
        <v>64</v>
      </c>
      <c r="C127" s="22" t="s">
        <v>65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58</v>
      </c>
      <c r="B128" s="22" t="s">
        <v>64</v>
      </c>
      <c r="C128" s="22" t="s">
        <v>65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59</v>
      </c>
      <c r="B129" s="22" t="s">
        <v>64</v>
      </c>
      <c r="C129" s="22" t="s">
        <v>65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26</v>
      </c>
      <c r="B130" s="22" t="s">
        <v>67</v>
      </c>
      <c r="C130" s="22" t="s">
        <v>68</v>
      </c>
      <c r="D130" s="24"/>
      <c r="E130" s="25"/>
      <c r="F130" s="23"/>
      <c r="G130" s="25"/>
      <c r="H130" s="23"/>
      <c r="I130" s="26"/>
      <c r="J130" s="24"/>
      <c r="K130" s="25"/>
      <c r="L130" s="23"/>
      <c r="M130" s="25"/>
      <c r="N130" s="23"/>
      <c r="O130" s="26"/>
      <c r="P130" s="27"/>
      <c r="Q130" s="28"/>
      <c r="R130" s="29"/>
      <c r="S130" s="24"/>
      <c r="T130" s="25"/>
      <c r="U130" s="23"/>
      <c r="V130" s="25"/>
      <c r="W130" s="23"/>
      <c r="X130" s="26"/>
      <c r="Y130" s="24"/>
      <c r="Z130" s="25"/>
      <c r="AA130" s="23"/>
      <c r="AB130" s="25"/>
      <c r="AC130" s="23"/>
      <c r="AD130" s="26"/>
    </row>
    <row r="131">
      <c r="A131" s="30" t="s">
        <v>29</v>
      </c>
      <c r="B131" s="22" t="s">
        <v>67</v>
      </c>
      <c r="C131" s="22" t="s">
        <v>68</v>
      </c>
      <c r="D131" s="24"/>
      <c r="E131" s="25"/>
      <c r="F131" s="23"/>
      <c r="G131" s="25"/>
      <c r="H131" s="23"/>
      <c r="I131" s="26"/>
      <c r="J131" s="24"/>
      <c r="K131" s="25"/>
      <c r="L131" s="23"/>
      <c r="M131" s="25"/>
      <c r="N131" s="23"/>
      <c r="O131" s="26"/>
      <c r="P131" s="27"/>
      <c r="Q131" s="28"/>
      <c r="R131" s="29"/>
      <c r="S131" s="24"/>
      <c r="T131" s="25"/>
      <c r="U131" s="23"/>
      <c r="V131" s="25"/>
      <c r="W131" s="23"/>
      <c r="X131" s="26"/>
      <c r="Y131" s="24"/>
      <c r="Z131" s="25"/>
      <c r="AA131" s="23"/>
      <c r="AB131" s="25"/>
      <c r="AC131" s="23"/>
      <c r="AD131" s="26"/>
    </row>
    <row r="132">
      <c r="A132" s="30" t="s">
        <v>31</v>
      </c>
      <c r="B132" s="22" t="s">
        <v>67</v>
      </c>
      <c r="C132" s="22" t="s">
        <v>68</v>
      </c>
      <c r="D132" s="24"/>
      <c r="E132" s="25"/>
      <c r="F132" s="23"/>
      <c r="G132" s="25"/>
      <c r="H132" s="23"/>
      <c r="I132" s="26"/>
      <c r="J132" s="24"/>
      <c r="K132" s="25"/>
      <c r="L132" s="23"/>
      <c r="M132" s="25"/>
      <c r="N132" s="23"/>
      <c r="O132" s="26"/>
      <c r="P132" s="27"/>
      <c r="Q132" s="28"/>
      <c r="R132" s="29"/>
      <c r="S132" s="24"/>
      <c r="T132" s="25"/>
      <c r="U132" s="23"/>
      <c r="V132" s="25"/>
      <c r="W132" s="23"/>
      <c r="X132" s="26"/>
      <c r="Y132" s="24"/>
      <c r="Z132" s="25"/>
      <c r="AA132" s="23"/>
      <c r="AB132" s="25"/>
      <c r="AC132" s="23"/>
      <c r="AD132" s="26"/>
    </row>
    <row r="133">
      <c r="A133" s="30" t="s">
        <v>32</v>
      </c>
      <c r="B133" s="22" t="s">
        <v>67</v>
      </c>
      <c r="C133" s="22" t="s">
        <v>68</v>
      </c>
      <c r="D133" s="24"/>
      <c r="E133" s="25"/>
      <c r="F133" s="23"/>
      <c r="G133" s="25"/>
      <c r="H133" s="23"/>
      <c r="I133" s="26"/>
      <c r="J133" s="24"/>
      <c r="K133" s="25"/>
      <c r="L133" s="23"/>
      <c r="M133" s="25"/>
      <c r="N133" s="23"/>
      <c r="O133" s="26"/>
      <c r="P133" s="27"/>
      <c r="Q133" s="28"/>
      <c r="R133" s="29"/>
      <c r="S133" s="24"/>
      <c r="T133" s="25"/>
      <c r="U133" s="23"/>
      <c r="V133" s="25"/>
      <c r="W133" s="23"/>
      <c r="X133" s="26"/>
      <c r="Y133" s="24"/>
      <c r="Z133" s="25"/>
      <c r="AA133" s="23"/>
      <c r="AB133" s="25"/>
      <c r="AC133" s="23"/>
      <c r="AD133" s="26"/>
    </row>
    <row r="134">
      <c r="A134" s="30" t="s">
        <v>33</v>
      </c>
      <c r="B134" s="22" t="s">
        <v>67</v>
      </c>
      <c r="C134" s="22" t="s">
        <v>68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34</v>
      </c>
      <c r="B135" s="22" t="s">
        <v>67</v>
      </c>
      <c r="C135" s="22" t="s">
        <v>68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35</v>
      </c>
      <c r="B136" s="22" t="s">
        <v>67</v>
      </c>
      <c r="C136" s="22" t="s">
        <v>68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36</v>
      </c>
      <c r="B137" s="22" t="s">
        <v>67</v>
      </c>
      <c r="C137" s="22" t="s">
        <v>68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37</v>
      </c>
      <c r="B138" s="22" t="s">
        <v>67</v>
      </c>
      <c r="C138" s="22" t="s">
        <v>68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38</v>
      </c>
      <c r="B139" s="22" t="s">
        <v>67</v>
      </c>
      <c r="C139" s="22" t="s">
        <v>68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40</v>
      </c>
      <c r="B140" s="22" t="s">
        <v>67</v>
      </c>
      <c r="C140" s="22" t="s">
        <v>68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41</v>
      </c>
      <c r="B141" s="22" t="s">
        <v>67</v>
      </c>
      <c r="C141" s="22" t="s">
        <v>68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42</v>
      </c>
      <c r="B142" s="22" t="s">
        <v>67</v>
      </c>
      <c r="C142" s="22" t="s">
        <v>68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43</v>
      </c>
      <c r="B143" s="22" t="s">
        <v>67</v>
      </c>
      <c r="C143" s="22" t="s">
        <v>68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44</v>
      </c>
      <c r="B144" s="22" t="s">
        <v>67</v>
      </c>
      <c r="C144" s="22" t="s">
        <v>68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45</v>
      </c>
      <c r="B145" s="22" t="s">
        <v>67</v>
      </c>
      <c r="C145" s="22" t="s">
        <v>68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46</v>
      </c>
      <c r="B146" s="22" t="s">
        <v>67</v>
      </c>
      <c r="C146" s="22" t="s">
        <v>68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47</v>
      </c>
      <c r="B147" s="22" t="s">
        <v>67</v>
      </c>
      <c r="C147" s="22" t="s">
        <v>68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48</v>
      </c>
      <c r="B148" s="22" t="s">
        <v>67</v>
      </c>
      <c r="C148" s="22" t="s">
        <v>68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49</v>
      </c>
      <c r="B149" s="22" t="s">
        <v>67</v>
      </c>
      <c r="C149" s="22" t="s">
        <v>68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50</v>
      </c>
      <c r="B150" s="22" t="s">
        <v>67</v>
      </c>
      <c r="C150" s="22" t="s">
        <v>68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51</v>
      </c>
      <c r="B151" s="22" t="s">
        <v>67</v>
      </c>
      <c r="C151" s="22" t="s">
        <v>68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52</v>
      </c>
      <c r="B152" s="22" t="s">
        <v>67</v>
      </c>
      <c r="C152" s="22" t="s">
        <v>68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53</v>
      </c>
      <c r="B153" s="22" t="s">
        <v>67</v>
      </c>
      <c r="C153" s="22" t="s">
        <v>68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54</v>
      </c>
      <c r="B154" s="22" t="s">
        <v>67</v>
      </c>
      <c r="C154" s="22" t="s">
        <v>68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55</v>
      </c>
      <c r="B155" s="22" t="s">
        <v>67</v>
      </c>
      <c r="C155" s="22" t="s">
        <v>68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56</v>
      </c>
      <c r="B156" s="22" t="s">
        <v>67</v>
      </c>
      <c r="C156" s="22" t="s">
        <v>68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57</v>
      </c>
      <c r="B157" s="22" t="s">
        <v>67</v>
      </c>
      <c r="C157" s="22" t="s">
        <v>68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58</v>
      </c>
      <c r="B158" s="22" t="s">
        <v>67</v>
      </c>
      <c r="C158" s="22" t="s">
        <v>68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59</v>
      </c>
      <c r="B159" s="22" t="s">
        <v>67</v>
      </c>
      <c r="C159" s="22" t="s">
        <v>68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26</v>
      </c>
      <c r="B160" s="22" t="s">
        <v>69</v>
      </c>
      <c r="C160" s="22" t="s">
        <v>70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29</v>
      </c>
      <c r="B161" s="22" t="s">
        <v>69</v>
      </c>
      <c r="C161" s="22" t="s">
        <v>70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31</v>
      </c>
      <c r="B162" s="22" t="s">
        <v>69</v>
      </c>
      <c r="C162" s="22" t="s">
        <v>70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32</v>
      </c>
      <c r="B163" s="22" t="s">
        <v>69</v>
      </c>
      <c r="C163" s="22" t="s">
        <v>70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33</v>
      </c>
      <c r="B164" s="22" t="s">
        <v>69</v>
      </c>
      <c r="C164" s="22" t="s">
        <v>70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34</v>
      </c>
      <c r="B165" s="22" t="s">
        <v>69</v>
      </c>
      <c r="C165" s="22" t="s">
        <v>70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35</v>
      </c>
      <c r="B166" s="22" t="s">
        <v>69</v>
      </c>
      <c r="C166" s="22" t="s">
        <v>70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36</v>
      </c>
      <c r="B167" s="22" t="s">
        <v>69</v>
      </c>
      <c r="C167" s="22" t="s">
        <v>70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37</v>
      </c>
      <c r="B168" s="22" t="s">
        <v>69</v>
      </c>
      <c r="C168" s="22" t="s">
        <v>70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38</v>
      </c>
      <c r="B169" s="22" t="s">
        <v>69</v>
      </c>
      <c r="C169" s="22" t="s">
        <v>70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40</v>
      </c>
      <c r="B170" s="22" t="s">
        <v>69</v>
      </c>
      <c r="C170" s="22" t="s">
        <v>70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41</v>
      </c>
      <c r="B171" s="22" t="s">
        <v>69</v>
      </c>
      <c r="C171" s="22" t="s">
        <v>70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42</v>
      </c>
      <c r="B172" s="22" t="s">
        <v>69</v>
      </c>
      <c r="C172" s="22" t="s">
        <v>70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43</v>
      </c>
      <c r="B173" s="22" t="s">
        <v>69</v>
      </c>
      <c r="C173" s="22" t="s">
        <v>70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44</v>
      </c>
      <c r="B174" s="22" t="s">
        <v>69</v>
      </c>
      <c r="C174" s="22" t="s">
        <v>70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45</v>
      </c>
      <c r="B175" s="22" t="s">
        <v>69</v>
      </c>
      <c r="C175" s="22" t="s">
        <v>70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46</v>
      </c>
      <c r="B176" s="22" t="s">
        <v>69</v>
      </c>
      <c r="C176" s="22" t="s">
        <v>70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47</v>
      </c>
      <c r="B177" s="22" t="s">
        <v>69</v>
      </c>
      <c r="C177" s="22" t="s">
        <v>70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48</v>
      </c>
      <c r="B178" s="22" t="s">
        <v>69</v>
      </c>
      <c r="C178" s="22" t="s">
        <v>70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49</v>
      </c>
      <c r="B179" s="22" t="s">
        <v>69</v>
      </c>
      <c r="C179" s="22" t="s">
        <v>70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50</v>
      </c>
      <c r="B180" s="22" t="s">
        <v>69</v>
      </c>
      <c r="C180" s="22" t="s">
        <v>70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51</v>
      </c>
      <c r="B181" s="22" t="s">
        <v>69</v>
      </c>
      <c r="C181" s="22" t="s">
        <v>70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52</v>
      </c>
      <c r="B182" s="22" t="s">
        <v>69</v>
      </c>
      <c r="C182" s="22" t="s">
        <v>70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53</v>
      </c>
      <c r="B183" s="22" t="s">
        <v>69</v>
      </c>
      <c r="C183" s="22" t="s">
        <v>70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54</v>
      </c>
      <c r="B184" s="22" t="s">
        <v>69</v>
      </c>
      <c r="C184" s="22" t="s">
        <v>70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55</v>
      </c>
      <c r="B185" s="22" t="s">
        <v>69</v>
      </c>
      <c r="C185" s="22" t="s">
        <v>70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56</v>
      </c>
      <c r="B186" s="22" t="s">
        <v>69</v>
      </c>
      <c r="C186" s="22" t="s">
        <v>70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57</v>
      </c>
      <c r="B187" s="22" t="s">
        <v>69</v>
      </c>
      <c r="C187" s="22" t="s">
        <v>70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58</v>
      </c>
      <c r="B188" s="22" t="s">
        <v>69</v>
      </c>
      <c r="C188" s="22" t="s">
        <v>70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59</v>
      </c>
      <c r="B189" s="22" t="s">
        <v>69</v>
      </c>
      <c r="C189" s="22" t="s">
        <v>70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