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<sst xmlns="http://schemas.openxmlformats.org/spreadsheetml/2006/main" count="698" uniqueCount="72">
  <si>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</si>
  <si>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</si>
  <si>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</si>
  <si>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</si>
  <si>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</si>
  <si>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</si>
  <si>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</si>
  <si>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</si>
  <si>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</si>
  <si>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</si>
  <si>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</si>
  <si>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</si>
  <si>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</si>
  <si>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</si>
  <si>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</si>
  <si>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</si>
  <si>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</si>
  <si>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</si>
  <si>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</si>
  <si>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</si>
  <si>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</si>
  <si>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</si>
  <si>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</si>
  <si>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</si>
  <si>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</si>
  <si>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</si>
  <si>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12.1</t>
  </si>
  <si>
    <t>日経225オプション</t>
  </si>
  <si>
    <t>Nikkei 225 Options</t>
  </si>
  <si>
    <t>2</t>
  </si>
  <si>
    <t>3</t>
  </si>
  <si>
    <t>4</t>
  </si>
  <si>
    <t>5</t>
  </si>
  <si>
    <t>6</t>
  </si>
  <si>
    <t>◎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</si>
  <si>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</si>
  <si>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</si>
  <si>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</si>
  <si>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</si>
  <si>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</si>
  <si>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</si>
  <si>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</si>
  <si>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</si>
  <si>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</si>
  <si>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</si>
  <si>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</si>
  <si>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</si>
  <si>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</si>
  <si>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</si>
  <si>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</si>
  <si>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</si>
  <si>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</si>
  <si>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</si>
  <si>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</si>
  <si>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</si>
  <si>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</si>
  <si>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</si>
  <si>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</si>
  <si>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</si>
  <si>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</si>
  <si>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</si>
  <si>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日経225ミニオプション</t>
  </si>
  <si>
    <t>Nikkei 225 mini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</si>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</sst>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35755</f>
        <v>35755.0</v>
      </c>
      <c r="F10" s="23"/>
      <c r="G10" s="25" t="n">
        <f>30739</f>
        <v>30739.0</v>
      </c>
      <c r="H10" s="23"/>
      <c r="I10" s="26" t="n">
        <f>66494</f>
        <v>66494.0</v>
      </c>
      <c r="J10" s="24"/>
      <c r="K10" s="25" t="n">
        <f>4339321700</f>
        <v>4.3393217E9</v>
      </c>
      <c r="L10" s="23"/>
      <c r="M10" s="25" t="n">
        <f>5584360774</f>
        <v>5.584360774E9</v>
      </c>
      <c r="N10" s="23"/>
      <c r="O10" s="26" t="n">
        <f>9923682474</f>
        <v>9.923682474E9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8966</f>
        <v>8966.0</v>
      </c>
      <c r="U10" s="23"/>
      <c r="V10" s="25" t="n">
        <f>4637</f>
        <v>4637.0</v>
      </c>
      <c r="W10" s="23"/>
      <c r="X10" s="26" t="n">
        <f>13603</f>
        <v>13603.0</v>
      </c>
      <c r="Y10" s="24"/>
      <c r="Z10" s="25" t="n">
        <f>1009473</f>
        <v>1009473.0</v>
      </c>
      <c r="AA10" s="23"/>
      <c r="AB10" s="25" t="n">
        <f>622848</f>
        <v>622848.0</v>
      </c>
      <c r="AC10" s="23"/>
      <c r="AD10" s="26" t="n">
        <f>1632321</f>
        <v>1632321.0</v>
      </c>
    </row>
    <row r="11">
      <c r="A11" s="30" t="s">
        <v>29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 t="n">
        <f>42924</f>
        <v>42924.0</v>
      </c>
      <c r="F13" s="23"/>
      <c r="G13" s="25" t="n">
        <f>35535</f>
        <v>35535.0</v>
      </c>
      <c r="H13" s="23"/>
      <c r="I13" s="26" t="n">
        <f>78459</f>
        <v>78459.0</v>
      </c>
      <c r="J13" s="24"/>
      <c r="K13" s="25" t="n">
        <f>7566068949</f>
        <v>7.566068949E9</v>
      </c>
      <c r="L13" s="23"/>
      <c r="M13" s="25" t="n">
        <f>4219465310</f>
        <v>4.21946531E9</v>
      </c>
      <c r="N13" s="23"/>
      <c r="O13" s="26" t="n">
        <f>11785534259</f>
        <v>1.1785534259E10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7411</f>
        <v>7411.0</v>
      </c>
      <c r="U13" s="23"/>
      <c r="V13" s="25" t="n">
        <f>7812</f>
        <v>7812.0</v>
      </c>
      <c r="W13" s="23"/>
      <c r="X13" s="26" t="n">
        <f>15223</f>
        <v>15223.0</v>
      </c>
      <c r="Y13" s="24"/>
      <c r="Z13" s="25" t="n">
        <f>1016297</f>
        <v>1016297.0</v>
      </c>
      <c r="AA13" s="23"/>
      <c r="AB13" s="25" t="n">
        <f>623505</f>
        <v>623505.0</v>
      </c>
      <c r="AC13" s="23"/>
      <c r="AD13" s="26" t="n">
        <f>1639802</f>
        <v>1639802.0</v>
      </c>
    </row>
    <row r="14">
      <c r="A14" s="30" t="s">
        <v>32</v>
      </c>
      <c r="B14" s="22" t="s">
        <v>27</v>
      </c>
      <c r="C14" s="22" t="s">
        <v>28</v>
      </c>
      <c r="D14" s="24"/>
      <c r="E14" s="25" t="n">
        <f>56095</f>
        <v>56095.0</v>
      </c>
      <c r="F14" s="23"/>
      <c r="G14" s="25" t="n">
        <f>43340</f>
        <v>43340.0</v>
      </c>
      <c r="H14" s="23"/>
      <c r="I14" s="26" t="n">
        <f>99435</f>
        <v>99435.0</v>
      </c>
      <c r="J14" s="24"/>
      <c r="K14" s="25" t="n">
        <f>13660565223</f>
        <v>1.3660565223E10</v>
      </c>
      <c r="L14" s="23"/>
      <c r="M14" s="25" t="n">
        <f>5582389680</f>
        <v>5.58238968E9</v>
      </c>
      <c r="N14" s="23"/>
      <c r="O14" s="26" t="n">
        <f>19242954903</f>
        <v>1.9242954903E10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13302</f>
        <v>13302.0</v>
      </c>
      <c r="U14" s="23"/>
      <c r="V14" s="25" t="n">
        <f>10626</f>
        <v>10626.0</v>
      </c>
      <c r="W14" s="23"/>
      <c r="X14" s="26" t="n">
        <f>23928</f>
        <v>23928.0</v>
      </c>
      <c r="Y14" s="24"/>
      <c r="Z14" s="25" t="n">
        <f>1025423</f>
        <v>1025423.0</v>
      </c>
      <c r="AA14" s="23"/>
      <c r="AB14" s="25" t="n">
        <f>624733</f>
        <v>624733.0</v>
      </c>
      <c r="AC14" s="23"/>
      <c r="AD14" s="26" t="n">
        <f>1650156</f>
        <v>1650156.0</v>
      </c>
    </row>
    <row r="15">
      <c r="A15" s="30" t="s">
        <v>33</v>
      </c>
      <c r="B15" s="22" t="s">
        <v>27</v>
      </c>
      <c r="C15" s="22" t="s">
        <v>28</v>
      </c>
      <c r="D15" s="24" t="s">
        <v>34</v>
      </c>
      <c r="E15" s="25" t="n">
        <f>72699</f>
        <v>72699.0</v>
      </c>
      <c r="F15" s="23"/>
      <c r="G15" s="25" t="n">
        <f>47573</f>
        <v>47573.0</v>
      </c>
      <c r="H15" s="23" t="s">
        <v>34</v>
      </c>
      <c r="I15" s="26" t="n">
        <f>120272</f>
        <v>120272.0</v>
      </c>
      <c r="J15" s="24"/>
      <c r="K15" s="25" t="n">
        <f>15876911557</f>
        <v>1.5876911557E10</v>
      </c>
      <c r="L15" s="23" t="s">
        <v>34</v>
      </c>
      <c r="M15" s="25" t="n">
        <f>17156387988</f>
        <v>1.7156387988E10</v>
      </c>
      <c r="N15" s="23"/>
      <c r="O15" s="26" t="n">
        <f>33033299545</f>
        <v>3.3033299545E10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11759</f>
        <v>11759.0</v>
      </c>
      <c r="U15" s="23"/>
      <c r="V15" s="25" t="n">
        <f>9113</f>
        <v>9113.0</v>
      </c>
      <c r="W15" s="23"/>
      <c r="X15" s="26" t="n">
        <f>20872</f>
        <v>20872.0</v>
      </c>
      <c r="Y15" s="24"/>
      <c r="Z15" s="25" t="n">
        <f>1041161</f>
        <v>1041161.0</v>
      </c>
      <c r="AA15" s="23"/>
      <c r="AB15" s="25" t="n">
        <f>629940</f>
        <v>629940.0</v>
      </c>
      <c r="AC15" s="23"/>
      <c r="AD15" s="26" t="n">
        <f>1671101</f>
        <v>1671101.0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68978</f>
        <v>68978.0</v>
      </c>
      <c r="F16" s="23" t="s">
        <v>34</v>
      </c>
      <c r="G16" s="25" t="n">
        <f>50537</f>
        <v>50537.0</v>
      </c>
      <c r="H16" s="23"/>
      <c r="I16" s="26" t="n">
        <f>119515</f>
        <v>119515.0</v>
      </c>
      <c r="J16" s="24"/>
      <c r="K16" s="25" t="n">
        <f>20966260261</f>
        <v>2.0966260261E10</v>
      </c>
      <c r="L16" s="23"/>
      <c r="M16" s="25" t="n">
        <f>16183962900</f>
        <v>1.61839629E10</v>
      </c>
      <c r="N16" s="23" t="s">
        <v>34</v>
      </c>
      <c r="O16" s="26" t="n">
        <f>37150223161</f>
        <v>3.7150223161E10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 t="s">
        <v>34</v>
      </c>
      <c r="T16" s="25" t="n">
        <f>20328</f>
        <v>20328.0</v>
      </c>
      <c r="U16" s="23" t="s">
        <v>34</v>
      </c>
      <c r="V16" s="25" t="n">
        <f>12101</f>
        <v>12101.0</v>
      </c>
      <c r="W16" s="23" t="s">
        <v>34</v>
      </c>
      <c r="X16" s="26" t="n">
        <f>32429</f>
        <v>32429.0</v>
      </c>
      <c r="Y16" s="24" t="s">
        <v>34</v>
      </c>
      <c r="Z16" s="25" t="n">
        <f>1055442</f>
        <v>1055442.0</v>
      </c>
      <c r="AA16" s="23" t="s">
        <v>34</v>
      </c>
      <c r="AB16" s="25" t="n">
        <f>638084</f>
        <v>638084.0</v>
      </c>
      <c r="AC16" s="23" t="s">
        <v>34</v>
      </c>
      <c r="AD16" s="26" t="n">
        <f>1693526</f>
        <v>1693526.0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49152</f>
        <v>49152.0</v>
      </c>
      <c r="F17" s="23"/>
      <c r="G17" s="25" t="n">
        <f>29765</f>
        <v>29765.0</v>
      </c>
      <c r="H17" s="23"/>
      <c r="I17" s="26" t="n">
        <f>78917</f>
        <v>78917.0</v>
      </c>
      <c r="J17" s="24" t="s">
        <v>34</v>
      </c>
      <c r="K17" s="25" t="n">
        <f>21985734131</f>
        <v>2.1985734131E10</v>
      </c>
      <c r="L17" s="23"/>
      <c r="M17" s="25" t="n">
        <f>14429117750</f>
        <v>1.442911775E10</v>
      </c>
      <c r="N17" s="23"/>
      <c r="O17" s="26" t="n">
        <f>36414851881</f>
        <v>3.6414851881E10</v>
      </c>
      <c r="P17" s="27" t="n">
        <f>31986</f>
        <v>31986.0</v>
      </c>
      <c r="Q17" s="28" t="n">
        <f>140302</f>
        <v>140302.0</v>
      </c>
      <c r="R17" s="29" t="n">
        <f>172288</f>
        <v>172288.0</v>
      </c>
      <c r="S17" s="24"/>
      <c r="T17" s="25" t="n">
        <f>13500</f>
        <v>13500.0</v>
      </c>
      <c r="U17" s="23"/>
      <c r="V17" s="25" t="n">
        <f>8654</f>
        <v>8654.0</v>
      </c>
      <c r="W17" s="23"/>
      <c r="X17" s="26" t="n">
        <f>22154</f>
        <v>22154.0</v>
      </c>
      <c r="Y17" s="24" t="s">
        <v>37</v>
      </c>
      <c r="Z17" s="25" t="n">
        <f>602344</f>
        <v>602344.0</v>
      </c>
      <c r="AA17" s="23" t="s">
        <v>37</v>
      </c>
      <c r="AB17" s="25" t="n">
        <f>371174</f>
        <v>371174.0</v>
      </c>
      <c r="AC17" s="23" t="s">
        <v>37</v>
      </c>
      <c r="AD17" s="26" t="n">
        <f>973518</f>
        <v>973518.0</v>
      </c>
    </row>
    <row r="18">
      <c r="A18" s="30" t="s">
        <v>38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 t="n">
        <f>37140</f>
        <v>37140.0</v>
      </c>
      <c r="F20" s="23"/>
      <c r="G20" s="25" t="n">
        <f>32163</f>
        <v>32163.0</v>
      </c>
      <c r="H20" s="23"/>
      <c r="I20" s="26" t="n">
        <f>69303</f>
        <v>69303.0</v>
      </c>
      <c r="J20" s="24"/>
      <c r="K20" s="25" t="n">
        <f>11531581650</f>
        <v>1.153158165E10</v>
      </c>
      <c r="L20" s="23"/>
      <c r="M20" s="25" t="n">
        <f>10641353288</f>
        <v>1.0641353288E10</v>
      </c>
      <c r="N20" s="23"/>
      <c r="O20" s="26" t="n">
        <f>22172934938</f>
        <v>2.2172934938E10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7731</f>
        <v>7731.0</v>
      </c>
      <c r="U20" s="23"/>
      <c r="V20" s="25" t="n">
        <f>6460</f>
        <v>6460.0</v>
      </c>
      <c r="W20" s="23"/>
      <c r="X20" s="26" t="n">
        <f>14191</f>
        <v>14191.0</v>
      </c>
      <c r="Y20" s="24"/>
      <c r="Z20" s="25" t="n">
        <f>617426</f>
        <v>617426.0</v>
      </c>
      <c r="AA20" s="23"/>
      <c r="AB20" s="25" t="n">
        <f>381137</f>
        <v>381137.0</v>
      </c>
      <c r="AC20" s="23"/>
      <c r="AD20" s="26" t="n">
        <f>998563</f>
        <v>998563.0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26907</f>
        <v>26907.0</v>
      </c>
      <c r="F21" s="23"/>
      <c r="G21" s="25" t="n">
        <f>26308</f>
        <v>26308.0</v>
      </c>
      <c r="H21" s="23"/>
      <c r="I21" s="26" t="n">
        <f>53215</f>
        <v>53215.0</v>
      </c>
      <c r="J21" s="24"/>
      <c r="K21" s="25" t="n">
        <f>9416507689</f>
        <v>9.416507689E9</v>
      </c>
      <c r="L21" s="23"/>
      <c r="M21" s="25" t="n">
        <f>9674281585</f>
        <v>9.674281585E9</v>
      </c>
      <c r="N21" s="23"/>
      <c r="O21" s="26" t="n">
        <f>19090789274</f>
        <v>1.9090789274E10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6616</f>
        <v>6616.0</v>
      </c>
      <c r="U21" s="23"/>
      <c r="V21" s="25" t="n">
        <f>8532</f>
        <v>8532.0</v>
      </c>
      <c r="W21" s="23"/>
      <c r="X21" s="26" t="n">
        <f>15148</f>
        <v>15148.0</v>
      </c>
      <c r="Y21" s="24"/>
      <c r="Z21" s="25" t="n">
        <f>626256</f>
        <v>626256.0</v>
      </c>
      <c r="AA21" s="23"/>
      <c r="AB21" s="25" t="n">
        <f>392352</f>
        <v>392352.0</v>
      </c>
      <c r="AC21" s="23"/>
      <c r="AD21" s="26" t="n">
        <f>1018608</f>
        <v>1018608.0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23330</f>
        <v>23330.0</v>
      </c>
      <c r="F22" s="23"/>
      <c r="G22" s="25" t="n">
        <f>22615</f>
        <v>22615.0</v>
      </c>
      <c r="H22" s="23"/>
      <c r="I22" s="26" t="n">
        <f>45945</f>
        <v>45945.0</v>
      </c>
      <c r="J22" s="24"/>
      <c r="K22" s="25" t="n">
        <f>9187241540</f>
        <v>9.18724154E9</v>
      </c>
      <c r="L22" s="23"/>
      <c r="M22" s="25" t="n">
        <f>7485731800</f>
        <v>7.4857318E9</v>
      </c>
      <c r="N22" s="23"/>
      <c r="O22" s="26" t="n">
        <f>16672973340</f>
        <v>1.667297334E10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5889</f>
        <v>5889.0</v>
      </c>
      <c r="U22" s="23"/>
      <c r="V22" s="25" t="n">
        <f>4320</f>
        <v>4320.0</v>
      </c>
      <c r="W22" s="23"/>
      <c r="X22" s="26" t="n">
        <f>10209</f>
        <v>10209.0</v>
      </c>
      <c r="Y22" s="24"/>
      <c r="Z22" s="25" t="n">
        <f>634510</f>
        <v>634510.0</v>
      </c>
      <c r="AA22" s="23"/>
      <c r="AB22" s="25" t="n">
        <f>399243</f>
        <v>399243.0</v>
      </c>
      <c r="AC22" s="23"/>
      <c r="AD22" s="26" t="n">
        <f>1033753</f>
        <v>1033753.0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26504</f>
        <v>26504.0</v>
      </c>
      <c r="F23" s="23"/>
      <c r="G23" s="25" t="n">
        <f>30806</f>
        <v>30806.0</v>
      </c>
      <c r="H23" s="23"/>
      <c r="I23" s="26" t="n">
        <f>57310</f>
        <v>57310.0</v>
      </c>
      <c r="J23" s="24"/>
      <c r="K23" s="25" t="n">
        <f>7784147523</f>
        <v>7.784147523E9</v>
      </c>
      <c r="L23" s="23"/>
      <c r="M23" s="25" t="n">
        <f>7569560970</f>
        <v>7.56956097E9</v>
      </c>
      <c r="N23" s="23"/>
      <c r="O23" s="26" t="n">
        <f>15353708493</f>
        <v>1.5353708493E10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3539</f>
        <v>3539.0</v>
      </c>
      <c r="U23" s="23"/>
      <c r="V23" s="25" t="n">
        <f>4277</f>
        <v>4277.0</v>
      </c>
      <c r="W23" s="23"/>
      <c r="X23" s="26" t="n">
        <f>7816</f>
        <v>7816.0</v>
      </c>
      <c r="Y23" s="24"/>
      <c r="Z23" s="25" t="n">
        <f>635771</f>
        <v>635771.0</v>
      </c>
      <c r="AA23" s="23"/>
      <c r="AB23" s="25" t="n">
        <f>401806</f>
        <v>401806.0</v>
      </c>
      <c r="AC23" s="23"/>
      <c r="AD23" s="26" t="n">
        <f>1037577</f>
        <v>1037577.0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24904</f>
        <v>24904.0</v>
      </c>
      <c r="F24" s="23"/>
      <c r="G24" s="25" t="n">
        <f>23313</f>
        <v>23313.0</v>
      </c>
      <c r="H24" s="23"/>
      <c r="I24" s="26" t="n">
        <f>48217</f>
        <v>48217.0</v>
      </c>
      <c r="J24" s="24"/>
      <c r="K24" s="25" t="n">
        <f>7708532685</f>
        <v>7.708532685E9</v>
      </c>
      <c r="L24" s="23"/>
      <c r="M24" s="25" t="n">
        <f>12101231320</f>
        <v>1.210123132E10</v>
      </c>
      <c r="N24" s="23"/>
      <c r="O24" s="26" t="n">
        <f>19809764005</f>
        <v>1.9809764005E10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4342</f>
        <v>4342.0</v>
      </c>
      <c r="U24" s="23"/>
      <c r="V24" s="25" t="n">
        <f>4534</f>
        <v>4534.0</v>
      </c>
      <c r="W24" s="23"/>
      <c r="X24" s="26" t="n">
        <f>8876</f>
        <v>8876.0</v>
      </c>
      <c r="Y24" s="24"/>
      <c r="Z24" s="25" t="n">
        <f>640022</f>
        <v>640022.0</v>
      </c>
      <c r="AA24" s="23"/>
      <c r="AB24" s="25" t="n">
        <f>403011</f>
        <v>403011.0</v>
      </c>
      <c r="AC24" s="23"/>
      <c r="AD24" s="26" t="n">
        <f>1043033</f>
        <v>1043033.0</v>
      </c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 t="n">
        <f>21167</f>
        <v>21167.0</v>
      </c>
      <c r="F27" s="23"/>
      <c r="G27" s="25" t="n">
        <f>14957</f>
        <v>14957.0</v>
      </c>
      <c r="H27" s="23"/>
      <c r="I27" s="26" t="n">
        <f>36124</f>
        <v>36124.0</v>
      </c>
      <c r="J27" s="24"/>
      <c r="K27" s="25" t="n">
        <f>5287634860</f>
        <v>5.28763486E9</v>
      </c>
      <c r="L27" s="23"/>
      <c r="M27" s="25" t="n">
        <f>3665980300</f>
        <v>3.6659803E9</v>
      </c>
      <c r="N27" s="23"/>
      <c r="O27" s="26" t="n">
        <f>8953615160</f>
        <v>8.95361516E9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 t="s">
        <v>37</v>
      </c>
      <c r="T27" s="25" t="n">
        <f>2608</f>
        <v>2608.0</v>
      </c>
      <c r="U27" s="23"/>
      <c r="V27" s="25" t="n">
        <f>1857</f>
        <v>1857.0</v>
      </c>
      <c r="W27" s="23" t="s">
        <v>37</v>
      </c>
      <c r="X27" s="26" t="n">
        <f>4465</f>
        <v>4465.0</v>
      </c>
      <c r="Y27" s="24"/>
      <c r="Z27" s="25" t="n">
        <f>643582</f>
        <v>643582.0</v>
      </c>
      <c r="AA27" s="23"/>
      <c r="AB27" s="25" t="n">
        <f>406046</f>
        <v>406046.0</v>
      </c>
      <c r="AC27" s="23"/>
      <c r="AD27" s="26" t="n">
        <f>1049628</f>
        <v>1049628.0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27661</f>
        <v>27661.0</v>
      </c>
      <c r="F28" s="23"/>
      <c r="G28" s="25" t="n">
        <f>23811</f>
        <v>23811.0</v>
      </c>
      <c r="H28" s="23"/>
      <c r="I28" s="26" t="n">
        <f>51472</f>
        <v>51472.0</v>
      </c>
      <c r="J28" s="24"/>
      <c r="K28" s="25" t="n">
        <f>5732998840</f>
        <v>5.73299884E9</v>
      </c>
      <c r="L28" s="23"/>
      <c r="M28" s="25" t="n">
        <f>8274897400</f>
        <v>8.2748974E9</v>
      </c>
      <c r="N28" s="23"/>
      <c r="O28" s="26" t="n">
        <f>14007896240</f>
        <v>1.400789624E10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4714</f>
        <v>4714.0</v>
      </c>
      <c r="U28" s="23"/>
      <c r="V28" s="25" t="n">
        <f>5377</f>
        <v>5377.0</v>
      </c>
      <c r="W28" s="23"/>
      <c r="X28" s="26" t="n">
        <f>10091</f>
        <v>10091.0</v>
      </c>
      <c r="Y28" s="24"/>
      <c r="Z28" s="25" t="n">
        <f>646426</f>
        <v>646426.0</v>
      </c>
      <c r="AA28" s="23"/>
      <c r="AB28" s="25" t="n">
        <f>410273</f>
        <v>410273.0</v>
      </c>
      <c r="AC28" s="23"/>
      <c r="AD28" s="26" t="n">
        <f>1056699</f>
        <v>1056699.0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46050</f>
        <v>46050.0</v>
      </c>
      <c r="F29" s="23"/>
      <c r="G29" s="25" t="n">
        <f>41323</f>
        <v>41323.0</v>
      </c>
      <c r="H29" s="23"/>
      <c r="I29" s="26" t="n">
        <f>87373</f>
        <v>87373.0</v>
      </c>
      <c r="J29" s="24"/>
      <c r="K29" s="25" t="n">
        <f>13770776150</f>
        <v>1.377077615E10</v>
      </c>
      <c r="L29" s="23"/>
      <c r="M29" s="25" t="n">
        <f>12331472657</f>
        <v>1.2331472657E10</v>
      </c>
      <c r="N29" s="23"/>
      <c r="O29" s="26" t="n">
        <f>26102248807</f>
        <v>2.6102248807E10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11520</f>
        <v>11520.0</v>
      </c>
      <c r="U29" s="23"/>
      <c r="V29" s="25" t="n">
        <f>7637</f>
        <v>7637.0</v>
      </c>
      <c r="W29" s="23"/>
      <c r="X29" s="26" t="n">
        <f>19157</f>
        <v>19157.0</v>
      </c>
      <c r="Y29" s="24"/>
      <c r="Z29" s="25" t="n">
        <f>652842</f>
        <v>652842.0</v>
      </c>
      <c r="AA29" s="23"/>
      <c r="AB29" s="25" t="n">
        <f>417566</f>
        <v>417566.0</v>
      </c>
      <c r="AC29" s="23"/>
      <c r="AD29" s="26" t="n">
        <f>1070408</f>
        <v>1070408.0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31419</f>
        <v>31419.0</v>
      </c>
      <c r="F30" s="23"/>
      <c r="G30" s="25" t="n">
        <f>28108</f>
        <v>28108.0</v>
      </c>
      <c r="H30" s="23"/>
      <c r="I30" s="26" t="n">
        <f>59527</f>
        <v>59527.0</v>
      </c>
      <c r="J30" s="24"/>
      <c r="K30" s="25" t="n">
        <f>11255182340</f>
        <v>1.125518234E10</v>
      </c>
      <c r="L30" s="23"/>
      <c r="M30" s="25" t="n">
        <f>8156314699</f>
        <v>8.156314699E9</v>
      </c>
      <c r="N30" s="23"/>
      <c r="O30" s="26" t="n">
        <f>19411497039</f>
        <v>1.9411497039E10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5177</f>
        <v>5177.0</v>
      </c>
      <c r="U30" s="23"/>
      <c r="V30" s="25" t="n">
        <f>6096</f>
        <v>6096.0</v>
      </c>
      <c r="W30" s="23"/>
      <c r="X30" s="26" t="n">
        <f>11273</f>
        <v>11273.0</v>
      </c>
      <c r="Y30" s="24"/>
      <c r="Z30" s="25" t="n">
        <f>657327</f>
        <v>657327.0</v>
      </c>
      <c r="AA30" s="23"/>
      <c r="AB30" s="25" t="n">
        <f>419689</f>
        <v>419689.0</v>
      </c>
      <c r="AC30" s="23"/>
      <c r="AD30" s="26" t="n">
        <f>1077016</f>
        <v>1077016.0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27753</f>
        <v>27753.0</v>
      </c>
      <c r="F31" s="23"/>
      <c r="G31" s="25" t="n">
        <f>19091</f>
        <v>19091.0</v>
      </c>
      <c r="H31" s="23"/>
      <c r="I31" s="26" t="n">
        <f>46844</f>
        <v>46844.0</v>
      </c>
      <c r="J31" s="24"/>
      <c r="K31" s="25" t="n">
        <f>5517788990</f>
        <v>5.51778899E9</v>
      </c>
      <c r="L31" s="23"/>
      <c r="M31" s="25" t="n">
        <f>3680360439</f>
        <v>3.680360439E9</v>
      </c>
      <c r="N31" s="23"/>
      <c r="O31" s="26" t="n">
        <f>9198149429</f>
        <v>9.198149429E9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6344</f>
        <v>6344.0</v>
      </c>
      <c r="U31" s="23"/>
      <c r="V31" s="25" t="n">
        <f>5788</f>
        <v>5788.0</v>
      </c>
      <c r="W31" s="23"/>
      <c r="X31" s="26" t="n">
        <f>12132</f>
        <v>12132.0</v>
      </c>
      <c r="Y31" s="24"/>
      <c r="Z31" s="25" t="n">
        <f>658327</f>
        <v>658327.0</v>
      </c>
      <c r="AA31" s="23"/>
      <c r="AB31" s="25" t="n">
        <f>421293</f>
        <v>421293.0</v>
      </c>
      <c r="AC31" s="23"/>
      <c r="AD31" s="26" t="n">
        <f>1079620</f>
        <v>1079620.0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 t="n">
        <f>15416</f>
        <v>15416.0</v>
      </c>
      <c r="F34" s="23"/>
      <c r="G34" s="25" t="n">
        <f>12614</f>
        <v>12614.0</v>
      </c>
      <c r="H34" s="23"/>
      <c r="I34" s="26" t="n">
        <f>28030</f>
        <v>28030.0</v>
      </c>
      <c r="J34" s="24"/>
      <c r="K34" s="25" t="n">
        <f>2905802530</f>
        <v>2.90580253E9</v>
      </c>
      <c r="L34" s="23"/>
      <c r="M34" s="25" t="n">
        <f>2363565920</f>
        <v>2.36356592E9</v>
      </c>
      <c r="N34" s="23"/>
      <c r="O34" s="26" t="n">
        <f>5269368450</f>
        <v>5.26936845E9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2641</f>
        <v>2641.0</v>
      </c>
      <c r="U34" s="23"/>
      <c r="V34" s="25" t="n">
        <f>2260</f>
        <v>2260.0</v>
      </c>
      <c r="W34" s="23"/>
      <c r="X34" s="26" t="n">
        <f>4901</f>
        <v>4901.0</v>
      </c>
      <c r="Y34" s="24"/>
      <c r="Z34" s="25" t="n">
        <f>661091</f>
        <v>661091.0</v>
      </c>
      <c r="AA34" s="23"/>
      <c r="AB34" s="25" t="n">
        <f>422413</f>
        <v>422413.0</v>
      </c>
      <c r="AC34" s="23"/>
      <c r="AD34" s="26" t="n">
        <f>1083504</f>
        <v>1083504.0</v>
      </c>
    </row>
    <row r="35">
      <c r="A35" s="30" t="s">
        <v>55</v>
      </c>
      <c r="B35" s="22" t="s">
        <v>27</v>
      </c>
      <c r="C35" s="22" t="s">
        <v>28</v>
      </c>
      <c r="D35" s="24" t="s">
        <v>37</v>
      </c>
      <c r="E35" s="25" t="n">
        <f>15193</f>
        <v>15193.0</v>
      </c>
      <c r="F35" s="23" t="s">
        <v>37</v>
      </c>
      <c r="G35" s="25" t="n">
        <f>7690</f>
        <v>7690.0</v>
      </c>
      <c r="H35" s="23" t="s">
        <v>37</v>
      </c>
      <c r="I35" s="26" t="n">
        <f>22883</f>
        <v>22883.0</v>
      </c>
      <c r="J35" s="24" t="s">
        <v>37</v>
      </c>
      <c r="K35" s="25" t="n">
        <f>2599067650</f>
        <v>2.59906765E9</v>
      </c>
      <c r="L35" s="23" t="s">
        <v>37</v>
      </c>
      <c r="M35" s="25" t="n">
        <f>1293556393</f>
        <v>1.293556393E9</v>
      </c>
      <c r="N35" s="23" t="s">
        <v>37</v>
      </c>
      <c r="O35" s="26" t="n">
        <f>3892624043</f>
        <v>3.892624043E9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3232</f>
        <v>3232.0</v>
      </c>
      <c r="U35" s="23" t="s">
        <v>37</v>
      </c>
      <c r="V35" s="25" t="n">
        <f>1520</f>
        <v>1520.0</v>
      </c>
      <c r="W35" s="23"/>
      <c r="X35" s="26" t="n">
        <f>4752</f>
        <v>4752.0</v>
      </c>
      <c r="Y35" s="24"/>
      <c r="Z35" s="25" t="n">
        <f>663643</f>
        <v>663643.0</v>
      </c>
      <c r="AA35" s="23"/>
      <c r="AB35" s="25" t="n">
        <f>424026</f>
        <v>424026.0</v>
      </c>
      <c r="AC35" s="23"/>
      <c r="AD35" s="26" t="n">
        <f>1087669</f>
        <v>1087669.0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24192</f>
        <v>24192.0</v>
      </c>
      <c r="F36" s="23"/>
      <c r="G36" s="25" t="n">
        <f>22156</f>
        <v>22156.0</v>
      </c>
      <c r="H36" s="23"/>
      <c r="I36" s="26" t="n">
        <f>46348</f>
        <v>46348.0</v>
      </c>
      <c r="J36" s="24"/>
      <c r="K36" s="25" t="n">
        <f>6370006433</f>
        <v>6.370006433E9</v>
      </c>
      <c r="L36" s="23"/>
      <c r="M36" s="25" t="n">
        <f>6276500360</f>
        <v>6.27650036E9</v>
      </c>
      <c r="N36" s="23"/>
      <c r="O36" s="26" t="n">
        <f>12646506793</f>
        <v>1.2646506793E10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6036</f>
        <v>6036.0</v>
      </c>
      <c r="U36" s="23"/>
      <c r="V36" s="25" t="n">
        <f>4486</f>
        <v>4486.0</v>
      </c>
      <c r="W36" s="23"/>
      <c r="X36" s="26" t="n">
        <f>10522</f>
        <v>10522.0</v>
      </c>
      <c r="Y36" s="24"/>
      <c r="Z36" s="25" t="n">
        <f>669005</f>
        <v>669005.0</v>
      </c>
      <c r="AA36" s="23"/>
      <c r="AB36" s="25" t="n">
        <f>429689</f>
        <v>429689.0</v>
      </c>
      <c r="AC36" s="23"/>
      <c r="AD36" s="26" t="n">
        <f>1098694</f>
        <v>1098694.0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21894</f>
        <v>21894.0</v>
      </c>
      <c r="F37" s="23"/>
      <c r="G37" s="25" t="n">
        <f>22462</f>
        <v>22462.0</v>
      </c>
      <c r="H37" s="23"/>
      <c r="I37" s="26" t="n">
        <f>44356</f>
        <v>44356.0</v>
      </c>
      <c r="J37" s="24"/>
      <c r="K37" s="25" t="n">
        <f>6087734520</f>
        <v>6.08773452E9</v>
      </c>
      <c r="L37" s="23"/>
      <c r="M37" s="25" t="n">
        <f>3319316060</f>
        <v>3.31931606E9</v>
      </c>
      <c r="N37" s="23"/>
      <c r="O37" s="26" t="n">
        <f>9407050580</f>
        <v>9.40705058E9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4160</f>
        <v>4160.0</v>
      </c>
      <c r="U37" s="23"/>
      <c r="V37" s="25" t="n">
        <f>9429</f>
        <v>9429.0</v>
      </c>
      <c r="W37" s="23"/>
      <c r="X37" s="26" t="n">
        <f>13589</f>
        <v>13589.0</v>
      </c>
      <c r="Y37" s="24"/>
      <c r="Z37" s="25" t="n">
        <f>669344</f>
        <v>669344.0</v>
      </c>
      <c r="AA37" s="23"/>
      <c r="AB37" s="25" t="n">
        <f>433788</f>
        <v>433788.0</v>
      </c>
      <c r="AC37" s="23"/>
      <c r="AD37" s="26" t="n">
        <f>1103132</f>
        <v>1103132.0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40318</f>
        <v>40318.0</v>
      </c>
      <c r="F38" s="23"/>
      <c r="G38" s="25" t="n">
        <f>27735</f>
        <v>27735.0</v>
      </c>
      <c r="H38" s="23"/>
      <c r="I38" s="26" t="n">
        <f>68053</f>
        <v>68053.0</v>
      </c>
      <c r="J38" s="24"/>
      <c r="K38" s="25" t="n">
        <f>10523648285</f>
        <v>1.0523648285E10</v>
      </c>
      <c r="L38" s="23"/>
      <c r="M38" s="25" t="n">
        <f>9228052740</f>
        <v>9.22805274E9</v>
      </c>
      <c r="N38" s="23"/>
      <c r="O38" s="26" t="n">
        <f>19751701025</f>
        <v>1.9751701025E10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8961</f>
        <v>8961.0</v>
      </c>
      <c r="U38" s="23"/>
      <c r="V38" s="25" t="n">
        <f>4663</f>
        <v>4663.0</v>
      </c>
      <c r="W38" s="23"/>
      <c r="X38" s="26" t="n">
        <f>13624</f>
        <v>13624.0</v>
      </c>
      <c r="Y38" s="24"/>
      <c r="Z38" s="25" t="n">
        <f>680253</f>
        <v>680253.0</v>
      </c>
      <c r="AA38" s="23"/>
      <c r="AB38" s="25" t="n">
        <f>437148</f>
        <v>437148.0</v>
      </c>
      <c r="AC38" s="23"/>
      <c r="AD38" s="26" t="n">
        <f>1117401</f>
        <v>1117401.0</v>
      </c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 t="s">
        <v>37</v>
      </c>
      <c r="E41" s="25" t="n">
        <f>6242</f>
        <v>6242.0</v>
      </c>
      <c r="F41" s="23" t="s">
        <v>37</v>
      </c>
      <c r="G41" s="25" t="n">
        <f>6900</f>
        <v>6900.0</v>
      </c>
      <c r="H41" s="23" t="s">
        <v>37</v>
      </c>
      <c r="I41" s="26" t="n">
        <f>13142</f>
        <v>13142.0</v>
      </c>
      <c r="J41" s="24"/>
      <c r="K41" s="25" t="n">
        <f>65285600</f>
        <v>6.52856E7</v>
      </c>
      <c r="L41" s="23" t="s">
        <v>37</v>
      </c>
      <c r="M41" s="25" t="n">
        <f>70589080</f>
        <v>7.058908E7</v>
      </c>
      <c r="N41" s="23" t="s">
        <v>37</v>
      </c>
      <c r="O41" s="26" t="n">
        <f>135874680</f>
        <v>1.3587468E8</v>
      </c>
      <c r="P41" s="27" t="n">
        <f>86</f>
        <v>86.0</v>
      </c>
      <c r="Q41" s="28" t="n">
        <f>937</f>
        <v>937.0</v>
      </c>
      <c r="R41" s="29" t="n">
        <f>1023</f>
        <v>1023.0</v>
      </c>
      <c r="S41" s="24" t="s">
        <v>37</v>
      </c>
      <c r="T41" s="25" t="n">
        <f>280</f>
        <v>280.0</v>
      </c>
      <c r="U41" s="23"/>
      <c r="V41" s="25" t="n">
        <f>460</f>
        <v>460.0</v>
      </c>
      <c r="W41" s="23" t="s">
        <v>37</v>
      </c>
      <c r="X41" s="26" t="n">
        <f>740</f>
        <v>740.0</v>
      </c>
      <c r="Y41" s="24" t="s">
        <v>37</v>
      </c>
      <c r="Z41" s="25" t="n">
        <f>12315</f>
        <v>12315.0</v>
      </c>
      <c r="AA41" s="23" t="s">
        <v>37</v>
      </c>
      <c r="AB41" s="25" t="n">
        <f>12160</f>
        <v>12160.0</v>
      </c>
      <c r="AC41" s="23" t="s">
        <v>37</v>
      </c>
      <c r="AD41" s="26" t="n">
        <f>24475</f>
        <v>24475.0</v>
      </c>
    </row>
    <row r="42">
      <c r="A42" s="30" t="s">
        <v>29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 t="n">
        <f>10515</f>
        <v>10515.0</v>
      </c>
      <c r="F44" s="23"/>
      <c r="G44" s="25" t="n">
        <f>9645</f>
        <v>9645.0</v>
      </c>
      <c r="H44" s="23"/>
      <c r="I44" s="26" t="n">
        <f>20160</f>
        <v>20160.0</v>
      </c>
      <c r="J44" s="24"/>
      <c r="K44" s="25" t="n">
        <f>111189980</f>
        <v>1.1118998E8</v>
      </c>
      <c r="L44" s="23"/>
      <c r="M44" s="25" t="n">
        <f>80603820</f>
        <v>8.060382E7</v>
      </c>
      <c r="N44" s="23"/>
      <c r="O44" s="26" t="n">
        <f>191793800</f>
        <v>1.917938E8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420</f>
        <v>420.0</v>
      </c>
      <c r="U44" s="23" t="s">
        <v>37</v>
      </c>
      <c r="V44" s="25" t="n">
        <f>410</f>
        <v>410.0</v>
      </c>
      <c r="W44" s="23"/>
      <c r="X44" s="26" t="n">
        <f>830</f>
        <v>830.0</v>
      </c>
      <c r="Y44" s="24"/>
      <c r="Z44" s="25" t="n">
        <f>14693</f>
        <v>14693.0</v>
      </c>
      <c r="AA44" s="23"/>
      <c r="AB44" s="25" t="n">
        <f>12926</f>
        <v>12926.0</v>
      </c>
      <c r="AC44" s="23"/>
      <c r="AD44" s="26" t="n">
        <f>27619</f>
        <v>27619.0</v>
      </c>
    </row>
    <row r="45">
      <c r="A45" s="30" t="s">
        <v>32</v>
      </c>
      <c r="B45" s="22" t="s">
        <v>61</v>
      </c>
      <c r="C45" s="22" t="s">
        <v>62</v>
      </c>
      <c r="D45" s="24"/>
      <c r="E45" s="25" t="n">
        <f>11124</f>
        <v>11124.0</v>
      </c>
      <c r="F45" s="23"/>
      <c r="G45" s="25" t="n">
        <f>13277</f>
        <v>13277.0</v>
      </c>
      <c r="H45" s="23"/>
      <c r="I45" s="26" t="n">
        <f>24401</f>
        <v>24401.0</v>
      </c>
      <c r="J45" s="24"/>
      <c r="K45" s="25" t="n">
        <f>146434680</f>
        <v>1.4643468E8</v>
      </c>
      <c r="L45" s="23"/>
      <c r="M45" s="25" t="n">
        <f>98023990</f>
        <v>9.802399E7</v>
      </c>
      <c r="N45" s="23"/>
      <c r="O45" s="26" t="n">
        <f>244458670</f>
        <v>2.4445867E8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570</f>
        <v>570.0</v>
      </c>
      <c r="U45" s="23"/>
      <c r="V45" s="25" t="n">
        <f>800</f>
        <v>800.0</v>
      </c>
      <c r="W45" s="23"/>
      <c r="X45" s="26" t="n">
        <f>1370</f>
        <v>1370.0</v>
      </c>
      <c r="Y45" s="24"/>
      <c r="Z45" s="25" t="n">
        <f>16234</f>
        <v>16234.0</v>
      </c>
      <c r="AA45" s="23"/>
      <c r="AB45" s="25" t="n">
        <f>15512</f>
        <v>15512.0</v>
      </c>
      <c r="AC45" s="23"/>
      <c r="AD45" s="26" t="n">
        <f>31746</f>
        <v>31746.0</v>
      </c>
    </row>
    <row r="46">
      <c r="A46" s="30" t="s">
        <v>33</v>
      </c>
      <c r="B46" s="22" t="s">
        <v>61</v>
      </c>
      <c r="C46" s="22" t="s">
        <v>62</v>
      </c>
      <c r="D46" s="24"/>
      <c r="E46" s="25" t="n">
        <f>16620</f>
        <v>16620.0</v>
      </c>
      <c r="F46" s="23"/>
      <c r="G46" s="25" t="n">
        <f>11790</f>
        <v>11790.0</v>
      </c>
      <c r="H46" s="23"/>
      <c r="I46" s="26" t="n">
        <f>28410</f>
        <v>28410.0</v>
      </c>
      <c r="J46" s="24"/>
      <c r="K46" s="25" t="n">
        <f>158414490</f>
        <v>1.5841449E8</v>
      </c>
      <c r="L46" s="23"/>
      <c r="M46" s="25" t="n">
        <f>127156160</f>
        <v>1.2715616E8</v>
      </c>
      <c r="N46" s="23"/>
      <c r="O46" s="26" t="n">
        <f>285570650</f>
        <v>2.8557065E8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900</f>
        <v>900.0</v>
      </c>
      <c r="U46" s="23"/>
      <c r="V46" s="25" t="n">
        <f>740</f>
        <v>740.0</v>
      </c>
      <c r="W46" s="23"/>
      <c r="X46" s="26" t="n">
        <f>1640</f>
        <v>1640.0</v>
      </c>
      <c r="Y46" s="24"/>
      <c r="Z46" s="25" t="n">
        <f>19155</f>
        <v>19155.0</v>
      </c>
      <c r="AA46" s="23"/>
      <c r="AB46" s="25" t="n">
        <f>16846</f>
        <v>16846.0</v>
      </c>
      <c r="AC46" s="23"/>
      <c r="AD46" s="26" t="n">
        <f>36001</f>
        <v>36001.0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21210</f>
        <v>21210.0</v>
      </c>
      <c r="F47" s="23"/>
      <c r="G47" s="25" t="n">
        <f>19699</f>
        <v>19699.0</v>
      </c>
      <c r="H47" s="23"/>
      <c r="I47" s="26" t="n">
        <f>40909</f>
        <v>40909.0</v>
      </c>
      <c r="J47" s="24"/>
      <c r="K47" s="25" t="n">
        <f>192488110</f>
        <v>1.9248811E8</v>
      </c>
      <c r="L47" s="23"/>
      <c r="M47" s="25" t="n">
        <f>154078960</f>
        <v>1.5407896E8</v>
      </c>
      <c r="N47" s="23"/>
      <c r="O47" s="26" t="n">
        <f>346567070</f>
        <v>3.4656707E8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930</f>
        <v>930.0</v>
      </c>
      <c r="U47" s="23"/>
      <c r="V47" s="25" t="n">
        <f>2120</f>
        <v>2120.0</v>
      </c>
      <c r="W47" s="23"/>
      <c r="X47" s="26" t="n">
        <f>3050</f>
        <v>3050.0</v>
      </c>
      <c r="Y47" s="24"/>
      <c r="Z47" s="25" t="n">
        <f>24218</f>
        <v>24218.0</v>
      </c>
      <c r="AA47" s="23"/>
      <c r="AB47" s="25" t="n">
        <f>20626</f>
        <v>20626.0</v>
      </c>
      <c r="AC47" s="23"/>
      <c r="AD47" s="26" t="n">
        <f>44844</f>
        <v>44844.0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23238</f>
        <v>23238.0</v>
      </c>
      <c r="F48" s="23"/>
      <c r="G48" s="25" t="n">
        <f>21760</f>
        <v>21760.0</v>
      </c>
      <c r="H48" s="23"/>
      <c r="I48" s="26" t="n">
        <f>44998</f>
        <v>44998.0</v>
      </c>
      <c r="J48" s="24" t="s">
        <v>34</v>
      </c>
      <c r="K48" s="25" t="n">
        <f>355112420</f>
        <v>3.5511242E8</v>
      </c>
      <c r="L48" s="23"/>
      <c r="M48" s="25" t="n">
        <f>239404730</f>
        <v>2.3940473E8</v>
      </c>
      <c r="N48" s="23"/>
      <c r="O48" s="26" t="n">
        <f>594517150</f>
        <v>5.9451715E8</v>
      </c>
      <c r="P48" s="27" t="n">
        <f>3276</f>
        <v>3276.0</v>
      </c>
      <c r="Q48" s="28" t="n">
        <f>470</f>
        <v>470.0</v>
      </c>
      <c r="R48" s="29" t="n">
        <f>3746</f>
        <v>3746.0</v>
      </c>
      <c r="S48" s="24"/>
      <c r="T48" s="25" t="n">
        <f>2139</f>
        <v>2139.0</v>
      </c>
      <c r="U48" s="23"/>
      <c r="V48" s="25" t="n">
        <f>2260</f>
        <v>2260.0</v>
      </c>
      <c r="W48" s="23"/>
      <c r="X48" s="26" t="n">
        <f>4399</f>
        <v>4399.0</v>
      </c>
      <c r="Y48" s="24"/>
      <c r="Z48" s="25" t="n">
        <f>24424</f>
        <v>24424.0</v>
      </c>
      <c r="AA48" s="23"/>
      <c r="AB48" s="25" t="n">
        <f>16101</f>
        <v>16101.0</v>
      </c>
      <c r="AC48" s="23"/>
      <c r="AD48" s="26" t="n">
        <f>40525</f>
        <v>40525.0</v>
      </c>
    </row>
    <row r="49">
      <c r="A49" s="30" t="s">
        <v>38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39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40</v>
      </c>
      <c r="B51" s="22" t="s">
        <v>61</v>
      </c>
      <c r="C51" s="22" t="s">
        <v>62</v>
      </c>
      <c r="D51" s="24"/>
      <c r="E51" s="25" t="n">
        <f>22718</f>
        <v>22718.0</v>
      </c>
      <c r="F51" s="23"/>
      <c r="G51" s="25" t="n">
        <f>25724</f>
        <v>25724.0</v>
      </c>
      <c r="H51" s="23"/>
      <c r="I51" s="26" t="n">
        <f>48442</f>
        <v>48442.0</v>
      </c>
      <c r="J51" s="24"/>
      <c r="K51" s="25" t="n">
        <f>232402580</f>
        <v>2.3240258E8</v>
      </c>
      <c r="L51" s="23"/>
      <c r="M51" s="25" t="n">
        <f>210527130</f>
        <v>2.1052713E8</v>
      </c>
      <c r="N51" s="23"/>
      <c r="O51" s="26" t="n">
        <f>442929710</f>
        <v>4.4292971E8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2980</f>
        <v>2980.0</v>
      </c>
      <c r="U51" s="23"/>
      <c r="V51" s="25" t="n">
        <f>2030</f>
        <v>2030.0</v>
      </c>
      <c r="W51" s="23"/>
      <c r="X51" s="26" t="n">
        <f>5010</f>
        <v>5010.0</v>
      </c>
      <c r="Y51" s="24"/>
      <c r="Z51" s="25" t="n">
        <f>32552</f>
        <v>32552.0</v>
      </c>
      <c r="AA51" s="23"/>
      <c r="AB51" s="25" t="n">
        <f>24204</f>
        <v>24204.0</v>
      </c>
      <c r="AC51" s="23"/>
      <c r="AD51" s="26" t="n">
        <f>56756</f>
        <v>56756.0</v>
      </c>
    </row>
    <row r="52">
      <c r="A52" s="30" t="s">
        <v>41</v>
      </c>
      <c r="B52" s="22" t="s">
        <v>61</v>
      </c>
      <c r="C52" s="22" t="s">
        <v>62</v>
      </c>
      <c r="D52" s="24"/>
      <c r="E52" s="25" t="n">
        <f>27848</f>
        <v>27848.0</v>
      </c>
      <c r="F52" s="23"/>
      <c r="G52" s="25" t="n">
        <f>21028</f>
        <v>21028.0</v>
      </c>
      <c r="H52" s="23"/>
      <c r="I52" s="26" t="n">
        <f>48876</f>
        <v>48876.0</v>
      </c>
      <c r="J52" s="24"/>
      <c r="K52" s="25" t="n">
        <f>192373440</f>
        <v>1.9237344E8</v>
      </c>
      <c r="L52" s="23"/>
      <c r="M52" s="25" t="n">
        <f>197430480</f>
        <v>1.9743048E8</v>
      </c>
      <c r="N52" s="23"/>
      <c r="O52" s="26" t="n">
        <f>389803920</f>
        <v>3.8980392E8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3510</f>
        <v>3510.0</v>
      </c>
      <c r="U52" s="23"/>
      <c r="V52" s="25" t="n">
        <f>1220</f>
        <v>1220.0</v>
      </c>
      <c r="W52" s="23"/>
      <c r="X52" s="26" t="n">
        <f>4730</f>
        <v>4730.0</v>
      </c>
      <c r="Y52" s="24"/>
      <c r="Z52" s="25" t="n">
        <f>40400</f>
        <v>40400.0</v>
      </c>
      <c r="AA52" s="23"/>
      <c r="AB52" s="25" t="n">
        <f>31060</f>
        <v>31060.0</v>
      </c>
      <c r="AC52" s="23"/>
      <c r="AD52" s="26" t="n">
        <f>71460</f>
        <v>71460.0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20670</f>
        <v>20670.0</v>
      </c>
      <c r="F53" s="23"/>
      <c r="G53" s="25" t="n">
        <f>17623</f>
        <v>17623.0</v>
      </c>
      <c r="H53" s="23"/>
      <c r="I53" s="26" t="n">
        <f>38293</f>
        <v>38293.0</v>
      </c>
      <c r="J53" s="24"/>
      <c r="K53" s="25" t="n">
        <f>112428870</f>
        <v>1.1242887E8</v>
      </c>
      <c r="L53" s="23"/>
      <c r="M53" s="25" t="n">
        <f>139265900</f>
        <v>1.392659E8</v>
      </c>
      <c r="N53" s="23"/>
      <c r="O53" s="26" t="n">
        <f>251694770</f>
        <v>2.5169477E8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1600</f>
        <v>1600.0</v>
      </c>
      <c r="U53" s="23"/>
      <c r="V53" s="25" t="n">
        <f>1090</f>
        <v>1090.0</v>
      </c>
      <c r="W53" s="23"/>
      <c r="X53" s="26" t="n">
        <f>2690</f>
        <v>2690.0</v>
      </c>
      <c r="Y53" s="24"/>
      <c r="Z53" s="25" t="n">
        <f>45517</f>
        <v>45517.0</v>
      </c>
      <c r="AA53" s="23"/>
      <c r="AB53" s="25" t="n">
        <f>36705</f>
        <v>36705.0</v>
      </c>
      <c r="AC53" s="23"/>
      <c r="AD53" s="26" t="n">
        <f>82222</f>
        <v>82222.0</v>
      </c>
    </row>
    <row r="54">
      <c r="A54" s="30" t="s">
        <v>43</v>
      </c>
      <c r="B54" s="22" t="s">
        <v>61</v>
      </c>
      <c r="C54" s="22" t="s">
        <v>62</v>
      </c>
      <c r="D54" s="24"/>
      <c r="E54" s="25" t="n">
        <f>42136</f>
        <v>42136.0</v>
      </c>
      <c r="F54" s="23"/>
      <c r="G54" s="25" t="n">
        <f>36553</f>
        <v>36553.0</v>
      </c>
      <c r="H54" s="23"/>
      <c r="I54" s="26" t="n">
        <f>78689</f>
        <v>78689.0</v>
      </c>
      <c r="J54" s="24"/>
      <c r="K54" s="25" t="n">
        <f>210292860</f>
        <v>2.1029286E8</v>
      </c>
      <c r="L54" s="23"/>
      <c r="M54" s="25" t="n">
        <f>191574110</f>
        <v>1.9157411E8</v>
      </c>
      <c r="N54" s="23"/>
      <c r="O54" s="26" t="n">
        <f>401866970</f>
        <v>4.0186697E8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 t="s">
        <v>34</v>
      </c>
      <c r="T54" s="25" t="n">
        <f>6220</f>
        <v>6220.0</v>
      </c>
      <c r="U54" s="23"/>
      <c r="V54" s="25" t="n">
        <f>3040</f>
        <v>3040.0</v>
      </c>
      <c r="W54" s="23"/>
      <c r="X54" s="26" t="n">
        <f>9260</f>
        <v>9260.0</v>
      </c>
      <c r="Y54" s="24" t="s">
        <v>34</v>
      </c>
      <c r="Z54" s="25" t="n">
        <f>56462</f>
        <v>56462.0</v>
      </c>
      <c r="AA54" s="23" t="s">
        <v>34</v>
      </c>
      <c r="AB54" s="25" t="n">
        <f>39644</f>
        <v>39644.0</v>
      </c>
      <c r="AC54" s="23" t="s">
        <v>34</v>
      </c>
      <c r="AD54" s="26" t="n">
        <f>96106</f>
        <v>96106.0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17426</f>
        <v>17426.0</v>
      </c>
      <c r="F55" s="23"/>
      <c r="G55" s="25" t="n">
        <f>17120</f>
        <v>17120.0</v>
      </c>
      <c r="H55" s="23"/>
      <c r="I55" s="26" t="n">
        <f>34546</f>
        <v>34546.0</v>
      </c>
      <c r="J55" s="24"/>
      <c r="K55" s="25" t="n">
        <f>163226210</f>
        <v>1.6322621E8</v>
      </c>
      <c r="L55" s="23"/>
      <c r="M55" s="25" t="n">
        <f>158400250</f>
        <v>1.5840025E8</v>
      </c>
      <c r="N55" s="23"/>
      <c r="O55" s="26" t="n">
        <f>321626460</f>
        <v>3.2162646E8</v>
      </c>
      <c r="P55" s="27" t="n">
        <f>540</f>
        <v>540.0</v>
      </c>
      <c r="Q55" s="28" t="n">
        <f>1452</f>
        <v>1452.0</v>
      </c>
      <c r="R55" s="29" t="n">
        <f>1992</f>
        <v>1992.0</v>
      </c>
      <c r="S55" s="24"/>
      <c r="T55" s="25" t="n">
        <f>1500</f>
        <v>1500.0</v>
      </c>
      <c r="U55" s="23"/>
      <c r="V55" s="25" t="n">
        <f>2140</f>
        <v>2140.0</v>
      </c>
      <c r="W55" s="23"/>
      <c r="X55" s="26" t="n">
        <f>3640</f>
        <v>3640.0</v>
      </c>
      <c r="Y55" s="24"/>
      <c r="Z55" s="25" t="n">
        <f>25091</f>
        <v>25091.0</v>
      </c>
      <c r="AA55" s="23"/>
      <c r="AB55" s="25" t="n">
        <f>21722</f>
        <v>21722.0</v>
      </c>
      <c r="AC55" s="23"/>
      <c r="AD55" s="26" t="n">
        <f>46813</f>
        <v>46813.0</v>
      </c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 t="n">
        <f>20126</f>
        <v>20126.0</v>
      </c>
      <c r="F58" s="23"/>
      <c r="G58" s="25" t="n">
        <f>21878</f>
        <v>21878.0</v>
      </c>
      <c r="H58" s="23"/>
      <c r="I58" s="26" t="n">
        <f>42004</f>
        <v>42004.0</v>
      </c>
      <c r="J58" s="24"/>
      <c r="K58" s="25" t="n">
        <f>157455640</f>
        <v>1.5745564E8</v>
      </c>
      <c r="L58" s="23"/>
      <c r="M58" s="25" t="n">
        <f>176681760</f>
        <v>1.7668176E8</v>
      </c>
      <c r="N58" s="23"/>
      <c r="O58" s="26" t="n">
        <f>334137400</f>
        <v>3.341374E8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4100</f>
        <v>4100.0</v>
      </c>
      <c r="U58" s="23"/>
      <c r="V58" s="25" t="n">
        <f>6200</f>
        <v>6200.0</v>
      </c>
      <c r="W58" s="23"/>
      <c r="X58" s="26" t="n">
        <f>10300</f>
        <v>10300.0</v>
      </c>
      <c r="Y58" s="24"/>
      <c r="Z58" s="25" t="n">
        <f>30842</f>
        <v>30842.0</v>
      </c>
      <c r="AA58" s="23"/>
      <c r="AB58" s="25" t="n">
        <f>28248</f>
        <v>28248.0</v>
      </c>
      <c r="AC58" s="23"/>
      <c r="AD58" s="26" t="n">
        <f>59090</f>
        <v>59090.0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22429</f>
        <v>22429.0</v>
      </c>
      <c r="F59" s="23"/>
      <c r="G59" s="25" t="n">
        <f>26006</f>
        <v>26006.0</v>
      </c>
      <c r="H59" s="23"/>
      <c r="I59" s="26" t="n">
        <f>48435</f>
        <v>48435.0</v>
      </c>
      <c r="J59" s="24"/>
      <c r="K59" s="25" t="n">
        <f>127103680</f>
        <v>1.2710368E8</v>
      </c>
      <c r="L59" s="23"/>
      <c r="M59" s="25" t="n">
        <f>240247000</f>
        <v>2.40247E8</v>
      </c>
      <c r="N59" s="23"/>
      <c r="O59" s="26" t="n">
        <f>367350680</f>
        <v>3.6735068E8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1791</f>
        <v>1791.0</v>
      </c>
      <c r="U59" s="23"/>
      <c r="V59" s="25" t="n">
        <f>7950</f>
        <v>7950.0</v>
      </c>
      <c r="W59" s="23"/>
      <c r="X59" s="26" t="n">
        <f>9741</f>
        <v>9741.0</v>
      </c>
      <c r="Y59" s="24"/>
      <c r="Z59" s="25" t="n">
        <f>32665</f>
        <v>32665.0</v>
      </c>
      <c r="AA59" s="23"/>
      <c r="AB59" s="25" t="n">
        <f>28682</f>
        <v>28682.0</v>
      </c>
      <c r="AC59" s="23"/>
      <c r="AD59" s="26" t="n">
        <f>61347</f>
        <v>61347.0</v>
      </c>
    </row>
    <row r="60">
      <c r="A60" s="30" t="s">
        <v>49</v>
      </c>
      <c r="B60" s="22" t="s">
        <v>61</v>
      </c>
      <c r="C60" s="22" t="s">
        <v>62</v>
      </c>
      <c r="D60" s="24" t="s">
        <v>34</v>
      </c>
      <c r="E60" s="25" t="n">
        <f>45204</f>
        <v>45204.0</v>
      </c>
      <c r="F60" s="23"/>
      <c r="G60" s="25" t="n">
        <f>37831</f>
        <v>37831.0</v>
      </c>
      <c r="H60" s="23" t="s">
        <v>34</v>
      </c>
      <c r="I60" s="26" t="n">
        <f>83035</f>
        <v>83035.0</v>
      </c>
      <c r="J60" s="24"/>
      <c r="K60" s="25" t="n">
        <f>227425600</f>
        <v>2.274256E8</v>
      </c>
      <c r="L60" s="23" t="s">
        <v>34</v>
      </c>
      <c r="M60" s="25" t="n">
        <f>427513970</f>
        <v>4.2751397E8</v>
      </c>
      <c r="N60" s="23" t="s">
        <v>34</v>
      </c>
      <c r="O60" s="26" t="n">
        <f>654939570</f>
        <v>6.5493957E8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5420</f>
        <v>5420.0</v>
      </c>
      <c r="U60" s="23"/>
      <c r="V60" s="25" t="n">
        <f>5370</f>
        <v>5370.0</v>
      </c>
      <c r="W60" s="23"/>
      <c r="X60" s="26" t="n">
        <f>10790</f>
        <v>10790.0</v>
      </c>
      <c r="Y60" s="24"/>
      <c r="Z60" s="25" t="n">
        <f>41818</f>
        <v>41818.0</v>
      </c>
      <c r="AA60" s="23"/>
      <c r="AB60" s="25" t="n">
        <f>33086</f>
        <v>33086.0</v>
      </c>
      <c r="AC60" s="23"/>
      <c r="AD60" s="26" t="n">
        <f>74904</f>
        <v>74904.0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33349</f>
        <v>33349.0</v>
      </c>
      <c r="F61" s="23" t="s">
        <v>34</v>
      </c>
      <c r="G61" s="25" t="n">
        <f>42204</f>
        <v>42204.0</v>
      </c>
      <c r="H61" s="23"/>
      <c r="I61" s="26" t="n">
        <f>75553</f>
        <v>75553.0</v>
      </c>
      <c r="J61" s="24"/>
      <c r="K61" s="25" t="n">
        <f>252452710</f>
        <v>2.5245271E8</v>
      </c>
      <c r="L61" s="23"/>
      <c r="M61" s="25" t="n">
        <f>252236640</f>
        <v>2.5223664E8</v>
      </c>
      <c r="N61" s="23"/>
      <c r="O61" s="26" t="n">
        <f>504689350</f>
        <v>5.0468935E8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3800</f>
        <v>3800.0</v>
      </c>
      <c r="U61" s="23" t="s">
        <v>34</v>
      </c>
      <c r="V61" s="25" t="n">
        <f>9900</f>
        <v>9900.0</v>
      </c>
      <c r="W61" s="23" t="s">
        <v>34</v>
      </c>
      <c r="X61" s="26" t="n">
        <f>13700</f>
        <v>13700.0</v>
      </c>
      <c r="Y61" s="24"/>
      <c r="Z61" s="25" t="n">
        <f>46553</f>
        <v>46553.0</v>
      </c>
      <c r="AA61" s="23"/>
      <c r="AB61" s="25" t="n">
        <f>34420</f>
        <v>34420.0</v>
      </c>
      <c r="AC61" s="23"/>
      <c r="AD61" s="26" t="n">
        <f>80973</f>
        <v>80973.0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13924</f>
        <v>13924.0</v>
      </c>
      <c r="F62" s="23"/>
      <c r="G62" s="25" t="n">
        <f>13882</f>
        <v>13882.0</v>
      </c>
      <c r="H62" s="23"/>
      <c r="I62" s="26" t="n">
        <f>27806</f>
        <v>27806.0</v>
      </c>
      <c r="J62" s="24"/>
      <c r="K62" s="25" t="n">
        <f>110532900</f>
        <v>1.105329E8</v>
      </c>
      <c r="L62" s="23"/>
      <c r="M62" s="25" t="n">
        <f>110140940</f>
        <v>1.1014094E8</v>
      </c>
      <c r="N62" s="23"/>
      <c r="O62" s="26" t="n">
        <f>220673840</f>
        <v>2.2067384E8</v>
      </c>
      <c r="P62" s="27" t="n">
        <f>599</f>
        <v>599.0</v>
      </c>
      <c r="Q62" s="28" t="n">
        <f>4575</f>
        <v>4575.0</v>
      </c>
      <c r="R62" s="29" t="n">
        <f>5174</f>
        <v>5174.0</v>
      </c>
      <c r="S62" s="24"/>
      <c r="T62" s="25" t="n">
        <f>1220</f>
        <v>1220.0</v>
      </c>
      <c r="U62" s="23"/>
      <c r="V62" s="25" t="n">
        <f>1280</f>
        <v>1280.0</v>
      </c>
      <c r="W62" s="23"/>
      <c r="X62" s="26" t="n">
        <f>2500</f>
        <v>2500.0</v>
      </c>
      <c r="Y62" s="24"/>
      <c r="Z62" s="25" t="n">
        <f>24153</f>
        <v>24153.0</v>
      </c>
      <c r="AA62" s="23"/>
      <c r="AB62" s="25" t="n">
        <f>19503</f>
        <v>19503.0</v>
      </c>
      <c r="AC62" s="23"/>
      <c r="AD62" s="26" t="n">
        <f>43656</f>
        <v>43656.0</v>
      </c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 t="n">
        <f>14753</f>
        <v>14753.0</v>
      </c>
      <c r="F65" s="23"/>
      <c r="G65" s="25" t="n">
        <f>13303</f>
        <v>13303.0</v>
      </c>
      <c r="H65" s="23"/>
      <c r="I65" s="26" t="n">
        <f>28056</f>
        <v>28056.0</v>
      </c>
      <c r="J65" s="24"/>
      <c r="K65" s="25" t="n">
        <f>91545580</f>
        <v>9.154558E7</v>
      </c>
      <c r="L65" s="23"/>
      <c r="M65" s="25" t="n">
        <f>104643020</f>
        <v>1.0464302E8</v>
      </c>
      <c r="N65" s="23"/>
      <c r="O65" s="26" t="n">
        <f>196188600</f>
        <v>1.961886E8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1640</f>
        <v>1640.0</v>
      </c>
      <c r="U65" s="23"/>
      <c r="V65" s="25" t="n">
        <f>1180</f>
        <v>1180.0</v>
      </c>
      <c r="W65" s="23"/>
      <c r="X65" s="26" t="n">
        <f>2820</f>
        <v>2820.0</v>
      </c>
      <c r="Y65" s="24"/>
      <c r="Z65" s="25" t="n">
        <f>28247</f>
        <v>28247.0</v>
      </c>
      <c r="AA65" s="23"/>
      <c r="AB65" s="25" t="n">
        <f>22738</f>
        <v>22738.0</v>
      </c>
      <c r="AC65" s="23"/>
      <c r="AD65" s="26" t="n">
        <f>50985</f>
        <v>50985.0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8923</f>
        <v>8923.0</v>
      </c>
      <c r="F66" s="23"/>
      <c r="G66" s="25" t="n">
        <f>11083</f>
        <v>11083.0</v>
      </c>
      <c r="H66" s="23"/>
      <c r="I66" s="26" t="n">
        <f>20006</f>
        <v>20006.0</v>
      </c>
      <c r="J66" s="24" t="s">
        <v>37</v>
      </c>
      <c r="K66" s="25" t="n">
        <f>56933510</f>
        <v>5.693351E7</v>
      </c>
      <c r="L66" s="23"/>
      <c r="M66" s="25" t="n">
        <f>81339850</f>
        <v>8.133985E7</v>
      </c>
      <c r="N66" s="23"/>
      <c r="O66" s="26" t="n">
        <f>138273360</f>
        <v>1.3827336E8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1480</f>
        <v>1480.0</v>
      </c>
      <c r="U66" s="23"/>
      <c r="V66" s="25" t="n">
        <f>1490</f>
        <v>1490.0</v>
      </c>
      <c r="W66" s="23"/>
      <c r="X66" s="26" t="n">
        <f>2970</f>
        <v>2970.0</v>
      </c>
      <c r="Y66" s="24"/>
      <c r="Z66" s="25" t="n">
        <f>30339</f>
        <v>30339.0</v>
      </c>
      <c r="AA66" s="23"/>
      <c r="AB66" s="25" t="n">
        <f>25215</f>
        <v>25215.0</v>
      </c>
      <c r="AC66" s="23"/>
      <c r="AD66" s="26" t="n">
        <f>55554</f>
        <v>55554.0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24339</f>
        <v>24339.0</v>
      </c>
      <c r="F67" s="23"/>
      <c r="G67" s="25" t="n">
        <f>18369</f>
        <v>18369.0</v>
      </c>
      <c r="H67" s="23"/>
      <c r="I67" s="26" t="n">
        <f>42708</f>
        <v>42708.0</v>
      </c>
      <c r="J67" s="24"/>
      <c r="K67" s="25" t="n">
        <f>104350250</f>
        <v>1.0435025E8</v>
      </c>
      <c r="L67" s="23"/>
      <c r="M67" s="25" t="n">
        <f>153812300</f>
        <v>1.538123E8</v>
      </c>
      <c r="N67" s="23"/>
      <c r="O67" s="26" t="n">
        <f>258162550</f>
        <v>2.5816255E8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3180</f>
        <v>3180.0</v>
      </c>
      <c r="U67" s="23"/>
      <c r="V67" s="25" t="n">
        <f>1820</f>
        <v>1820.0</v>
      </c>
      <c r="W67" s="23"/>
      <c r="X67" s="26" t="n">
        <f>5000</f>
        <v>5000.0</v>
      </c>
      <c r="Y67" s="24"/>
      <c r="Z67" s="25" t="n">
        <f>34717</f>
        <v>34717.0</v>
      </c>
      <c r="AA67" s="23"/>
      <c r="AB67" s="25" t="n">
        <f>26365</f>
        <v>26365.0</v>
      </c>
      <c r="AC67" s="23"/>
      <c r="AD67" s="26" t="n">
        <f>61082</f>
        <v>61082.0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23803</f>
        <v>23803.0</v>
      </c>
      <c r="F68" s="23"/>
      <c r="G68" s="25" t="n">
        <f>26880</f>
        <v>26880.0</v>
      </c>
      <c r="H68" s="23"/>
      <c r="I68" s="26" t="n">
        <f>50683</f>
        <v>50683.0</v>
      </c>
      <c r="J68" s="24"/>
      <c r="K68" s="25" t="n">
        <f>99672330</f>
        <v>9.967233E7</v>
      </c>
      <c r="L68" s="23"/>
      <c r="M68" s="25" t="n">
        <f>144602220</f>
        <v>1.4460222E8</v>
      </c>
      <c r="N68" s="23"/>
      <c r="O68" s="26" t="n">
        <f>244274550</f>
        <v>2.4427455E8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2110</f>
        <v>2110.0</v>
      </c>
      <c r="U68" s="23"/>
      <c r="V68" s="25" t="n">
        <f>2840</f>
        <v>2840.0</v>
      </c>
      <c r="W68" s="23"/>
      <c r="X68" s="26" t="n">
        <f>4950</f>
        <v>4950.0</v>
      </c>
      <c r="Y68" s="24"/>
      <c r="Z68" s="25" t="n">
        <f>37298</f>
        <v>37298.0</v>
      </c>
      <c r="AA68" s="23"/>
      <c r="AB68" s="25" t="n">
        <f>30260</f>
        <v>30260.0</v>
      </c>
      <c r="AC68" s="23"/>
      <c r="AD68" s="26" t="n">
        <f>67558</f>
        <v>67558.0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12170</f>
        <v>12170.0</v>
      </c>
      <c r="F69" s="23"/>
      <c r="G69" s="25" t="n">
        <f>11669</f>
        <v>11669.0</v>
      </c>
      <c r="H69" s="23"/>
      <c r="I69" s="26" t="n">
        <f>23839</f>
        <v>23839.0</v>
      </c>
      <c r="J69" s="24"/>
      <c r="K69" s="25" t="n">
        <f>82656870</f>
        <v>8.265687E7</v>
      </c>
      <c r="L69" s="23"/>
      <c r="M69" s="25" t="n">
        <f>92043930</f>
        <v>9.204393E7</v>
      </c>
      <c r="N69" s="23"/>
      <c r="O69" s="26" t="n">
        <f>174700800</f>
        <v>1.747008E8</v>
      </c>
      <c r="P69" s="27" t="n">
        <f>441</f>
        <v>441.0</v>
      </c>
      <c r="Q69" s="28" t="n">
        <f>407</f>
        <v>407.0</v>
      </c>
      <c r="R69" s="29" t="n">
        <f>848</f>
        <v>848.0</v>
      </c>
      <c r="S69" s="24"/>
      <c r="T69" s="25" t="n">
        <f>1250</f>
        <v>1250.0</v>
      </c>
      <c r="U69" s="23"/>
      <c r="V69" s="25" t="n">
        <f>1320</f>
        <v>1320.0</v>
      </c>
      <c r="W69" s="23"/>
      <c r="X69" s="26" t="n">
        <f>2570</f>
        <v>2570.0</v>
      </c>
      <c r="Y69" s="24"/>
      <c r="Z69" s="25" t="n">
        <f>20113</f>
        <v>20113.0</v>
      </c>
      <c r="AA69" s="23"/>
      <c r="AB69" s="25" t="n">
        <f>17776</f>
        <v>17776.0</v>
      </c>
      <c r="AC69" s="23"/>
      <c r="AD69" s="26" t="n">
        <f>37889</f>
        <v>37889.0</v>
      </c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/>
      <c r="E72" s="25" t="n">
        <f>960</f>
        <v>960.0</v>
      </c>
      <c r="F72" s="23"/>
      <c r="G72" s="25" t="n">
        <f>1600</f>
        <v>1600.0</v>
      </c>
      <c r="H72" s="23"/>
      <c r="I72" s="26" t="n">
        <f>2560</f>
        <v>2560.0</v>
      </c>
      <c r="J72" s="24"/>
      <c r="K72" s="25" t="n">
        <f>1437990000</f>
        <v>1.43799E9</v>
      </c>
      <c r="L72" s="23"/>
      <c r="M72" s="25" t="n">
        <f>1043800000</f>
        <v>1.0438E9</v>
      </c>
      <c r="N72" s="23"/>
      <c r="O72" s="26" t="n">
        <f>2481790000</f>
        <v>2.48179E9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600</f>
        <v>600.0</v>
      </c>
      <c r="U72" s="23"/>
      <c r="V72" s="25" t="n">
        <f>1100</f>
        <v>1100.0</v>
      </c>
      <c r="W72" s="23"/>
      <c r="X72" s="26" t="n">
        <f>1700</f>
        <v>1700.0</v>
      </c>
      <c r="Y72" s="24"/>
      <c r="Z72" s="25" t="n">
        <f>101742</f>
        <v>101742.0</v>
      </c>
      <c r="AA72" s="23"/>
      <c r="AB72" s="25" t="n">
        <f>54834</f>
        <v>54834.0</v>
      </c>
      <c r="AC72" s="23"/>
      <c r="AD72" s="26" t="n">
        <f>156576</f>
        <v>156576.0</v>
      </c>
    </row>
    <row r="73">
      <c r="A73" s="30" t="s">
        <v>29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 t="n">
        <f>1250</f>
        <v>1250.0</v>
      </c>
      <c r="F75" s="23"/>
      <c r="G75" s="25" t="n">
        <f>1502</f>
        <v>1502.0</v>
      </c>
      <c r="H75" s="23"/>
      <c r="I75" s="26" t="n">
        <f>2752</f>
        <v>2752.0</v>
      </c>
      <c r="J75" s="24"/>
      <c r="K75" s="25" t="n">
        <f>183500000</f>
        <v>1.835E8</v>
      </c>
      <c r="L75" s="23"/>
      <c r="M75" s="25" t="n">
        <f>406536000</f>
        <v>4.06536E8</v>
      </c>
      <c r="N75" s="23"/>
      <c r="O75" s="26" t="n">
        <f>590036000</f>
        <v>5.90036E8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n">
        <f>400</f>
        <v>400.0</v>
      </c>
      <c r="U75" s="23"/>
      <c r="V75" s="25" t="n">
        <f>400</f>
        <v>400.0</v>
      </c>
      <c r="W75" s="23"/>
      <c r="X75" s="26" t="n">
        <f>800</f>
        <v>800.0</v>
      </c>
      <c r="Y75" s="24"/>
      <c r="Z75" s="25" t="n">
        <f>102792</f>
        <v>102792.0</v>
      </c>
      <c r="AA75" s="23"/>
      <c r="AB75" s="25" t="n">
        <f>55083</f>
        <v>55083.0</v>
      </c>
      <c r="AC75" s="23"/>
      <c r="AD75" s="26" t="n">
        <f>157875</f>
        <v>157875.0</v>
      </c>
    </row>
    <row r="76">
      <c r="A76" s="30" t="s">
        <v>32</v>
      </c>
      <c r="B76" s="22" t="s">
        <v>63</v>
      </c>
      <c r="C76" s="22" t="s">
        <v>64</v>
      </c>
      <c r="D76" s="24" t="s">
        <v>34</v>
      </c>
      <c r="E76" s="25" t="n">
        <f>6868</f>
        <v>6868.0</v>
      </c>
      <c r="F76" s="23"/>
      <c r="G76" s="25" t="n">
        <f>2228</f>
        <v>2228.0</v>
      </c>
      <c r="H76" s="23" t="s">
        <v>34</v>
      </c>
      <c r="I76" s="26" t="n">
        <f>9096</f>
        <v>9096.0</v>
      </c>
      <c r="J76" s="24"/>
      <c r="K76" s="25" t="n">
        <f>1074173300</f>
        <v>1.0741733E9</v>
      </c>
      <c r="L76" s="23" t="s">
        <v>34</v>
      </c>
      <c r="M76" s="25" t="n">
        <f>5084801000</f>
        <v>5.084801E9</v>
      </c>
      <c r="N76" s="23" t="s">
        <v>34</v>
      </c>
      <c r="O76" s="26" t="n">
        <f>6158974300</f>
        <v>6.1589743E9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4060</f>
        <v>4060.0</v>
      </c>
      <c r="U76" s="23"/>
      <c r="V76" s="25" t="n">
        <f>1320</f>
        <v>1320.0</v>
      </c>
      <c r="W76" s="23" t="s">
        <v>34</v>
      </c>
      <c r="X76" s="26" t="n">
        <f>5380</f>
        <v>5380.0</v>
      </c>
      <c r="Y76" s="24"/>
      <c r="Z76" s="25" t="n">
        <f>107477</f>
        <v>107477.0</v>
      </c>
      <c r="AA76" s="23"/>
      <c r="AB76" s="25" t="n">
        <f>56457</f>
        <v>56457.0</v>
      </c>
      <c r="AC76" s="23"/>
      <c r="AD76" s="26" t="n">
        <f>163934</f>
        <v>163934.0</v>
      </c>
    </row>
    <row r="77">
      <c r="A77" s="30" t="s">
        <v>33</v>
      </c>
      <c r="B77" s="22" t="s">
        <v>63</v>
      </c>
      <c r="C77" s="22" t="s">
        <v>64</v>
      </c>
      <c r="D77" s="24"/>
      <c r="E77" s="25" t="n">
        <f>4784</f>
        <v>4784.0</v>
      </c>
      <c r="F77" s="23"/>
      <c r="G77" s="25" t="n">
        <f>2371</f>
        <v>2371.0</v>
      </c>
      <c r="H77" s="23"/>
      <c r="I77" s="26" t="n">
        <f>7155</f>
        <v>7155.0</v>
      </c>
      <c r="J77" s="24" t="s">
        <v>34</v>
      </c>
      <c r="K77" s="25" t="n">
        <f>2460184111</f>
        <v>2.460184111E9</v>
      </c>
      <c r="L77" s="23"/>
      <c r="M77" s="25" t="n">
        <f>1238615392</f>
        <v>1.238615392E9</v>
      </c>
      <c r="N77" s="23"/>
      <c r="O77" s="26" t="n">
        <f>3698799503</f>
        <v>3.698799503E9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 t="s">
        <v>34</v>
      </c>
      <c r="T77" s="25" t="n">
        <f>4134</f>
        <v>4134.0</v>
      </c>
      <c r="U77" s="23"/>
      <c r="V77" s="25" t="n">
        <f>356</f>
        <v>356.0</v>
      </c>
      <c r="W77" s="23"/>
      <c r="X77" s="26" t="n">
        <f>4490</f>
        <v>4490.0</v>
      </c>
      <c r="Y77" s="24"/>
      <c r="Z77" s="25" t="n">
        <f>108934</f>
        <v>108934.0</v>
      </c>
      <c r="AA77" s="23"/>
      <c r="AB77" s="25" t="n">
        <f>57707</f>
        <v>57707.0</v>
      </c>
      <c r="AC77" s="23"/>
      <c r="AD77" s="26" t="n">
        <f>166641</f>
        <v>166641.0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2625</f>
        <v>2625.0</v>
      </c>
      <c r="F78" s="23"/>
      <c r="G78" s="25" t="n">
        <f>2245</f>
        <v>2245.0</v>
      </c>
      <c r="H78" s="23"/>
      <c r="I78" s="26" t="n">
        <f>4870</f>
        <v>4870.0</v>
      </c>
      <c r="J78" s="24"/>
      <c r="K78" s="25" t="n">
        <f>452565662</f>
        <v>4.52565662E8</v>
      </c>
      <c r="L78" s="23"/>
      <c r="M78" s="25" t="n">
        <f>463656880</f>
        <v>4.6365688E8</v>
      </c>
      <c r="N78" s="23"/>
      <c r="O78" s="26" t="n">
        <f>916222542</f>
        <v>9.16222542E8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2555</f>
        <v>2555.0</v>
      </c>
      <c r="U78" s="23" t="s">
        <v>34</v>
      </c>
      <c r="V78" s="25" t="n">
        <f>1345</f>
        <v>1345.0</v>
      </c>
      <c r="W78" s="23"/>
      <c r="X78" s="26" t="n">
        <f>3900</f>
        <v>3900.0</v>
      </c>
      <c r="Y78" s="24" t="s">
        <v>34</v>
      </c>
      <c r="Z78" s="25" t="n">
        <f>111349</f>
        <v>111349.0</v>
      </c>
      <c r="AA78" s="23" t="s">
        <v>34</v>
      </c>
      <c r="AB78" s="25" t="n">
        <f>59077</f>
        <v>59077.0</v>
      </c>
      <c r="AC78" s="23" t="s">
        <v>34</v>
      </c>
      <c r="AD78" s="26" t="n">
        <f>170426</f>
        <v>170426.0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2230</f>
        <v>2230.0</v>
      </c>
      <c r="F79" s="23"/>
      <c r="G79" s="25" t="n">
        <f>1675</f>
        <v>1675.0</v>
      </c>
      <c r="H79" s="23"/>
      <c r="I79" s="26" t="n">
        <f>3905</f>
        <v>3905.0</v>
      </c>
      <c r="J79" s="24"/>
      <c r="K79" s="25" t="n">
        <f>811230000</f>
        <v>8.1123E8</v>
      </c>
      <c r="L79" s="23"/>
      <c r="M79" s="25" t="n">
        <f>820729000</f>
        <v>8.20729E8</v>
      </c>
      <c r="N79" s="23"/>
      <c r="O79" s="26" t="n">
        <f>1631959000</f>
        <v>1.631959E9</v>
      </c>
      <c r="P79" s="27" t="n">
        <f>2280</f>
        <v>2280.0</v>
      </c>
      <c r="Q79" s="28" t="n">
        <f>5136</f>
        <v>5136.0</v>
      </c>
      <c r="R79" s="29" t="n">
        <f>7416</f>
        <v>7416.0</v>
      </c>
      <c r="S79" s="24"/>
      <c r="T79" s="25" t="n">
        <f>1760</f>
        <v>1760.0</v>
      </c>
      <c r="U79" s="23"/>
      <c r="V79" s="25" t="n">
        <f>200</f>
        <v>200.0</v>
      </c>
      <c r="W79" s="23"/>
      <c r="X79" s="26" t="n">
        <f>1960</f>
        <v>1960.0</v>
      </c>
      <c r="Y79" s="24" t="s">
        <v>37</v>
      </c>
      <c r="Z79" s="25" t="n">
        <f>72904</f>
        <v>72904.0</v>
      </c>
      <c r="AA79" s="23" t="s">
        <v>37</v>
      </c>
      <c r="AB79" s="25" t="n">
        <f>44747</f>
        <v>44747.0</v>
      </c>
      <c r="AC79" s="23" t="s">
        <v>37</v>
      </c>
      <c r="AD79" s="26" t="n">
        <f>117651</f>
        <v>117651.0</v>
      </c>
    </row>
    <row r="80">
      <c r="A80" s="30" t="s">
        <v>38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39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40</v>
      </c>
      <c r="B82" s="22" t="s">
        <v>63</v>
      </c>
      <c r="C82" s="22" t="s">
        <v>64</v>
      </c>
      <c r="D82" s="24"/>
      <c r="E82" s="25" t="n">
        <f>300</f>
        <v>300.0</v>
      </c>
      <c r="F82" s="23" t="s">
        <v>34</v>
      </c>
      <c r="G82" s="25" t="n">
        <f>6162</f>
        <v>6162.0</v>
      </c>
      <c r="H82" s="23"/>
      <c r="I82" s="26" t="n">
        <f>6462</f>
        <v>6462.0</v>
      </c>
      <c r="J82" s="24"/>
      <c r="K82" s="25" t="n">
        <f>3000000</f>
        <v>3000000.0</v>
      </c>
      <c r="L82" s="23"/>
      <c r="M82" s="25" t="n">
        <f>1342913770</f>
        <v>1.34291377E9</v>
      </c>
      <c r="N82" s="23"/>
      <c r="O82" s="26" t="n">
        <f>1345913770</f>
        <v>1.34591377E9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 t="s">
        <v>37</v>
      </c>
      <c r="T82" s="25" t="str">
        <f>"－"</f>
        <v>－</v>
      </c>
      <c r="U82" s="23" t="s">
        <v>37</v>
      </c>
      <c r="V82" s="25" t="str">
        <f>"－"</f>
        <v>－</v>
      </c>
      <c r="W82" s="23" t="s">
        <v>37</v>
      </c>
      <c r="X82" s="26" t="str">
        <f>"－"</f>
        <v>－</v>
      </c>
      <c r="Y82" s="24"/>
      <c r="Z82" s="25" t="n">
        <f>73204</f>
        <v>73204.0</v>
      </c>
      <c r="AA82" s="23"/>
      <c r="AB82" s="25" t="n">
        <f>50909</f>
        <v>50909.0</v>
      </c>
      <c r="AC82" s="23"/>
      <c r="AD82" s="26" t="n">
        <f>124113</f>
        <v>124113.0</v>
      </c>
    </row>
    <row r="83">
      <c r="A83" s="30" t="s">
        <v>41</v>
      </c>
      <c r="B83" s="22" t="s">
        <v>63</v>
      </c>
      <c r="C83" s="22" t="s">
        <v>64</v>
      </c>
      <c r="D83" s="24"/>
      <c r="E83" s="25" t="n">
        <f>600</f>
        <v>600.0</v>
      </c>
      <c r="F83" s="23"/>
      <c r="G83" s="25" t="n">
        <f>1337</f>
        <v>1337.0</v>
      </c>
      <c r="H83" s="23"/>
      <c r="I83" s="26" t="n">
        <f>1937</f>
        <v>1937.0</v>
      </c>
      <c r="J83" s="24"/>
      <c r="K83" s="25" t="n">
        <f>879250000</f>
        <v>8.7925E8</v>
      </c>
      <c r="L83" s="23"/>
      <c r="M83" s="25" t="n">
        <f>1006573650</f>
        <v>1.00657365E9</v>
      </c>
      <c r="N83" s="23"/>
      <c r="O83" s="26" t="n">
        <f>1885823650</f>
        <v>1.88582365E9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400</f>
        <v>400.0</v>
      </c>
      <c r="U83" s="23"/>
      <c r="V83" s="25" t="n">
        <f>1129</f>
        <v>1129.0</v>
      </c>
      <c r="W83" s="23"/>
      <c r="X83" s="26" t="n">
        <f>1529</f>
        <v>1529.0</v>
      </c>
      <c r="Y83" s="24"/>
      <c r="Z83" s="25" t="n">
        <f>73434</f>
        <v>73434.0</v>
      </c>
      <c r="AA83" s="23"/>
      <c r="AB83" s="25" t="n">
        <f>50939</f>
        <v>50939.0</v>
      </c>
      <c r="AC83" s="23"/>
      <c r="AD83" s="26" t="n">
        <f>124373</f>
        <v>124373.0</v>
      </c>
    </row>
    <row r="84">
      <c r="A84" s="30" t="s">
        <v>42</v>
      </c>
      <c r="B84" s="22" t="s">
        <v>63</v>
      </c>
      <c r="C84" s="22" t="s">
        <v>64</v>
      </c>
      <c r="D84" s="24"/>
      <c r="E84" s="25" t="n">
        <f>1455</f>
        <v>1455.0</v>
      </c>
      <c r="F84" s="23"/>
      <c r="G84" s="25" t="n">
        <f>1030</f>
        <v>1030.0</v>
      </c>
      <c r="H84" s="23"/>
      <c r="I84" s="26" t="n">
        <f>2485</f>
        <v>2485.0</v>
      </c>
      <c r="J84" s="24"/>
      <c r="K84" s="25" t="n">
        <f>1318150000</f>
        <v>1.31815E9</v>
      </c>
      <c r="L84" s="23"/>
      <c r="M84" s="25" t="n">
        <f>1021450000</f>
        <v>1.02145E9</v>
      </c>
      <c r="N84" s="23"/>
      <c r="O84" s="26" t="n">
        <f>2339600000</f>
        <v>2.3396E9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725</f>
        <v>725.0</v>
      </c>
      <c r="U84" s="23"/>
      <c r="V84" s="25" t="n">
        <f>550</f>
        <v>550.0</v>
      </c>
      <c r="W84" s="23"/>
      <c r="X84" s="26" t="n">
        <f>1275</f>
        <v>1275.0</v>
      </c>
      <c r="Y84" s="24"/>
      <c r="Z84" s="25" t="n">
        <f>74124</f>
        <v>74124.0</v>
      </c>
      <c r="AA84" s="23"/>
      <c r="AB84" s="25" t="n">
        <f>50769</f>
        <v>50769.0</v>
      </c>
      <c r="AC84" s="23"/>
      <c r="AD84" s="26" t="n">
        <f>124893</f>
        <v>124893.0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100</f>
        <v>100.0</v>
      </c>
      <c r="F85" s="23"/>
      <c r="G85" s="25" t="n">
        <f>2</f>
        <v>2.0</v>
      </c>
      <c r="H85" s="23"/>
      <c r="I85" s="26" t="n">
        <f>102</f>
        <v>102.0</v>
      </c>
      <c r="J85" s="24"/>
      <c r="K85" s="25" t="n">
        <f>31720000</f>
        <v>3.172E7</v>
      </c>
      <c r="L85" s="23"/>
      <c r="M85" s="25" t="n">
        <f>201000</f>
        <v>201000.0</v>
      </c>
      <c r="N85" s="23"/>
      <c r="O85" s="26" t="n">
        <f>31921000</f>
        <v>3.1921E7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str">
        <f>"－"</f>
        <v>－</v>
      </c>
      <c r="U85" s="23"/>
      <c r="V85" s="25" t="str">
        <f>"－"</f>
        <v>－</v>
      </c>
      <c r="W85" s="23"/>
      <c r="X85" s="26" t="str">
        <f>"－"</f>
        <v>－</v>
      </c>
      <c r="Y85" s="24"/>
      <c r="Z85" s="25" t="n">
        <f>74024</f>
        <v>74024.0</v>
      </c>
      <c r="AA85" s="23"/>
      <c r="AB85" s="25" t="n">
        <f>50771</f>
        <v>50771.0</v>
      </c>
      <c r="AC85" s="23"/>
      <c r="AD85" s="26" t="n">
        <f>124795</f>
        <v>124795.0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366</f>
        <v>366.0</v>
      </c>
      <c r="F86" s="23"/>
      <c r="G86" s="25" t="n">
        <f>425</f>
        <v>425.0</v>
      </c>
      <c r="H86" s="23"/>
      <c r="I86" s="26" t="n">
        <f>791</f>
        <v>791.0</v>
      </c>
      <c r="J86" s="24"/>
      <c r="K86" s="25" t="n">
        <f>321372200</f>
        <v>3.213722E8</v>
      </c>
      <c r="L86" s="23"/>
      <c r="M86" s="25" t="n">
        <f>226489287</f>
        <v>2.26489287E8</v>
      </c>
      <c r="N86" s="23"/>
      <c r="O86" s="26" t="n">
        <f>547861487</f>
        <v>5.47861487E8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281</f>
        <v>281.0</v>
      </c>
      <c r="U86" s="23"/>
      <c r="V86" s="25" t="n">
        <f>421</f>
        <v>421.0</v>
      </c>
      <c r="W86" s="23"/>
      <c r="X86" s="26" t="n">
        <f>702</f>
        <v>702.0</v>
      </c>
      <c r="Y86" s="24"/>
      <c r="Z86" s="25" t="n">
        <f>74390</f>
        <v>74390.0</v>
      </c>
      <c r="AA86" s="23"/>
      <c r="AB86" s="25" t="n">
        <f>51194</f>
        <v>51194.0</v>
      </c>
      <c r="AC86" s="23"/>
      <c r="AD86" s="26" t="n">
        <f>125584</f>
        <v>125584.0</v>
      </c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 t="s">
        <v>37</v>
      </c>
      <c r="E89" s="25" t="str">
        <f>"－"</f>
        <v>－</v>
      </c>
      <c r="F89" s="23"/>
      <c r="G89" s="25" t="n">
        <f>638</f>
        <v>638.0</v>
      </c>
      <c r="H89" s="23"/>
      <c r="I89" s="26" t="n">
        <f>638</f>
        <v>638.0</v>
      </c>
      <c r="J89" s="24" t="s">
        <v>37</v>
      </c>
      <c r="K89" s="25" t="str">
        <f>"－"</f>
        <v>－</v>
      </c>
      <c r="L89" s="23"/>
      <c r="M89" s="25" t="n">
        <f>177437000</f>
        <v>1.77437E8</v>
      </c>
      <c r="N89" s="23"/>
      <c r="O89" s="26" t="n">
        <f>177437000</f>
        <v>1.77437E8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n">
        <f>600</f>
        <v>600.0</v>
      </c>
      <c r="W89" s="23"/>
      <c r="X89" s="26" t="n">
        <f>600</f>
        <v>600.0</v>
      </c>
      <c r="Y89" s="24"/>
      <c r="Z89" s="25" t="n">
        <f>74390</f>
        <v>74390.0</v>
      </c>
      <c r="AA89" s="23"/>
      <c r="AB89" s="25" t="n">
        <f>51826</f>
        <v>51826.0</v>
      </c>
      <c r="AC89" s="23"/>
      <c r="AD89" s="26" t="n">
        <f>126216</f>
        <v>126216.0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2866</f>
        <v>2866.0</v>
      </c>
      <c r="F90" s="23"/>
      <c r="G90" s="25" t="n">
        <f>4</f>
        <v>4.0</v>
      </c>
      <c r="H90" s="23"/>
      <c r="I90" s="26" t="n">
        <f>2870</f>
        <v>2870.0</v>
      </c>
      <c r="J90" s="24"/>
      <c r="K90" s="25" t="n">
        <f>1563450430</f>
        <v>1.56345043E9</v>
      </c>
      <c r="L90" s="23"/>
      <c r="M90" s="25" t="n">
        <f>403000</f>
        <v>403000.0</v>
      </c>
      <c r="N90" s="23"/>
      <c r="O90" s="26" t="n">
        <f>1563853430</f>
        <v>1.56385343E9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2866</f>
        <v>2866.0</v>
      </c>
      <c r="U90" s="23"/>
      <c r="V90" s="25" t="str">
        <f>"－"</f>
        <v>－</v>
      </c>
      <c r="W90" s="23"/>
      <c r="X90" s="26" t="n">
        <f>2866</f>
        <v>2866.0</v>
      </c>
      <c r="Y90" s="24"/>
      <c r="Z90" s="25" t="n">
        <f>75512</f>
        <v>75512.0</v>
      </c>
      <c r="AA90" s="23"/>
      <c r="AB90" s="25" t="n">
        <f>51829</f>
        <v>51829.0</v>
      </c>
      <c r="AC90" s="23"/>
      <c r="AD90" s="26" t="n">
        <f>127341</f>
        <v>127341.0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260</f>
        <v>260.0</v>
      </c>
      <c r="F91" s="23"/>
      <c r="G91" s="25" t="n">
        <f>190</f>
        <v>190.0</v>
      </c>
      <c r="H91" s="23"/>
      <c r="I91" s="26" t="n">
        <f>450</f>
        <v>450.0</v>
      </c>
      <c r="J91" s="24"/>
      <c r="K91" s="25" t="n">
        <f>270950000</f>
        <v>2.7095E8</v>
      </c>
      <c r="L91" s="23"/>
      <c r="M91" s="25" t="n">
        <f>358690000</f>
        <v>3.5869E8</v>
      </c>
      <c r="N91" s="23"/>
      <c r="O91" s="26" t="n">
        <f>629640000</f>
        <v>6.2964E8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90</f>
        <v>90.0</v>
      </c>
      <c r="U91" s="23"/>
      <c r="V91" s="25" t="n">
        <f>90</f>
        <v>90.0</v>
      </c>
      <c r="W91" s="23"/>
      <c r="X91" s="26" t="n">
        <f>180</f>
        <v>180.0</v>
      </c>
      <c r="Y91" s="24"/>
      <c r="Z91" s="25" t="n">
        <f>75542</f>
        <v>75542.0</v>
      </c>
      <c r="AA91" s="23"/>
      <c r="AB91" s="25" t="n">
        <f>51829</f>
        <v>51829.0</v>
      </c>
      <c r="AC91" s="23"/>
      <c r="AD91" s="26" t="n">
        <f>127371</f>
        <v>127371.0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3283</f>
        <v>3283.0</v>
      </c>
      <c r="F92" s="23"/>
      <c r="G92" s="25" t="n">
        <f>325</f>
        <v>325.0</v>
      </c>
      <c r="H92" s="23"/>
      <c r="I92" s="26" t="n">
        <f>3608</f>
        <v>3608.0</v>
      </c>
      <c r="J92" s="24"/>
      <c r="K92" s="25" t="n">
        <f>1569092960</f>
        <v>1.56909296E9</v>
      </c>
      <c r="L92" s="23"/>
      <c r="M92" s="25" t="n">
        <f>98015555</f>
        <v>9.8015555E7</v>
      </c>
      <c r="N92" s="23"/>
      <c r="O92" s="26" t="n">
        <f>1667108515</f>
        <v>1.667108515E9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3283</f>
        <v>3283.0</v>
      </c>
      <c r="U92" s="23"/>
      <c r="V92" s="25" t="n">
        <f>298</f>
        <v>298.0</v>
      </c>
      <c r="W92" s="23"/>
      <c r="X92" s="26" t="n">
        <f>3581</f>
        <v>3581.0</v>
      </c>
      <c r="Y92" s="24"/>
      <c r="Z92" s="25" t="n">
        <f>75027</f>
        <v>75027.0</v>
      </c>
      <c r="AA92" s="23"/>
      <c r="AB92" s="25" t="n">
        <f>52129</f>
        <v>52129.0</v>
      </c>
      <c r="AC92" s="23"/>
      <c r="AD92" s="26" t="n">
        <f>127156</f>
        <v>127156.0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550</f>
        <v>550.0</v>
      </c>
      <c r="F93" s="23"/>
      <c r="G93" s="25" t="n">
        <f>781</f>
        <v>781.0</v>
      </c>
      <c r="H93" s="23"/>
      <c r="I93" s="26" t="n">
        <f>1331</f>
        <v>1331.0</v>
      </c>
      <c r="J93" s="24"/>
      <c r="K93" s="25" t="n">
        <f>965500000</f>
        <v>9.655E8</v>
      </c>
      <c r="L93" s="23"/>
      <c r="M93" s="25" t="n">
        <f>1171924000</f>
        <v>1.171924E9</v>
      </c>
      <c r="N93" s="23"/>
      <c r="O93" s="26" t="n">
        <f>2137424000</f>
        <v>2.137424E9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str">
        <f>"－"</f>
        <v>－</v>
      </c>
      <c r="U93" s="23"/>
      <c r="V93" s="25" t="str">
        <f>"－"</f>
        <v>－</v>
      </c>
      <c r="W93" s="23"/>
      <c r="X93" s="26" t="str">
        <f>"－"</f>
        <v>－</v>
      </c>
      <c r="Y93" s="24"/>
      <c r="Z93" s="25" t="n">
        <f>75577</f>
        <v>75577.0</v>
      </c>
      <c r="AA93" s="23"/>
      <c r="AB93" s="25" t="n">
        <f>52780</f>
        <v>52780.0</v>
      </c>
      <c r="AC93" s="23"/>
      <c r="AD93" s="26" t="n">
        <f>128357</f>
        <v>128357.0</v>
      </c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/>
      <c r="E96" s="25" t="str">
        <f>"－"</f>
        <v>－</v>
      </c>
      <c r="F96" s="23"/>
      <c r="G96" s="25" t="n">
        <f>29</f>
        <v>29.0</v>
      </c>
      <c r="H96" s="23"/>
      <c r="I96" s="26" t="n">
        <f>29</f>
        <v>29.0</v>
      </c>
      <c r="J96" s="24"/>
      <c r="K96" s="25" t="str">
        <f>"－"</f>
        <v>－</v>
      </c>
      <c r="L96" s="23"/>
      <c r="M96" s="25" t="n">
        <f>2091000</f>
        <v>2091000.0</v>
      </c>
      <c r="N96" s="23"/>
      <c r="O96" s="26" t="n">
        <f>2091000</f>
        <v>2091000.0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str">
        <f>"－"</f>
        <v>－</v>
      </c>
      <c r="W96" s="23"/>
      <c r="X96" s="26" t="str">
        <f>"－"</f>
        <v>－</v>
      </c>
      <c r="Y96" s="24"/>
      <c r="Z96" s="25" t="n">
        <f>75577</f>
        <v>75577.0</v>
      </c>
      <c r="AA96" s="23"/>
      <c r="AB96" s="25" t="n">
        <f>52809</f>
        <v>52809.0</v>
      </c>
      <c r="AC96" s="23"/>
      <c r="AD96" s="26" t="n">
        <f>128386</f>
        <v>128386.0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20</f>
        <v>20.0</v>
      </c>
      <c r="F97" s="23" t="s">
        <v>37</v>
      </c>
      <c r="G97" s="25" t="str">
        <f>"－"</f>
        <v>－</v>
      </c>
      <c r="H97" s="23"/>
      <c r="I97" s="26" t="n">
        <f>20</f>
        <v>20.0</v>
      </c>
      <c r="J97" s="24"/>
      <c r="K97" s="25" t="n">
        <f>120000</f>
        <v>120000.0</v>
      </c>
      <c r="L97" s="23" t="s">
        <v>37</v>
      </c>
      <c r="M97" s="25" t="str">
        <f>"－"</f>
        <v>－</v>
      </c>
      <c r="N97" s="23" t="s">
        <v>37</v>
      </c>
      <c r="O97" s="26" t="n">
        <f>120000</f>
        <v>120000.0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75577</f>
        <v>75577.0</v>
      </c>
      <c r="AA97" s="23"/>
      <c r="AB97" s="25" t="n">
        <f>52809</f>
        <v>52809.0</v>
      </c>
      <c r="AC97" s="23"/>
      <c r="AD97" s="26" t="n">
        <f>128386</f>
        <v>128386.0</v>
      </c>
    </row>
    <row r="98">
      <c r="A98" s="30" t="s">
        <v>56</v>
      </c>
      <c r="B98" s="22" t="s">
        <v>63</v>
      </c>
      <c r="C98" s="22" t="s">
        <v>64</v>
      </c>
      <c r="D98" s="24"/>
      <c r="E98" s="25" t="str">
        <f>"－"</f>
        <v>－</v>
      </c>
      <c r="F98" s="23"/>
      <c r="G98" s="25" t="n">
        <f>14</f>
        <v>14.0</v>
      </c>
      <c r="H98" s="23" t="s">
        <v>37</v>
      </c>
      <c r="I98" s="26" t="n">
        <f>14</f>
        <v>14.0</v>
      </c>
      <c r="J98" s="24"/>
      <c r="K98" s="25" t="str">
        <f>"－"</f>
        <v>－</v>
      </c>
      <c r="L98" s="23"/>
      <c r="M98" s="25" t="n">
        <f>1418000</f>
        <v>1418000.0</v>
      </c>
      <c r="N98" s="23"/>
      <c r="O98" s="26" t="n">
        <f>1418000</f>
        <v>1418000.0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75577</f>
        <v>75577.0</v>
      </c>
      <c r="AA98" s="23"/>
      <c r="AB98" s="25" t="n">
        <f>52822</f>
        <v>52822.0</v>
      </c>
      <c r="AC98" s="23"/>
      <c r="AD98" s="26" t="n">
        <f>128399</f>
        <v>128399.0</v>
      </c>
    </row>
    <row r="99">
      <c r="A99" s="30" t="s">
        <v>57</v>
      </c>
      <c r="B99" s="22" t="s">
        <v>63</v>
      </c>
      <c r="C99" s="22" t="s">
        <v>64</v>
      </c>
      <c r="D99" s="24"/>
      <c r="E99" s="25" t="str">
        <f>"－"</f>
        <v>－</v>
      </c>
      <c r="F99" s="23"/>
      <c r="G99" s="25" t="n">
        <f>26</f>
        <v>26.0</v>
      </c>
      <c r="H99" s="23"/>
      <c r="I99" s="26" t="n">
        <f>26</f>
        <v>26.0</v>
      </c>
      <c r="J99" s="24"/>
      <c r="K99" s="25" t="str">
        <f>"－"</f>
        <v>－</v>
      </c>
      <c r="L99" s="23"/>
      <c r="M99" s="25" t="n">
        <f>2746000</f>
        <v>2746000.0</v>
      </c>
      <c r="N99" s="23"/>
      <c r="O99" s="26" t="n">
        <f>2746000</f>
        <v>2746000.0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75577</f>
        <v>75577.0</v>
      </c>
      <c r="AA99" s="23"/>
      <c r="AB99" s="25" t="n">
        <f>52847</f>
        <v>52847.0</v>
      </c>
      <c r="AC99" s="23"/>
      <c r="AD99" s="26" t="n">
        <f>128424</f>
        <v>128424.0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n">
        <f>2191</f>
        <v>2191.0</v>
      </c>
      <c r="F100" s="23"/>
      <c r="G100" s="25" t="n">
        <f>32</f>
        <v>32.0</v>
      </c>
      <c r="H100" s="23"/>
      <c r="I100" s="26" t="n">
        <f>2223</f>
        <v>2223.0</v>
      </c>
      <c r="J100" s="24"/>
      <c r="K100" s="25" t="n">
        <f>279970100</f>
        <v>2.799701E8</v>
      </c>
      <c r="L100" s="23"/>
      <c r="M100" s="25" t="n">
        <f>3949000</f>
        <v>3949000.0</v>
      </c>
      <c r="N100" s="23"/>
      <c r="O100" s="26" t="n">
        <f>283919100</f>
        <v>2.839191E8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n">
        <f>2191</f>
        <v>2191.0</v>
      </c>
      <c r="U100" s="23"/>
      <c r="V100" s="25" t="str">
        <f>"－"</f>
        <v>－</v>
      </c>
      <c r="W100" s="23"/>
      <c r="X100" s="26" t="n">
        <f>2191</f>
        <v>2191.0</v>
      </c>
      <c r="Y100" s="24"/>
      <c r="Z100" s="25" t="n">
        <f>77768</f>
        <v>77768.0</v>
      </c>
      <c r="AA100" s="23"/>
      <c r="AB100" s="25" t="n">
        <f>52878</f>
        <v>52878.0</v>
      </c>
      <c r="AC100" s="23"/>
      <c r="AD100" s="26" t="n">
        <f>130646</f>
        <v>130646.0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38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39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40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38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39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38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39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