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<sst xmlns="http://schemas.openxmlformats.org/spreadsheetml/2006/main" count="170" uniqueCount="62">
  <si>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</si>
  <si>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</si>
  <si>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</si>
  <si>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</si>
  <si>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</si>
  <si>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</si>
  <si>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</si>
  <si>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</si>
  <si>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</si>
  <si>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</si>
  <si>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</si>
  <si>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</si>
  <si>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</si>
  <si>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</si>
  <si>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</si>
  <si>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</si>
  <si>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</si>
  <si>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</si>
  <si>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</si>
  <si>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</si>
  <si>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</si>
  <si>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</si>
  <si>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</si>
  <si>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</si>
  <si>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</si>
  <si>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</si>
  <si>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12.1</t>
  </si>
  <si>
    <t>有価証券オプション</t>
  </si>
  <si>
    <t>Securities Options</t>
  </si>
  <si>
    <t>◎●</t>
  </si>
  <si>
    <t>2</t>
  </si>
  <si>
    <t>3</t>
  </si>
  <si>
    <t>4</t>
  </si>
  <si>
    <t>●</t>
  </si>
  <si>
    <t>5</t>
  </si>
  <si>
    <t>◎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</si>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</sst>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2200</f>
        <v>2200.0</v>
      </c>
      <c r="F10" s="24"/>
      <c r="G10" s="26" t="n">
        <f>20</f>
        <v>20.0</v>
      </c>
      <c r="H10" s="25"/>
      <c r="I10" s="26" t="n">
        <f>2220</f>
        <v>2220.0</v>
      </c>
      <c r="J10" s="23"/>
      <c r="K10" s="26" t="n">
        <f>1206000</f>
        <v>1206000.0</v>
      </c>
      <c r="L10" s="24"/>
      <c r="M10" s="26" t="n">
        <f>6600</f>
        <v>6600.0</v>
      </c>
      <c r="N10" s="25"/>
      <c r="O10" s="26" t="n">
        <f>1212600</f>
        <v>1212600.0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140450</f>
        <v>140450.0</v>
      </c>
      <c r="AA10" s="24"/>
      <c r="AB10" s="26" t="n">
        <f>19128</f>
        <v>19128.0</v>
      </c>
      <c r="AC10" s="25"/>
      <c r="AD10" s="26" t="n">
        <f>159578</f>
        <v>159578.0</v>
      </c>
    </row>
    <row r="11">
      <c r="A11" s="21" t="s">
        <v>30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 t="s">
        <v>33</v>
      </c>
      <c r="E13" s="26" t="str">
        <f>"－"</f>
        <v>－</v>
      </c>
      <c r="F13" s="24"/>
      <c r="G13" s="26" t="n">
        <f>1000</f>
        <v>1000.0</v>
      </c>
      <c r="H13" s="25"/>
      <c r="I13" s="26" t="n">
        <f>1000</f>
        <v>1000.0</v>
      </c>
      <c r="J13" s="23" t="s">
        <v>33</v>
      </c>
      <c r="K13" s="26" t="str">
        <f>"－"</f>
        <v>－</v>
      </c>
      <c r="L13" s="24"/>
      <c r="M13" s="26" t="n">
        <f>1470000</f>
        <v>1470000.0</v>
      </c>
      <c r="N13" s="25"/>
      <c r="O13" s="26" t="n">
        <f>1470000</f>
        <v>1470000.0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140450</f>
        <v>140450.0</v>
      </c>
      <c r="AA13" s="24"/>
      <c r="AB13" s="26" t="n">
        <f>19128</f>
        <v>19128.0</v>
      </c>
      <c r="AC13" s="25"/>
      <c r="AD13" s="26" t="n">
        <f>159578</f>
        <v>159578.0</v>
      </c>
    </row>
    <row r="14">
      <c r="A14" s="21" t="s">
        <v>34</v>
      </c>
      <c r="B14" s="22" t="s">
        <v>27</v>
      </c>
      <c r="C14" s="22" t="s">
        <v>28</v>
      </c>
      <c r="D14" s="23"/>
      <c r="E14" s="26" t="n">
        <f>2124</f>
        <v>2124.0</v>
      </c>
      <c r="F14" s="24" t="s">
        <v>35</v>
      </c>
      <c r="G14" s="26" t="n">
        <f>13015</f>
        <v>13015.0</v>
      </c>
      <c r="H14" s="25" t="s">
        <v>35</v>
      </c>
      <c r="I14" s="26" t="n">
        <f>15139</f>
        <v>15139.0</v>
      </c>
      <c r="J14" s="23"/>
      <c r="K14" s="26" t="n">
        <f>4925360</f>
        <v>4925360.0</v>
      </c>
      <c r="L14" s="24" t="s">
        <v>35</v>
      </c>
      <c r="M14" s="26" t="n">
        <f>7175050</f>
        <v>7175050.0</v>
      </c>
      <c r="N14" s="25"/>
      <c r="O14" s="26" t="n">
        <f>12100410</f>
        <v>1.210041E7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 t="s">
        <v>35</v>
      </c>
      <c r="Z14" s="26" t="n">
        <f>142574</f>
        <v>142574.0</v>
      </c>
      <c r="AA14" s="24"/>
      <c r="AB14" s="26" t="n">
        <f>20143</f>
        <v>20143.0</v>
      </c>
      <c r="AC14" s="25" t="s">
        <v>35</v>
      </c>
      <c r="AD14" s="26" t="n">
        <f>162717</f>
        <v>162717.0</v>
      </c>
    </row>
    <row r="15">
      <c r="A15" s="21" t="s">
        <v>36</v>
      </c>
      <c r="B15" s="22" t="s">
        <v>27</v>
      </c>
      <c r="C15" s="22" t="s">
        <v>28</v>
      </c>
      <c r="D15" s="23"/>
      <c r="E15" s="26" t="n">
        <f>4102</f>
        <v>4102.0</v>
      </c>
      <c r="F15" s="24"/>
      <c r="G15" s="26" t="n">
        <f>1000</f>
        <v>1000.0</v>
      </c>
      <c r="H15" s="25"/>
      <c r="I15" s="26" t="n">
        <f>5102</f>
        <v>5102.0</v>
      </c>
      <c r="J15" s="23"/>
      <c r="K15" s="26" t="n">
        <f>2301020</f>
        <v>2301020.0</v>
      </c>
      <c r="L15" s="24"/>
      <c r="M15" s="26" t="n">
        <f>650000</f>
        <v>650000.0</v>
      </c>
      <c r="N15" s="25"/>
      <c r="O15" s="26" t="n">
        <f>2951020</f>
        <v>2951020.0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142472</f>
        <v>142472.0</v>
      </c>
      <c r="AA15" s="24"/>
      <c r="AB15" s="26" t="n">
        <f>19143</f>
        <v>19143.0</v>
      </c>
      <c r="AC15" s="25"/>
      <c r="AD15" s="26" t="n">
        <f>161615</f>
        <v>161615.0</v>
      </c>
    </row>
    <row r="16">
      <c r="A16" s="21" t="s">
        <v>37</v>
      </c>
      <c r="B16" s="22" t="s">
        <v>27</v>
      </c>
      <c r="C16" s="22" t="s">
        <v>28</v>
      </c>
      <c r="D16" s="23"/>
      <c r="E16" s="26" t="n">
        <f>3181</f>
        <v>3181.0</v>
      </c>
      <c r="F16" s="24"/>
      <c r="G16" s="26" t="n">
        <f>3004</f>
        <v>3004.0</v>
      </c>
      <c r="H16" s="25"/>
      <c r="I16" s="26" t="n">
        <f>6185</f>
        <v>6185.0</v>
      </c>
      <c r="J16" s="23"/>
      <c r="K16" s="26" t="n">
        <f>70850</f>
        <v>70850.0</v>
      </c>
      <c r="L16" s="24"/>
      <c r="M16" s="26" t="n">
        <f>738160</f>
        <v>738160.0</v>
      </c>
      <c r="N16" s="25"/>
      <c r="O16" s="26" t="n">
        <f>809010</f>
        <v>809010.0</v>
      </c>
      <c r="P16" s="27" t="n">
        <f>1264</f>
        <v>1264.0</v>
      </c>
      <c r="Q16" s="28" t="n">
        <f>4724</f>
        <v>4724.0</v>
      </c>
      <c r="R16" s="29" t="n">
        <f>5988</f>
        <v>5988.0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 t="s">
        <v>33</v>
      </c>
      <c r="Z16" s="26" t="n">
        <f>100683</f>
        <v>100683.0</v>
      </c>
      <c r="AA16" s="24" t="s">
        <v>33</v>
      </c>
      <c r="AB16" s="26" t="n">
        <f>12944</f>
        <v>12944.0</v>
      </c>
      <c r="AC16" s="25" t="s">
        <v>33</v>
      </c>
      <c r="AD16" s="26" t="n">
        <f>113627</f>
        <v>113627.0</v>
      </c>
    </row>
    <row r="17">
      <c r="A17" s="21" t="s">
        <v>38</v>
      </c>
      <c r="B17" s="22" t="s">
        <v>27</v>
      </c>
      <c r="C17" s="22" t="s">
        <v>28</v>
      </c>
      <c r="D17" s="23"/>
      <c r="E17" s="26" t="n">
        <f>780</f>
        <v>780.0</v>
      </c>
      <c r="F17" s="24"/>
      <c r="G17" s="26" t="n">
        <f>4040</f>
        <v>4040.0</v>
      </c>
      <c r="H17" s="25"/>
      <c r="I17" s="26" t="n">
        <f>4820</f>
        <v>4820.0</v>
      </c>
      <c r="J17" s="23"/>
      <c r="K17" s="26" t="n">
        <f>306190</f>
        <v>306190.0</v>
      </c>
      <c r="L17" s="24"/>
      <c r="M17" s="26" t="n">
        <f>1617600</f>
        <v>1617600.0</v>
      </c>
      <c r="N17" s="25"/>
      <c r="O17" s="26" t="n">
        <f>1923790</f>
        <v>1923790.0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101463</f>
        <v>101463.0</v>
      </c>
      <c r="AA17" s="24"/>
      <c r="AB17" s="26" t="n">
        <f>12984</f>
        <v>12984.0</v>
      </c>
      <c r="AC17" s="25"/>
      <c r="AD17" s="26" t="n">
        <f>114447</f>
        <v>114447.0</v>
      </c>
    </row>
    <row r="18">
      <c r="A18" s="21" t="s">
        <v>39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40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41</v>
      </c>
      <c r="B20" s="22" t="s">
        <v>27</v>
      </c>
      <c r="C20" s="22" t="s">
        <v>28</v>
      </c>
      <c r="D20" s="23" t="s">
        <v>35</v>
      </c>
      <c r="E20" s="26" t="n">
        <f>11203</f>
        <v>11203.0</v>
      </c>
      <c r="F20" s="24"/>
      <c r="G20" s="26" t="n">
        <f>3000</f>
        <v>3000.0</v>
      </c>
      <c r="H20" s="25"/>
      <c r="I20" s="26" t="n">
        <f>14203</f>
        <v>14203.0</v>
      </c>
      <c r="J20" s="23" t="s">
        <v>35</v>
      </c>
      <c r="K20" s="26" t="n">
        <f>125353070</f>
        <v>1.2535307E8</v>
      </c>
      <c r="L20" s="24"/>
      <c r="M20" s="26" t="n">
        <f>2050000</f>
        <v>2050000.0</v>
      </c>
      <c r="N20" s="25" t="s">
        <v>35</v>
      </c>
      <c r="O20" s="26" t="n">
        <f>127403070</f>
        <v>1.2740307E8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112006</f>
        <v>112006.0</v>
      </c>
      <c r="AA20" s="24"/>
      <c r="AB20" s="26" t="n">
        <f>15984</f>
        <v>15984.0</v>
      </c>
      <c r="AC20" s="25"/>
      <c r="AD20" s="26" t="n">
        <f>127990</f>
        <v>127990.0</v>
      </c>
    </row>
    <row r="21">
      <c r="A21" s="21" t="s">
        <v>42</v>
      </c>
      <c r="B21" s="22" t="s">
        <v>27</v>
      </c>
      <c r="C21" s="22" t="s">
        <v>28</v>
      </c>
      <c r="D21" s="23"/>
      <c r="E21" s="26" t="n">
        <f>859</f>
        <v>859.0</v>
      </c>
      <c r="F21" s="24"/>
      <c r="G21" s="26" t="n">
        <f>200</f>
        <v>200.0</v>
      </c>
      <c r="H21" s="25"/>
      <c r="I21" s="26" t="n">
        <f>1059</f>
        <v>1059.0</v>
      </c>
      <c r="J21" s="23"/>
      <c r="K21" s="26" t="n">
        <f>18441920</f>
        <v>1.844192E7</v>
      </c>
      <c r="L21" s="24"/>
      <c r="M21" s="26" t="n">
        <f>100000</f>
        <v>100000.0</v>
      </c>
      <c r="N21" s="25"/>
      <c r="O21" s="26" t="n">
        <f>18541920</f>
        <v>1.854192E7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112865</f>
        <v>112865.0</v>
      </c>
      <c r="AA21" s="24"/>
      <c r="AB21" s="26" t="n">
        <f>16184</f>
        <v>16184.0</v>
      </c>
      <c r="AC21" s="25"/>
      <c r="AD21" s="26" t="n">
        <f>129049</f>
        <v>129049.0</v>
      </c>
    </row>
    <row r="22">
      <c r="A22" s="21" t="s">
        <v>43</v>
      </c>
      <c r="B22" s="22" t="s">
        <v>27</v>
      </c>
      <c r="C22" s="22" t="s">
        <v>28</v>
      </c>
      <c r="D22" s="23"/>
      <c r="E22" s="26" t="str">
        <f>"－"</f>
        <v>－</v>
      </c>
      <c r="F22" s="24"/>
      <c r="G22" s="26" t="n">
        <f>3000</f>
        <v>3000.0</v>
      </c>
      <c r="H22" s="25"/>
      <c r="I22" s="26" t="n">
        <f>3000</f>
        <v>3000.0</v>
      </c>
      <c r="J22" s="23"/>
      <c r="K22" s="26" t="str">
        <f>"－"</f>
        <v>－</v>
      </c>
      <c r="L22" s="24"/>
      <c r="M22" s="26" t="n">
        <f>960000</f>
        <v>960000.0</v>
      </c>
      <c r="N22" s="25"/>
      <c r="O22" s="26" t="n">
        <f>960000</f>
        <v>960000.0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112865</f>
        <v>112865.0</v>
      </c>
      <c r="AA22" s="24"/>
      <c r="AB22" s="26" t="n">
        <f>19184</f>
        <v>19184.0</v>
      </c>
      <c r="AC22" s="25"/>
      <c r="AD22" s="26" t="n">
        <f>132049</f>
        <v>132049.0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207</f>
        <v>207.0</v>
      </c>
      <c r="F23" s="24"/>
      <c r="G23" s="26" t="n">
        <f>4000</f>
        <v>4000.0</v>
      </c>
      <c r="H23" s="25"/>
      <c r="I23" s="26" t="n">
        <f>4207</f>
        <v>4207.0</v>
      </c>
      <c r="J23" s="23"/>
      <c r="K23" s="26" t="n">
        <f>102415</f>
        <v>102415.0</v>
      </c>
      <c r="L23" s="24"/>
      <c r="M23" s="26" t="n">
        <f>1362000</f>
        <v>1362000.0</v>
      </c>
      <c r="N23" s="25"/>
      <c r="O23" s="26" t="n">
        <f>1464415</f>
        <v>1464415.0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113072</f>
        <v>113072.0</v>
      </c>
      <c r="AA23" s="24"/>
      <c r="AB23" s="26" t="n">
        <f>19184</f>
        <v>19184.0</v>
      </c>
      <c r="AC23" s="25"/>
      <c r="AD23" s="26" t="n">
        <f>132256</f>
        <v>132256.0</v>
      </c>
    </row>
    <row r="24">
      <c r="A24" s="21" t="s">
        <v>45</v>
      </c>
      <c r="B24" s="22" t="s">
        <v>27</v>
      </c>
      <c r="C24" s="22" t="s">
        <v>28</v>
      </c>
      <c r="D24" s="23"/>
      <c r="E24" s="26" t="str">
        <f>"－"</f>
        <v>－</v>
      </c>
      <c r="F24" s="24"/>
      <c r="G24" s="26" t="n">
        <f>5000</f>
        <v>5000.0</v>
      </c>
      <c r="H24" s="25"/>
      <c r="I24" s="26" t="n">
        <f>5000</f>
        <v>5000.0</v>
      </c>
      <c r="J24" s="23"/>
      <c r="K24" s="26" t="str">
        <f>"－"</f>
        <v>－</v>
      </c>
      <c r="L24" s="24"/>
      <c r="M24" s="26" t="n">
        <f>2600000</f>
        <v>2600000.0</v>
      </c>
      <c r="N24" s="25"/>
      <c r="O24" s="26" t="n">
        <f>2600000</f>
        <v>2600000.0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113072</f>
        <v>113072.0</v>
      </c>
      <c r="AA24" s="24"/>
      <c r="AB24" s="26" t="n">
        <f>20184</f>
        <v>20184.0</v>
      </c>
      <c r="AC24" s="25"/>
      <c r="AD24" s="26" t="n">
        <f>133256</f>
        <v>133256.0</v>
      </c>
    </row>
    <row r="25">
      <c r="A25" s="21" t="s">
        <v>46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47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48</v>
      </c>
      <c r="B27" s="22" t="s">
        <v>27</v>
      </c>
      <c r="C27" s="22" t="s">
        <v>28</v>
      </c>
      <c r="D27" s="23"/>
      <c r="E27" s="26" t="n">
        <f>3861</f>
        <v>3861.0</v>
      </c>
      <c r="F27" s="24" t="s">
        <v>33</v>
      </c>
      <c r="G27" s="26" t="str">
        <f>"－"</f>
        <v>－</v>
      </c>
      <c r="H27" s="25"/>
      <c r="I27" s="26" t="n">
        <f>3861</f>
        <v>3861.0</v>
      </c>
      <c r="J27" s="23"/>
      <c r="K27" s="26" t="n">
        <f>38153860</f>
        <v>3.815386E7</v>
      </c>
      <c r="L27" s="24" t="s">
        <v>33</v>
      </c>
      <c r="M27" s="26" t="str">
        <f>"－"</f>
        <v>－</v>
      </c>
      <c r="N27" s="25"/>
      <c r="O27" s="26" t="n">
        <f>38153860</f>
        <v>3.815386E7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116933</f>
        <v>116933.0</v>
      </c>
      <c r="AA27" s="24"/>
      <c r="AB27" s="26" t="n">
        <f>20184</f>
        <v>20184.0</v>
      </c>
      <c r="AC27" s="25"/>
      <c r="AD27" s="26" t="n">
        <f>137117</f>
        <v>137117.0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1204</f>
        <v>1204.0</v>
      </c>
      <c r="F28" s="24"/>
      <c r="G28" s="26" t="str">
        <f>"－"</f>
        <v>－</v>
      </c>
      <c r="H28" s="25"/>
      <c r="I28" s="26" t="n">
        <f>1204</f>
        <v>1204.0</v>
      </c>
      <c r="J28" s="23"/>
      <c r="K28" s="26" t="n">
        <f>14948560</f>
        <v>1.494856E7</v>
      </c>
      <c r="L28" s="24"/>
      <c r="M28" s="26" t="str">
        <f>"－"</f>
        <v>－</v>
      </c>
      <c r="N28" s="25"/>
      <c r="O28" s="26" t="n">
        <f>14948560</f>
        <v>1.494856E7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118137</f>
        <v>118137.0</v>
      </c>
      <c r="AA28" s="24"/>
      <c r="AB28" s="26" t="n">
        <f>20184</f>
        <v>20184.0</v>
      </c>
      <c r="AC28" s="25"/>
      <c r="AD28" s="26" t="n">
        <f>138321</f>
        <v>138321.0</v>
      </c>
    </row>
    <row r="29">
      <c r="A29" s="21" t="s">
        <v>50</v>
      </c>
      <c r="B29" s="22" t="s">
        <v>27</v>
      </c>
      <c r="C29" s="22" t="s">
        <v>28</v>
      </c>
      <c r="D29" s="23"/>
      <c r="E29" s="26" t="n">
        <f>3678</f>
        <v>3678.0</v>
      </c>
      <c r="F29" s="24"/>
      <c r="G29" s="26" t="str">
        <f>"－"</f>
        <v>－</v>
      </c>
      <c r="H29" s="25"/>
      <c r="I29" s="26" t="n">
        <f>3678</f>
        <v>3678.0</v>
      </c>
      <c r="J29" s="23"/>
      <c r="K29" s="26" t="n">
        <f>1962700</f>
        <v>1962700.0</v>
      </c>
      <c r="L29" s="24"/>
      <c r="M29" s="26" t="str">
        <f>"－"</f>
        <v>－</v>
      </c>
      <c r="N29" s="25"/>
      <c r="O29" s="26" t="n">
        <f>1962700</f>
        <v>1962700.0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114815</f>
        <v>114815.0</v>
      </c>
      <c r="AA29" s="24"/>
      <c r="AB29" s="26" t="n">
        <f>20184</f>
        <v>20184.0</v>
      </c>
      <c r="AC29" s="25"/>
      <c r="AD29" s="26" t="n">
        <f>134999</f>
        <v>134999.0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139</f>
        <v>139.0</v>
      </c>
      <c r="F30" s="24"/>
      <c r="G30" s="26" t="str">
        <f>"－"</f>
        <v>－</v>
      </c>
      <c r="H30" s="25"/>
      <c r="I30" s="26" t="n">
        <f>139</f>
        <v>139.0</v>
      </c>
      <c r="J30" s="23"/>
      <c r="K30" s="26" t="n">
        <f>21213</f>
        <v>21213.0</v>
      </c>
      <c r="L30" s="24"/>
      <c r="M30" s="26" t="str">
        <f>"－"</f>
        <v>－</v>
      </c>
      <c r="N30" s="25"/>
      <c r="O30" s="26" t="n">
        <f>21213</f>
        <v>21213.0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114954</f>
        <v>114954.0</v>
      </c>
      <c r="AA30" s="24"/>
      <c r="AB30" s="26" t="n">
        <f>20184</f>
        <v>20184.0</v>
      </c>
      <c r="AC30" s="25"/>
      <c r="AD30" s="26" t="n">
        <f>135138</f>
        <v>135138.0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14</f>
        <v>14.0</v>
      </c>
      <c r="F31" s="24"/>
      <c r="G31" s="26" t="n">
        <f>1015</f>
        <v>1015.0</v>
      </c>
      <c r="H31" s="25"/>
      <c r="I31" s="26" t="n">
        <f>1029</f>
        <v>1029.0</v>
      </c>
      <c r="J31" s="23"/>
      <c r="K31" s="26" t="n">
        <f>140800</f>
        <v>140800.0</v>
      </c>
      <c r="L31" s="24"/>
      <c r="M31" s="26" t="n">
        <f>486450</f>
        <v>486450.0</v>
      </c>
      <c r="N31" s="25"/>
      <c r="O31" s="26" t="n">
        <f>627250</f>
        <v>627250.0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114960</f>
        <v>114960.0</v>
      </c>
      <c r="AA31" s="24"/>
      <c r="AB31" s="26" t="n">
        <f>19199</f>
        <v>19199.0</v>
      </c>
      <c r="AC31" s="25"/>
      <c r="AD31" s="26" t="n">
        <f>134159</f>
        <v>134159.0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55</v>
      </c>
      <c r="B34" s="22" t="s">
        <v>27</v>
      </c>
      <c r="C34" s="22" t="s">
        <v>28</v>
      </c>
      <c r="D34" s="23"/>
      <c r="E34" s="26" t="n">
        <f>2000</f>
        <v>2000.0</v>
      </c>
      <c r="F34" s="24"/>
      <c r="G34" s="26" t="n">
        <f>1000</f>
        <v>1000.0</v>
      </c>
      <c r="H34" s="25"/>
      <c r="I34" s="26" t="n">
        <f>3000</f>
        <v>3000.0</v>
      </c>
      <c r="J34" s="23"/>
      <c r="K34" s="26" t="n">
        <f>960000</f>
        <v>960000.0</v>
      </c>
      <c r="L34" s="24"/>
      <c r="M34" s="26" t="n">
        <f>410000</f>
        <v>410000.0</v>
      </c>
      <c r="N34" s="25"/>
      <c r="O34" s="26" t="n">
        <f>1370000</f>
        <v>1370000.0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112960</f>
        <v>112960.0</v>
      </c>
      <c r="AA34" s="24"/>
      <c r="AB34" s="26" t="n">
        <f>18199</f>
        <v>18199.0</v>
      </c>
      <c r="AC34" s="25"/>
      <c r="AD34" s="26" t="n">
        <f>131159</f>
        <v>131159.0</v>
      </c>
    </row>
    <row r="35">
      <c r="A35" s="21" t="s">
        <v>56</v>
      </c>
      <c r="B35" s="22" t="s">
        <v>27</v>
      </c>
      <c r="C35" s="22" t="s">
        <v>28</v>
      </c>
      <c r="D35" s="23"/>
      <c r="E35" s="26" t="str">
        <f>"－"</f>
        <v>－</v>
      </c>
      <c r="F35" s="24"/>
      <c r="G35" s="26" t="str">
        <f>"－"</f>
        <v>－</v>
      </c>
      <c r="H35" s="25" t="s">
        <v>33</v>
      </c>
      <c r="I35" s="26" t="str">
        <f>"－"</f>
        <v>－</v>
      </c>
      <c r="J35" s="23"/>
      <c r="K35" s="26" t="str">
        <f>"－"</f>
        <v>－</v>
      </c>
      <c r="L35" s="24"/>
      <c r="M35" s="26" t="str">
        <f>"－"</f>
        <v>－</v>
      </c>
      <c r="N35" s="25" t="s">
        <v>33</v>
      </c>
      <c r="O35" s="26" t="str">
        <f>"－"</f>
        <v>－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112960</f>
        <v>112960.0</v>
      </c>
      <c r="AA35" s="24"/>
      <c r="AB35" s="26" t="n">
        <f>18199</f>
        <v>18199.0</v>
      </c>
      <c r="AC35" s="25"/>
      <c r="AD35" s="26" t="n">
        <f>131159</f>
        <v>131159.0</v>
      </c>
    </row>
    <row r="36">
      <c r="A36" s="21" t="s">
        <v>57</v>
      </c>
      <c r="B36" s="22" t="s">
        <v>27</v>
      </c>
      <c r="C36" s="22" t="s">
        <v>28</v>
      </c>
      <c r="D36" s="23"/>
      <c r="E36" s="26" t="n">
        <f>2300</f>
        <v>2300.0</v>
      </c>
      <c r="F36" s="24"/>
      <c r="G36" s="26" t="n">
        <f>2015</f>
        <v>2015.0</v>
      </c>
      <c r="H36" s="25"/>
      <c r="I36" s="26" t="n">
        <f>4315</f>
        <v>4315.0</v>
      </c>
      <c r="J36" s="23"/>
      <c r="K36" s="26" t="n">
        <f>511300</f>
        <v>511300.0</v>
      </c>
      <c r="L36" s="24"/>
      <c r="M36" s="26" t="n">
        <f>1323660</f>
        <v>1323660.0</v>
      </c>
      <c r="N36" s="25"/>
      <c r="O36" s="26" t="n">
        <f>1834960</f>
        <v>1834960.0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110660</f>
        <v>110660.0</v>
      </c>
      <c r="AA36" s="24"/>
      <c r="AB36" s="26" t="n">
        <f>16214</f>
        <v>16214.0</v>
      </c>
      <c r="AC36" s="25"/>
      <c r="AD36" s="26" t="n">
        <f>126874</f>
        <v>126874.0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20</f>
        <v>20.0</v>
      </c>
      <c r="F37" s="24"/>
      <c r="G37" s="26" t="n">
        <f>4001</f>
        <v>4001.0</v>
      </c>
      <c r="H37" s="25"/>
      <c r="I37" s="26" t="n">
        <f>4021</f>
        <v>4021.0</v>
      </c>
      <c r="J37" s="23"/>
      <c r="K37" s="26" t="n">
        <f>5010</f>
        <v>5010.0</v>
      </c>
      <c r="L37" s="24"/>
      <c r="M37" s="26" t="n">
        <f>3403200</f>
        <v>3403200.0</v>
      </c>
      <c r="N37" s="25"/>
      <c r="O37" s="26" t="n">
        <f>3408210</f>
        <v>3408210.0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118693</f>
        <v>118693.0</v>
      </c>
      <c r="AA37" s="24"/>
      <c r="AB37" s="26" t="n">
        <f>16215</f>
        <v>16215.0</v>
      </c>
      <c r="AC37" s="25"/>
      <c r="AD37" s="26" t="n">
        <f>134908</f>
        <v>134908.0</v>
      </c>
    </row>
    <row r="38">
      <c r="A38" s="21" t="s">
        <v>59</v>
      </c>
      <c r="B38" s="22" t="s">
        <v>27</v>
      </c>
      <c r="C38" s="22" t="s">
        <v>28</v>
      </c>
      <c r="D38" s="23"/>
      <c r="E38" s="26" t="str">
        <f>"－"</f>
        <v>－</v>
      </c>
      <c r="F38" s="24"/>
      <c r="G38" s="26" t="n">
        <f>4000</f>
        <v>4000.0</v>
      </c>
      <c r="H38" s="25"/>
      <c r="I38" s="26" t="n">
        <f>4000</f>
        <v>4000.0</v>
      </c>
      <c r="J38" s="23"/>
      <c r="K38" s="26" t="str">
        <f>"－"</f>
        <v>－</v>
      </c>
      <c r="L38" s="24"/>
      <c r="M38" s="26" t="n">
        <f>2548000</f>
        <v>2548000.0</v>
      </c>
      <c r="N38" s="25"/>
      <c r="O38" s="26" t="n">
        <f>2548000</f>
        <v>2548000.0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118693</f>
        <v>118693.0</v>
      </c>
      <c r="AA38" s="24" t="s">
        <v>35</v>
      </c>
      <c r="AB38" s="26" t="n">
        <f>20215</f>
        <v>20215.0</v>
      </c>
      <c r="AC38" s="25"/>
      <c r="AD38" s="26" t="n">
        <f>138908</f>
        <v>138908.0</v>
      </c>
    </row>
    <row r="39">
      <c r="A39" s="21" t="s">
        <v>60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61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