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<sst xmlns="http://schemas.openxmlformats.org/spreadsheetml/2006/main" count="1558" uniqueCount="81">
  <si>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</si>
  <si>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</si>
  <si>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</si>
  <si>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</si>
  <si>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</si>
  <si>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</si>
  <si>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</si>
  <si>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</si>
  <si>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</si>
  <si>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</si>
  <si>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</si>
  <si>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</si>
  <si>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</si>
  <si>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</si>
  <si>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</si>
  <si>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</si>
  <si>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11.1</t>
  </si>
  <si>
    <t>日経225先物</t>
  </si>
  <si>
    <t>Nikkei 225 Futures</t>
  </si>
  <si>
    <t>●</t>
  </si>
  <si>
    <t>2</t>
  </si>
  <si>
    <t>3</t>
  </si>
  <si>
    <t>4</t>
  </si>
  <si>
    <t>5</t>
  </si>
  <si>
    <t>6</t>
  </si>
  <si>
    <t>7</t>
  </si>
  <si>
    <t>8</t>
  </si>
  <si>
    <t>◎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</si>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</sst>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85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61206</f>
        <v>61206.0</v>
      </c>
      <c r="F6" s="10"/>
      <c r="G6" s="2" t="n">
        <f>1687442648640</f>
        <v>1.68744264864E12</v>
      </c>
      <c r="H6" s="10"/>
      <c r="I6" s="2" t="n">
        <f>5543</f>
        <v>5543.0</v>
      </c>
      <c r="J6" s="10" t="s">
        <v>19</v>
      </c>
      <c r="K6" s="2" t="n">
        <f>307245</f>
        <v>307245.0</v>
      </c>
    </row>
    <row r="7">
      <c r="A7" s="8" t="s">
        <v>20</v>
      </c>
      <c r="B7" s="9" t="s">
        <v>17</v>
      </c>
      <c r="C7" s="9" t="s">
        <v>18</v>
      </c>
      <c r="D7" s="10"/>
      <c r="E7" s="2" t="n">
        <f>55391</f>
        <v>55391.0</v>
      </c>
      <c r="F7" s="10"/>
      <c r="G7" s="2" t="n">
        <f>1530827332150</f>
        <v>1.53082733215E12</v>
      </c>
      <c r="H7" s="10"/>
      <c r="I7" s="2" t="n">
        <f>5063</f>
        <v>5063.0</v>
      </c>
      <c r="J7" s="10"/>
      <c r="K7" s="2" t="n">
        <f>310886</f>
        <v>310886.0</v>
      </c>
    </row>
    <row r="8">
      <c r="A8" s="8" t="s">
        <v>21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22</v>
      </c>
      <c r="B9" s="9" t="s">
        <v>17</v>
      </c>
      <c r="C9" s="9" t="s">
        <v>18</v>
      </c>
      <c r="D9" s="10"/>
      <c r="E9" s="2" t="n">
        <f>110931</f>
        <v>110931.0</v>
      </c>
      <c r="F9" s="10"/>
      <c r="G9" s="2" t="n">
        <f>3027734231300</f>
        <v>3.0277342313E12</v>
      </c>
      <c r="H9" s="10"/>
      <c r="I9" s="2" t="n">
        <f>10169</f>
        <v>10169.0</v>
      </c>
      <c r="J9" s="10"/>
      <c r="K9" s="2" t="n">
        <f>312176</f>
        <v>312176.0</v>
      </c>
    </row>
    <row r="10">
      <c r="A10" s="8" t="s">
        <v>23</v>
      </c>
      <c r="B10" s="9" t="s">
        <v>17</v>
      </c>
      <c r="C10" s="9" t="s">
        <v>18</v>
      </c>
      <c r="D10" s="10"/>
      <c r="E10" s="2"/>
      <c r="F10" s="10"/>
      <c r="G10" s="2"/>
      <c r="H10" s="10"/>
      <c r="I10" s="2"/>
      <c r="J10" s="10"/>
      <c r="K10" s="2"/>
    </row>
    <row r="11">
      <c r="A11" s="8" t="s">
        <v>24</v>
      </c>
      <c r="B11" s="9" t="s">
        <v>17</v>
      </c>
      <c r="C11" s="9" t="s">
        <v>18</v>
      </c>
      <c r="D11" s="10"/>
      <c r="E11" s="2"/>
      <c r="F11" s="10"/>
      <c r="G11" s="2"/>
      <c r="H11" s="10"/>
      <c r="I11" s="2"/>
      <c r="J11" s="10"/>
      <c r="K11" s="2"/>
    </row>
    <row r="12">
      <c r="A12" s="8" t="s">
        <v>25</v>
      </c>
      <c r="B12" s="9" t="s">
        <v>17</v>
      </c>
      <c r="C12" s="9" t="s">
        <v>18</v>
      </c>
      <c r="D12" s="10"/>
      <c r="E12" s="2" t="n">
        <f>89012</f>
        <v>89012.0</v>
      </c>
      <c r="F12" s="10"/>
      <c r="G12" s="2" t="n">
        <f>2440934221070</f>
        <v>2.44093422107E12</v>
      </c>
      <c r="H12" s="10"/>
      <c r="I12" s="2" t="n">
        <f>7488</f>
        <v>7488.0</v>
      </c>
      <c r="J12" s="10"/>
      <c r="K12" s="2" t="n">
        <f>309872</f>
        <v>309872.0</v>
      </c>
    </row>
    <row r="13">
      <c r="A13" s="8" t="s">
        <v>26</v>
      </c>
      <c r="B13" s="9" t="s">
        <v>17</v>
      </c>
      <c r="C13" s="9" t="s">
        <v>18</v>
      </c>
      <c r="D13" s="10"/>
      <c r="E13" s="2" t="n">
        <f>82560</f>
        <v>82560.0</v>
      </c>
      <c r="F13" s="10"/>
      <c r="G13" s="2" t="n">
        <f>2292488117880</f>
        <v>2.29248811788E12</v>
      </c>
      <c r="H13" s="10" t="s">
        <v>27</v>
      </c>
      <c r="I13" s="2" t="n">
        <f>11566</f>
        <v>11566.0</v>
      </c>
      <c r="J13" s="10"/>
      <c r="K13" s="2" t="n">
        <f>309906</f>
        <v>309906.0</v>
      </c>
    </row>
    <row r="14">
      <c r="A14" s="8" t="s">
        <v>28</v>
      </c>
      <c r="B14" s="9" t="s">
        <v>17</v>
      </c>
      <c r="C14" s="9" t="s">
        <v>18</v>
      </c>
      <c r="D14" s="10"/>
      <c r="E14" s="2" t="n">
        <f>66481</f>
        <v>66481.0</v>
      </c>
      <c r="F14" s="10"/>
      <c r="G14" s="2" t="n">
        <f>1847705621330</f>
        <v>1.84770562133E12</v>
      </c>
      <c r="H14" s="10"/>
      <c r="I14" s="2" t="n">
        <f>7120</f>
        <v>7120.0</v>
      </c>
      <c r="J14" s="10"/>
      <c r="K14" s="2" t="n">
        <f>312006</f>
        <v>312006.0</v>
      </c>
    </row>
    <row r="15">
      <c r="A15" s="8" t="s">
        <v>29</v>
      </c>
      <c r="B15" s="9" t="s">
        <v>17</v>
      </c>
      <c r="C15" s="9" t="s">
        <v>18</v>
      </c>
      <c r="D15" s="10"/>
      <c r="E15" s="2" t="n">
        <f>63330</f>
        <v>63330.0</v>
      </c>
      <c r="F15" s="10"/>
      <c r="G15" s="2" t="n">
        <f>1741687725200</f>
        <v>1.7416877252E12</v>
      </c>
      <c r="H15" s="10"/>
      <c r="I15" s="2" t="n">
        <f>5547</f>
        <v>5547.0</v>
      </c>
      <c r="J15" s="10"/>
      <c r="K15" s="2" t="n">
        <f>314098</f>
        <v>314098.0</v>
      </c>
    </row>
    <row r="16">
      <c r="A16" s="8" t="s">
        <v>30</v>
      </c>
      <c r="B16" s="9" t="s">
        <v>17</v>
      </c>
      <c r="C16" s="9" t="s">
        <v>18</v>
      </c>
      <c r="D16" s="10" t="s">
        <v>27</v>
      </c>
      <c r="E16" s="2" t="n">
        <f>114780</f>
        <v>114780.0</v>
      </c>
      <c r="F16" s="10" t="s">
        <v>27</v>
      </c>
      <c r="G16" s="2" t="n">
        <f>3219056122660</f>
        <v>3.21905612266E12</v>
      </c>
      <c r="H16" s="10"/>
      <c r="I16" s="2" t="n">
        <f>8694</f>
        <v>8694.0</v>
      </c>
      <c r="J16" s="10"/>
      <c r="K16" s="2" t="n">
        <f>310703</f>
        <v>310703.0</v>
      </c>
    </row>
    <row r="17">
      <c r="A17" s="8" t="s">
        <v>31</v>
      </c>
      <c r="B17" s="9" t="s">
        <v>17</v>
      </c>
      <c r="C17" s="9" t="s">
        <v>18</v>
      </c>
      <c r="D17" s="10"/>
      <c r="E17" s="2"/>
      <c r="F17" s="10"/>
      <c r="G17" s="2"/>
      <c r="H17" s="10"/>
      <c r="I17" s="2"/>
      <c r="J17" s="10"/>
      <c r="K17" s="2"/>
    </row>
    <row r="18">
      <c r="A18" s="8" t="s">
        <v>32</v>
      </c>
      <c r="B18" s="9" t="s">
        <v>17</v>
      </c>
      <c r="C18" s="9" t="s">
        <v>18</v>
      </c>
      <c r="D18" s="10"/>
      <c r="E18" s="2"/>
      <c r="F18" s="10"/>
      <c r="G18" s="2"/>
      <c r="H18" s="10"/>
      <c r="I18" s="2"/>
      <c r="J18" s="10"/>
      <c r="K18" s="2"/>
    </row>
    <row r="19">
      <c r="A19" s="8" t="s">
        <v>33</v>
      </c>
      <c r="B19" s="9" t="s">
        <v>17</v>
      </c>
      <c r="C19" s="9" t="s">
        <v>18</v>
      </c>
      <c r="D19" s="10"/>
      <c r="E19" s="2" t="n">
        <f>83306</f>
        <v>83306.0</v>
      </c>
      <c r="F19" s="10"/>
      <c r="G19" s="2" t="n">
        <f>2338349501390</f>
        <v>2.33834950139E12</v>
      </c>
      <c r="H19" s="10"/>
      <c r="I19" s="2" t="n">
        <f>7809</f>
        <v>7809.0</v>
      </c>
      <c r="J19" s="10"/>
      <c r="K19" s="2" t="n">
        <f>315511</f>
        <v>315511.0</v>
      </c>
    </row>
    <row r="20">
      <c r="A20" s="8" t="s">
        <v>34</v>
      </c>
      <c r="B20" s="9" t="s">
        <v>17</v>
      </c>
      <c r="C20" s="9" t="s">
        <v>18</v>
      </c>
      <c r="D20" s="10"/>
      <c r="E20" s="2" t="n">
        <f>54977</f>
        <v>54977.0</v>
      </c>
      <c r="F20" s="10"/>
      <c r="G20" s="2" t="n">
        <f>1538736269300</f>
        <v>1.5387362693E12</v>
      </c>
      <c r="H20" s="10"/>
      <c r="I20" s="2" t="n">
        <f>5210</f>
        <v>5210.0</v>
      </c>
      <c r="J20" s="10"/>
      <c r="K20" s="2" t="n">
        <f>326182</f>
        <v>326182.0</v>
      </c>
    </row>
    <row r="21">
      <c r="A21" s="8" t="s">
        <v>35</v>
      </c>
      <c r="B21" s="9" t="s">
        <v>17</v>
      </c>
      <c r="C21" s="9" t="s">
        <v>18</v>
      </c>
      <c r="D21" s="10"/>
      <c r="E21" s="2" t="n">
        <f>77758</f>
        <v>77758.0</v>
      </c>
      <c r="F21" s="10"/>
      <c r="G21" s="2" t="n">
        <f>2172569144694</f>
        <v>2.172569144694E12</v>
      </c>
      <c r="H21" s="10"/>
      <c r="I21" s="2" t="n">
        <f>5608</f>
        <v>5608.0</v>
      </c>
      <c r="J21" s="10"/>
      <c r="K21" s="2" t="n">
        <f>316986</f>
        <v>316986.0</v>
      </c>
    </row>
    <row r="22">
      <c r="A22" s="8" t="s">
        <v>36</v>
      </c>
      <c r="B22" s="9" t="s">
        <v>17</v>
      </c>
      <c r="C22" s="9" t="s">
        <v>18</v>
      </c>
      <c r="D22" s="10"/>
      <c r="E22" s="2" t="n">
        <f>54080</f>
        <v>54080.0</v>
      </c>
      <c r="F22" s="10"/>
      <c r="G22" s="2" t="n">
        <f>1511204538030</f>
        <v>1.51120453803E12</v>
      </c>
      <c r="H22" s="10"/>
      <c r="I22" s="2" t="n">
        <f>3465</f>
        <v>3465.0</v>
      </c>
      <c r="J22" s="10"/>
      <c r="K22" s="2" t="n">
        <f>317162</f>
        <v>317162.0</v>
      </c>
    </row>
    <row r="23">
      <c r="A23" s="8" t="s">
        <v>37</v>
      </c>
      <c r="B23" s="9" t="s">
        <v>17</v>
      </c>
      <c r="C23" s="9" t="s">
        <v>18</v>
      </c>
      <c r="D23" s="10"/>
      <c r="E23" s="2" t="n">
        <f>63725</f>
        <v>63725.0</v>
      </c>
      <c r="F23" s="10"/>
      <c r="G23" s="2" t="n">
        <f>1779016812610</f>
        <v>1.77901681261E12</v>
      </c>
      <c r="H23" s="10"/>
      <c r="I23" s="2" t="n">
        <f>4270</f>
        <v>4270.0</v>
      </c>
      <c r="J23" s="10"/>
      <c r="K23" s="2" t="n">
        <f>318972</f>
        <v>318972.0</v>
      </c>
    </row>
    <row r="24">
      <c r="A24" s="8" t="s">
        <v>38</v>
      </c>
      <c r="B24" s="9" t="s">
        <v>17</v>
      </c>
      <c r="C24" s="9" t="s">
        <v>18</v>
      </c>
      <c r="D24" s="10"/>
      <c r="E24" s="2"/>
      <c r="F24" s="10"/>
      <c r="G24" s="2"/>
      <c r="H24" s="10"/>
      <c r="I24" s="2"/>
      <c r="J24" s="10"/>
      <c r="K24" s="2"/>
    </row>
    <row r="25">
      <c r="A25" s="8" t="s">
        <v>39</v>
      </c>
      <c r="B25" s="9" t="s">
        <v>17</v>
      </c>
      <c r="C25" s="9" t="s">
        <v>18</v>
      </c>
      <c r="D25" s="10"/>
      <c r="E25" s="2"/>
      <c r="F25" s="10"/>
      <c r="G25" s="2"/>
      <c r="H25" s="10"/>
      <c r="I25" s="2"/>
      <c r="J25" s="10"/>
      <c r="K25" s="2"/>
    </row>
    <row r="26">
      <c r="A26" s="8" t="s">
        <v>40</v>
      </c>
      <c r="B26" s="9" t="s">
        <v>17</v>
      </c>
      <c r="C26" s="9" t="s">
        <v>18</v>
      </c>
      <c r="D26" s="10" t="s">
        <v>19</v>
      </c>
      <c r="E26" s="2" t="n">
        <f>42529</f>
        <v>42529.0</v>
      </c>
      <c r="F26" s="10" t="s">
        <v>19</v>
      </c>
      <c r="G26" s="2" t="n">
        <f>1187391885180</f>
        <v>1.18739188518E12</v>
      </c>
      <c r="H26" s="10" t="s">
        <v>19</v>
      </c>
      <c r="I26" s="2" t="n">
        <f>1992</f>
        <v>1992.0</v>
      </c>
      <c r="J26" s="10"/>
      <c r="K26" s="2" t="n">
        <f>321173</f>
        <v>321173.0</v>
      </c>
    </row>
    <row r="27">
      <c r="A27" s="8" t="s">
        <v>41</v>
      </c>
      <c r="B27" s="9" t="s">
        <v>17</v>
      </c>
      <c r="C27" s="9" t="s">
        <v>18</v>
      </c>
      <c r="D27" s="10"/>
      <c r="E27" s="2" t="n">
        <f>54659</f>
        <v>54659.0</v>
      </c>
      <c r="F27" s="10"/>
      <c r="G27" s="2" t="n">
        <f>1536129984560</f>
        <v>1.53612998456E12</v>
      </c>
      <c r="H27" s="10"/>
      <c r="I27" s="2" t="n">
        <f>3595</f>
        <v>3595.0</v>
      </c>
      <c r="J27" s="10"/>
      <c r="K27" s="2" t="n">
        <f>324198</f>
        <v>324198.0</v>
      </c>
    </row>
    <row r="28">
      <c r="A28" s="8" t="s">
        <v>42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43</v>
      </c>
      <c r="B29" s="9" t="s">
        <v>17</v>
      </c>
      <c r="C29" s="9" t="s">
        <v>18</v>
      </c>
      <c r="D29" s="10"/>
      <c r="E29" s="2" t="n">
        <f>74818</f>
        <v>74818.0</v>
      </c>
      <c r="F29" s="10"/>
      <c r="G29" s="2" t="n">
        <f>2120561966880</f>
        <v>2.12056196688E12</v>
      </c>
      <c r="H29" s="10"/>
      <c r="I29" s="2" t="n">
        <f>9579</f>
        <v>9579.0</v>
      </c>
      <c r="J29" s="10"/>
      <c r="K29" s="2" t="n">
        <f>328611</f>
        <v>328611.0</v>
      </c>
    </row>
    <row r="30">
      <c r="A30" s="8" t="s">
        <v>44</v>
      </c>
      <c r="B30" s="9" t="s">
        <v>17</v>
      </c>
      <c r="C30" s="9" t="s">
        <v>18</v>
      </c>
      <c r="D30" s="10"/>
      <c r="E30" s="2" t="n">
        <f>53723</f>
        <v>53723.0</v>
      </c>
      <c r="F30" s="10"/>
      <c r="G30" s="2" t="n">
        <f>1520101001755</f>
        <v>1.520101001755E12</v>
      </c>
      <c r="H30" s="10"/>
      <c r="I30" s="2" t="n">
        <f>2869</f>
        <v>2869.0</v>
      </c>
      <c r="J30" s="10"/>
      <c r="K30" s="2" t="n">
        <f>333591</f>
        <v>333591.0</v>
      </c>
    </row>
    <row r="31">
      <c r="A31" s="8" t="s">
        <v>45</v>
      </c>
      <c r="B31" s="9" t="s">
        <v>17</v>
      </c>
      <c r="C31" s="9" t="s">
        <v>18</v>
      </c>
      <c r="D31" s="10"/>
      <c r="E31" s="2"/>
      <c r="F31" s="10"/>
      <c r="G31" s="2"/>
      <c r="H31" s="10"/>
      <c r="I31" s="2"/>
      <c r="J31" s="10"/>
      <c r="K31" s="2"/>
    </row>
    <row r="32">
      <c r="A32" s="8" t="s">
        <v>46</v>
      </c>
      <c r="B32" s="9" t="s">
        <v>17</v>
      </c>
      <c r="C32" s="9" t="s">
        <v>18</v>
      </c>
      <c r="D32" s="10"/>
      <c r="E32" s="2"/>
      <c r="F32" s="10"/>
      <c r="G32" s="2"/>
      <c r="H32" s="10"/>
      <c r="I32" s="2"/>
      <c r="J32" s="10"/>
      <c r="K32" s="2"/>
    </row>
    <row r="33">
      <c r="A33" s="8" t="s">
        <v>47</v>
      </c>
      <c r="B33" s="9" t="s">
        <v>17</v>
      </c>
      <c r="C33" s="9" t="s">
        <v>18</v>
      </c>
      <c r="D33" s="10"/>
      <c r="E33" s="2" t="n">
        <f>49783</f>
        <v>49783.0</v>
      </c>
      <c r="F33" s="10"/>
      <c r="G33" s="2" t="n">
        <f>1402439980780</f>
        <v>1.40243998078E12</v>
      </c>
      <c r="H33" s="10"/>
      <c r="I33" s="2" t="n">
        <f>3665</f>
        <v>3665.0</v>
      </c>
      <c r="J33" s="10"/>
      <c r="K33" s="2" t="n">
        <f>336810</f>
        <v>336810.0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58991</f>
        <v>58991.0</v>
      </c>
      <c r="F34" s="10"/>
      <c r="G34" s="2" t="n">
        <f>1654681358550</f>
        <v>1.65468135855E12</v>
      </c>
      <c r="H34" s="10"/>
      <c r="I34" s="2" t="n">
        <f>6153</f>
        <v>6153.0</v>
      </c>
      <c r="J34" s="10" t="s">
        <v>27</v>
      </c>
      <c r="K34" s="2" t="n">
        <f>342777</f>
        <v>342777.0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64078</f>
        <v>64078.0</v>
      </c>
      <c r="F35" s="10"/>
      <c r="G35" s="2" t="n">
        <f>1788775639170</f>
        <v>1.78877563917E12</v>
      </c>
      <c r="H35" s="10"/>
      <c r="I35" s="2" t="n">
        <f>6969</f>
        <v>6969.0</v>
      </c>
      <c r="J35" s="10"/>
      <c r="K35" s="2" t="n">
        <f>341921</f>
        <v>341921.0</v>
      </c>
    </row>
    <row r="36">
      <c r="A36" s="8" t="s">
        <v>16</v>
      </c>
      <c r="B36" s="9" t="s">
        <v>50</v>
      </c>
      <c r="C36" s="9" t="s">
        <v>51</v>
      </c>
      <c r="D36" s="10"/>
      <c r="E36" s="2" t="n">
        <f>767508</f>
        <v>767508.0</v>
      </c>
      <c r="F36" s="10"/>
      <c r="G36" s="2" t="n">
        <f>2116352780810</f>
        <v>2.11635278081E12</v>
      </c>
      <c r="H36" s="10"/>
      <c r="I36" s="2" t="n">
        <f>65685</f>
        <v>65685.0</v>
      </c>
      <c r="J36" s="10"/>
      <c r="K36" s="2" t="n">
        <f>525880</f>
        <v>525880.0</v>
      </c>
    </row>
    <row r="37">
      <c r="A37" s="8" t="s">
        <v>20</v>
      </c>
      <c r="B37" s="9" t="s">
        <v>50</v>
      </c>
      <c r="C37" s="9" t="s">
        <v>51</v>
      </c>
      <c r="D37" s="10"/>
      <c r="E37" s="2" t="n">
        <f>795628</f>
        <v>795628.0</v>
      </c>
      <c r="F37" s="10"/>
      <c r="G37" s="2" t="n">
        <f>2199013392899</f>
        <v>2.199013392899E12</v>
      </c>
      <c r="H37" s="10"/>
      <c r="I37" s="2" t="n">
        <f>64355</f>
        <v>64355.0</v>
      </c>
      <c r="J37" s="10"/>
      <c r="K37" s="2" t="n">
        <f>528617</f>
        <v>528617.0</v>
      </c>
    </row>
    <row r="38">
      <c r="A38" s="8" t="s">
        <v>21</v>
      </c>
      <c r="B38" s="9" t="s">
        <v>50</v>
      </c>
      <c r="C38" s="9" t="s">
        <v>51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22</v>
      </c>
      <c r="B39" s="9" t="s">
        <v>50</v>
      </c>
      <c r="C39" s="9" t="s">
        <v>51</v>
      </c>
      <c r="D39" s="10" t="s">
        <v>27</v>
      </c>
      <c r="E39" s="2" t="n">
        <f>1601376</f>
        <v>1601376.0</v>
      </c>
      <c r="F39" s="10" t="s">
        <v>27</v>
      </c>
      <c r="G39" s="2" t="n">
        <f>4376113602384</f>
        <v>4.376113602384E12</v>
      </c>
      <c r="H39" s="10" t="s">
        <v>27</v>
      </c>
      <c r="I39" s="2" t="n">
        <f>138631</f>
        <v>138631.0</v>
      </c>
      <c r="J39" s="10"/>
      <c r="K39" s="2" t="n">
        <f>547748</f>
        <v>547748.0</v>
      </c>
    </row>
    <row r="40">
      <c r="A40" s="8" t="s">
        <v>23</v>
      </c>
      <c r="B40" s="9" t="s">
        <v>50</v>
      </c>
      <c r="C40" s="9" t="s">
        <v>51</v>
      </c>
      <c r="D40" s="10"/>
      <c r="E40" s="2"/>
      <c r="F40" s="10"/>
      <c r="G40" s="2"/>
      <c r="H40" s="10"/>
      <c r="I40" s="2"/>
      <c r="J40" s="10"/>
      <c r="K40" s="2"/>
    </row>
    <row r="41">
      <c r="A41" s="8" t="s">
        <v>24</v>
      </c>
      <c r="B41" s="9" t="s">
        <v>50</v>
      </c>
      <c r="C41" s="9" t="s">
        <v>51</v>
      </c>
      <c r="D41" s="10"/>
      <c r="E41" s="2"/>
      <c r="F41" s="10"/>
      <c r="G41" s="2"/>
      <c r="H41" s="10"/>
      <c r="I41" s="2"/>
      <c r="J41" s="10"/>
      <c r="K41" s="2"/>
    </row>
    <row r="42">
      <c r="A42" s="8" t="s">
        <v>25</v>
      </c>
      <c r="B42" s="9" t="s">
        <v>50</v>
      </c>
      <c r="C42" s="9" t="s">
        <v>51</v>
      </c>
      <c r="D42" s="10"/>
      <c r="E42" s="2" t="n">
        <f>1292771</f>
        <v>1292771.0</v>
      </c>
      <c r="F42" s="10"/>
      <c r="G42" s="2" t="n">
        <f>3543564918969</f>
        <v>3.543564918969E12</v>
      </c>
      <c r="H42" s="10"/>
      <c r="I42" s="2" t="n">
        <f>104017</f>
        <v>104017.0</v>
      </c>
      <c r="J42" s="10"/>
      <c r="K42" s="2" t="n">
        <f>546256</f>
        <v>546256.0</v>
      </c>
    </row>
    <row r="43">
      <c r="A43" s="8" t="s">
        <v>26</v>
      </c>
      <c r="B43" s="9" t="s">
        <v>50</v>
      </c>
      <c r="C43" s="9" t="s">
        <v>51</v>
      </c>
      <c r="D43" s="10"/>
      <c r="E43" s="2" t="n">
        <f>957403</f>
        <v>957403.0</v>
      </c>
      <c r="F43" s="10"/>
      <c r="G43" s="2" t="n">
        <f>2655733044555</f>
        <v>2.655733044555E12</v>
      </c>
      <c r="H43" s="10"/>
      <c r="I43" s="2" t="n">
        <f>79834</f>
        <v>79834.0</v>
      </c>
      <c r="J43" s="10"/>
      <c r="K43" s="2" t="n">
        <f>602569</f>
        <v>602569.0</v>
      </c>
    </row>
    <row r="44">
      <c r="A44" s="8" t="s">
        <v>28</v>
      </c>
      <c r="B44" s="9" t="s">
        <v>50</v>
      </c>
      <c r="C44" s="9" t="s">
        <v>51</v>
      </c>
      <c r="D44" s="10"/>
      <c r="E44" s="2" t="n">
        <f>892827</f>
        <v>892827.0</v>
      </c>
      <c r="F44" s="10"/>
      <c r="G44" s="2" t="n">
        <f>2485026927454</f>
        <v>2.485026927454E12</v>
      </c>
      <c r="H44" s="10"/>
      <c r="I44" s="2" t="n">
        <f>70602</f>
        <v>70602.0</v>
      </c>
      <c r="J44" s="10"/>
      <c r="K44" s="2" t="n">
        <f>589076</f>
        <v>589076.0</v>
      </c>
    </row>
    <row r="45">
      <c r="A45" s="8" t="s">
        <v>29</v>
      </c>
      <c r="B45" s="9" t="s">
        <v>50</v>
      </c>
      <c r="C45" s="9" t="s">
        <v>51</v>
      </c>
      <c r="D45" s="10"/>
      <c r="E45" s="2" t="n">
        <f>926328</f>
        <v>926328.0</v>
      </c>
      <c r="F45" s="10"/>
      <c r="G45" s="2" t="n">
        <f>2550412640237</f>
        <v>2.550412640237E12</v>
      </c>
      <c r="H45" s="10"/>
      <c r="I45" s="2" t="n">
        <f>87745</f>
        <v>87745.0</v>
      </c>
      <c r="J45" s="10"/>
      <c r="K45" s="2" t="n">
        <f>601958</f>
        <v>601958.0</v>
      </c>
    </row>
    <row r="46">
      <c r="A46" s="8" t="s">
        <v>30</v>
      </c>
      <c r="B46" s="9" t="s">
        <v>50</v>
      </c>
      <c r="C46" s="9" t="s">
        <v>51</v>
      </c>
      <c r="D46" s="10"/>
      <c r="E46" s="2" t="n">
        <f>1355658</f>
        <v>1355658.0</v>
      </c>
      <c r="F46" s="10"/>
      <c r="G46" s="2" t="n">
        <f>3794051780026</f>
        <v>3.794051780026E12</v>
      </c>
      <c r="H46" s="10"/>
      <c r="I46" s="2" t="n">
        <f>129678</f>
        <v>129678.0</v>
      </c>
      <c r="J46" s="10" t="s">
        <v>27</v>
      </c>
      <c r="K46" s="2" t="n">
        <f>609315</f>
        <v>609315.0</v>
      </c>
    </row>
    <row r="47">
      <c r="A47" s="8" t="s">
        <v>31</v>
      </c>
      <c r="B47" s="9" t="s">
        <v>50</v>
      </c>
      <c r="C47" s="9" t="s">
        <v>51</v>
      </c>
      <c r="D47" s="10"/>
      <c r="E47" s="2"/>
      <c r="F47" s="10"/>
      <c r="G47" s="2"/>
      <c r="H47" s="10"/>
      <c r="I47" s="2"/>
      <c r="J47" s="10"/>
      <c r="K47" s="2"/>
    </row>
    <row r="48">
      <c r="A48" s="8" t="s">
        <v>32</v>
      </c>
      <c r="B48" s="9" t="s">
        <v>50</v>
      </c>
      <c r="C48" s="9" t="s">
        <v>51</v>
      </c>
      <c r="D48" s="10"/>
      <c r="E48" s="2"/>
      <c r="F48" s="10"/>
      <c r="G48" s="2"/>
      <c r="H48" s="10"/>
      <c r="I48" s="2"/>
      <c r="J48" s="10"/>
      <c r="K48" s="2"/>
    </row>
    <row r="49">
      <c r="A49" s="8" t="s">
        <v>33</v>
      </c>
      <c r="B49" s="9" t="s">
        <v>50</v>
      </c>
      <c r="C49" s="9" t="s">
        <v>51</v>
      </c>
      <c r="D49" s="10"/>
      <c r="E49" s="2" t="n">
        <f>1002576</f>
        <v>1002576.0</v>
      </c>
      <c r="F49" s="10"/>
      <c r="G49" s="2" t="n">
        <f>2816137819490</f>
        <v>2.81613781949E12</v>
      </c>
      <c r="H49" s="10"/>
      <c r="I49" s="2" t="n">
        <f>91998</f>
        <v>91998.0</v>
      </c>
      <c r="J49" s="10"/>
      <c r="K49" s="2" t="n">
        <f>499542</f>
        <v>499542.0</v>
      </c>
    </row>
    <row r="50">
      <c r="A50" s="8" t="s">
        <v>34</v>
      </c>
      <c r="B50" s="9" t="s">
        <v>50</v>
      </c>
      <c r="C50" s="9" t="s">
        <v>51</v>
      </c>
      <c r="D50" s="10"/>
      <c r="E50" s="2" t="n">
        <f>677483</f>
        <v>677483.0</v>
      </c>
      <c r="F50" s="10"/>
      <c r="G50" s="2" t="n">
        <f>1897438317676</f>
        <v>1.897438317676E12</v>
      </c>
      <c r="H50" s="10"/>
      <c r="I50" s="2" t="n">
        <f>58484</f>
        <v>58484.0</v>
      </c>
      <c r="J50" s="10"/>
      <c r="K50" s="2" t="n">
        <f>594339</f>
        <v>594339.0</v>
      </c>
    </row>
    <row r="51">
      <c r="A51" s="8" t="s">
        <v>35</v>
      </c>
      <c r="B51" s="9" t="s">
        <v>50</v>
      </c>
      <c r="C51" s="9" t="s">
        <v>51</v>
      </c>
      <c r="D51" s="10"/>
      <c r="E51" s="2" t="n">
        <f>1112055</f>
        <v>1112055.0</v>
      </c>
      <c r="F51" s="10"/>
      <c r="G51" s="2" t="n">
        <f>3110893537688</f>
        <v>3.110893537688E12</v>
      </c>
      <c r="H51" s="10"/>
      <c r="I51" s="2" t="n">
        <f>98634</f>
        <v>98634.0</v>
      </c>
      <c r="J51" s="10"/>
      <c r="K51" s="2" t="n">
        <f>493533</f>
        <v>493533.0</v>
      </c>
    </row>
    <row r="52">
      <c r="A52" s="8" t="s">
        <v>36</v>
      </c>
      <c r="B52" s="9" t="s">
        <v>50</v>
      </c>
      <c r="C52" s="9" t="s">
        <v>51</v>
      </c>
      <c r="D52" s="10"/>
      <c r="E52" s="2" t="n">
        <f>671159</f>
        <v>671159.0</v>
      </c>
      <c r="F52" s="10"/>
      <c r="G52" s="2" t="n">
        <f>1877121366610</f>
        <v>1.87712136661E12</v>
      </c>
      <c r="H52" s="10"/>
      <c r="I52" s="2" t="n">
        <f>58925</f>
        <v>58925.0</v>
      </c>
      <c r="J52" s="10" t="s">
        <v>19</v>
      </c>
      <c r="K52" s="2" t="n">
        <f>493322</f>
        <v>493322.0</v>
      </c>
    </row>
    <row r="53">
      <c r="A53" s="8" t="s">
        <v>37</v>
      </c>
      <c r="B53" s="9" t="s">
        <v>50</v>
      </c>
      <c r="C53" s="9" t="s">
        <v>51</v>
      </c>
      <c r="D53" s="10"/>
      <c r="E53" s="2" t="n">
        <f>819646</f>
        <v>819646.0</v>
      </c>
      <c r="F53" s="10"/>
      <c r="G53" s="2" t="n">
        <f>2288663488936</f>
        <v>2.288663488936E12</v>
      </c>
      <c r="H53" s="10"/>
      <c r="I53" s="2" t="n">
        <f>76808</f>
        <v>76808.0</v>
      </c>
      <c r="J53" s="10"/>
      <c r="K53" s="2" t="n">
        <f>509371</f>
        <v>509371.0</v>
      </c>
    </row>
    <row r="54">
      <c r="A54" s="8" t="s">
        <v>38</v>
      </c>
      <c r="B54" s="9" t="s">
        <v>50</v>
      </c>
      <c r="C54" s="9" t="s">
        <v>51</v>
      </c>
      <c r="D54" s="10"/>
      <c r="E54" s="2"/>
      <c r="F54" s="10"/>
      <c r="G54" s="2"/>
      <c r="H54" s="10"/>
      <c r="I54" s="2"/>
      <c r="J54" s="10"/>
      <c r="K54" s="2"/>
    </row>
    <row r="55">
      <c r="A55" s="8" t="s">
        <v>39</v>
      </c>
      <c r="B55" s="9" t="s">
        <v>50</v>
      </c>
      <c r="C55" s="9" t="s">
        <v>51</v>
      </c>
      <c r="D55" s="10"/>
      <c r="E55" s="2"/>
      <c r="F55" s="10"/>
      <c r="G55" s="2"/>
      <c r="H55" s="10"/>
      <c r="I55" s="2"/>
      <c r="J55" s="10"/>
      <c r="K55" s="2"/>
    </row>
    <row r="56">
      <c r="A56" s="8" t="s">
        <v>40</v>
      </c>
      <c r="B56" s="9" t="s">
        <v>50</v>
      </c>
      <c r="C56" s="9" t="s">
        <v>51</v>
      </c>
      <c r="D56" s="10"/>
      <c r="E56" s="2" t="n">
        <f>674732</f>
        <v>674732.0</v>
      </c>
      <c r="F56" s="10"/>
      <c r="G56" s="2" t="n">
        <f>1883876390630</f>
        <v>1.88387639063E12</v>
      </c>
      <c r="H56" s="10"/>
      <c r="I56" s="2" t="n">
        <f>58151</f>
        <v>58151.0</v>
      </c>
      <c r="J56" s="10"/>
      <c r="K56" s="2" t="n">
        <f>512728</f>
        <v>512728.0</v>
      </c>
    </row>
    <row r="57">
      <c r="A57" s="8" t="s">
        <v>41</v>
      </c>
      <c r="B57" s="9" t="s">
        <v>50</v>
      </c>
      <c r="C57" s="9" t="s">
        <v>51</v>
      </c>
      <c r="D57" s="10"/>
      <c r="E57" s="2" t="n">
        <f>717621</f>
        <v>717621.0</v>
      </c>
      <c r="F57" s="10"/>
      <c r="G57" s="2" t="n">
        <f>2015329142096</f>
        <v>2.015329142096E12</v>
      </c>
      <c r="H57" s="10"/>
      <c r="I57" s="2" t="n">
        <f>57765</f>
        <v>57765.0</v>
      </c>
      <c r="J57" s="10"/>
      <c r="K57" s="2" t="n">
        <f>530501</f>
        <v>530501.0</v>
      </c>
    </row>
    <row r="58">
      <c r="A58" s="8" t="s">
        <v>42</v>
      </c>
      <c r="B58" s="9" t="s">
        <v>50</v>
      </c>
      <c r="C58" s="9" t="s">
        <v>51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43</v>
      </c>
      <c r="B59" s="9" t="s">
        <v>50</v>
      </c>
      <c r="C59" s="9" t="s">
        <v>51</v>
      </c>
      <c r="D59" s="10"/>
      <c r="E59" s="2" t="n">
        <f>957322</f>
        <v>957322.0</v>
      </c>
      <c r="F59" s="10"/>
      <c r="G59" s="2" t="n">
        <f>2711603127073</f>
        <v>2.711603127073E12</v>
      </c>
      <c r="H59" s="10"/>
      <c r="I59" s="2" t="n">
        <f>76737</f>
        <v>76737.0</v>
      </c>
      <c r="J59" s="10"/>
      <c r="K59" s="2" t="n">
        <f>554245</f>
        <v>554245.0</v>
      </c>
    </row>
    <row r="60">
      <c r="A60" s="8" t="s">
        <v>44</v>
      </c>
      <c r="B60" s="9" t="s">
        <v>50</v>
      </c>
      <c r="C60" s="9" t="s">
        <v>51</v>
      </c>
      <c r="D60" s="10" t="s">
        <v>19</v>
      </c>
      <c r="E60" s="2" t="n">
        <f>456958</f>
        <v>456958.0</v>
      </c>
      <c r="F60" s="10" t="s">
        <v>19</v>
      </c>
      <c r="G60" s="2" t="n">
        <f>1294211024252</f>
        <v>1.294211024252E12</v>
      </c>
      <c r="H60" s="10" t="s">
        <v>19</v>
      </c>
      <c r="I60" s="2" t="n">
        <f>41401</f>
        <v>41401.0</v>
      </c>
      <c r="J60" s="10"/>
      <c r="K60" s="2" t="n">
        <f>546453</f>
        <v>546453.0</v>
      </c>
    </row>
    <row r="61">
      <c r="A61" s="8" t="s">
        <v>45</v>
      </c>
      <c r="B61" s="9" t="s">
        <v>50</v>
      </c>
      <c r="C61" s="9" t="s">
        <v>51</v>
      </c>
      <c r="D61" s="10"/>
      <c r="E61" s="2"/>
      <c r="F61" s="10"/>
      <c r="G61" s="2"/>
      <c r="H61" s="10"/>
      <c r="I61" s="2"/>
      <c r="J61" s="10"/>
      <c r="K61" s="2"/>
    </row>
    <row r="62">
      <c r="A62" s="8" t="s">
        <v>46</v>
      </c>
      <c r="B62" s="9" t="s">
        <v>50</v>
      </c>
      <c r="C62" s="9" t="s">
        <v>51</v>
      </c>
      <c r="D62" s="10"/>
      <c r="E62" s="2"/>
      <c r="F62" s="10"/>
      <c r="G62" s="2"/>
      <c r="H62" s="10"/>
      <c r="I62" s="2"/>
      <c r="J62" s="10"/>
      <c r="K62" s="2"/>
    </row>
    <row r="63">
      <c r="A63" s="8" t="s">
        <v>47</v>
      </c>
      <c r="B63" s="9" t="s">
        <v>50</v>
      </c>
      <c r="C63" s="9" t="s">
        <v>51</v>
      </c>
      <c r="D63" s="10"/>
      <c r="E63" s="2" t="n">
        <f>596397</f>
        <v>596397.0</v>
      </c>
      <c r="F63" s="10"/>
      <c r="G63" s="2" t="n">
        <f>1681191252116</f>
        <v>1.681191252116E12</v>
      </c>
      <c r="H63" s="10"/>
      <c r="I63" s="2" t="n">
        <f>58725</f>
        <v>58725.0</v>
      </c>
      <c r="J63" s="10"/>
      <c r="K63" s="2" t="n">
        <f>536943</f>
        <v>536943.0</v>
      </c>
    </row>
    <row r="64">
      <c r="A64" s="8" t="s">
        <v>48</v>
      </c>
      <c r="B64" s="9" t="s">
        <v>50</v>
      </c>
      <c r="C64" s="9" t="s">
        <v>51</v>
      </c>
      <c r="D64" s="10"/>
      <c r="E64" s="2" t="n">
        <f>712898</f>
        <v>712898.0</v>
      </c>
      <c r="F64" s="10"/>
      <c r="G64" s="2" t="n">
        <f>2000836679326</f>
        <v>2.000836679326E12</v>
      </c>
      <c r="H64" s="10"/>
      <c r="I64" s="2" t="n">
        <f>62542</f>
        <v>62542.0</v>
      </c>
      <c r="J64" s="10"/>
      <c r="K64" s="2" t="n">
        <f>537432</f>
        <v>537432.0</v>
      </c>
    </row>
    <row r="65">
      <c r="A65" s="8" t="s">
        <v>49</v>
      </c>
      <c r="B65" s="9" t="s">
        <v>50</v>
      </c>
      <c r="C65" s="9" t="s">
        <v>51</v>
      </c>
      <c r="D65" s="10"/>
      <c r="E65" s="2" t="n">
        <f>724416</f>
        <v>724416.0</v>
      </c>
      <c r="F65" s="10"/>
      <c r="G65" s="2" t="n">
        <f>2023608524290</f>
        <v>2.02360852429E12</v>
      </c>
      <c r="H65" s="10"/>
      <c r="I65" s="2" t="n">
        <f>66734</f>
        <v>66734.0</v>
      </c>
      <c r="J65" s="10"/>
      <c r="K65" s="2" t="n">
        <f>527996</f>
        <v>527996.0</v>
      </c>
    </row>
    <row r="66">
      <c r="A66" s="8" t="s">
        <v>16</v>
      </c>
      <c r="B66" s="9" t="s">
        <v>52</v>
      </c>
      <c r="C66" s="9" t="s">
        <v>53</v>
      </c>
      <c r="D66" s="10"/>
      <c r="E66" s="2" t="n">
        <f>59596</f>
        <v>59596.0</v>
      </c>
      <c r="F66" s="10"/>
      <c r="G66" s="2" t="n">
        <f>1151898491520</f>
        <v>1.15189849152E12</v>
      </c>
      <c r="H66" s="10"/>
      <c r="I66" s="2" t="n">
        <f>18130</f>
        <v>18130.0</v>
      </c>
      <c r="J66" s="10"/>
      <c r="K66" s="2" t="n">
        <f>491434</f>
        <v>491434.0</v>
      </c>
    </row>
    <row r="67">
      <c r="A67" s="8" t="s">
        <v>20</v>
      </c>
      <c r="B67" s="9" t="s">
        <v>52</v>
      </c>
      <c r="C67" s="9" t="s">
        <v>53</v>
      </c>
      <c r="D67" s="10"/>
      <c r="E67" s="2" t="n">
        <f>60249</f>
        <v>60249.0</v>
      </c>
      <c r="F67" s="10"/>
      <c r="G67" s="2" t="n">
        <f>1167760170073</f>
        <v>1.167760170073E12</v>
      </c>
      <c r="H67" s="10"/>
      <c r="I67" s="2" t="n">
        <f>18460</f>
        <v>18460.0</v>
      </c>
      <c r="J67" s="10"/>
      <c r="K67" s="2" t="n">
        <f>494855</f>
        <v>494855.0</v>
      </c>
    </row>
    <row r="68">
      <c r="A68" s="8" t="s">
        <v>21</v>
      </c>
      <c r="B68" s="9" t="s">
        <v>52</v>
      </c>
      <c r="C68" s="9" t="s">
        <v>53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22</v>
      </c>
      <c r="B69" s="9" t="s">
        <v>52</v>
      </c>
      <c r="C69" s="9" t="s">
        <v>53</v>
      </c>
      <c r="D69" s="10"/>
      <c r="E69" s="2" t="n">
        <f>93984</f>
        <v>93984.0</v>
      </c>
      <c r="F69" s="10"/>
      <c r="G69" s="2" t="n">
        <f>1802280341944</f>
        <v>1.802280341944E12</v>
      </c>
      <c r="H69" s="10"/>
      <c r="I69" s="2" t="n">
        <f>22936</f>
        <v>22936.0</v>
      </c>
      <c r="J69" s="10"/>
      <c r="K69" s="2" t="n">
        <f>502879</f>
        <v>502879.0</v>
      </c>
    </row>
    <row r="70">
      <c r="A70" s="8" t="s">
        <v>23</v>
      </c>
      <c r="B70" s="9" t="s">
        <v>52</v>
      </c>
      <c r="C70" s="9" t="s">
        <v>53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24</v>
      </c>
      <c r="B71" s="9" t="s">
        <v>52</v>
      </c>
      <c r="C71" s="9" t="s">
        <v>53</v>
      </c>
      <c r="D71" s="10"/>
      <c r="E71" s="2"/>
      <c r="F71" s="10"/>
      <c r="G71" s="2"/>
      <c r="H71" s="10"/>
      <c r="I71" s="2"/>
      <c r="J71" s="10"/>
      <c r="K71" s="2"/>
    </row>
    <row r="72">
      <c r="A72" s="8" t="s">
        <v>25</v>
      </c>
      <c r="B72" s="9" t="s">
        <v>52</v>
      </c>
      <c r="C72" s="9" t="s">
        <v>53</v>
      </c>
      <c r="D72" s="10"/>
      <c r="E72" s="2" t="n">
        <f>65575</f>
        <v>65575.0</v>
      </c>
      <c r="F72" s="10"/>
      <c r="G72" s="2" t="n">
        <f>1266082940381</f>
        <v>1.266082940381E12</v>
      </c>
      <c r="H72" s="10"/>
      <c r="I72" s="2" t="n">
        <f>15377</f>
        <v>15377.0</v>
      </c>
      <c r="J72" s="10"/>
      <c r="K72" s="2" t="n">
        <f>498885</f>
        <v>498885.0</v>
      </c>
    </row>
    <row r="73">
      <c r="A73" s="8" t="s">
        <v>26</v>
      </c>
      <c r="B73" s="9" t="s">
        <v>52</v>
      </c>
      <c r="C73" s="9" t="s">
        <v>53</v>
      </c>
      <c r="D73" s="10"/>
      <c r="E73" s="2" t="n">
        <f>60731</f>
        <v>60731.0</v>
      </c>
      <c r="F73" s="10"/>
      <c r="G73" s="2" t="n">
        <f>1185922715620</f>
        <v>1.18592271562E12</v>
      </c>
      <c r="H73" s="10"/>
      <c r="I73" s="2" t="n">
        <f>11932</f>
        <v>11932.0</v>
      </c>
      <c r="J73" s="10"/>
      <c r="K73" s="2" t="n">
        <f>484886</f>
        <v>484886.0</v>
      </c>
    </row>
    <row r="74">
      <c r="A74" s="8" t="s">
        <v>28</v>
      </c>
      <c r="B74" s="9" t="s">
        <v>52</v>
      </c>
      <c r="C74" s="9" t="s">
        <v>53</v>
      </c>
      <c r="D74" s="10"/>
      <c r="E74" s="2" t="n">
        <f>49056</f>
        <v>49056.0</v>
      </c>
      <c r="F74" s="10"/>
      <c r="G74" s="2" t="n">
        <f>957723655712</f>
        <v>9.57723655712E11</v>
      </c>
      <c r="H74" s="10"/>
      <c r="I74" s="2" t="n">
        <f>13650</f>
        <v>13650.0</v>
      </c>
      <c r="J74" s="10"/>
      <c r="K74" s="2" t="n">
        <f>484739</f>
        <v>484739.0</v>
      </c>
    </row>
    <row r="75">
      <c r="A75" s="8" t="s">
        <v>29</v>
      </c>
      <c r="B75" s="9" t="s">
        <v>52</v>
      </c>
      <c r="C75" s="9" t="s">
        <v>53</v>
      </c>
      <c r="D75" s="10"/>
      <c r="E75" s="2" t="n">
        <f>54557</f>
        <v>54557.0</v>
      </c>
      <c r="F75" s="10"/>
      <c r="G75" s="2" t="n">
        <f>1056913458776</f>
        <v>1.056913458776E12</v>
      </c>
      <c r="H75" s="10"/>
      <c r="I75" s="2" t="n">
        <f>12733</f>
        <v>12733.0</v>
      </c>
      <c r="J75" s="10"/>
      <c r="K75" s="2" t="n">
        <f>483691</f>
        <v>483691.0</v>
      </c>
    </row>
    <row r="76">
      <c r="A76" s="8" t="s">
        <v>30</v>
      </c>
      <c r="B76" s="9" t="s">
        <v>52</v>
      </c>
      <c r="C76" s="9" t="s">
        <v>53</v>
      </c>
      <c r="D76" s="10"/>
      <c r="E76" s="2" t="n">
        <f>91103</f>
        <v>91103.0</v>
      </c>
      <c r="F76" s="10"/>
      <c r="G76" s="2" t="n">
        <f>1796334828613</f>
        <v>1.796334828613E12</v>
      </c>
      <c r="H76" s="10"/>
      <c r="I76" s="2" t="n">
        <f>18788</f>
        <v>18788.0</v>
      </c>
      <c r="J76" s="10"/>
      <c r="K76" s="2" t="n">
        <f>475904</f>
        <v>475904.0</v>
      </c>
    </row>
    <row r="77">
      <c r="A77" s="8" t="s">
        <v>31</v>
      </c>
      <c r="B77" s="9" t="s">
        <v>52</v>
      </c>
      <c r="C77" s="9" t="s">
        <v>53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32</v>
      </c>
      <c r="B78" s="9" t="s">
        <v>52</v>
      </c>
      <c r="C78" s="9" t="s">
        <v>53</v>
      </c>
      <c r="D78" s="10"/>
      <c r="E78" s="2"/>
      <c r="F78" s="10"/>
      <c r="G78" s="2"/>
      <c r="H78" s="10"/>
      <c r="I78" s="2"/>
      <c r="J78" s="10"/>
      <c r="K78" s="2"/>
    </row>
    <row r="79">
      <c r="A79" s="8" t="s">
        <v>33</v>
      </c>
      <c r="B79" s="9" t="s">
        <v>52</v>
      </c>
      <c r="C79" s="9" t="s">
        <v>53</v>
      </c>
      <c r="D79" s="10"/>
      <c r="E79" s="2" t="n">
        <f>74580</f>
        <v>74580.0</v>
      </c>
      <c r="F79" s="10"/>
      <c r="G79" s="2" t="n">
        <f>1465426226900</f>
        <v>1.4654262269E12</v>
      </c>
      <c r="H79" s="10"/>
      <c r="I79" s="2" t="n">
        <f>19097</f>
        <v>19097.0</v>
      </c>
      <c r="J79" s="10"/>
      <c r="K79" s="2" t="n">
        <f>471776</f>
        <v>471776.0</v>
      </c>
    </row>
    <row r="80">
      <c r="A80" s="8" t="s">
        <v>34</v>
      </c>
      <c r="B80" s="9" t="s">
        <v>52</v>
      </c>
      <c r="C80" s="9" t="s">
        <v>53</v>
      </c>
      <c r="D80" s="10"/>
      <c r="E80" s="2" t="n">
        <f>46198</f>
        <v>46198.0</v>
      </c>
      <c r="F80" s="10"/>
      <c r="G80" s="2" t="n">
        <f>906880222565</f>
        <v>9.06880222565E11</v>
      </c>
      <c r="H80" s="10"/>
      <c r="I80" s="2" t="n">
        <f>12516</f>
        <v>12516.0</v>
      </c>
      <c r="J80" s="10"/>
      <c r="K80" s="2" t="n">
        <f>481156</f>
        <v>481156.0</v>
      </c>
    </row>
    <row r="81">
      <c r="A81" s="8" t="s">
        <v>35</v>
      </c>
      <c r="B81" s="9" t="s">
        <v>52</v>
      </c>
      <c r="C81" s="9" t="s">
        <v>53</v>
      </c>
      <c r="D81" s="10"/>
      <c r="E81" s="2" t="n">
        <f>63362</f>
        <v>63362.0</v>
      </c>
      <c r="F81" s="10"/>
      <c r="G81" s="2" t="n">
        <f>1243817362700</f>
        <v>1.2438173627E12</v>
      </c>
      <c r="H81" s="10"/>
      <c r="I81" s="2" t="n">
        <f>15427</f>
        <v>15427.0</v>
      </c>
      <c r="J81" s="10"/>
      <c r="K81" s="2" t="n">
        <f>473182</f>
        <v>473182.0</v>
      </c>
    </row>
    <row r="82">
      <c r="A82" s="8" t="s">
        <v>36</v>
      </c>
      <c r="B82" s="9" t="s">
        <v>52</v>
      </c>
      <c r="C82" s="9" t="s">
        <v>53</v>
      </c>
      <c r="D82" s="10" t="s">
        <v>19</v>
      </c>
      <c r="E82" s="2" t="n">
        <f>43666</f>
        <v>43666.0</v>
      </c>
      <c r="F82" s="10" t="s">
        <v>19</v>
      </c>
      <c r="G82" s="2" t="n">
        <f>858289877112</f>
        <v>8.58289877112E11</v>
      </c>
      <c r="H82" s="10"/>
      <c r="I82" s="2" t="n">
        <f>10274</f>
        <v>10274.0</v>
      </c>
      <c r="J82" s="10"/>
      <c r="K82" s="2" t="n">
        <f>473228</f>
        <v>473228.0</v>
      </c>
    </row>
    <row r="83">
      <c r="A83" s="8" t="s">
        <v>37</v>
      </c>
      <c r="B83" s="9" t="s">
        <v>52</v>
      </c>
      <c r="C83" s="9" t="s">
        <v>53</v>
      </c>
      <c r="D83" s="10"/>
      <c r="E83" s="2" t="n">
        <f>54839</f>
        <v>54839.0</v>
      </c>
      <c r="F83" s="10"/>
      <c r="G83" s="2" t="n">
        <f>1079783722884</f>
        <v>1.079783722884E12</v>
      </c>
      <c r="H83" s="10"/>
      <c r="I83" s="2" t="n">
        <f>10082</f>
        <v>10082.0</v>
      </c>
      <c r="J83" s="10"/>
      <c r="K83" s="2" t="n">
        <f>469424</f>
        <v>469424.0</v>
      </c>
    </row>
    <row r="84">
      <c r="A84" s="8" t="s">
        <v>38</v>
      </c>
      <c r="B84" s="9" t="s">
        <v>52</v>
      </c>
      <c r="C84" s="9" t="s">
        <v>53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39</v>
      </c>
      <c r="B85" s="9" t="s">
        <v>52</v>
      </c>
      <c r="C85" s="9" t="s">
        <v>53</v>
      </c>
      <c r="D85" s="10"/>
      <c r="E85" s="2"/>
      <c r="F85" s="10"/>
      <c r="G85" s="2"/>
      <c r="H85" s="10"/>
      <c r="I85" s="2"/>
      <c r="J85" s="10"/>
      <c r="K85" s="2"/>
    </row>
    <row r="86">
      <c r="A86" s="8" t="s">
        <v>40</v>
      </c>
      <c r="B86" s="9" t="s">
        <v>52</v>
      </c>
      <c r="C86" s="9" t="s">
        <v>53</v>
      </c>
      <c r="D86" s="10"/>
      <c r="E86" s="2" t="n">
        <f>43871</f>
        <v>43871.0</v>
      </c>
      <c r="F86" s="10"/>
      <c r="G86" s="2" t="n">
        <f>864738181465</f>
        <v>8.64738181465E11</v>
      </c>
      <c r="H86" s="10" t="s">
        <v>19</v>
      </c>
      <c r="I86" s="2" t="n">
        <f>10067</f>
        <v>10067.0</v>
      </c>
      <c r="J86" s="10"/>
      <c r="K86" s="2" t="n">
        <f>466138</f>
        <v>466138.0</v>
      </c>
    </row>
    <row r="87">
      <c r="A87" s="8" t="s">
        <v>41</v>
      </c>
      <c r="B87" s="9" t="s">
        <v>52</v>
      </c>
      <c r="C87" s="9" t="s">
        <v>53</v>
      </c>
      <c r="D87" s="10"/>
      <c r="E87" s="2" t="n">
        <f>71015</f>
        <v>71015.0</v>
      </c>
      <c r="F87" s="10"/>
      <c r="G87" s="2" t="n">
        <f>1415013455650</f>
        <v>1.41501345565E12</v>
      </c>
      <c r="H87" s="10"/>
      <c r="I87" s="2" t="n">
        <f>16005</f>
        <v>16005.0</v>
      </c>
      <c r="J87" s="10" t="s">
        <v>19</v>
      </c>
      <c r="K87" s="2" t="n">
        <f>464122</f>
        <v>464122.0</v>
      </c>
    </row>
    <row r="88">
      <c r="A88" s="8" t="s">
        <v>42</v>
      </c>
      <c r="B88" s="9" t="s">
        <v>52</v>
      </c>
      <c r="C88" s="9" t="s">
        <v>53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43</v>
      </c>
      <c r="B89" s="9" t="s">
        <v>52</v>
      </c>
      <c r="C89" s="9" t="s">
        <v>53</v>
      </c>
      <c r="D89" s="10"/>
      <c r="E89" s="2" t="n">
        <f>94049</f>
        <v>94049.0</v>
      </c>
      <c r="F89" s="10"/>
      <c r="G89" s="2" t="n">
        <f>1896949658579</f>
        <v>1.896949658579E12</v>
      </c>
      <c r="H89" s="10"/>
      <c r="I89" s="2" t="n">
        <f>20120</f>
        <v>20120.0</v>
      </c>
      <c r="J89" s="10"/>
      <c r="K89" s="2" t="n">
        <f>473258</f>
        <v>473258.0</v>
      </c>
    </row>
    <row r="90">
      <c r="A90" s="8" t="s">
        <v>44</v>
      </c>
      <c r="B90" s="9" t="s">
        <v>52</v>
      </c>
      <c r="C90" s="9" t="s">
        <v>53</v>
      </c>
      <c r="D90" s="10"/>
      <c r="E90" s="2" t="n">
        <f>46603</f>
        <v>46603.0</v>
      </c>
      <c r="F90" s="10"/>
      <c r="G90" s="2" t="n">
        <f>940713183798</f>
        <v>9.40713183798E11</v>
      </c>
      <c r="H90" s="10"/>
      <c r="I90" s="2" t="n">
        <f>14678</f>
        <v>14678.0</v>
      </c>
      <c r="J90" s="10"/>
      <c r="K90" s="2" t="n">
        <f>473696</f>
        <v>473696.0</v>
      </c>
    </row>
    <row r="91">
      <c r="A91" s="8" t="s">
        <v>45</v>
      </c>
      <c r="B91" s="9" t="s">
        <v>52</v>
      </c>
      <c r="C91" s="9" t="s">
        <v>53</v>
      </c>
      <c r="D91" s="10"/>
      <c r="E91" s="2"/>
      <c r="F91" s="10"/>
      <c r="G91" s="2"/>
      <c r="H91" s="10"/>
      <c r="I91" s="2"/>
      <c r="J91" s="10"/>
      <c r="K91" s="2"/>
    </row>
    <row r="92">
      <c r="A92" s="8" t="s">
        <v>46</v>
      </c>
      <c r="B92" s="9" t="s">
        <v>52</v>
      </c>
      <c r="C92" s="9" t="s">
        <v>53</v>
      </c>
      <c r="D92" s="10"/>
      <c r="E92" s="2"/>
      <c r="F92" s="10"/>
      <c r="G92" s="2"/>
      <c r="H92" s="10"/>
      <c r="I92" s="2"/>
      <c r="J92" s="10"/>
      <c r="K92" s="2"/>
    </row>
    <row r="93">
      <c r="A93" s="8" t="s">
        <v>47</v>
      </c>
      <c r="B93" s="9" t="s">
        <v>52</v>
      </c>
      <c r="C93" s="9" t="s">
        <v>53</v>
      </c>
      <c r="D93" s="10"/>
      <c r="E93" s="2" t="n">
        <f>64090</f>
        <v>64090.0</v>
      </c>
      <c r="F93" s="10"/>
      <c r="G93" s="2" t="n">
        <f>1286400226450</f>
        <v>1.28640022645E12</v>
      </c>
      <c r="H93" s="10"/>
      <c r="I93" s="2" t="n">
        <f>15609</f>
        <v>15609.0</v>
      </c>
      <c r="J93" s="10"/>
      <c r="K93" s="2" t="n">
        <f>481522</f>
        <v>481522.0</v>
      </c>
    </row>
    <row r="94">
      <c r="A94" s="8" t="s">
        <v>48</v>
      </c>
      <c r="B94" s="9" t="s">
        <v>52</v>
      </c>
      <c r="C94" s="9" t="s">
        <v>53</v>
      </c>
      <c r="D94" s="10"/>
      <c r="E94" s="2" t="n">
        <f>67331</f>
        <v>67331.0</v>
      </c>
      <c r="F94" s="10"/>
      <c r="G94" s="2" t="n">
        <f>1343266881450</f>
        <v>1.34326688145E12</v>
      </c>
      <c r="H94" s="10"/>
      <c r="I94" s="2" t="n">
        <f>17763</f>
        <v>17763.0</v>
      </c>
      <c r="J94" s="10"/>
      <c r="K94" s="2" t="n">
        <f>484327</f>
        <v>484327.0</v>
      </c>
    </row>
    <row r="95">
      <c r="A95" s="8" t="s">
        <v>49</v>
      </c>
      <c r="B95" s="9" t="s">
        <v>52</v>
      </c>
      <c r="C95" s="9" t="s">
        <v>53</v>
      </c>
      <c r="D95" s="10" t="s">
        <v>27</v>
      </c>
      <c r="E95" s="2" t="n">
        <f>116333</f>
        <v>116333.0</v>
      </c>
      <c r="F95" s="10" t="s">
        <v>27</v>
      </c>
      <c r="G95" s="2" t="n">
        <f>2307624842300</f>
        <v>2.3076248423E12</v>
      </c>
      <c r="H95" s="10" t="s">
        <v>27</v>
      </c>
      <c r="I95" s="2" t="n">
        <f>32972</f>
        <v>32972.0</v>
      </c>
      <c r="J95" s="10" t="s">
        <v>27</v>
      </c>
      <c r="K95" s="2" t="n">
        <f>503287</f>
        <v>503287.0</v>
      </c>
    </row>
    <row r="96">
      <c r="A96" s="8" t="s">
        <v>16</v>
      </c>
      <c r="B96" s="9" t="s">
        <v>54</v>
      </c>
      <c r="C96" s="9" t="s">
        <v>55</v>
      </c>
      <c r="D96" s="10"/>
      <c r="E96" s="2" t="n">
        <f>18119</f>
        <v>18119.0</v>
      </c>
      <c r="F96" s="10"/>
      <c r="G96" s="2" t="n">
        <f>35011104000</f>
        <v>3.5011104E10</v>
      </c>
      <c r="H96" s="10"/>
      <c r="I96" s="2" t="n">
        <f>897</f>
        <v>897.0</v>
      </c>
      <c r="J96" s="10"/>
      <c r="K96" s="2" t="n">
        <f>39065</f>
        <v>39065.0</v>
      </c>
    </row>
    <row r="97">
      <c r="A97" s="8" t="s">
        <v>20</v>
      </c>
      <c r="B97" s="9" t="s">
        <v>54</v>
      </c>
      <c r="C97" s="9" t="s">
        <v>55</v>
      </c>
      <c r="D97" s="10"/>
      <c r="E97" s="2" t="n">
        <f>18695</f>
        <v>18695.0</v>
      </c>
      <c r="F97" s="10"/>
      <c r="G97" s="2" t="n">
        <f>36230150050</f>
        <v>3.623015005E10</v>
      </c>
      <c r="H97" s="10"/>
      <c r="I97" s="2" t="n">
        <f>963</f>
        <v>963.0</v>
      </c>
      <c r="J97" s="10"/>
      <c r="K97" s="2" t="n">
        <f>39759</f>
        <v>39759.0</v>
      </c>
    </row>
    <row r="98">
      <c r="A98" s="8" t="s">
        <v>21</v>
      </c>
      <c r="B98" s="9" t="s">
        <v>54</v>
      </c>
      <c r="C98" s="9" t="s">
        <v>55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22</v>
      </c>
      <c r="B99" s="9" t="s">
        <v>54</v>
      </c>
      <c r="C99" s="9" t="s">
        <v>55</v>
      </c>
      <c r="D99" s="10" t="s">
        <v>27</v>
      </c>
      <c r="E99" s="2" t="n">
        <f>36418</f>
        <v>36418.0</v>
      </c>
      <c r="F99" s="10" t="s">
        <v>27</v>
      </c>
      <c r="G99" s="2" t="n">
        <f>69858266450</f>
        <v>6.985826645E10</v>
      </c>
      <c r="H99" s="10"/>
      <c r="I99" s="2" t="n">
        <f>1229</f>
        <v>1229.0</v>
      </c>
      <c r="J99" s="10"/>
      <c r="K99" s="2" t="n">
        <f>42572</f>
        <v>42572.0</v>
      </c>
    </row>
    <row r="100">
      <c r="A100" s="8" t="s">
        <v>23</v>
      </c>
      <c r="B100" s="9" t="s">
        <v>54</v>
      </c>
      <c r="C100" s="9" t="s">
        <v>55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24</v>
      </c>
      <c r="B101" s="9" t="s">
        <v>54</v>
      </c>
      <c r="C101" s="9" t="s">
        <v>55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25</v>
      </c>
      <c r="B102" s="9" t="s">
        <v>54</v>
      </c>
      <c r="C102" s="9" t="s">
        <v>55</v>
      </c>
      <c r="D102" s="10"/>
      <c r="E102" s="2" t="n">
        <f>24772</f>
        <v>24772.0</v>
      </c>
      <c r="F102" s="10"/>
      <c r="G102" s="2" t="n">
        <f>47805502950</f>
        <v>4.780550295E10</v>
      </c>
      <c r="H102" s="10"/>
      <c r="I102" s="2" t="n">
        <f>939</f>
        <v>939.0</v>
      </c>
      <c r="J102" s="10"/>
      <c r="K102" s="2" t="n">
        <f>41923</f>
        <v>41923.0</v>
      </c>
    </row>
    <row r="103">
      <c r="A103" s="8" t="s">
        <v>26</v>
      </c>
      <c r="B103" s="9" t="s">
        <v>54</v>
      </c>
      <c r="C103" s="9" t="s">
        <v>55</v>
      </c>
      <c r="D103" s="10"/>
      <c r="E103" s="2" t="n">
        <f>23038</f>
        <v>23038.0</v>
      </c>
      <c r="F103" s="10"/>
      <c r="G103" s="2" t="n">
        <f>44967106930</f>
        <v>4.496710693E10</v>
      </c>
      <c r="H103" s="10"/>
      <c r="I103" s="2" t="n">
        <f>887</f>
        <v>887.0</v>
      </c>
      <c r="J103" s="10"/>
      <c r="K103" s="2" t="n">
        <f>40346</f>
        <v>40346.0</v>
      </c>
    </row>
    <row r="104">
      <c r="A104" s="8" t="s">
        <v>28</v>
      </c>
      <c r="B104" s="9" t="s">
        <v>54</v>
      </c>
      <c r="C104" s="9" t="s">
        <v>55</v>
      </c>
      <c r="D104" s="10"/>
      <c r="E104" s="2" t="n">
        <f>19918</f>
        <v>19918.0</v>
      </c>
      <c r="F104" s="10"/>
      <c r="G104" s="2" t="n">
        <f>38905314920</f>
        <v>3.890531492E10</v>
      </c>
      <c r="H104" s="10"/>
      <c r="I104" s="2" t="n">
        <f>2010</f>
        <v>2010.0</v>
      </c>
      <c r="J104" s="10"/>
      <c r="K104" s="2" t="n">
        <f>39394</f>
        <v>39394.0</v>
      </c>
    </row>
    <row r="105">
      <c r="A105" s="8" t="s">
        <v>29</v>
      </c>
      <c r="B105" s="9" t="s">
        <v>54</v>
      </c>
      <c r="C105" s="9" t="s">
        <v>55</v>
      </c>
      <c r="D105" s="10"/>
      <c r="E105" s="2" t="n">
        <f>18899</f>
        <v>18899.0</v>
      </c>
      <c r="F105" s="10"/>
      <c r="G105" s="2" t="n">
        <f>36620242200</f>
        <v>3.66202422E10</v>
      </c>
      <c r="H105" s="10"/>
      <c r="I105" s="2" t="n">
        <f>651</f>
        <v>651.0</v>
      </c>
      <c r="J105" s="10"/>
      <c r="K105" s="2" t="n">
        <f>39879</f>
        <v>39879.0</v>
      </c>
    </row>
    <row r="106">
      <c r="A106" s="8" t="s">
        <v>30</v>
      </c>
      <c r="B106" s="9" t="s">
        <v>54</v>
      </c>
      <c r="C106" s="9" t="s">
        <v>55</v>
      </c>
      <c r="D106" s="10"/>
      <c r="E106" s="2" t="n">
        <f>32799</f>
        <v>32799.0</v>
      </c>
      <c r="F106" s="10"/>
      <c r="G106" s="2" t="n">
        <f>64620055040</f>
        <v>6.462005504E10</v>
      </c>
      <c r="H106" s="10"/>
      <c r="I106" s="2" t="n">
        <f>696</f>
        <v>696.0</v>
      </c>
      <c r="J106" s="10" t="s">
        <v>19</v>
      </c>
      <c r="K106" s="2" t="n">
        <f>38849</f>
        <v>38849.0</v>
      </c>
    </row>
    <row r="107">
      <c r="A107" s="8" t="s">
        <v>31</v>
      </c>
      <c r="B107" s="9" t="s">
        <v>54</v>
      </c>
      <c r="C107" s="9" t="s">
        <v>55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32</v>
      </c>
      <c r="B108" s="9" t="s">
        <v>54</v>
      </c>
      <c r="C108" s="9" t="s">
        <v>55</v>
      </c>
      <c r="D108" s="10"/>
      <c r="E108" s="2"/>
      <c r="F108" s="10"/>
      <c r="G108" s="2"/>
      <c r="H108" s="10"/>
      <c r="I108" s="2"/>
      <c r="J108" s="10"/>
      <c r="K108" s="2"/>
    </row>
    <row r="109">
      <c r="A109" s="8" t="s">
        <v>33</v>
      </c>
      <c r="B109" s="9" t="s">
        <v>54</v>
      </c>
      <c r="C109" s="9" t="s">
        <v>55</v>
      </c>
      <c r="D109" s="10"/>
      <c r="E109" s="2" t="n">
        <f>23217</f>
        <v>23217.0</v>
      </c>
      <c r="F109" s="10"/>
      <c r="G109" s="2" t="n">
        <f>45646694550</f>
        <v>4.564669455E10</v>
      </c>
      <c r="H109" s="10"/>
      <c r="I109" s="2" t="n">
        <f>610</f>
        <v>610.0</v>
      </c>
      <c r="J109" s="10"/>
      <c r="K109" s="2" t="n">
        <f>39359</f>
        <v>39359.0</v>
      </c>
    </row>
    <row r="110">
      <c r="A110" s="8" t="s">
        <v>34</v>
      </c>
      <c r="B110" s="9" t="s">
        <v>54</v>
      </c>
      <c r="C110" s="9" t="s">
        <v>55</v>
      </c>
      <c r="D110" s="10" t="s">
        <v>19</v>
      </c>
      <c r="E110" s="2" t="n">
        <f>15486</f>
        <v>15486.0</v>
      </c>
      <c r="F110" s="10" t="s">
        <v>19</v>
      </c>
      <c r="G110" s="2" t="n">
        <f>30389805300</f>
        <v>3.03898053E10</v>
      </c>
      <c r="H110" s="10" t="s">
        <v>19</v>
      </c>
      <c r="I110" s="2" t="n">
        <f>482</f>
        <v>482.0</v>
      </c>
      <c r="J110" s="10"/>
      <c r="K110" s="2" t="n">
        <f>43839</f>
        <v>43839.0</v>
      </c>
    </row>
    <row r="111">
      <c r="A111" s="8" t="s">
        <v>35</v>
      </c>
      <c r="B111" s="9" t="s">
        <v>54</v>
      </c>
      <c r="C111" s="9" t="s">
        <v>55</v>
      </c>
      <c r="D111" s="10"/>
      <c r="E111" s="2" t="n">
        <f>23592</f>
        <v>23592.0</v>
      </c>
      <c r="F111" s="10"/>
      <c r="G111" s="2" t="n">
        <f>46304067530</f>
        <v>4.630406753E10</v>
      </c>
      <c r="H111" s="10"/>
      <c r="I111" s="2" t="n">
        <f>687</f>
        <v>687.0</v>
      </c>
      <c r="J111" s="10"/>
      <c r="K111" s="2" t="n">
        <f>40264</f>
        <v>40264.0</v>
      </c>
    </row>
    <row r="112">
      <c r="A112" s="8" t="s">
        <v>36</v>
      </c>
      <c r="B112" s="9" t="s">
        <v>54</v>
      </c>
      <c r="C112" s="9" t="s">
        <v>55</v>
      </c>
      <c r="D112" s="10"/>
      <c r="E112" s="2" t="n">
        <f>16998</f>
        <v>16998.0</v>
      </c>
      <c r="F112" s="10"/>
      <c r="G112" s="2" t="n">
        <f>33413840450</f>
        <v>3.341384045E10</v>
      </c>
      <c r="H112" s="10"/>
      <c r="I112" s="2" t="n">
        <f>782</f>
        <v>782.0</v>
      </c>
      <c r="J112" s="10"/>
      <c r="K112" s="2" t="n">
        <f>40378</f>
        <v>40378.0</v>
      </c>
    </row>
    <row r="113">
      <c r="A113" s="8" t="s">
        <v>37</v>
      </c>
      <c r="B113" s="9" t="s">
        <v>54</v>
      </c>
      <c r="C113" s="9" t="s">
        <v>55</v>
      </c>
      <c r="D113" s="10"/>
      <c r="E113" s="2" t="n">
        <f>17795</f>
        <v>17795.0</v>
      </c>
      <c r="F113" s="10"/>
      <c r="G113" s="2" t="n">
        <f>35043350650</f>
        <v>3.504335065E10</v>
      </c>
      <c r="H113" s="10"/>
      <c r="I113" s="2" t="n">
        <f>642</f>
        <v>642.0</v>
      </c>
      <c r="J113" s="10"/>
      <c r="K113" s="2" t="n">
        <f>40800</f>
        <v>40800.0</v>
      </c>
    </row>
    <row r="114">
      <c r="A114" s="8" t="s">
        <v>38</v>
      </c>
      <c r="B114" s="9" t="s">
        <v>54</v>
      </c>
      <c r="C114" s="9" t="s">
        <v>55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39</v>
      </c>
      <c r="B115" s="9" t="s">
        <v>54</v>
      </c>
      <c r="C115" s="9" t="s">
        <v>55</v>
      </c>
      <c r="D115" s="10"/>
      <c r="E115" s="2"/>
      <c r="F115" s="10"/>
      <c r="G115" s="2"/>
      <c r="H115" s="10"/>
      <c r="I115" s="2"/>
      <c r="J115" s="10"/>
      <c r="K115" s="2"/>
    </row>
    <row r="116">
      <c r="A116" s="8" t="s">
        <v>40</v>
      </c>
      <c r="B116" s="9" t="s">
        <v>54</v>
      </c>
      <c r="C116" s="9" t="s">
        <v>55</v>
      </c>
      <c r="D116" s="10"/>
      <c r="E116" s="2" t="n">
        <f>16333</f>
        <v>16333.0</v>
      </c>
      <c r="F116" s="10"/>
      <c r="G116" s="2" t="n">
        <f>32191607600</f>
        <v>3.21916076E10</v>
      </c>
      <c r="H116" s="10"/>
      <c r="I116" s="2" t="n">
        <f>525</f>
        <v>525.0</v>
      </c>
      <c r="J116" s="10"/>
      <c r="K116" s="2" t="n">
        <f>39881</f>
        <v>39881.0</v>
      </c>
    </row>
    <row r="117">
      <c r="A117" s="8" t="s">
        <v>41</v>
      </c>
      <c r="B117" s="9" t="s">
        <v>54</v>
      </c>
      <c r="C117" s="9" t="s">
        <v>55</v>
      </c>
      <c r="D117" s="10"/>
      <c r="E117" s="2" t="n">
        <f>24427</f>
        <v>24427.0</v>
      </c>
      <c r="F117" s="10"/>
      <c r="G117" s="2" t="n">
        <f>48646808840</f>
        <v>4.864680884E10</v>
      </c>
      <c r="H117" s="10"/>
      <c r="I117" s="2" t="n">
        <f>611</f>
        <v>611.0</v>
      </c>
      <c r="J117" s="10"/>
      <c r="K117" s="2" t="n">
        <f>42569</f>
        <v>42569.0</v>
      </c>
    </row>
    <row r="118">
      <c r="A118" s="8" t="s">
        <v>42</v>
      </c>
      <c r="B118" s="9" t="s">
        <v>54</v>
      </c>
      <c r="C118" s="9" t="s">
        <v>55</v>
      </c>
      <c r="D118" s="10"/>
      <c r="E118" s="2"/>
      <c r="F118" s="10"/>
      <c r="G118" s="2"/>
      <c r="H118" s="10"/>
      <c r="I118" s="2"/>
      <c r="J118" s="10"/>
      <c r="K118" s="2"/>
    </row>
    <row r="119">
      <c r="A119" s="8" t="s">
        <v>43</v>
      </c>
      <c r="B119" s="9" t="s">
        <v>54</v>
      </c>
      <c r="C119" s="9" t="s">
        <v>55</v>
      </c>
      <c r="D119" s="10"/>
      <c r="E119" s="2" t="n">
        <f>34104</f>
        <v>34104.0</v>
      </c>
      <c r="F119" s="10"/>
      <c r="G119" s="2" t="n">
        <f>68735671690</f>
        <v>6.873567169E10</v>
      </c>
      <c r="H119" s="10"/>
      <c r="I119" s="2" t="n">
        <f>1096</f>
        <v>1096.0</v>
      </c>
      <c r="J119" s="10"/>
      <c r="K119" s="2" t="n">
        <f>45654</f>
        <v>45654.0</v>
      </c>
    </row>
    <row r="120">
      <c r="A120" s="8" t="s">
        <v>44</v>
      </c>
      <c r="B120" s="9" t="s">
        <v>54</v>
      </c>
      <c r="C120" s="9" t="s">
        <v>55</v>
      </c>
      <c r="D120" s="10"/>
      <c r="E120" s="2" t="n">
        <f>16171</f>
        <v>16171.0</v>
      </c>
      <c r="F120" s="10"/>
      <c r="G120" s="2" t="n">
        <f>32642068400</f>
        <v>3.26420684E10</v>
      </c>
      <c r="H120" s="10"/>
      <c r="I120" s="2" t="n">
        <f>532</f>
        <v>532.0</v>
      </c>
      <c r="J120" s="10"/>
      <c r="K120" s="2" t="n">
        <f>47209</f>
        <v>47209.0</v>
      </c>
    </row>
    <row r="121">
      <c r="A121" s="8" t="s">
        <v>45</v>
      </c>
      <c r="B121" s="9" t="s">
        <v>54</v>
      </c>
      <c r="C121" s="9" t="s">
        <v>55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46</v>
      </c>
      <c r="B122" s="9" t="s">
        <v>54</v>
      </c>
      <c r="C122" s="9" t="s">
        <v>55</v>
      </c>
      <c r="D122" s="10"/>
      <c r="E122" s="2"/>
      <c r="F122" s="10"/>
      <c r="G122" s="2"/>
      <c r="H122" s="10"/>
      <c r="I122" s="2"/>
      <c r="J122" s="10"/>
      <c r="K122" s="2"/>
    </row>
    <row r="123">
      <c r="A123" s="8" t="s">
        <v>47</v>
      </c>
      <c r="B123" s="9" t="s">
        <v>54</v>
      </c>
      <c r="C123" s="9" t="s">
        <v>55</v>
      </c>
      <c r="D123" s="10"/>
      <c r="E123" s="2" t="n">
        <f>20716</f>
        <v>20716.0</v>
      </c>
      <c r="F123" s="10"/>
      <c r="G123" s="2" t="n">
        <f>41614753800</f>
        <v>4.16147538E10</v>
      </c>
      <c r="H123" s="10"/>
      <c r="I123" s="2" t="n">
        <f>792</f>
        <v>792.0</v>
      </c>
      <c r="J123" s="10"/>
      <c r="K123" s="2" t="n">
        <f>47186</f>
        <v>47186.0</v>
      </c>
    </row>
    <row r="124">
      <c r="A124" s="8" t="s">
        <v>48</v>
      </c>
      <c r="B124" s="9" t="s">
        <v>54</v>
      </c>
      <c r="C124" s="9" t="s">
        <v>55</v>
      </c>
      <c r="D124" s="10"/>
      <c r="E124" s="2" t="n">
        <f>19694</f>
        <v>19694.0</v>
      </c>
      <c r="F124" s="10"/>
      <c r="G124" s="2" t="n">
        <f>39300022570</f>
        <v>3.930002257E10</v>
      </c>
      <c r="H124" s="10"/>
      <c r="I124" s="2" t="n">
        <f>633</f>
        <v>633.0</v>
      </c>
      <c r="J124" s="10"/>
      <c r="K124" s="2" t="n">
        <f>47274</f>
        <v>47274.0</v>
      </c>
    </row>
    <row r="125">
      <c r="A125" s="8" t="s">
        <v>49</v>
      </c>
      <c r="B125" s="9" t="s">
        <v>54</v>
      </c>
      <c r="C125" s="9" t="s">
        <v>55</v>
      </c>
      <c r="D125" s="10"/>
      <c r="E125" s="2" t="n">
        <f>26036</f>
        <v>26036.0</v>
      </c>
      <c r="F125" s="10"/>
      <c r="G125" s="2" t="n">
        <f>51675214490</f>
        <v>5.167521449E10</v>
      </c>
      <c r="H125" s="10" t="s">
        <v>27</v>
      </c>
      <c r="I125" s="2" t="n">
        <f>2540</f>
        <v>2540.0</v>
      </c>
      <c r="J125" s="10" t="s">
        <v>27</v>
      </c>
      <c r="K125" s="2" t="n">
        <f>47290</f>
        <v>47290.0</v>
      </c>
    </row>
    <row r="126">
      <c r="A126" s="8" t="s">
        <v>16</v>
      </c>
      <c r="B126" s="9" t="s">
        <v>56</v>
      </c>
      <c r="C126" s="9" t="s">
        <v>57</v>
      </c>
      <c r="D126" s="10"/>
      <c r="E126" s="2" t="n">
        <f>5620</f>
        <v>5620.0</v>
      </c>
      <c r="F126" s="10"/>
      <c r="G126" s="2" t="n">
        <f>9754515500</f>
        <v>9.7545155E9</v>
      </c>
      <c r="H126" s="10"/>
      <c r="I126" s="2" t="n">
        <f>654</f>
        <v>654.0</v>
      </c>
      <c r="J126" s="10"/>
      <c r="K126" s="2" t="n">
        <f>79150</f>
        <v>79150.0</v>
      </c>
    </row>
    <row r="127">
      <c r="A127" s="8" t="s">
        <v>20</v>
      </c>
      <c r="B127" s="9" t="s">
        <v>56</v>
      </c>
      <c r="C127" s="9" t="s">
        <v>57</v>
      </c>
      <c r="D127" s="10"/>
      <c r="E127" s="2" t="n">
        <f>7146</f>
        <v>7146.0</v>
      </c>
      <c r="F127" s="10"/>
      <c r="G127" s="2" t="n">
        <f>12441793000</f>
        <v>1.2441793E10</v>
      </c>
      <c r="H127" s="10"/>
      <c r="I127" s="2" t="n">
        <f>1872</f>
        <v>1872.0</v>
      </c>
      <c r="J127" s="10"/>
      <c r="K127" s="2" t="n">
        <f>78855</f>
        <v>78855.0</v>
      </c>
    </row>
    <row r="128">
      <c r="A128" s="8" t="s">
        <v>21</v>
      </c>
      <c r="B128" s="9" t="s">
        <v>56</v>
      </c>
      <c r="C128" s="9" t="s">
        <v>57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22</v>
      </c>
      <c r="B129" s="9" t="s">
        <v>56</v>
      </c>
      <c r="C129" s="9" t="s">
        <v>57</v>
      </c>
      <c r="D129" s="10"/>
      <c r="E129" s="2" t="n">
        <f>9486</f>
        <v>9486.0</v>
      </c>
      <c r="F129" s="10"/>
      <c r="G129" s="2" t="n">
        <f>16352140500</f>
        <v>1.63521405E10</v>
      </c>
      <c r="H129" s="10"/>
      <c r="I129" s="2" t="n">
        <f>526</f>
        <v>526.0</v>
      </c>
      <c r="J129" s="10"/>
      <c r="K129" s="2" t="n">
        <f>78807</f>
        <v>78807.0</v>
      </c>
    </row>
    <row r="130">
      <c r="A130" s="8" t="s">
        <v>23</v>
      </c>
      <c r="B130" s="9" t="s">
        <v>56</v>
      </c>
      <c r="C130" s="9" t="s">
        <v>57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24</v>
      </c>
      <c r="B131" s="9" t="s">
        <v>56</v>
      </c>
      <c r="C131" s="9" t="s">
        <v>57</v>
      </c>
      <c r="D131" s="10"/>
      <c r="E131" s="2"/>
      <c r="F131" s="10"/>
      <c r="G131" s="2"/>
      <c r="H131" s="10"/>
      <c r="I131" s="2"/>
      <c r="J131" s="10"/>
      <c r="K131" s="2"/>
    </row>
    <row r="132">
      <c r="A132" s="8" t="s">
        <v>25</v>
      </c>
      <c r="B132" s="9" t="s">
        <v>56</v>
      </c>
      <c r="C132" s="9" t="s">
        <v>57</v>
      </c>
      <c r="D132" s="10"/>
      <c r="E132" s="2" t="n">
        <f>6617</f>
        <v>6617.0</v>
      </c>
      <c r="F132" s="10"/>
      <c r="G132" s="2" t="n">
        <f>11475724500</f>
        <v>1.14757245E10</v>
      </c>
      <c r="H132" s="10"/>
      <c r="I132" s="2" t="n">
        <f>387</f>
        <v>387.0</v>
      </c>
      <c r="J132" s="10"/>
      <c r="K132" s="2" t="n">
        <f>78864</f>
        <v>78864.0</v>
      </c>
    </row>
    <row r="133">
      <c r="A133" s="8" t="s">
        <v>26</v>
      </c>
      <c r="B133" s="9" t="s">
        <v>56</v>
      </c>
      <c r="C133" s="9" t="s">
        <v>57</v>
      </c>
      <c r="D133" s="10"/>
      <c r="E133" s="2" t="n">
        <f>7639</f>
        <v>7639.0</v>
      </c>
      <c r="F133" s="10"/>
      <c r="G133" s="2" t="n">
        <f>13413819500</f>
        <v>1.34138195E10</v>
      </c>
      <c r="H133" s="10"/>
      <c r="I133" s="2" t="n">
        <f>728</f>
        <v>728.0</v>
      </c>
      <c r="J133" s="10"/>
      <c r="K133" s="2" t="n">
        <f>79220</f>
        <v>79220.0</v>
      </c>
    </row>
    <row r="134">
      <c r="A134" s="8" t="s">
        <v>28</v>
      </c>
      <c r="B134" s="9" t="s">
        <v>56</v>
      </c>
      <c r="C134" s="9" t="s">
        <v>57</v>
      </c>
      <c r="D134" s="10"/>
      <c r="E134" s="2" t="n">
        <f>5836</f>
        <v>5836.0</v>
      </c>
      <c r="F134" s="10"/>
      <c r="G134" s="2" t="n">
        <f>10270077000</f>
        <v>1.0270077E10</v>
      </c>
      <c r="H134" s="10"/>
      <c r="I134" s="2" t="n">
        <f>300</f>
        <v>300.0</v>
      </c>
      <c r="J134" s="10"/>
      <c r="K134" s="2" t="n">
        <f>79307</f>
        <v>79307.0</v>
      </c>
    </row>
    <row r="135">
      <c r="A135" s="8" t="s">
        <v>29</v>
      </c>
      <c r="B135" s="9" t="s">
        <v>56</v>
      </c>
      <c r="C135" s="9" t="s">
        <v>57</v>
      </c>
      <c r="D135" s="10"/>
      <c r="E135" s="2" t="n">
        <f>6463</f>
        <v>6463.0</v>
      </c>
      <c r="F135" s="10"/>
      <c r="G135" s="2" t="n">
        <f>11279823000</f>
        <v>1.1279823E10</v>
      </c>
      <c r="H135" s="10"/>
      <c r="I135" s="2" t="n">
        <f>956</f>
        <v>956.0</v>
      </c>
      <c r="J135" s="10"/>
      <c r="K135" s="2" t="n">
        <f>79065</f>
        <v>79065.0</v>
      </c>
    </row>
    <row r="136">
      <c r="A136" s="8" t="s">
        <v>30</v>
      </c>
      <c r="B136" s="9" t="s">
        <v>56</v>
      </c>
      <c r="C136" s="9" t="s">
        <v>57</v>
      </c>
      <c r="D136" s="10"/>
      <c r="E136" s="2" t="n">
        <f>13339</f>
        <v>13339.0</v>
      </c>
      <c r="F136" s="10"/>
      <c r="G136" s="2" t="n">
        <f>23688719000</f>
        <v>2.3688719E10</v>
      </c>
      <c r="H136" s="10"/>
      <c r="I136" s="2" t="n">
        <f>542</f>
        <v>542.0</v>
      </c>
      <c r="J136" s="10"/>
      <c r="K136" s="2" t="n">
        <f>79343</f>
        <v>79343.0</v>
      </c>
    </row>
    <row r="137">
      <c r="A137" s="8" t="s">
        <v>31</v>
      </c>
      <c r="B137" s="9" t="s">
        <v>56</v>
      </c>
      <c r="C137" s="9" t="s">
        <v>57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32</v>
      </c>
      <c r="B138" s="9" t="s">
        <v>56</v>
      </c>
      <c r="C138" s="9" t="s">
        <v>57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33</v>
      </c>
      <c r="B139" s="9" t="s">
        <v>56</v>
      </c>
      <c r="C139" s="9" t="s">
        <v>57</v>
      </c>
      <c r="D139" s="10"/>
      <c r="E139" s="2" t="n">
        <f>7605</f>
        <v>7605.0</v>
      </c>
      <c r="F139" s="10"/>
      <c r="G139" s="2" t="n">
        <f>13518738000</f>
        <v>1.3518738E10</v>
      </c>
      <c r="H139" s="10"/>
      <c r="I139" s="2" t="n">
        <f>640</f>
        <v>640.0</v>
      </c>
      <c r="J139" s="10"/>
      <c r="K139" s="2" t="n">
        <f>79898</f>
        <v>79898.0</v>
      </c>
    </row>
    <row r="140">
      <c r="A140" s="8" t="s">
        <v>34</v>
      </c>
      <c r="B140" s="9" t="s">
        <v>56</v>
      </c>
      <c r="C140" s="9" t="s">
        <v>57</v>
      </c>
      <c r="D140" s="10"/>
      <c r="E140" s="2" t="n">
        <f>5452</f>
        <v>5452.0</v>
      </c>
      <c r="F140" s="10"/>
      <c r="G140" s="2" t="n">
        <f>9675929000</f>
        <v>9.675929E9</v>
      </c>
      <c r="H140" s="10"/>
      <c r="I140" s="2" t="n">
        <f>203</f>
        <v>203.0</v>
      </c>
      <c r="J140" s="10" t="s">
        <v>27</v>
      </c>
      <c r="K140" s="2" t="n">
        <f>81217</f>
        <v>81217.0</v>
      </c>
    </row>
    <row r="141">
      <c r="A141" s="8" t="s">
        <v>35</v>
      </c>
      <c r="B141" s="9" t="s">
        <v>56</v>
      </c>
      <c r="C141" s="9" t="s">
        <v>57</v>
      </c>
      <c r="D141" s="10"/>
      <c r="E141" s="2" t="n">
        <f>5749</f>
        <v>5749.0</v>
      </c>
      <c r="F141" s="10"/>
      <c r="G141" s="2" t="n">
        <f>10204087000</f>
        <v>1.0204087E10</v>
      </c>
      <c r="H141" s="10"/>
      <c r="I141" s="2" t="n">
        <f>200</f>
        <v>200.0</v>
      </c>
      <c r="J141" s="10"/>
      <c r="K141" s="2" t="n">
        <f>80261</f>
        <v>80261.0</v>
      </c>
    </row>
    <row r="142">
      <c r="A142" s="8" t="s">
        <v>36</v>
      </c>
      <c r="B142" s="9" t="s">
        <v>56</v>
      </c>
      <c r="C142" s="9" t="s">
        <v>57</v>
      </c>
      <c r="D142" s="10" t="s">
        <v>19</v>
      </c>
      <c r="E142" s="2" t="n">
        <f>4780</f>
        <v>4780.0</v>
      </c>
      <c r="F142" s="10" t="s">
        <v>19</v>
      </c>
      <c r="G142" s="2" t="n">
        <f>8491094000</f>
        <v>8.491094E9</v>
      </c>
      <c r="H142" s="10"/>
      <c r="I142" s="2" t="n">
        <f>281</f>
        <v>281.0</v>
      </c>
      <c r="J142" s="10"/>
      <c r="K142" s="2" t="n">
        <f>79989</f>
        <v>79989.0</v>
      </c>
    </row>
    <row r="143">
      <c r="A143" s="8" t="s">
        <v>37</v>
      </c>
      <c r="B143" s="9" t="s">
        <v>56</v>
      </c>
      <c r="C143" s="9" t="s">
        <v>57</v>
      </c>
      <c r="D143" s="10"/>
      <c r="E143" s="2" t="n">
        <f>6822</f>
        <v>6822.0</v>
      </c>
      <c r="F143" s="10"/>
      <c r="G143" s="2" t="n">
        <f>12122603500</f>
        <v>1.21226035E10</v>
      </c>
      <c r="H143" s="10"/>
      <c r="I143" s="2" t="n">
        <f>749</f>
        <v>749.0</v>
      </c>
      <c r="J143" s="10"/>
      <c r="K143" s="2" t="n">
        <f>78453</f>
        <v>78453.0</v>
      </c>
    </row>
    <row r="144">
      <c r="A144" s="8" t="s">
        <v>38</v>
      </c>
      <c r="B144" s="9" t="s">
        <v>56</v>
      </c>
      <c r="C144" s="9" t="s">
        <v>57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39</v>
      </c>
      <c r="B145" s="9" t="s">
        <v>56</v>
      </c>
      <c r="C145" s="9" t="s">
        <v>57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40</v>
      </c>
      <c r="B146" s="9" t="s">
        <v>56</v>
      </c>
      <c r="C146" s="9" t="s">
        <v>57</v>
      </c>
      <c r="D146" s="10"/>
      <c r="E146" s="2" t="n">
        <f>7771</f>
        <v>7771.0</v>
      </c>
      <c r="F146" s="10"/>
      <c r="G146" s="2" t="n">
        <f>13819899900</f>
        <v>1.38198999E10</v>
      </c>
      <c r="H146" s="10"/>
      <c r="I146" s="2" t="n">
        <f>982</f>
        <v>982.0</v>
      </c>
      <c r="J146" s="10"/>
      <c r="K146" s="2" t="n">
        <f>78746</f>
        <v>78746.0</v>
      </c>
    </row>
    <row r="147">
      <c r="A147" s="8" t="s">
        <v>41</v>
      </c>
      <c r="B147" s="9" t="s">
        <v>56</v>
      </c>
      <c r="C147" s="9" t="s">
        <v>57</v>
      </c>
      <c r="D147" s="10"/>
      <c r="E147" s="2" t="n">
        <f>6382</f>
        <v>6382.0</v>
      </c>
      <c r="F147" s="10"/>
      <c r="G147" s="2" t="n">
        <f>11468075500</f>
        <v>1.14680755E10</v>
      </c>
      <c r="H147" s="10"/>
      <c r="I147" s="2" t="n">
        <f>149</f>
        <v>149.0</v>
      </c>
      <c r="J147" s="10"/>
      <c r="K147" s="2" t="n">
        <f>78676</f>
        <v>78676.0</v>
      </c>
    </row>
    <row r="148">
      <c r="A148" s="8" t="s">
        <v>42</v>
      </c>
      <c r="B148" s="9" t="s">
        <v>56</v>
      </c>
      <c r="C148" s="9" t="s">
        <v>57</v>
      </c>
      <c r="D148" s="10"/>
      <c r="E148" s="2"/>
      <c r="F148" s="10"/>
      <c r="G148" s="2"/>
      <c r="H148" s="10"/>
      <c r="I148" s="2"/>
      <c r="J148" s="10"/>
      <c r="K148" s="2"/>
    </row>
    <row r="149">
      <c r="A149" s="8" t="s">
        <v>43</v>
      </c>
      <c r="B149" s="9" t="s">
        <v>56</v>
      </c>
      <c r="C149" s="9" t="s">
        <v>57</v>
      </c>
      <c r="D149" s="10" t="s">
        <v>27</v>
      </c>
      <c r="E149" s="2" t="n">
        <f>20594</f>
        <v>20594.0</v>
      </c>
      <c r="F149" s="10" t="s">
        <v>27</v>
      </c>
      <c r="G149" s="2" t="n">
        <f>37487598800</f>
        <v>3.74875988E10</v>
      </c>
      <c r="H149" s="10"/>
      <c r="I149" s="2" t="n">
        <f>618</f>
        <v>618.0</v>
      </c>
      <c r="J149" s="10" t="s">
        <v>19</v>
      </c>
      <c r="K149" s="2" t="n">
        <f>73876</f>
        <v>73876.0</v>
      </c>
    </row>
    <row r="150">
      <c r="A150" s="8" t="s">
        <v>44</v>
      </c>
      <c r="B150" s="9" t="s">
        <v>56</v>
      </c>
      <c r="C150" s="9" t="s">
        <v>57</v>
      </c>
      <c r="D150" s="10"/>
      <c r="E150" s="2" t="n">
        <f>9152</f>
        <v>9152.0</v>
      </c>
      <c r="F150" s="10"/>
      <c r="G150" s="2" t="n">
        <f>16671694441</f>
        <v>1.6671694441E10</v>
      </c>
      <c r="H150" s="10" t="s">
        <v>27</v>
      </c>
      <c r="I150" s="2" t="n">
        <f>2137</f>
        <v>2137.0</v>
      </c>
      <c r="J150" s="10"/>
      <c r="K150" s="2" t="n">
        <f>74236</f>
        <v>74236.0</v>
      </c>
    </row>
    <row r="151">
      <c r="A151" s="8" t="s">
        <v>45</v>
      </c>
      <c r="B151" s="9" t="s">
        <v>56</v>
      </c>
      <c r="C151" s="9" t="s">
        <v>57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46</v>
      </c>
      <c r="B152" s="9" t="s">
        <v>56</v>
      </c>
      <c r="C152" s="9" t="s">
        <v>57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47</v>
      </c>
      <c r="B153" s="9" t="s">
        <v>56</v>
      </c>
      <c r="C153" s="9" t="s">
        <v>57</v>
      </c>
      <c r="D153" s="10"/>
      <c r="E153" s="2" t="n">
        <f>9314</f>
        <v>9314.0</v>
      </c>
      <c r="F153" s="10"/>
      <c r="G153" s="2" t="n">
        <f>16875536500</f>
        <v>1.68755365E10</v>
      </c>
      <c r="H153" s="10"/>
      <c r="I153" s="2" t="n">
        <f>1508</f>
        <v>1508.0</v>
      </c>
      <c r="J153" s="10"/>
      <c r="K153" s="2" t="n">
        <f>74844</f>
        <v>74844.0</v>
      </c>
    </row>
    <row r="154">
      <c r="A154" s="8" t="s">
        <v>48</v>
      </c>
      <c r="B154" s="9" t="s">
        <v>56</v>
      </c>
      <c r="C154" s="9" t="s">
        <v>57</v>
      </c>
      <c r="D154" s="10"/>
      <c r="E154" s="2" t="n">
        <f>5779</f>
        <v>5779.0</v>
      </c>
      <c r="F154" s="10"/>
      <c r="G154" s="2" t="n">
        <f>10396348500</f>
        <v>1.03963485E10</v>
      </c>
      <c r="H154" s="10"/>
      <c r="I154" s="2" t="n">
        <f>514</f>
        <v>514.0</v>
      </c>
      <c r="J154" s="10"/>
      <c r="K154" s="2" t="n">
        <f>74947</f>
        <v>74947.0</v>
      </c>
    </row>
    <row r="155">
      <c r="A155" s="8" t="s">
        <v>49</v>
      </c>
      <c r="B155" s="9" t="s">
        <v>56</v>
      </c>
      <c r="C155" s="9" t="s">
        <v>57</v>
      </c>
      <c r="D155" s="10"/>
      <c r="E155" s="2" t="n">
        <f>5153</f>
        <v>5153.0</v>
      </c>
      <c r="F155" s="10"/>
      <c r="G155" s="2" t="n">
        <f>9216777000</f>
        <v>9.216777E9</v>
      </c>
      <c r="H155" s="10" t="s">
        <v>19</v>
      </c>
      <c r="I155" s="2" t="n">
        <f>130</f>
        <v>130.0</v>
      </c>
      <c r="J155" s="10"/>
      <c r="K155" s="2" t="n">
        <f>74695</f>
        <v>74695.0</v>
      </c>
    </row>
    <row r="156">
      <c r="A156" s="8" t="s">
        <v>16</v>
      </c>
      <c r="B156" s="9" t="s">
        <v>58</v>
      </c>
      <c r="C156" s="9" t="s">
        <v>59</v>
      </c>
      <c r="D156" s="10" t="s">
        <v>19</v>
      </c>
      <c r="E156" s="2" t="str">
        <f>"－"</f>
        <v>－</v>
      </c>
      <c r="F156" s="10" t="s">
        <v>19</v>
      </c>
      <c r="G156" s="2" t="str">
        <f>"－"</f>
        <v>－</v>
      </c>
      <c r="H156" s="10" t="s">
        <v>60</v>
      </c>
      <c r="I156" s="2" t="str">
        <f>"－"</f>
        <v>－</v>
      </c>
      <c r="J156" s="10" t="s">
        <v>19</v>
      </c>
      <c r="K156" s="2" t="n">
        <f>87</f>
        <v>87.0</v>
      </c>
    </row>
    <row r="157">
      <c r="A157" s="8" t="s">
        <v>20</v>
      </c>
      <c r="B157" s="9" t="s">
        <v>58</v>
      </c>
      <c r="C157" s="9" t="s">
        <v>59</v>
      </c>
      <c r="D157" s="10"/>
      <c r="E157" s="2" t="str">
        <f>"－"</f>
        <v>－</v>
      </c>
      <c r="F157" s="10"/>
      <c r="G157" s="2" t="str">
        <f>"－"</f>
        <v>－</v>
      </c>
      <c r="H157" s="10"/>
      <c r="I157" s="2" t="str">
        <f>"－"</f>
        <v>－</v>
      </c>
      <c r="J157" s="10"/>
      <c r="K157" s="2" t="n">
        <f>87</f>
        <v>87.0</v>
      </c>
    </row>
    <row r="158">
      <c r="A158" s="8" t="s">
        <v>21</v>
      </c>
      <c r="B158" s="9" t="s">
        <v>58</v>
      </c>
      <c r="C158" s="9" t="s">
        <v>59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22</v>
      </c>
      <c r="B159" s="9" t="s">
        <v>58</v>
      </c>
      <c r="C159" s="9" t="s">
        <v>59</v>
      </c>
      <c r="D159" s="10"/>
      <c r="E159" s="2" t="str">
        <f>"－"</f>
        <v>－</v>
      </c>
      <c r="F159" s="10"/>
      <c r="G159" s="2" t="str">
        <f>"－"</f>
        <v>－</v>
      </c>
      <c r="H159" s="10"/>
      <c r="I159" s="2" t="str">
        <f>"－"</f>
        <v>－</v>
      </c>
      <c r="J159" s="10"/>
      <c r="K159" s="2" t="n">
        <f>87</f>
        <v>87.0</v>
      </c>
    </row>
    <row r="160">
      <c r="A160" s="8" t="s">
        <v>23</v>
      </c>
      <c r="B160" s="9" t="s">
        <v>58</v>
      </c>
      <c r="C160" s="9" t="s">
        <v>59</v>
      </c>
      <c r="D160" s="10"/>
      <c r="E160" s="2"/>
      <c r="F160" s="10"/>
      <c r="G160" s="2"/>
      <c r="H160" s="10"/>
      <c r="I160" s="2"/>
      <c r="J160" s="10"/>
      <c r="K160" s="2"/>
    </row>
    <row r="161">
      <c r="A161" s="8" t="s">
        <v>24</v>
      </c>
      <c r="B161" s="9" t="s">
        <v>58</v>
      </c>
      <c r="C161" s="9" t="s">
        <v>59</v>
      </c>
      <c r="D161" s="10"/>
      <c r="E161" s="2"/>
      <c r="F161" s="10"/>
      <c r="G161" s="2"/>
      <c r="H161" s="10"/>
      <c r="I161" s="2"/>
      <c r="J161" s="10"/>
      <c r="K161" s="2"/>
    </row>
    <row r="162">
      <c r="A162" s="8" t="s">
        <v>25</v>
      </c>
      <c r="B162" s="9" t="s">
        <v>58</v>
      </c>
      <c r="C162" s="9" t="s">
        <v>59</v>
      </c>
      <c r="D162" s="10"/>
      <c r="E162" s="2" t="str">
        <f>"－"</f>
        <v>－</v>
      </c>
      <c r="F162" s="10"/>
      <c r="G162" s="2" t="str">
        <f>"－"</f>
        <v>－</v>
      </c>
      <c r="H162" s="10"/>
      <c r="I162" s="2" t="str">
        <f>"－"</f>
        <v>－</v>
      </c>
      <c r="J162" s="10"/>
      <c r="K162" s="2" t="n">
        <f>87</f>
        <v>87.0</v>
      </c>
    </row>
    <row r="163">
      <c r="A163" s="8" t="s">
        <v>26</v>
      </c>
      <c r="B163" s="9" t="s">
        <v>58</v>
      </c>
      <c r="C163" s="9" t="s">
        <v>59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87</f>
        <v>87.0</v>
      </c>
    </row>
    <row r="164">
      <c r="A164" s="8" t="s">
        <v>28</v>
      </c>
      <c r="B164" s="9" t="s">
        <v>58</v>
      </c>
      <c r="C164" s="9" t="s">
        <v>59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87</f>
        <v>87.0</v>
      </c>
    </row>
    <row r="165">
      <c r="A165" s="8" t="s">
        <v>29</v>
      </c>
      <c r="B165" s="9" t="s">
        <v>58</v>
      </c>
      <c r="C165" s="9" t="s">
        <v>59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87</f>
        <v>87.0</v>
      </c>
    </row>
    <row r="166">
      <c r="A166" s="8" t="s">
        <v>30</v>
      </c>
      <c r="B166" s="9" t="s">
        <v>58</v>
      </c>
      <c r="C166" s="9" t="s">
        <v>59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87</f>
        <v>87.0</v>
      </c>
    </row>
    <row r="167">
      <c r="A167" s="8" t="s">
        <v>31</v>
      </c>
      <c r="B167" s="9" t="s">
        <v>58</v>
      </c>
      <c r="C167" s="9" t="s">
        <v>59</v>
      </c>
      <c r="D167" s="10"/>
      <c r="E167" s="2"/>
      <c r="F167" s="10"/>
      <c r="G167" s="2"/>
      <c r="H167" s="10"/>
      <c r="I167" s="2"/>
      <c r="J167" s="10"/>
      <c r="K167" s="2"/>
    </row>
    <row r="168">
      <c r="A168" s="8" t="s">
        <v>32</v>
      </c>
      <c r="B168" s="9" t="s">
        <v>58</v>
      </c>
      <c r="C168" s="9" t="s">
        <v>59</v>
      </c>
      <c r="D168" s="10"/>
      <c r="E168" s="2"/>
      <c r="F168" s="10"/>
      <c r="G168" s="2"/>
      <c r="H168" s="10"/>
      <c r="I168" s="2"/>
      <c r="J168" s="10"/>
      <c r="K168" s="2"/>
    </row>
    <row r="169">
      <c r="A169" s="8" t="s">
        <v>33</v>
      </c>
      <c r="B169" s="9" t="s">
        <v>58</v>
      </c>
      <c r="C169" s="9" t="s">
        <v>59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87</f>
        <v>87.0</v>
      </c>
    </row>
    <row r="170">
      <c r="A170" s="8" t="s">
        <v>34</v>
      </c>
      <c r="B170" s="9" t="s">
        <v>58</v>
      </c>
      <c r="C170" s="9" t="s">
        <v>59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87</f>
        <v>87.0</v>
      </c>
    </row>
    <row r="171">
      <c r="A171" s="8" t="s">
        <v>35</v>
      </c>
      <c r="B171" s="9" t="s">
        <v>58</v>
      </c>
      <c r="C171" s="9" t="s">
        <v>59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87</f>
        <v>87.0</v>
      </c>
    </row>
    <row r="172">
      <c r="A172" s="8" t="s">
        <v>36</v>
      </c>
      <c r="B172" s="9" t="s">
        <v>58</v>
      </c>
      <c r="C172" s="9" t="s">
        <v>59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87</f>
        <v>87.0</v>
      </c>
    </row>
    <row r="173">
      <c r="A173" s="8" t="s">
        <v>37</v>
      </c>
      <c r="B173" s="9" t="s">
        <v>58</v>
      </c>
      <c r="C173" s="9" t="s">
        <v>59</v>
      </c>
      <c r="D173" s="10"/>
      <c r="E173" s="2" t="n">
        <f>1</f>
        <v>1.0</v>
      </c>
      <c r="F173" s="10"/>
      <c r="G173" s="2" t="n">
        <f>964500</f>
        <v>964500.0</v>
      </c>
      <c r="H173" s="10"/>
      <c r="I173" s="2" t="str">
        <f>"－"</f>
        <v>－</v>
      </c>
      <c r="J173" s="10" t="s">
        <v>27</v>
      </c>
      <c r="K173" s="2" t="n">
        <f>88</f>
        <v>88.0</v>
      </c>
    </row>
    <row r="174">
      <c r="A174" s="8" t="s">
        <v>38</v>
      </c>
      <c r="B174" s="9" t="s">
        <v>58</v>
      </c>
      <c r="C174" s="9" t="s">
        <v>59</v>
      </c>
      <c r="D174" s="10"/>
      <c r="E174" s="2"/>
      <c r="F174" s="10"/>
      <c r="G174" s="2"/>
      <c r="H174" s="10"/>
      <c r="I174" s="2"/>
      <c r="J174" s="10"/>
      <c r="K174" s="2"/>
    </row>
    <row r="175">
      <c r="A175" s="8" t="s">
        <v>39</v>
      </c>
      <c r="B175" s="9" t="s">
        <v>58</v>
      </c>
      <c r="C175" s="9" t="s">
        <v>59</v>
      </c>
      <c r="D175" s="10"/>
      <c r="E175" s="2"/>
      <c r="F175" s="10"/>
      <c r="G175" s="2"/>
      <c r="H175" s="10"/>
      <c r="I175" s="2"/>
      <c r="J175" s="10"/>
      <c r="K175" s="2"/>
    </row>
    <row r="176">
      <c r="A176" s="8" t="s">
        <v>40</v>
      </c>
      <c r="B176" s="9" t="s">
        <v>58</v>
      </c>
      <c r="C176" s="9" t="s">
        <v>59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88</f>
        <v>88.0</v>
      </c>
    </row>
    <row r="177">
      <c r="A177" s="8" t="s">
        <v>41</v>
      </c>
      <c r="B177" s="9" t="s">
        <v>58</v>
      </c>
      <c r="C177" s="9" t="s">
        <v>59</v>
      </c>
      <c r="D177" s="10"/>
      <c r="E177" s="2" t="n">
        <f>1</f>
        <v>1.0</v>
      </c>
      <c r="F177" s="10"/>
      <c r="G177" s="2" t="n">
        <f>972500</f>
        <v>972500.0</v>
      </c>
      <c r="H177" s="10"/>
      <c r="I177" s="2" t="str">
        <f>"－"</f>
        <v>－</v>
      </c>
      <c r="J177" s="10"/>
      <c r="K177" s="2" t="n">
        <f>87</f>
        <v>87.0</v>
      </c>
    </row>
    <row r="178">
      <c r="A178" s="8" t="s">
        <v>42</v>
      </c>
      <c r="B178" s="9" t="s">
        <v>58</v>
      </c>
      <c r="C178" s="9" t="s">
        <v>59</v>
      </c>
      <c r="D178" s="10"/>
      <c r="E178" s="2"/>
      <c r="F178" s="10"/>
      <c r="G178" s="2"/>
      <c r="H178" s="10"/>
      <c r="I178" s="2"/>
      <c r="J178" s="10"/>
      <c r="K178" s="2"/>
    </row>
    <row r="179">
      <c r="A179" s="8" t="s">
        <v>43</v>
      </c>
      <c r="B179" s="9" t="s">
        <v>58</v>
      </c>
      <c r="C179" s="9" t="s">
        <v>59</v>
      </c>
      <c r="D179" s="10" t="s">
        <v>27</v>
      </c>
      <c r="E179" s="2" t="n">
        <f>2</f>
        <v>2.0</v>
      </c>
      <c r="F179" s="10" t="s">
        <v>27</v>
      </c>
      <c r="G179" s="2" t="n">
        <f>1957000</f>
        <v>1957000.0</v>
      </c>
      <c r="H179" s="10"/>
      <c r="I179" s="2" t="str">
        <f>"－"</f>
        <v>－</v>
      </c>
      <c r="J179" s="10"/>
      <c r="K179" s="2" t="n">
        <f>87</f>
        <v>87.0</v>
      </c>
    </row>
    <row r="180">
      <c r="A180" s="8" t="s">
        <v>44</v>
      </c>
      <c r="B180" s="9" t="s">
        <v>58</v>
      </c>
      <c r="C180" s="9" t="s">
        <v>59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87</f>
        <v>87.0</v>
      </c>
    </row>
    <row r="181">
      <c r="A181" s="8" t="s">
        <v>45</v>
      </c>
      <c r="B181" s="9" t="s">
        <v>58</v>
      </c>
      <c r="C181" s="9" t="s">
        <v>59</v>
      </c>
      <c r="D181" s="10"/>
      <c r="E181" s="2"/>
      <c r="F181" s="10"/>
      <c r="G181" s="2"/>
      <c r="H181" s="10"/>
      <c r="I181" s="2"/>
      <c r="J181" s="10"/>
      <c r="K181" s="2"/>
    </row>
    <row r="182">
      <c r="A182" s="8" t="s">
        <v>46</v>
      </c>
      <c r="B182" s="9" t="s">
        <v>58</v>
      </c>
      <c r="C182" s="9" t="s">
        <v>59</v>
      </c>
      <c r="D182" s="10"/>
      <c r="E182" s="2"/>
      <c r="F182" s="10"/>
      <c r="G182" s="2"/>
      <c r="H182" s="10"/>
      <c r="I182" s="2"/>
      <c r="J182" s="10"/>
      <c r="K182" s="2"/>
    </row>
    <row r="183">
      <c r="A183" s="8" t="s">
        <v>47</v>
      </c>
      <c r="B183" s="9" t="s">
        <v>58</v>
      </c>
      <c r="C183" s="9" t="s">
        <v>59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87</f>
        <v>87.0</v>
      </c>
    </row>
    <row r="184">
      <c r="A184" s="8" t="s">
        <v>48</v>
      </c>
      <c r="B184" s="9" t="s">
        <v>58</v>
      </c>
      <c r="C184" s="9" t="s">
        <v>59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87</f>
        <v>87.0</v>
      </c>
    </row>
    <row r="185">
      <c r="A185" s="8" t="s">
        <v>49</v>
      </c>
      <c r="B185" s="9" t="s">
        <v>58</v>
      </c>
      <c r="C185" s="9" t="s">
        <v>59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87</f>
        <v>87.0</v>
      </c>
    </row>
    <row r="186">
      <c r="A186" s="8" t="s">
        <v>16</v>
      </c>
      <c r="B186" s="9" t="s">
        <v>61</v>
      </c>
      <c r="C186" s="9" t="s">
        <v>62</v>
      </c>
      <c r="D186" s="10"/>
      <c r="E186" s="2" t="n">
        <f>2000</f>
        <v>2000.0</v>
      </c>
      <c r="F186" s="10"/>
      <c r="G186" s="2" t="n">
        <f>3199600000</f>
        <v>3.1996E9</v>
      </c>
      <c r="H186" s="10" t="s">
        <v>19</v>
      </c>
      <c r="I186" s="2" t="str">
        <f>"－"</f>
        <v>－</v>
      </c>
      <c r="J186" s="10"/>
      <c r="K186" s="2" t="n">
        <f>66555</f>
        <v>66555.0</v>
      </c>
    </row>
    <row r="187">
      <c r="A187" s="8" t="s">
        <v>20</v>
      </c>
      <c r="B187" s="9" t="s">
        <v>61</v>
      </c>
      <c r="C187" s="9" t="s">
        <v>62</v>
      </c>
      <c r="D187" s="10"/>
      <c r="E187" s="2" t="n">
        <f>2000</f>
        <v>2000.0</v>
      </c>
      <c r="F187" s="10"/>
      <c r="G187" s="2" t="n">
        <f>3216300000</f>
        <v>3.2163E9</v>
      </c>
      <c r="H187" s="10"/>
      <c r="I187" s="2" t="str">
        <f>"－"</f>
        <v>－</v>
      </c>
      <c r="J187" s="10" t="s">
        <v>19</v>
      </c>
      <c r="K187" s="2" t="n">
        <f>64555</f>
        <v>64555.0</v>
      </c>
    </row>
    <row r="188">
      <c r="A188" s="8" t="s">
        <v>21</v>
      </c>
      <c r="B188" s="9" t="s">
        <v>61</v>
      </c>
      <c r="C188" s="9" t="s">
        <v>62</v>
      </c>
      <c r="D188" s="10"/>
      <c r="E188" s="2"/>
      <c r="F188" s="10"/>
      <c r="G188" s="2"/>
      <c r="H188" s="10"/>
      <c r="I188" s="2"/>
      <c r="J188" s="10"/>
      <c r="K188" s="2"/>
    </row>
    <row r="189">
      <c r="A189" s="8" t="s">
        <v>22</v>
      </c>
      <c r="B189" s="9" t="s">
        <v>61</v>
      </c>
      <c r="C189" s="9" t="s">
        <v>62</v>
      </c>
      <c r="D189" s="10"/>
      <c r="E189" s="2" t="n">
        <f>2236</f>
        <v>2236.0</v>
      </c>
      <c r="F189" s="10"/>
      <c r="G189" s="2" t="n">
        <f>3606994456</f>
        <v>3.606994456E9</v>
      </c>
      <c r="H189" s="10"/>
      <c r="I189" s="2" t="str">
        <f>"－"</f>
        <v>－</v>
      </c>
      <c r="J189" s="10"/>
      <c r="K189" s="2" t="n">
        <f>66791</f>
        <v>66791.0</v>
      </c>
    </row>
    <row r="190">
      <c r="A190" s="8" t="s">
        <v>23</v>
      </c>
      <c r="B190" s="9" t="s">
        <v>61</v>
      </c>
      <c r="C190" s="9" t="s">
        <v>62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24</v>
      </c>
      <c r="B191" s="9" t="s">
        <v>61</v>
      </c>
      <c r="C191" s="9" t="s">
        <v>62</v>
      </c>
      <c r="D191" s="10"/>
      <c r="E191" s="2"/>
      <c r="F191" s="10"/>
      <c r="G191" s="2"/>
      <c r="H191" s="10"/>
      <c r="I191" s="2"/>
      <c r="J191" s="10"/>
      <c r="K191" s="2"/>
    </row>
    <row r="192">
      <c r="A192" s="8" t="s">
        <v>25</v>
      </c>
      <c r="B192" s="9" t="s">
        <v>61</v>
      </c>
      <c r="C192" s="9" t="s">
        <v>62</v>
      </c>
      <c r="D192" s="10" t="s">
        <v>19</v>
      </c>
      <c r="E192" s="2" t="str">
        <f>"－"</f>
        <v>－</v>
      </c>
      <c r="F192" s="10" t="s">
        <v>19</v>
      </c>
      <c r="G192" s="2" t="str">
        <f>"－"</f>
        <v>－</v>
      </c>
      <c r="H192" s="10"/>
      <c r="I192" s="2" t="str">
        <f>"－"</f>
        <v>－</v>
      </c>
      <c r="J192" s="10"/>
      <c r="K192" s="2" t="n">
        <f>66791</f>
        <v>66791.0</v>
      </c>
    </row>
    <row r="193">
      <c r="A193" s="8" t="s">
        <v>26</v>
      </c>
      <c r="B193" s="9" t="s">
        <v>61</v>
      </c>
      <c r="C193" s="9" t="s">
        <v>62</v>
      </c>
      <c r="D193" s="10"/>
      <c r="E193" s="2" t="str">
        <f>"－"</f>
        <v>－</v>
      </c>
      <c r="F193" s="10"/>
      <c r="G193" s="2" t="str">
        <f>"－"</f>
        <v>－</v>
      </c>
      <c r="H193" s="10"/>
      <c r="I193" s="2" t="str">
        <f>"－"</f>
        <v>－</v>
      </c>
      <c r="J193" s="10"/>
      <c r="K193" s="2" t="n">
        <f>66791</f>
        <v>66791.0</v>
      </c>
    </row>
    <row r="194">
      <c r="A194" s="8" t="s">
        <v>28</v>
      </c>
      <c r="B194" s="9" t="s">
        <v>61</v>
      </c>
      <c r="C194" s="9" t="s">
        <v>62</v>
      </c>
      <c r="D194" s="10"/>
      <c r="E194" s="2" t="n">
        <f>2128</f>
        <v>2128.0</v>
      </c>
      <c r="F194" s="10"/>
      <c r="G194" s="2" t="n">
        <f>3457327552</f>
        <v>3.457327552E9</v>
      </c>
      <c r="H194" s="10"/>
      <c r="I194" s="2" t="str">
        <f>"－"</f>
        <v>－</v>
      </c>
      <c r="J194" s="10"/>
      <c r="K194" s="2" t="n">
        <f>68919</f>
        <v>68919.0</v>
      </c>
    </row>
    <row r="195">
      <c r="A195" s="8" t="s">
        <v>29</v>
      </c>
      <c r="B195" s="9" t="s">
        <v>61</v>
      </c>
      <c r="C195" s="9" t="s">
        <v>62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68919</f>
        <v>68919.0</v>
      </c>
    </row>
    <row r="196">
      <c r="A196" s="8" t="s">
        <v>30</v>
      </c>
      <c r="B196" s="9" t="s">
        <v>61</v>
      </c>
      <c r="C196" s="9" t="s">
        <v>62</v>
      </c>
      <c r="D196" s="10"/>
      <c r="E196" s="2" t="n">
        <f>219</f>
        <v>219.0</v>
      </c>
      <c r="F196" s="10"/>
      <c r="G196" s="2" t="n">
        <f>355501500</f>
        <v>3.555015E8</v>
      </c>
      <c r="H196" s="10"/>
      <c r="I196" s="2" t="str">
        <f>"－"</f>
        <v>－</v>
      </c>
      <c r="J196" s="10"/>
      <c r="K196" s="2" t="n">
        <f>68979</f>
        <v>68979.0</v>
      </c>
    </row>
    <row r="197">
      <c r="A197" s="8" t="s">
        <v>31</v>
      </c>
      <c r="B197" s="9" t="s">
        <v>61</v>
      </c>
      <c r="C197" s="9" t="s">
        <v>62</v>
      </c>
      <c r="D197" s="10"/>
      <c r="E197" s="2"/>
      <c r="F197" s="10"/>
      <c r="G197" s="2"/>
      <c r="H197" s="10"/>
      <c r="I197" s="2"/>
      <c r="J197" s="10"/>
      <c r="K197" s="2"/>
    </row>
    <row r="198">
      <c r="A198" s="8" t="s">
        <v>32</v>
      </c>
      <c r="B198" s="9" t="s">
        <v>61</v>
      </c>
      <c r="C198" s="9" t="s">
        <v>62</v>
      </c>
      <c r="D198" s="10"/>
      <c r="E198" s="2"/>
      <c r="F198" s="10"/>
      <c r="G198" s="2"/>
      <c r="H198" s="10"/>
      <c r="I198" s="2"/>
      <c r="J198" s="10"/>
      <c r="K198" s="2"/>
    </row>
    <row r="199">
      <c r="A199" s="8" t="s">
        <v>33</v>
      </c>
      <c r="B199" s="9" t="s">
        <v>61</v>
      </c>
      <c r="C199" s="9" t="s">
        <v>62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68979</f>
        <v>68979.0</v>
      </c>
    </row>
    <row r="200">
      <c r="A200" s="8" t="s">
        <v>34</v>
      </c>
      <c r="B200" s="9" t="s">
        <v>61</v>
      </c>
      <c r="C200" s="9" t="s">
        <v>62</v>
      </c>
      <c r="D200" s="10"/>
      <c r="E200" s="2" t="str">
        <f>"－"</f>
        <v>－</v>
      </c>
      <c r="F200" s="10"/>
      <c r="G200" s="2" t="str">
        <f>"－"</f>
        <v>－</v>
      </c>
      <c r="H200" s="10"/>
      <c r="I200" s="2" t="str">
        <f>"－"</f>
        <v>－</v>
      </c>
      <c r="J200" s="10"/>
      <c r="K200" s="2" t="n">
        <f>68979</f>
        <v>68979.0</v>
      </c>
    </row>
    <row r="201">
      <c r="A201" s="8" t="s">
        <v>35</v>
      </c>
      <c r="B201" s="9" t="s">
        <v>61</v>
      </c>
      <c r="C201" s="9" t="s">
        <v>62</v>
      </c>
      <c r="D201" s="10"/>
      <c r="E201" s="2" t="str">
        <f>"－"</f>
        <v>－</v>
      </c>
      <c r="F201" s="10"/>
      <c r="G201" s="2" t="str">
        <f>"－"</f>
        <v>－</v>
      </c>
      <c r="H201" s="10"/>
      <c r="I201" s="2" t="str">
        <f>"－"</f>
        <v>－</v>
      </c>
      <c r="J201" s="10"/>
      <c r="K201" s="2" t="n">
        <f>68979</f>
        <v>68979.0</v>
      </c>
    </row>
    <row r="202">
      <c r="A202" s="8" t="s">
        <v>36</v>
      </c>
      <c r="B202" s="9" t="s">
        <v>61</v>
      </c>
      <c r="C202" s="9" t="s">
        <v>62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68979</f>
        <v>68979.0</v>
      </c>
    </row>
    <row r="203">
      <c r="A203" s="8" t="s">
        <v>37</v>
      </c>
      <c r="B203" s="9" t="s">
        <v>61</v>
      </c>
      <c r="C203" s="9" t="s">
        <v>62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/>
      <c r="K203" s="2" t="n">
        <f>68979</f>
        <v>68979.0</v>
      </c>
    </row>
    <row r="204">
      <c r="A204" s="8" t="s">
        <v>38</v>
      </c>
      <c r="B204" s="9" t="s">
        <v>61</v>
      </c>
      <c r="C204" s="9" t="s">
        <v>62</v>
      </c>
      <c r="D204" s="10"/>
      <c r="E204" s="2"/>
      <c r="F204" s="10"/>
      <c r="G204" s="2"/>
      <c r="H204" s="10"/>
      <c r="I204" s="2"/>
      <c r="J204" s="10"/>
      <c r="K204" s="2"/>
    </row>
    <row r="205">
      <c r="A205" s="8" t="s">
        <v>39</v>
      </c>
      <c r="B205" s="9" t="s">
        <v>61</v>
      </c>
      <c r="C205" s="9" t="s">
        <v>62</v>
      </c>
      <c r="D205" s="10"/>
      <c r="E205" s="2"/>
      <c r="F205" s="10"/>
      <c r="G205" s="2"/>
      <c r="H205" s="10"/>
      <c r="I205" s="2"/>
      <c r="J205" s="10"/>
      <c r="K205" s="2"/>
    </row>
    <row r="206">
      <c r="A206" s="8" t="s">
        <v>40</v>
      </c>
      <c r="B206" s="9" t="s">
        <v>61</v>
      </c>
      <c r="C206" s="9" t="s">
        <v>62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68979</f>
        <v>68979.0</v>
      </c>
    </row>
    <row r="207">
      <c r="A207" s="8" t="s">
        <v>41</v>
      </c>
      <c r="B207" s="9" t="s">
        <v>61</v>
      </c>
      <c r="C207" s="9" t="s">
        <v>62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68979</f>
        <v>68979.0</v>
      </c>
    </row>
    <row r="208">
      <c r="A208" s="8" t="s">
        <v>42</v>
      </c>
      <c r="B208" s="9" t="s">
        <v>61</v>
      </c>
      <c r="C208" s="9" t="s">
        <v>62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43</v>
      </c>
      <c r="B209" s="9" t="s">
        <v>61</v>
      </c>
      <c r="C209" s="9" t="s">
        <v>62</v>
      </c>
      <c r="D209" s="10"/>
      <c r="E209" s="2" t="n">
        <f>1600</f>
        <v>1600.0</v>
      </c>
      <c r="F209" s="10"/>
      <c r="G209" s="2" t="n">
        <f>2780800000</f>
        <v>2.7808E9</v>
      </c>
      <c r="H209" s="10"/>
      <c r="I209" s="2" t="n">
        <f>1600</f>
        <v>1600.0</v>
      </c>
      <c r="J209" s="10"/>
      <c r="K209" s="2" t="n">
        <f>70579</f>
        <v>70579.0</v>
      </c>
    </row>
    <row r="210">
      <c r="A210" s="8" t="s">
        <v>44</v>
      </c>
      <c r="B210" s="9" t="s">
        <v>61</v>
      </c>
      <c r="C210" s="9" t="s">
        <v>62</v>
      </c>
      <c r="D210" s="10"/>
      <c r="E210" s="2" t="n">
        <f>5903</f>
        <v>5903.0</v>
      </c>
      <c r="F210" s="10"/>
      <c r="G210" s="2" t="n">
        <f>10351051000</f>
        <v>1.0351051E10</v>
      </c>
      <c r="H210" s="10"/>
      <c r="I210" s="2" t="str">
        <f>"－"</f>
        <v>－</v>
      </c>
      <c r="J210" s="10"/>
      <c r="K210" s="2" t="n">
        <f>65567</f>
        <v>65567.0</v>
      </c>
    </row>
    <row r="211">
      <c r="A211" s="8" t="s">
        <v>45</v>
      </c>
      <c r="B211" s="9" t="s">
        <v>61</v>
      </c>
      <c r="C211" s="9" t="s">
        <v>62</v>
      </c>
      <c r="D211" s="10"/>
      <c r="E211" s="2"/>
      <c r="F211" s="10"/>
      <c r="G211" s="2"/>
      <c r="H211" s="10"/>
      <c r="I211" s="2"/>
      <c r="J211" s="10"/>
      <c r="K211" s="2"/>
    </row>
    <row r="212">
      <c r="A212" s="8" t="s">
        <v>46</v>
      </c>
      <c r="B212" s="9" t="s">
        <v>61</v>
      </c>
      <c r="C212" s="9" t="s">
        <v>62</v>
      </c>
      <c r="D212" s="10"/>
      <c r="E212" s="2"/>
      <c r="F212" s="10"/>
      <c r="G212" s="2"/>
      <c r="H212" s="10"/>
      <c r="I212" s="2"/>
      <c r="J212" s="10"/>
      <c r="K212" s="2"/>
    </row>
    <row r="213">
      <c r="A213" s="8" t="s">
        <v>47</v>
      </c>
      <c r="B213" s="9" t="s">
        <v>61</v>
      </c>
      <c r="C213" s="9" t="s">
        <v>62</v>
      </c>
      <c r="D213" s="10" t="s">
        <v>27</v>
      </c>
      <c r="E213" s="2" t="n">
        <f>8914</f>
        <v>8914.0</v>
      </c>
      <c r="F213" s="10" t="s">
        <v>27</v>
      </c>
      <c r="G213" s="2" t="n">
        <f>15540431426</f>
        <v>1.5540431426E10</v>
      </c>
      <c r="H213" s="10" t="s">
        <v>27</v>
      </c>
      <c r="I213" s="2" t="n">
        <f>2000</f>
        <v>2000.0</v>
      </c>
      <c r="J213" s="10"/>
      <c r="K213" s="2" t="n">
        <f>66481</f>
        <v>66481.0</v>
      </c>
    </row>
    <row r="214">
      <c r="A214" s="8" t="s">
        <v>48</v>
      </c>
      <c r="B214" s="9" t="s">
        <v>61</v>
      </c>
      <c r="C214" s="9" t="s">
        <v>62</v>
      </c>
      <c r="D214" s="10"/>
      <c r="E214" s="2" t="n">
        <f>4343</f>
        <v>4343.0</v>
      </c>
      <c r="F214" s="10"/>
      <c r="G214" s="2" t="n">
        <f>7575805876</f>
        <v>7.575805876E9</v>
      </c>
      <c r="H214" s="10"/>
      <c r="I214" s="2" t="n">
        <f>1592</f>
        <v>1592.0</v>
      </c>
      <c r="J214" s="10" t="s">
        <v>27</v>
      </c>
      <c r="K214" s="2" t="n">
        <f>70824</f>
        <v>70824.0</v>
      </c>
    </row>
    <row r="215">
      <c r="A215" s="8" t="s">
        <v>49</v>
      </c>
      <c r="B215" s="9" t="s">
        <v>61</v>
      </c>
      <c r="C215" s="9" t="s">
        <v>62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70824</f>
        <v>70824.0</v>
      </c>
    </row>
    <row r="216">
      <c r="A216" s="8" t="s">
        <v>16</v>
      </c>
      <c r="B216" s="9" t="s">
        <v>63</v>
      </c>
      <c r="C216" s="9" t="s">
        <v>64</v>
      </c>
      <c r="D216" s="10"/>
      <c r="E216" s="2" t="n">
        <f>742</f>
        <v>742.0</v>
      </c>
      <c r="F216" s="10"/>
      <c r="G216" s="2" t="n">
        <f>1464108790</f>
        <v>1.46410879E9</v>
      </c>
      <c r="H216" s="10" t="s">
        <v>19</v>
      </c>
      <c r="I216" s="2" t="str">
        <f>"－"</f>
        <v>－</v>
      </c>
      <c r="J216" s="10"/>
      <c r="K216" s="2" t="n">
        <f>60515</f>
        <v>60515.0</v>
      </c>
    </row>
    <row r="217">
      <c r="A217" s="8" t="s">
        <v>20</v>
      </c>
      <c r="B217" s="9" t="s">
        <v>63</v>
      </c>
      <c r="C217" s="9" t="s">
        <v>64</v>
      </c>
      <c r="D217" s="10"/>
      <c r="E217" s="2" t="n">
        <f>459</f>
        <v>459.0</v>
      </c>
      <c r="F217" s="10"/>
      <c r="G217" s="2" t="n">
        <f>907900620</f>
        <v>9.0790062E8</v>
      </c>
      <c r="H217" s="10"/>
      <c r="I217" s="2" t="str">
        <f>"－"</f>
        <v>－</v>
      </c>
      <c r="J217" s="10" t="s">
        <v>19</v>
      </c>
      <c r="K217" s="2" t="n">
        <f>60383</f>
        <v>60383.0</v>
      </c>
    </row>
    <row r="218">
      <c r="A218" s="8" t="s">
        <v>21</v>
      </c>
      <c r="B218" s="9" t="s">
        <v>63</v>
      </c>
      <c r="C218" s="9" t="s">
        <v>64</v>
      </c>
      <c r="D218" s="10"/>
      <c r="E218" s="2"/>
      <c r="F218" s="10"/>
      <c r="G218" s="2"/>
      <c r="H218" s="10"/>
      <c r="I218" s="2"/>
      <c r="J218" s="10"/>
      <c r="K218" s="2"/>
    </row>
    <row r="219">
      <c r="A219" s="8" t="s">
        <v>22</v>
      </c>
      <c r="B219" s="9" t="s">
        <v>63</v>
      </c>
      <c r="C219" s="9" t="s">
        <v>64</v>
      </c>
      <c r="D219" s="10"/>
      <c r="E219" s="2" t="n">
        <f>131</f>
        <v>131.0</v>
      </c>
      <c r="F219" s="10"/>
      <c r="G219" s="2" t="n">
        <f>256233500</f>
        <v>2.562335E8</v>
      </c>
      <c r="H219" s="10"/>
      <c r="I219" s="2" t="str">
        <f>"－"</f>
        <v>－</v>
      </c>
      <c r="J219" s="10"/>
      <c r="K219" s="2" t="n">
        <f>60430</f>
        <v>60430.0</v>
      </c>
    </row>
    <row r="220">
      <c r="A220" s="8" t="s">
        <v>23</v>
      </c>
      <c r="B220" s="9" t="s">
        <v>63</v>
      </c>
      <c r="C220" s="9" t="s">
        <v>64</v>
      </c>
      <c r="D220" s="10"/>
      <c r="E220" s="2"/>
      <c r="F220" s="10"/>
      <c r="G220" s="2"/>
      <c r="H220" s="10"/>
      <c r="I220" s="2"/>
      <c r="J220" s="10"/>
      <c r="K220" s="2"/>
    </row>
    <row r="221">
      <c r="A221" s="8" t="s">
        <v>24</v>
      </c>
      <c r="B221" s="9" t="s">
        <v>63</v>
      </c>
      <c r="C221" s="9" t="s">
        <v>64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25</v>
      </c>
      <c r="B222" s="9" t="s">
        <v>63</v>
      </c>
      <c r="C222" s="9" t="s">
        <v>64</v>
      </c>
      <c r="D222" s="10"/>
      <c r="E222" s="2" t="n">
        <f>508</f>
        <v>508.0</v>
      </c>
      <c r="F222" s="10"/>
      <c r="G222" s="2" t="n">
        <f>985551440</f>
        <v>9.8555144E8</v>
      </c>
      <c r="H222" s="10"/>
      <c r="I222" s="2" t="str">
        <f>"－"</f>
        <v>－</v>
      </c>
      <c r="J222" s="10"/>
      <c r="K222" s="2" t="n">
        <f>60566</f>
        <v>60566.0</v>
      </c>
    </row>
    <row r="223">
      <c r="A223" s="8" t="s">
        <v>26</v>
      </c>
      <c r="B223" s="9" t="s">
        <v>63</v>
      </c>
      <c r="C223" s="9" t="s">
        <v>64</v>
      </c>
      <c r="D223" s="10"/>
      <c r="E223" s="2" t="n">
        <f>123</f>
        <v>123.0</v>
      </c>
      <c r="F223" s="10"/>
      <c r="G223" s="2" t="n">
        <f>239142040</f>
        <v>2.3914204E8</v>
      </c>
      <c r="H223" s="10"/>
      <c r="I223" s="2" t="str">
        <f>"－"</f>
        <v>－</v>
      </c>
      <c r="J223" s="10"/>
      <c r="K223" s="2" t="n">
        <f>60483</f>
        <v>60483.0</v>
      </c>
    </row>
    <row r="224">
      <c r="A224" s="8" t="s">
        <v>28</v>
      </c>
      <c r="B224" s="9" t="s">
        <v>63</v>
      </c>
      <c r="C224" s="9" t="s">
        <v>64</v>
      </c>
      <c r="D224" s="10"/>
      <c r="E224" s="2" t="n">
        <f>73</f>
        <v>73.0</v>
      </c>
      <c r="F224" s="10"/>
      <c r="G224" s="2" t="n">
        <f>142021610</f>
        <v>1.4202161E8</v>
      </c>
      <c r="H224" s="10"/>
      <c r="I224" s="2" t="str">
        <f>"－"</f>
        <v>－</v>
      </c>
      <c r="J224" s="10"/>
      <c r="K224" s="2" t="n">
        <f>60476</f>
        <v>60476.0</v>
      </c>
    </row>
    <row r="225">
      <c r="A225" s="8" t="s">
        <v>29</v>
      </c>
      <c r="B225" s="9" t="s">
        <v>63</v>
      </c>
      <c r="C225" s="9" t="s">
        <v>64</v>
      </c>
      <c r="D225" s="10"/>
      <c r="E225" s="2" t="n">
        <f>710</f>
        <v>710.0</v>
      </c>
      <c r="F225" s="10"/>
      <c r="G225" s="2" t="n">
        <f>1377999140</f>
        <v>1.37799914E9</v>
      </c>
      <c r="H225" s="10"/>
      <c r="I225" s="2" t="str">
        <f>"－"</f>
        <v>－</v>
      </c>
      <c r="J225" s="10"/>
      <c r="K225" s="2" t="n">
        <f>60586</f>
        <v>60586.0</v>
      </c>
    </row>
    <row r="226">
      <c r="A226" s="8" t="s">
        <v>30</v>
      </c>
      <c r="B226" s="9" t="s">
        <v>63</v>
      </c>
      <c r="C226" s="9" t="s">
        <v>64</v>
      </c>
      <c r="D226" s="10"/>
      <c r="E226" s="2" t="n">
        <f>258</f>
        <v>258.0</v>
      </c>
      <c r="F226" s="10"/>
      <c r="G226" s="2" t="n">
        <f>508729970</f>
        <v>5.0872997E8</v>
      </c>
      <c r="H226" s="10"/>
      <c r="I226" s="2" t="str">
        <f>"－"</f>
        <v>－</v>
      </c>
      <c r="J226" s="10"/>
      <c r="K226" s="2" t="n">
        <f>60632</f>
        <v>60632.0</v>
      </c>
    </row>
    <row r="227">
      <c r="A227" s="8" t="s">
        <v>31</v>
      </c>
      <c r="B227" s="9" t="s">
        <v>63</v>
      </c>
      <c r="C227" s="9" t="s">
        <v>64</v>
      </c>
      <c r="D227" s="10"/>
      <c r="E227" s="2"/>
      <c r="F227" s="10"/>
      <c r="G227" s="2"/>
      <c r="H227" s="10"/>
      <c r="I227" s="2"/>
      <c r="J227" s="10"/>
      <c r="K227" s="2"/>
    </row>
    <row r="228">
      <c r="A228" s="8" t="s">
        <v>32</v>
      </c>
      <c r="B228" s="9" t="s">
        <v>63</v>
      </c>
      <c r="C228" s="9" t="s">
        <v>64</v>
      </c>
      <c r="D228" s="10"/>
      <c r="E228" s="2"/>
      <c r="F228" s="10"/>
      <c r="G228" s="2"/>
      <c r="H228" s="10"/>
      <c r="I228" s="2"/>
      <c r="J228" s="10"/>
      <c r="K228" s="2"/>
    </row>
    <row r="229">
      <c r="A229" s="8" t="s">
        <v>33</v>
      </c>
      <c r="B229" s="9" t="s">
        <v>63</v>
      </c>
      <c r="C229" s="9" t="s">
        <v>64</v>
      </c>
      <c r="D229" s="10"/>
      <c r="E229" s="2" t="n">
        <f>189</f>
        <v>189.0</v>
      </c>
      <c r="F229" s="10"/>
      <c r="G229" s="2" t="n">
        <f>368994640</f>
        <v>3.6899464E8</v>
      </c>
      <c r="H229" s="10"/>
      <c r="I229" s="2" t="str">
        <f>"－"</f>
        <v>－</v>
      </c>
      <c r="J229" s="10"/>
      <c r="K229" s="2" t="n">
        <f>60639</f>
        <v>60639.0</v>
      </c>
    </row>
    <row r="230">
      <c r="A230" s="8" t="s">
        <v>34</v>
      </c>
      <c r="B230" s="9" t="s">
        <v>63</v>
      </c>
      <c r="C230" s="9" t="s">
        <v>64</v>
      </c>
      <c r="D230" s="10"/>
      <c r="E230" s="2" t="n">
        <f>972</f>
        <v>972.0</v>
      </c>
      <c r="F230" s="10"/>
      <c r="G230" s="2" t="n">
        <f>1885156580</f>
        <v>1.88515658E9</v>
      </c>
      <c r="H230" s="10"/>
      <c r="I230" s="2" t="str">
        <f>"－"</f>
        <v>－</v>
      </c>
      <c r="J230" s="10"/>
      <c r="K230" s="2" t="n">
        <f>60524</f>
        <v>60524.0</v>
      </c>
    </row>
    <row r="231">
      <c r="A231" s="8" t="s">
        <v>35</v>
      </c>
      <c r="B231" s="9" t="s">
        <v>63</v>
      </c>
      <c r="C231" s="9" t="s">
        <v>64</v>
      </c>
      <c r="D231" s="10"/>
      <c r="E231" s="2" t="n">
        <f>86</f>
        <v>86.0</v>
      </c>
      <c r="F231" s="10"/>
      <c r="G231" s="2" t="n">
        <f>167075600</f>
        <v>1.670756E8</v>
      </c>
      <c r="H231" s="10"/>
      <c r="I231" s="2" t="str">
        <f>"－"</f>
        <v>－</v>
      </c>
      <c r="J231" s="10"/>
      <c r="K231" s="2" t="n">
        <f>60467</f>
        <v>60467.0</v>
      </c>
    </row>
    <row r="232">
      <c r="A232" s="8" t="s">
        <v>36</v>
      </c>
      <c r="B232" s="9" t="s">
        <v>63</v>
      </c>
      <c r="C232" s="9" t="s">
        <v>64</v>
      </c>
      <c r="D232" s="10"/>
      <c r="E232" s="2" t="n">
        <f>1383</f>
        <v>1383.0</v>
      </c>
      <c r="F232" s="10"/>
      <c r="G232" s="2" t="n">
        <f>2692345730</f>
        <v>2.69234573E9</v>
      </c>
      <c r="H232" s="10"/>
      <c r="I232" s="2" t="str">
        <f>"－"</f>
        <v>－</v>
      </c>
      <c r="J232" s="10"/>
      <c r="K232" s="2" t="n">
        <f>60630</f>
        <v>60630.0</v>
      </c>
    </row>
    <row r="233">
      <c r="A233" s="8" t="s">
        <v>37</v>
      </c>
      <c r="B233" s="9" t="s">
        <v>63</v>
      </c>
      <c r="C233" s="9" t="s">
        <v>64</v>
      </c>
      <c r="D233" s="10" t="s">
        <v>19</v>
      </c>
      <c r="E233" s="2" t="n">
        <f>64</f>
        <v>64.0</v>
      </c>
      <c r="F233" s="10" t="s">
        <v>19</v>
      </c>
      <c r="G233" s="2" t="n">
        <f>128073000</f>
        <v>1.28073E8</v>
      </c>
      <c r="H233" s="10"/>
      <c r="I233" s="2" t="str">
        <f>"－"</f>
        <v>－</v>
      </c>
      <c r="J233" s="10"/>
      <c r="K233" s="2" t="n">
        <f>60689</f>
        <v>60689.0</v>
      </c>
    </row>
    <row r="234">
      <c r="A234" s="8" t="s">
        <v>38</v>
      </c>
      <c r="B234" s="9" t="s">
        <v>63</v>
      </c>
      <c r="C234" s="9" t="s">
        <v>64</v>
      </c>
      <c r="D234" s="10"/>
      <c r="E234" s="2"/>
      <c r="F234" s="10"/>
      <c r="G234" s="2"/>
      <c r="H234" s="10"/>
      <c r="I234" s="2"/>
      <c r="J234" s="10"/>
      <c r="K234" s="2"/>
    </row>
    <row r="235">
      <c r="A235" s="8" t="s">
        <v>39</v>
      </c>
      <c r="B235" s="9" t="s">
        <v>63</v>
      </c>
      <c r="C235" s="9" t="s">
        <v>64</v>
      </c>
      <c r="D235" s="10"/>
      <c r="E235" s="2"/>
      <c r="F235" s="10"/>
      <c r="G235" s="2"/>
      <c r="H235" s="10"/>
      <c r="I235" s="2"/>
      <c r="J235" s="10"/>
      <c r="K235" s="2"/>
    </row>
    <row r="236">
      <c r="A236" s="8" t="s">
        <v>40</v>
      </c>
      <c r="B236" s="9" t="s">
        <v>63</v>
      </c>
      <c r="C236" s="9" t="s">
        <v>64</v>
      </c>
      <c r="D236" s="10"/>
      <c r="E236" s="2" t="n">
        <f>3944</f>
        <v>3944.0</v>
      </c>
      <c r="F236" s="10"/>
      <c r="G236" s="2" t="n">
        <f>7738478390</f>
        <v>7.73847839E9</v>
      </c>
      <c r="H236" s="10" t="s">
        <v>27</v>
      </c>
      <c r="I236" s="2" t="n">
        <f>417</f>
        <v>417.0</v>
      </c>
      <c r="J236" s="10"/>
      <c r="K236" s="2" t="n">
        <f>61817</f>
        <v>61817.0</v>
      </c>
    </row>
    <row r="237">
      <c r="A237" s="8" t="s">
        <v>41</v>
      </c>
      <c r="B237" s="9" t="s">
        <v>63</v>
      </c>
      <c r="C237" s="9" t="s">
        <v>64</v>
      </c>
      <c r="D237" s="10"/>
      <c r="E237" s="2" t="n">
        <f>286</f>
        <v>286.0</v>
      </c>
      <c r="F237" s="10"/>
      <c r="G237" s="2" t="n">
        <f>557581330</f>
        <v>5.5758133E8</v>
      </c>
      <c r="H237" s="10"/>
      <c r="I237" s="2" t="n">
        <f>30</f>
        <v>30.0</v>
      </c>
      <c r="J237" s="10"/>
      <c r="K237" s="2" t="n">
        <f>61788</f>
        <v>61788.0</v>
      </c>
    </row>
    <row r="238">
      <c r="A238" s="8" t="s">
        <v>42</v>
      </c>
      <c r="B238" s="9" t="s">
        <v>63</v>
      </c>
      <c r="C238" s="9" t="s">
        <v>64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43</v>
      </c>
      <c r="B239" s="9" t="s">
        <v>63</v>
      </c>
      <c r="C239" s="9" t="s">
        <v>64</v>
      </c>
      <c r="D239" s="10"/>
      <c r="E239" s="2" t="n">
        <f>5200</f>
        <v>5200.0</v>
      </c>
      <c r="F239" s="10"/>
      <c r="G239" s="2" t="n">
        <f>10195281280</f>
        <v>1.019528128E10</v>
      </c>
      <c r="H239" s="10"/>
      <c r="I239" s="2" t="str">
        <f>"－"</f>
        <v>－</v>
      </c>
      <c r="J239" s="10"/>
      <c r="K239" s="2" t="n">
        <f>64732</f>
        <v>64732.0</v>
      </c>
    </row>
    <row r="240">
      <c r="A240" s="8" t="s">
        <v>44</v>
      </c>
      <c r="B240" s="9" t="s">
        <v>63</v>
      </c>
      <c r="C240" s="9" t="s">
        <v>64</v>
      </c>
      <c r="D240" s="10"/>
      <c r="E240" s="2" t="n">
        <f>1979</f>
        <v>1979.0</v>
      </c>
      <c r="F240" s="10"/>
      <c r="G240" s="2" t="n">
        <f>3876609540</f>
        <v>3.87660954E9</v>
      </c>
      <c r="H240" s="10"/>
      <c r="I240" s="2" t="str">
        <f>"－"</f>
        <v>－</v>
      </c>
      <c r="J240" s="10"/>
      <c r="K240" s="2" t="n">
        <f>66023</f>
        <v>66023.0</v>
      </c>
    </row>
    <row r="241">
      <c r="A241" s="8" t="s">
        <v>45</v>
      </c>
      <c r="B241" s="9" t="s">
        <v>63</v>
      </c>
      <c r="C241" s="9" t="s">
        <v>64</v>
      </c>
      <c r="D241" s="10"/>
      <c r="E241" s="2"/>
      <c r="F241" s="10"/>
      <c r="G241" s="2"/>
      <c r="H241" s="10"/>
      <c r="I241" s="2"/>
      <c r="J241" s="10"/>
      <c r="K241" s="2"/>
    </row>
    <row r="242">
      <c r="A242" s="8" t="s">
        <v>46</v>
      </c>
      <c r="B242" s="9" t="s">
        <v>63</v>
      </c>
      <c r="C242" s="9" t="s">
        <v>64</v>
      </c>
      <c r="D242" s="10"/>
      <c r="E242" s="2"/>
      <c r="F242" s="10"/>
      <c r="G242" s="2"/>
      <c r="H242" s="10"/>
      <c r="I242" s="2"/>
      <c r="J242" s="10"/>
      <c r="K242" s="2"/>
    </row>
    <row r="243">
      <c r="A243" s="8" t="s">
        <v>47</v>
      </c>
      <c r="B243" s="9" t="s">
        <v>63</v>
      </c>
      <c r="C243" s="9" t="s">
        <v>64</v>
      </c>
      <c r="D243" s="10"/>
      <c r="E243" s="2" t="n">
        <f>3370</f>
        <v>3370.0</v>
      </c>
      <c r="F243" s="10"/>
      <c r="G243" s="2" t="n">
        <f>6640317750</f>
        <v>6.64031775E9</v>
      </c>
      <c r="H243" s="10"/>
      <c r="I243" s="2" t="str">
        <f>"－"</f>
        <v>－</v>
      </c>
      <c r="J243" s="10"/>
      <c r="K243" s="2" t="n">
        <f>68601</f>
        <v>68601.0</v>
      </c>
    </row>
    <row r="244">
      <c r="A244" s="8" t="s">
        <v>48</v>
      </c>
      <c r="B244" s="9" t="s">
        <v>63</v>
      </c>
      <c r="C244" s="9" t="s">
        <v>64</v>
      </c>
      <c r="D244" s="10"/>
      <c r="E244" s="2" t="n">
        <f>1395</f>
        <v>1395.0</v>
      </c>
      <c r="F244" s="10"/>
      <c r="G244" s="2" t="n">
        <f>2755821530</f>
        <v>2.75582153E9</v>
      </c>
      <c r="H244" s="10"/>
      <c r="I244" s="2" t="str">
        <f>"－"</f>
        <v>－</v>
      </c>
      <c r="J244" s="10" t="s">
        <v>27</v>
      </c>
      <c r="K244" s="2" t="n">
        <f>69419</f>
        <v>69419.0</v>
      </c>
    </row>
    <row r="245">
      <c r="A245" s="8" t="s">
        <v>49</v>
      </c>
      <c r="B245" s="9" t="s">
        <v>63</v>
      </c>
      <c r="C245" s="9" t="s">
        <v>64</v>
      </c>
      <c r="D245" s="10" t="s">
        <v>27</v>
      </c>
      <c r="E245" s="2" t="n">
        <f>10217</f>
        <v>10217.0</v>
      </c>
      <c r="F245" s="10" t="s">
        <v>27</v>
      </c>
      <c r="G245" s="2" t="n">
        <f>19982148170</f>
        <v>1.998214817E10</v>
      </c>
      <c r="H245" s="10"/>
      <c r="I245" s="2" t="str">
        <f>"－"</f>
        <v>－</v>
      </c>
      <c r="J245" s="10"/>
      <c r="K245" s="2" t="n">
        <f>69319</f>
        <v>69319.0</v>
      </c>
    </row>
    <row r="246">
      <c r="A246" s="8" t="s">
        <v>16</v>
      </c>
      <c r="B246" s="9" t="s">
        <v>65</v>
      </c>
      <c r="C246" s="9" t="s">
        <v>66</v>
      </c>
      <c r="D246" s="10" t="s">
        <v>60</v>
      </c>
      <c r="E246" s="2" t="str">
        <f>"－"</f>
        <v>－</v>
      </c>
      <c r="F246" s="10" t="s">
        <v>60</v>
      </c>
      <c r="G246" s="2" t="str">
        <f>"－"</f>
        <v>－</v>
      </c>
      <c r="H246" s="10" t="s">
        <v>60</v>
      </c>
      <c r="I246" s="2" t="str">
        <f>"－"</f>
        <v>－</v>
      </c>
      <c r="J246" s="10" t="s">
        <v>60</v>
      </c>
      <c r="K246" s="2" t="str">
        <f>"－"</f>
        <v>－</v>
      </c>
    </row>
    <row r="247">
      <c r="A247" s="8" t="s">
        <v>20</v>
      </c>
      <c r="B247" s="9" t="s">
        <v>65</v>
      </c>
      <c r="C247" s="9" t="s">
        <v>66</v>
      </c>
      <c r="D247" s="10"/>
      <c r="E247" s="2" t="str">
        <f>"－"</f>
        <v>－</v>
      </c>
      <c r="F247" s="10"/>
      <c r="G247" s="2" t="str">
        <f>"－"</f>
        <v>－</v>
      </c>
      <c r="H247" s="10"/>
      <c r="I247" s="2" t="str">
        <f>"－"</f>
        <v>－</v>
      </c>
      <c r="J247" s="10"/>
      <c r="K247" s="2" t="str">
        <f>"－"</f>
        <v>－</v>
      </c>
    </row>
    <row r="248">
      <c r="A248" s="8" t="s">
        <v>21</v>
      </c>
      <c r="B248" s="9" t="s">
        <v>65</v>
      </c>
      <c r="C248" s="9" t="s">
        <v>66</v>
      </c>
      <c r="D248" s="10"/>
      <c r="E248" s="2"/>
      <c r="F248" s="10"/>
      <c r="G248" s="2"/>
      <c r="H248" s="10"/>
      <c r="I248" s="2"/>
      <c r="J248" s="10"/>
      <c r="K248" s="2"/>
    </row>
    <row r="249">
      <c r="A249" s="8" t="s">
        <v>22</v>
      </c>
      <c r="B249" s="9" t="s">
        <v>65</v>
      </c>
      <c r="C249" s="9" t="s">
        <v>66</v>
      </c>
      <c r="D249" s="10"/>
      <c r="E249" s="2" t="str">
        <f>"－"</f>
        <v>－</v>
      </c>
      <c r="F249" s="10"/>
      <c r="G249" s="2" t="str">
        <f>"－"</f>
        <v>－</v>
      </c>
      <c r="H249" s="10"/>
      <c r="I249" s="2" t="str">
        <f>"－"</f>
        <v>－</v>
      </c>
      <c r="J249" s="10"/>
      <c r="K249" s="2" t="str">
        <f>"－"</f>
        <v>－</v>
      </c>
    </row>
    <row r="250">
      <c r="A250" s="8" t="s">
        <v>23</v>
      </c>
      <c r="B250" s="9" t="s">
        <v>65</v>
      </c>
      <c r="C250" s="9" t="s">
        <v>66</v>
      </c>
      <c r="D250" s="10"/>
      <c r="E250" s="2"/>
      <c r="F250" s="10"/>
      <c r="G250" s="2"/>
      <c r="H250" s="10"/>
      <c r="I250" s="2"/>
      <c r="J250" s="10"/>
      <c r="K250" s="2"/>
    </row>
    <row r="251">
      <c r="A251" s="8" t="s">
        <v>24</v>
      </c>
      <c r="B251" s="9" t="s">
        <v>65</v>
      </c>
      <c r="C251" s="9" t="s">
        <v>66</v>
      </c>
      <c r="D251" s="10"/>
      <c r="E251" s="2"/>
      <c r="F251" s="10"/>
      <c r="G251" s="2"/>
      <c r="H251" s="10"/>
      <c r="I251" s="2"/>
      <c r="J251" s="10"/>
      <c r="K251" s="2"/>
    </row>
    <row r="252">
      <c r="A252" s="8" t="s">
        <v>25</v>
      </c>
      <c r="B252" s="9" t="s">
        <v>65</v>
      </c>
      <c r="C252" s="9" t="s">
        <v>66</v>
      </c>
      <c r="D252" s="10"/>
      <c r="E252" s="2" t="str">
        <f>"－"</f>
        <v>－</v>
      </c>
      <c r="F252" s="10"/>
      <c r="G252" s="2" t="str">
        <f>"－"</f>
        <v>－</v>
      </c>
      <c r="H252" s="10"/>
      <c r="I252" s="2" t="str">
        <f>"－"</f>
        <v>－</v>
      </c>
      <c r="J252" s="10"/>
      <c r="K252" s="2" t="str">
        <f>"－"</f>
        <v>－</v>
      </c>
    </row>
    <row r="253">
      <c r="A253" s="8" t="s">
        <v>26</v>
      </c>
      <c r="B253" s="9" t="s">
        <v>65</v>
      </c>
      <c r="C253" s="9" t="s">
        <v>66</v>
      </c>
      <c r="D253" s="10"/>
      <c r="E253" s="2" t="str">
        <f>"－"</f>
        <v>－</v>
      </c>
      <c r="F253" s="10"/>
      <c r="G253" s="2" t="str">
        <f>"－"</f>
        <v>－</v>
      </c>
      <c r="H253" s="10"/>
      <c r="I253" s="2" t="str">
        <f>"－"</f>
        <v>－</v>
      </c>
      <c r="J253" s="10"/>
      <c r="K253" s="2" t="str">
        <f>"－"</f>
        <v>－</v>
      </c>
    </row>
    <row r="254">
      <c r="A254" s="8" t="s">
        <v>28</v>
      </c>
      <c r="B254" s="9" t="s">
        <v>65</v>
      </c>
      <c r="C254" s="9" t="s">
        <v>66</v>
      </c>
      <c r="D254" s="10"/>
      <c r="E254" s="2" t="str">
        <f>"－"</f>
        <v>－</v>
      </c>
      <c r="F254" s="10"/>
      <c r="G254" s="2" t="str">
        <f>"－"</f>
        <v>－</v>
      </c>
      <c r="H254" s="10"/>
      <c r="I254" s="2" t="str">
        <f>"－"</f>
        <v>－</v>
      </c>
      <c r="J254" s="10"/>
      <c r="K254" s="2" t="str">
        <f>"－"</f>
        <v>－</v>
      </c>
    </row>
    <row r="255">
      <c r="A255" s="8" t="s">
        <v>29</v>
      </c>
      <c r="B255" s="9" t="s">
        <v>65</v>
      </c>
      <c r="C255" s="9" t="s">
        <v>66</v>
      </c>
      <c r="D255" s="10"/>
      <c r="E255" s="2" t="str">
        <f>"－"</f>
        <v>－</v>
      </c>
      <c r="F255" s="10"/>
      <c r="G255" s="2" t="str">
        <f>"－"</f>
        <v>－</v>
      </c>
      <c r="H255" s="10"/>
      <c r="I255" s="2" t="str">
        <f>"－"</f>
        <v>－</v>
      </c>
      <c r="J255" s="10"/>
      <c r="K255" s="2" t="str">
        <f>"－"</f>
        <v>－</v>
      </c>
    </row>
    <row r="256">
      <c r="A256" s="8" t="s">
        <v>30</v>
      </c>
      <c r="B256" s="9" t="s">
        <v>65</v>
      </c>
      <c r="C256" s="9" t="s">
        <v>66</v>
      </c>
      <c r="D256" s="10"/>
      <c r="E256" s="2" t="str">
        <f>"－"</f>
        <v>－</v>
      </c>
      <c r="F256" s="10"/>
      <c r="G256" s="2" t="str">
        <f>"－"</f>
        <v>－</v>
      </c>
      <c r="H256" s="10"/>
      <c r="I256" s="2" t="str">
        <f>"－"</f>
        <v>－</v>
      </c>
      <c r="J256" s="10"/>
      <c r="K256" s="2" t="str">
        <f>"－"</f>
        <v>－</v>
      </c>
    </row>
    <row r="257">
      <c r="A257" s="8" t="s">
        <v>31</v>
      </c>
      <c r="B257" s="9" t="s">
        <v>65</v>
      </c>
      <c r="C257" s="9" t="s">
        <v>66</v>
      </c>
      <c r="D257" s="10"/>
      <c r="E257" s="2"/>
      <c r="F257" s="10"/>
      <c r="G257" s="2"/>
      <c r="H257" s="10"/>
      <c r="I257" s="2"/>
      <c r="J257" s="10"/>
      <c r="K257" s="2"/>
    </row>
    <row r="258">
      <c r="A258" s="8" t="s">
        <v>32</v>
      </c>
      <c r="B258" s="9" t="s">
        <v>65</v>
      </c>
      <c r="C258" s="9" t="s">
        <v>66</v>
      </c>
      <c r="D258" s="10"/>
      <c r="E258" s="2"/>
      <c r="F258" s="10"/>
      <c r="G258" s="2"/>
      <c r="H258" s="10"/>
      <c r="I258" s="2"/>
      <c r="J258" s="10"/>
      <c r="K258" s="2"/>
    </row>
    <row r="259">
      <c r="A259" s="8" t="s">
        <v>33</v>
      </c>
      <c r="B259" s="9" t="s">
        <v>65</v>
      </c>
      <c r="C259" s="9" t="s">
        <v>66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34</v>
      </c>
      <c r="B260" s="9" t="s">
        <v>65</v>
      </c>
      <c r="C260" s="9" t="s">
        <v>66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35</v>
      </c>
      <c r="B261" s="9" t="s">
        <v>65</v>
      </c>
      <c r="C261" s="9" t="s">
        <v>66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36</v>
      </c>
      <c r="B262" s="9" t="s">
        <v>65</v>
      </c>
      <c r="C262" s="9" t="s">
        <v>66</v>
      </c>
      <c r="D262" s="10"/>
      <c r="E262" s="2" t="str">
        <f>"－"</f>
        <v>－</v>
      </c>
      <c r="F262" s="10"/>
      <c r="G262" s="2" t="str">
        <f>"－"</f>
        <v>－</v>
      </c>
      <c r="H262" s="10"/>
      <c r="I262" s="2" t="str">
        <f>"－"</f>
        <v>－</v>
      </c>
      <c r="J262" s="10"/>
      <c r="K262" s="2" t="str">
        <f>"－"</f>
        <v>－</v>
      </c>
    </row>
    <row r="263">
      <c r="A263" s="8" t="s">
        <v>37</v>
      </c>
      <c r="B263" s="9" t="s">
        <v>65</v>
      </c>
      <c r="C263" s="9" t="s">
        <v>66</v>
      </c>
      <c r="D263" s="10"/>
      <c r="E263" s="2" t="str">
        <f>"－"</f>
        <v>－</v>
      </c>
      <c r="F263" s="10"/>
      <c r="G263" s="2" t="str">
        <f>"－"</f>
        <v>－</v>
      </c>
      <c r="H263" s="10"/>
      <c r="I263" s="2" t="str">
        <f>"－"</f>
        <v>－</v>
      </c>
      <c r="J263" s="10"/>
      <c r="K263" s="2" t="str">
        <f>"－"</f>
        <v>－</v>
      </c>
    </row>
    <row r="264">
      <c r="A264" s="8" t="s">
        <v>38</v>
      </c>
      <c r="B264" s="9" t="s">
        <v>65</v>
      </c>
      <c r="C264" s="9" t="s">
        <v>66</v>
      </c>
      <c r="D264" s="10"/>
      <c r="E264" s="2"/>
      <c r="F264" s="10"/>
      <c r="G264" s="2"/>
      <c r="H264" s="10"/>
      <c r="I264" s="2"/>
      <c r="J264" s="10"/>
      <c r="K264" s="2"/>
    </row>
    <row r="265">
      <c r="A265" s="8" t="s">
        <v>39</v>
      </c>
      <c r="B265" s="9" t="s">
        <v>65</v>
      </c>
      <c r="C265" s="9" t="s">
        <v>66</v>
      </c>
      <c r="D265" s="10"/>
      <c r="E265" s="2"/>
      <c r="F265" s="10"/>
      <c r="G265" s="2"/>
      <c r="H265" s="10"/>
      <c r="I265" s="2"/>
      <c r="J265" s="10"/>
      <c r="K265" s="2"/>
    </row>
    <row r="266">
      <c r="A266" s="8" t="s">
        <v>40</v>
      </c>
      <c r="B266" s="9" t="s">
        <v>65</v>
      </c>
      <c r="C266" s="9" t="s">
        <v>66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41</v>
      </c>
      <c r="B267" s="9" t="s">
        <v>65</v>
      </c>
      <c r="C267" s="9" t="s">
        <v>66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42</v>
      </c>
      <c r="B268" s="9" t="s">
        <v>65</v>
      </c>
      <c r="C268" s="9" t="s">
        <v>66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43</v>
      </c>
      <c r="B269" s="9" t="s">
        <v>65</v>
      </c>
      <c r="C269" s="9" t="s">
        <v>66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44</v>
      </c>
      <c r="B270" s="9" t="s">
        <v>65</v>
      </c>
      <c r="C270" s="9" t="s">
        <v>66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45</v>
      </c>
      <c r="B271" s="9" t="s">
        <v>65</v>
      </c>
      <c r="C271" s="9" t="s">
        <v>66</v>
      </c>
      <c r="D271" s="10"/>
      <c r="E271" s="2"/>
      <c r="F271" s="10"/>
      <c r="G271" s="2"/>
      <c r="H271" s="10"/>
      <c r="I271" s="2"/>
      <c r="J271" s="10"/>
      <c r="K271" s="2"/>
    </row>
    <row r="272">
      <c r="A272" s="8" t="s">
        <v>46</v>
      </c>
      <c r="B272" s="9" t="s">
        <v>65</v>
      </c>
      <c r="C272" s="9" t="s">
        <v>66</v>
      </c>
      <c r="D272" s="10"/>
      <c r="E272" s="2"/>
      <c r="F272" s="10"/>
      <c r="G272" s="2"/>
      <c r="H272" s="10"/>
      <c r="I272" s="2"/>
      <c r="J272" s="10"/>
      <c r="K272" s="2"/>
    </row>
    <row r="273">
      <c r="A273" s="8" t="s">
        <v>47</v>
      </c>
      <c r="B273" s="9" t="s">
        <v>65</v>
      </c>
      <c r="C273" s="9" t="s">
        <v>66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48</v>
      </c>
      <c r="B274" s="9" t="s">
        <v>65</v>
      </c>
      <c r="C274" s="9" t="s">
        <v>66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49</v>
      </c>
      <c r="B275" s="9" t="s">
        <v>65</v>
      </c>
      <c r="C275" s="9" t="s">
        <v>66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16</v>
      </c>
      <c r="B276" s="9" t="s">
        <v>67</v>
      </c>
      <c r="C276" s="9" t="s">
        <v>68</v>
      </c>
      <c r="D276" s="10"/>
      <c r="E276" s="2" t="n">
        <f>5590</f>
        <v>5590.0</v>
      </c>
      <c r="F276" s="10"/>
      <c r="G276" s="2" t="n">
        <f>4135741680</f>
        <v>4.13574168E9</v>
      </c>
      <c r="H276" s="10"/>
      <c r="I276" s="2" t="n">
        <f>785</f>
        <v>785.0</v>
      </c>
      <c r="J276" s="10" t="s">
        <v>19</v>
      </c>
      <c r="K276" s="2" t="n">
        <f>33095</f>
        <v>33095.0</v>
      </c>
    </row>
    <row r="277">
      <c r="A277" s="8" t="s">
        <v>20</v>
      </c>
      <c r="B277" s="9" t="s">
        <v>67</v>
      </c>
      <c r="C277" s="9" t="s">
        <v>68</v>
      </c>
      <c r="D277" s="10"/>
      <c r="E277" s="2" t="n">
        <f>5419</f>
        <v>5419.0</v>
      </c>
      <c r="F277" s="10"/>
      <c r="G277" s="2" t="n">
        <f>3987680010</f>
        <v>3.98768001E9</v>
      </c>
      <c r="H277" s="10"/>
      <c r="I277" s="2" t="n">
        <f>898</f>
        <v>898.0</v>
      </c>
      <c r="J277" s="10"/>
      <c r="K277" s="2" t="n">
        <f>33551</f>
        <v>33551.0</v>
      </c>
    </row>
    <row r="278">
      <c r="A278" s="8" t="s">
        <v>21</v>
      </c>
      <c r="B278" s="9" t="s">
        <v>67</v>
      </c>
      <c r="C278" s="9" t="s">
        <v>68</v>
      </c>
      <c r="D278" s="10"/>
      <c r="E278" s="2"/>
      <c r="F278" s="10"/>
      <c r="G278" s="2"/>
      <c r="H278" s="10"/>
      <c r="I278" s="2"/>
      <c r="J278" s="10"/>
      <c r="K278" s="2"/>
    </row>
    <row r="279">
      <c r="A279" s="8" t="s">
        <v>22</v>
      </c>
      <c r="B279" s="9" t="s">
        <v>67</v>
      </c>
      <c r="C279" s="9" t="s">
        <v>68</v>
      </c>
      <c r="D279" s="10"/>
      <c r="E279" s="2" t="n">
        <f>6256</f>
        <v>6256.0</v>
      </c>
      <c r="F279" s="10"/>
      <c r="G279" s="2" t="n">
        <f>4538106900</f>
        <v>4.5381069E9</v>
      </c>
      <c r="H279" s="10"/>
      <c r="I279" s="2" t="n">
        <f>617</f>
        <v>617.0</v>
      </c>
      <c r="J279" s="10"/>
      <c r="K279" s="2" t="n">
        <f>34115</f>
        <v>34115.0</v>
      </c>
    </row>
    <row r="280">
      <c r="A280" s="8" t="s">
        <v>23</v>
      </c>
      <c r="B280" s="9" t="s">
        <v>67</v>
      </c>
      <c r="C280" s="9" t="s">
        <v>68</v>
      </c>
      <c r="D280" s="10"/>
      <c r="E280" s="2"/>
      <c r="F280" s="10"/>
      <c r="G280" s="2"/>
      <c r="H280" s="10"/>
      <c r="I280" s="2"/>
      <c r="J280" s="10"/>
      <c r="K280" s="2"/>
    </row>
    <row r="281">
      <c r="A281" s="8" t="s">
        <v>24</v>
      </c>
      <c r="B281" s="9" t="s">
        <v>67</v>
      </c>
      <c r="C281" s="9" t="s">
        <v>68</v>
      </c>
      <c r="D281" s="10"/>
      <c r="E281" s="2"/>
      <c r="F281" s="10"/>
      <c r="G281" s="2"/>
      <c r="H281" s="10"/>
      <c r="I281" s="2"/>
      <c r="J281" s="10"/>
      <c r="K281" s="2"/>
    </row>
    <row r="282">
      <c r="A282" s="8" t="s">
        <v>25</v>
      </c>
      <c r="B282" s="9" t="s">
        <v>67</v>
      </c>
      <c r="C282" s="9" t="s">
        <v>68</v>
      </c>
      <c r="D282" s="10"/>
      <c r="E282" s="2" t="n">
        <f>5847</f>
        <v>5847.0</v>
      </c>
      <c r="F282" s="10"/>
      <c r="G282" s="2" t="n">
        <f>4251555400</f>
        <v>4.2515554E9</v>
      </c>
      <c r="H282" s="10"/>
      <c r="I282" s="2" t="n">
        <f>149</f>
        <v>149.0</v>
      </c>
      <c r="J282" s="10"/>
      <c r="K282" s="2" t="n">
        <f>34473</f>
        <v>34473.0</v>
      </c>
    </row>
    <row r="283">
      <c r="A283" s="8" t="s">
        <v>26</v>
      </c>
      <c r="B283" s="9" t="s">
        <v>67</v>
      </c>
      <c r="C283" s="9" t="s">
        <v>68</v>
      </c>
      <c r="D283" s="10" t="s">
        <v>19</v>
      </c>
      <c r="E283" s="2" t="n">
        <f>3069</f>
        <v>3069.0</v>
      </c>
      <c r="F283" s="10" t="s">
        <v>19</v>
      </c>
      <c r="G283" s="2" t="n">
        <f>2250110049</f>
        <v>2.250110049E9</v>
      </c>
      <c r="H283" s="10" t="s">
        <v>19</v>
      </c>
      <c r="I283" s="2" t="n">
        <f>117</f>
        <v>117.0</v>
      </c>
      <c r="J283" s="10"/>
      <c r="K283" s="2" t="n">
        <f>34783</f>
        <v>34783.0</v>
      </c>
    </row>
    <row r="284">
      <c r="A284" s="8" t="s">
        <v>28</v>
      </c>
      <c r="B284" s="9" t="s">
        <v>67</v>
      </c>
      <c r="C284" s="9" t="s">
        <v>68</v>
      </c>
      <c r="D284" s="10"/>
      <c r="E284" s="2" t="n">
        <f>4205</f>
        <v>4205.0</v>
      </c>
      <c r="F284" s="10"/>
      <c r="G284" s="2" t="n">
        <f>3096583790</f>
        <v>3.09658379E9</v>
      </c>
      <c r="H284" s="10"/>
      <c r="I284" s="2" t="n">
        <f>514</f>
        <v>514.0</v>
      </c>
      <c r="J284" s="10"/>
      <c r="K284" s="2" t="n">
        <f>34540</f>
        <v>34540.0</v>
      </c>
    </row>
    <row r="285">
      <c r="A285" s="8" t="s">
        <v>29</v>
      </c>
      <c r="B285" s="9" t="s">
        <v>67</v>
      </c>
      <c r="C285" s="9" t="s">
        <v>68</v>
      </c>
      <c r="D285" s="10"/>
      <c r="E285" s="2" t="n">
        <f>3582</f>
        <v>3582.0</v>
      </c>
      <c r="F285" s="10"/>
      <c r="G285" s="2" t="n">
        <f>2618449200</f>
        <v>2.6184492E9</v>
      </c>
      <c r="H285" s="10"/>
      <c r="I285" s="2" t="n">
        <f>207</f>
        <v>207.0</v>
      </c>
      <c r="J285" s="10"/>
      <c r="K285" s="2" t="n">
        <f>34485</f>
        <v>34485.0</v>
      </c>
    </row>
    <row r="286">
      <c r="A286" s="8" t="s">
        <v>30</v>
      </c>
      <c r="B286" s="9" t="s">
        <v>67</v>
      </c>
      <c r="C286" s="9" t="s">
        <v>68</v>
      </c>
      <c r="D286" s="10" t="s">
        <v>27</v>
      </c>
      <c r="E286" s="2" t="n">
        <f>10839</f>
        <v>10839.0</v>
      </c>
      <c r="F286" s="10" t="s">
        <v>27</v>
      </c>
      <c r="G286" s="2" t="n">
        <f>8158847200</f>
        <v>8.1588472E9</v>
      </c>
      <c r="H286" s="10" t="s">
        <v>27</v>
      </c>
      <c r="I286" s="2" t="n">
        <f>1406</f>
        <v>1406.0</v>
      </c>
      <c r="J286" s="10"/>
      <c r="K286" s="2" t="n">
        <f>34230</f>
        <v>34230.0</v>
      </c>
    </row>
    <row r="287">
      <c r="A287" s="8" t="s">
        <v>31</v>
      </c>
      <c r="B287" s="9" t="s">
        <v>67</v>
      </c>
      <c r="C287" s="9" t="s">
        <v>68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32</v>
      </c>
      <c r="B288" s="9" t="s">
        <v>67</v>
      </c>
      <c r="C288" s="9" t="s">
        <v>68</v>
      </c>
      <c r="D288" s="10"/>
      <c r="E288" s="2"/>
      <c r="F288" s="10"/>
      <c r="G288" s="2"/>
      <c r="H288" s="10"/>
      <c r="I288" s="2"/>
      <c r="J288" s="10"/>
      <c r="K288" s="2"/>
    </row>
    <row r="289">
      <c r="A289" s="8" t="s">
        <v>33</v>
      </c>
      <c r="B289" s="9" t="s">
        <v>67</v>
      </c>
      <c r="C289" s="9" t="s">
        <v>68</v>
      </c>
      <c r="D289" s="10"/>
      <c r="E289" s="2" t="n">
        <f>9867</f>
        <v>9867.0</v>
      </c>
      <c r="F289" s="10"/>
      <c r="G289" s="2" t="n">
        <f>7568936160</f>
        <v>7.56893616E9</v>
      </c>
      <c r="H289" s="10"/>
      <c r="I289" s="2" t="n">
        <f>1140</f>
        <v>1140.0</v>
      </c>
      <c r="J289" s="10"/>
      <c r="K289" s="2" t="n">
        <f>34613</f>
        <v>34613.0</v>
      </c>
    </row>
    <row r="290">
      <c r="A290" s="8" t="s">
        <v>34</v>
      </c>
      <c r="B290" s="9" t="s">
        <v>67</v>
      </c>
      <c r="C290" s="9" t="s">
        <v>68</v>
      </c>
      <c r="D290" s="10"/>
      <c r="E290" s="2" t="n">
        <f>6482</f>
        <v>6482.0</v>
      </c>
      <c r="F290" s="10"/>
      <c r="G290" s="2" t="n">
        <f>5014175230</f>
        <v>5.01417523E9</v>
      </c>
      <c r="H290" s="10"/>
      <c r="I290" s="2" t="n">
        <f>843</f>
        <v>843.0</v>
      </c>
      <c r="J290" s="10" t="s">
        <v>27</v>
      </c>
      <c r="K290" s="2" t="n">
        <f>35883</f>
        <v>35883.0</v>
      </c>
    </row>
    <row r="291">
      <c r="A291" s="8" t="s">
        <v>35</v>
      </c>
      <c r="B291" s="9" t="s">
        <v>67</v>
      </c>
      <c r="C291" s="9" t="s">
        <v>68</v>
      </c>
      <c r="D291" s="10"/>
      <c r="E291" s="2" t="n">
        <f>9530</f>
        <v>9530.0</v>
      </c>
      <c r="F291" s="10"/>
      <c r="G291" s="2" t="n">
        <f>7481403700</f>
        <v>7.4814037E9</v>
      </c>
      <c r="H291" s="10"/>
      <c r="I291" s="2" t="n">
        <f>848</f>
        <v>848.0</v>
      </c>
      <c r="J291" s="10"/>
      <c r="K291" s="2" t="n">
        <f>34574</f>
        <v>34574.0</v>
      </c>
    </row>
    <row r="292">
      <c r="A292" s="8" t="s">
        <v>36</v>
      </c>
      <c r="B292" s="9" t="s">
        <v>67</v>
      </c>
      <c r="C292" s="9" t="s">
        <v>68</v>
      </c>
      <c r="D292" s="10"/>
      <c r="E292" s="2" t="n">
        <f>6809</f>
        <v>6809.0</v>
      </c>
      <c r="F292" s="10"/>
      <c r="G292" s="2" t="n">
        <f>5365757377</f>
        <v>5.365757377E9</v>
      </c>
      <c r="H292" s="10"/>
      <c r="I292" s="2" t="n">
        <f>883</f>
        <v>883.0</v>
      </c>
      <c r="J292" s="10"/>
      <c r="K292" s="2" t="n">
        <f>34932</f>
        <v>34932.0</v>
      </c>
    </row>
    <row r="293">
      <c r="A293" s="8" t="s">
        <v>37</v>
      </c>
      <c r="B293" s="9" t="s">
        <v>67</v>
      </c>
      <c r="C293" s="9" t="s">
        <v>68</v>
      </c>
      <c r="D293" s="10"/>
      <c r="E293" s="2" t="n">
        <f>6425</f>
        <v>6425.0</v>
      </c>
      <c r="F293" s="10"/>
      <c r="G293" s="2" t="n">
        <f>5046119800</f>
        <v>5.0461198E9</v>
      </c>
      <c r="H293" s="10"/>
      <c r="I293" s="2" t="n">
        <f>486</f>
        <v>486.0</v>
      </c>
      <c r="J293" s="10"/>
      <c r="K293" s="2" t="n">
        <f>34969</f>
        <v>34969.0</v>
      </c>
    </row>
    <row r="294">
      <c r="A294" s="8" t="s">
        <v>38</v>
      </c>
      <c r="B294" s="9" t="s">
        <v>67</v>
      </c>
      <c r="C294" s="9" t="s">
        <v>68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39</v>
      </c>
      <c r="B295" s="9" t="s">
        <v>67</v>
      </c>
      <c r="C295" s="9" t="s">
        <v>68</v>
      </c>
      <c r="D295" s="10"/>
      <c r="E295" s="2"/>
      <c r="F295" s="10"/>
      <c r="G295" s="2"/>
      <c r="H295" s="10"/>
      <c r="I295" s="2"/>
      <c r="J295" s="10"/>
      <c r="K295" s="2"/>
    </row>
    <row r="296">
      <c r="A296" s="8" t="s">
        <v>40</v>
      </c>
      <c r="B296" s="9" t="s">
        <v>67</v>
      </c>
      <c r="C296" s="9" t="s">
        <v>68</v>
      </c>
      <c r="D296" s="10"/>
      <c r="E296" s="2" t="n">
        <f>3658</f>
        <v>3658.0</v>
      </c>
      <c r="F296" s="10"/>
      <c r="G296" s="2" t="n">
        <f>2861245720</f>
        <v>2.86124572E9</v>
      </c>
      <c r="H296" s="10"/>
      <c r="I296" s="2" t="n">
        <f>402</f>
        <v>402.0</v>
      </c>
      <c r="J296" s="10"/>
      <c r="K296" s="2" t="n">
        <f>34931</f>
        <v>34931.0</v>
      </c>
    </row>
    <row r="297">
      <c r="A297" s="8" t="s">
        <v>41</v>
      </c>
      <c r="B297" s="9" t="s">
        <v>67</v>
      </c>
      <c r="C297" s="9" t="s">
        <v>68</v>
      </c>
      <c r="D297" s="10"/>
      <c r="E297" s="2" t="n">
        <f>3534</f>
        <v>3534.0</v>
      </c>
      <c r="F297" s="10"/>
      <c r="G297" s="2" t="n">
        <f>2761912430</f>
        <v>2.76191243E9</v>
      </c>
      <c r="H297" s="10"/>
      <c r="I297" s="2" t="n">
        <f>305</f>
        <v>305.0</v>
      </c>
      <c r="J297" s="10"/>
      <c r="K297" s="2" t="n">
        <f>34900</f>
        <v>34900.0</v>
      </c>
    </row>
    <row r="298">
      <c r="A298" s="8" t="s">
        <v>42</v>
      </c>
      <c r="B298" s="9" t="s">
        <v>67</v>
      </c>
      <c r="C298" s="9" t="s">
        <v>68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43</v>
      </c>
      <c r="B299" s="9" t="s">
        <v>67</v>
      </c>
      <c r="C299" s="9" t="s">
        <v>68</v>
      </c>
      <c r="D299" s="10"/>
      <c r="E299" s="2" t="n">
        <f>4708</f>
        <v>4708.0</v>
      </c>
      <c r="F299" s="10"/>
      <c r="G299" s="2" t="n">
        <f>3708061600</f>
        <v>3.7080616E9</v>
      </c>
      <c r="H299" s="10"/>
      <c r="I299" s="2" t="n">
        <f>366</f>
        <v>366.0</v>
      </c>
      <c r="J299" s="10"/>
      <c r="K299" s="2" t="n">
        <f>34847</f>
        <v>34847.0</v>
      </c>
    </row>
    <row r="300">
      <c r="A300" s="8" t="s">
        <v>44</v>
      </c>
      <c r="B300" s="9" t="s">
        <v>67</v>
      </c>
      <c r="C300" s="9" t="s">
        <v>68</v>
      </c>
      <c r="D300" s="10"/>
      <c r="E300" s="2" t="n">
        <f>3254</f>
        <v>3254.0</v>
      </c>
      <c r="F300" s="10"/>
      <c r="G300" s="2" t="n">
        <f>2595632981</f>
        <v>2.595632981E9</v>
      </c>
      <c r="H300" s="10"/>
      <c r="I300" s="2" t="n">
        <f>202</f>
        <v>202.0</v>
      </c>
      <c r="J300" s="10"/>
      <c r="K300" s="2" t="n">
        <f>34732</f>
        <v>34732.0</v>
      </c>
    </row>
    <row r="301">
      <c r="A301" s="8" t="s">
        <v>45</v>
      </c>
      <c r="B301" s="9" t="s">
        <v>67</v>
      </c>
      <c r="C301" s="9" t="s">
        <v>68</v>
      </c>
      <c r="D301" s="10"/>
      <c r="E301" s="2"/>
      <c r="F301" s="10"/>
      <c r="G301" s="2"/>
      <c r="H301" s="10"/>
      <c r="I301" s="2"/>
      <c r="J301" s="10"/>
      <c r="K301" s="2"/>
    </row>
    <row r="302">
      <c r="A302" s="8" t="s">
        <v>46</v>
      </c>
      <c r="B302" s="9" t="s">
        <v>67</v>
      </c>
      <c r="C302" s="9" t="s">
        <v>68</v>
      </c>
      <c r="D302" s="10"/>
      <c r="E302" s="2"/>
      <c r="F302" s="10"/>
      <c r="G302" s="2"/>
      <c r="H302" s="10"/>
      <c r="I302" s="2"/>
      <c r="J302" s="10"/>
      <c r="K302" s="2"/>
    </row>
    <row r="303">
      <c r="A303" s="8" t="s">
        <v>47</v>
      </c>
      <c r="B303" s="9" t="s">
        <v>67</v>
      </c>
      <c r="C303" s="9" t="s">
        <v>68</v>
      </c>
      <c r="D303" s="10"/>
      <c r="E303" s="2" t="n">
        <f>3791</f>
        <v>3791.0</v>
      </c>
      <c r="F303" s="10"/>
      <c r="G303" s="2" t="n">
        <f>3030713400</f>
        <v>3.0307134E9</v>
      </c>
      <c r="H303" s="10"/>
      <c r="I303" s="2" t="n">
        <f>276</f>
        <v>276.0</v>
      </c>
      <c r="J303" s="10"/>
      <c r="K303" s="2" t="n">
        <f>34455</f>
        <v>34455.0</v>
      </c>
    </row>
    <row r="304">
      <c r="A304" s="8" t="s">
        <v>48</v>
      </c>
      <c r="B304" s="9" t="s">
        <v>67</v>
      </c>
      <c r="C304" s="9" t="s">
        <v>68</v>
      </c>
      <c r="D304" s="10"/>
      <c r="E304" s="2" t="n">
        <f>4195</f>
        <v>4195.0</v>
      </c>
      <c r="F304" s="10"/>
      <c r="G304" s="2" t="n">
        <f>3357926800</f>
        <v>3.3579268E9</v>
      </c>
      <c r="H304" s="10"/>
      <c r="I304" s="2" t="n">
        <f>561</f>
        <v>561.0</v>
      </c>
      <c r="J304" s="10"/>
      <c r="K304" s="2" t="n">
        <f>34335</f>
        <v>34335.0</v>
      </c>
    </row>
    <row r="305">
      <c r="A305" s="8" t="s">
        <v>49</v>
      </c>
      <c r="B305" s="9" t="s">
        <v>67</v>
      </c>
      <c r="C305" s="9" t="s">
        <v>68</v>
      </c>
      <c r="D305" s="10"/>
      <c r="E305" s="2" t="n">
        <f>4012</f>
        <v>4012.0</v>
      </c>
      <c r="F305" s="10"/>
      <c r="G305" s="2" t="n">
        <f>3190371680</f>
        <v>3.19037168E9</v>
      </c>
      <c r="H305" s="10"/>
      <c r="I305" s="2" t="n">
        <f>176</f>
        <v>176.0</v>
      </c>
      <c r="J305" s="10"/>
      <c r="K305" s="2" t="n">
        <f>34028</f>
        <v>34028.0</v>
      </c>
    </row>
    <row r="306">
      <c r="A306" s="8" t="s">
        <v>16</v>
      </c>
      <c r="B306" s="9" t="s">
        <v>69</v>
      </c>
      <c r="C306" s="9" t="s">
        <v>70</v>
      </c>
      <c r="D306" s="10"/>
      <c r="E306" s="2" t="n">
        <f>2164</f>
        <v>2164.0</v>
      </c>
      <c r="F306" s="10"/>
      <c r="G306" s="2" t="n">
        <f>7090806700</f>
        <v>7.0908067E9</v>
      </c>
      <c r="H306" s="10"/>
      <c r="I306" s="2" t="n">
        <f>176</f>
        <v>176.0</v>
      </c>
      <c r="J306" s="10"/>
      <c r="K306" s="2" t="n">
        <f>8060</f>
        <v>8060.0</v>
      </c>
    </row>
    <row r="307">
      <c r="A307" s="8" t="s">
        <v>20</v>
      </c>
      <c r="B307" s="9" t="s">
        <v>69</v>
      </c>
      <c r="C307" s="9" t="s">
        <v>70</v>
      </c>
      <c r="D307" s="10"/>
      <c r="E307" s="2" t="n">
        <f>3454</f>
        <v>3454.0</v>
      </c>
      <c r="F307" s="10"/>
      <c r="G307" s="2" t="n">
        <f>11300493200</f>
        <v>1.13004932E10</v>
      </c>
      <c r="H307" s="10"/>
      <c r="I307" s="2" t="n">
        <f>894</f>
        <v>894.0</v>
      </c>
      <c r="J307" s="10"/>
      <c r="K307" s="2" t="n">
        <f>8075</f>
        <v>8075.0</v>
      </c>
    </row>
    <row r="308">
      <c r="A308" s="8" t="s">
        <v>21</v>
      </c>
      <c r="B308" s="9" t="s">
        <v>69</v>
      </c>
      <c r="C308" s="9" t="s">
        <v>70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22</v>
      </c>
      <c r="B309" s="9" t="s">
        <v>69</v>
      </c>
      <c r="C309" s="9" t="s">
        <v>70</v>
      </c>
      <c r="D309" s="10" t="s">
        <v>27</v>
      </c>
      <c r="E309" s="2" t="n">
        <f>7980</f>
        <v>7980.0</v>
      </c>
      <c r="F309" s="10" t="s">
        <v>27</v>
      </c>
      <c r="G309" s="2" t="n">
        <f>25735386900</f>
        <v>2.57353869E10</v>
      </c>
      <c r="H309" s="10" t="s">
        <v>27</v>
      </c>
      <c r="I309" s="2" t="n">
        <f>2374</f>
        <v>2374.0</v>
      </c>
      <c r="J309" s="10"/>
      <c r="K309" s="2" t="n">
        <f>7966</f>
        <v>7966.0</v>
      </c>
    </row>
    <row r="310">
      <c r="A310" s="8" t="s">
        <v>23</v>
      </c>
      <c r="B310" s="9" t="s">
        <v>69</v>
      </c>
      <c r="C310" s="9" t="s">
        <v>70</v>
      </c>
      <c r="D310" s="10"/>
      <c r="E310" s="2"/>
      <c r="F310" s="10"/>
      <c r="G310" s="2"/>
      <c r="H310" s="10"/>
      <c r="I310" s="2"/>
      <c r="J310" s="10"/>
      <c r="K310" s="2"/>
    </row>
    <row r="311">
      <c r="A311" s="8" t="s">
        <v>24</v>
      </c>
      <c r="B311" s="9" t="s">
        <v>69</v>
      </c>
      <c r="C311" s="9" t="s">
        <v>70</v>
      </c>
      <c r="D311" s="10"/>
      <c r="E311" s="2"/>
      <c r="F311" s="10"/>
      <c r="G311" s="2"/>
      <c r="H311" s="10"/>
      <c r="I311" s="2"/>
      <c r="J311" s="10"/>
      <c r="K311" s="2"/>
    </row>
    <row r="312">
      <c r="A312" s="8" t="s">
        <v>25</v>
      </c>
      <c r="B312" s="9" t="s">
        <v>69</v>
      </c>
      <c r="C312" s="9" t="s">
        <v>70</v>
      </c>
      <c r="D312" s="10"/>
      <c r="E312" s="2" t="n">
        <f>4281</f>
        <v>4281.0</v>
      </c>
      <c r="F312" s="10"/>
      <c r="G312" s="2" t="n">
        <f>13793559800</f>
        <v>1.37935598E10</v>
      </c>
      <c r="H312" s="10"/>
      <c r="I312" s="2" t="n">
        <f>1458</f>
        <v>1458.0</v>
      </c>
      <c r="J312" s="10" t="s">
        <v>19</v>
      </c>
      <c r="K312" s="2" t="n">
        <f>7890</f>
        <v>7890.0</v>
      </c>
    </row>
    <row r="313">
      <c r="A313" s="8" t="s">
        <v>26</v>
      </c>
      <c r="B313" s="9" t="s">
        <v>69</v>
      </c>
      <c r="C313" s="9" t="s">
        <v>70</v>
      </c>
      <c r="D313" s="10"/>
      <c r="E313" s="2" t="n">
        <f>2287</f>
        <v>2287.0</v>
      </c>
      <c r="F313" s="10"/>
      <c r="G313" s="2" t="n">
        <f>7465917700</f>
        <v>7.4659177E9</v>
      </c>
      <c r="H313" s="10"/>
      <c r="I313" s="2" t="n">
        <f>884</f>
        <v>884.0</v>
      </c>
      <c r="J313" s="10"/>
      <c r="K313" s="2" t="n">
        <f>7920</f>
        <v>7920.0</v>
      </c>
    </row>
    <row r="314">
      <c r="A314" s="8" t="s">
        <v>28</v>
      </c>
      <c r="B314" s="9" t="s">
        <v>69</v>
      </c>
      <c r="C314" s="9" t="s">
        <v>70</v>
      </c>
      <c r="D314" s="10"/>
      <c r="E314" s="2" t="n">
        <f>2308</f>
        <v>2308.0</v>
      </c>
      <c r="F314" s="10"/>
      <c r="G314" s="2" t="n">
        <f>7639823900</f>
        <v>7.6398239E9</v>
      </c>
      <c r="H314" s="10"/>
      <c r="I314" s="2" t="n">
        <f>986</f>
        <v>986.0</v>
      </c>
      <c r="J314" s="10"/>
      <c r="K314" s="2" t="n">
        <f>7980</f>
        <v>7980.0</v>
      </c>
    </row>
    <row r="315">
      <c r="A315" s="8" t="s">
        <v>29</v>
      </c>
      <c r="B315" s="9" t="s">
        <v>69</v>
      </c>
      <c r="C315" s="9" t="s">
        <v>70</v>
      </c>
      <c r="D315" s="10"/>
      <c r="E315" s="2" t="n">
        <f>2208</f>
        <v>2208.0</v>
      </c>
      <c r="F315" s="10"/>
      <c r="G315" s="2" t="n">
        <f>7257445900</f>
        <v>7.2574459E9</v>
      </c>
      <c r="H315" s="10"/>
      <c r="I315" s="2" t="n">
        <f>839</f>
        <v>839.0</v>
      </c>
      <c r="J315" s="10"/>
      <c r="K315" s="2" t="n">
        <f>7973</f>
        <v>7973.0</v>
      </c>
    </row>
    <row r="316">
      <c r="A316" s="8" t="s">
        <v>30</v>
      </c>
      <c r="B316" s="9" t="s">
        <v>69</v>
      </c>
      <c r="C316" s="9" t="s">
        <v>70</v>
      </c>
      <c r="D316" s="10"/>
      <c r="E316" s="2" t="n">
        <f>4921</f>
        <v>4921.0</v>
      </c>
      <c r="F316" s="10"/>
      <c r="G316" s="2" t="n">
        <f>16384610000</f>
        <v>1.638461E10</v>
      </c>
      <c r="H316" s="10"/>
      <c r="I316" s="2" t="n">
        <f>520</f>
        <v>520.0</v>
      </c>
      <c r="J316" s="10"/>
      <c r="K316" s="2" t="n">
        <f>8075</f>
        <v>8075.0</v>
      </c>
    </row>
    <row r="317">
      <c r="A317" s="8" t="s">
        <v>31</v>
      </c>
      <c r="B317" s="9" t="s">
        <v>69</v>
      </c>
      <c r="C317" s="9" t="s">
        <v>70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32</v>
      </c>
      <c r="B318" s="9" t="s">
        <v>69</v>
      </c>
      <c r="C318" s="9" t="s">
        <v>70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33</v>
      </c>
      <c r="B319" s="9" t="s">
        <v>69</v>
      </c>
      <c r="C319" s="9" t="s">
        <v>70</v>
      </c>
      <c r="D319" s="10"/>
      <c r="E319" s="2" t="n">
        <f>2287</f>
        <v>2287.0</v>
      </c>
      <c r="F319" s="10"/>
      <c r="G319" s="2" t="n">
        <f>7707463900</f>
        <v>7.7074639E9</v>
      </c>
      <c r="H319" s="10"/>
      <c r="I319" s="2" t="n">
        <f>896</f>
        <v>896.0</v>
      </c>
      <c r="J319" s="10"/>
      <c r="K319" s="2" t="n">
        <f>8156</f>
        <v>8156.0</v>
      </c>
    </row>
    <row r="320">
      <c r="A320" s="8" t="s">
        <v>34</v>
      </c>
      <c r="B320" s="9" t="s">
        <v>69</v>
      </c>
      <c r="C320" s="9" t="s">
        <v>70</v>
      </c>
      <c r="D320" s="10"/>
      <c r="E320" s="2" t="n">
        <f>1290</f>
        <v>1290.0</v>
      </c>
      <c r="F320" s="10"/>
      <c r="G320" s="2" t="n">
        <f>4348963600</f>
        <v>4.3489636E9</v>
      </c>
      <c r="H320" s="10"/>
      <c r="I320" s="2" t="n">
        <f>341</f>
        <v>341.0</v>
      </c>
      <c r="J320" s="10"/>
      <c r="K320" s="2" t="n">
        <f>8203</f>
        <v>8203.0</v>
      </c>
    </row>
    <row r="321">
      <c r="A321" s="8" t="s">
        <v>35</v>
      </c>
      <c r="B321" s="9" t="s">
        <v>69</v>
      </c>
      <c r="C321" s="9" t="s">
        <v>70</v>
      </c>
      <c r="D321" s="10"/>
      <c r="E321" s="2" t="n">
        <f>2735</f>
        <v>2735.0</v>
      </c>
      <c r="F321" s="10"/>
      <c r="G321" s="2" t="n">
        <f>9217595100</f>
        <v>9.2175951E9</v>
      </c>
      <c r="H321" s="10"/>
      <c r="I321" s="2" t="n">
        <f>945</f>
        <v>945.0</v>
      </c>
      <c r="J321" s="10"/>
      <c r="K321" s="2" t="n">
        <f>8117</f>
        <v>8117.0</v>
      </c>
    </row>
    <row r="322">
      <c r="A322" s="8" t="s">
        <v>36</v>
      </c>
      <c r="B322" s="9" t="s">
        <v>69</v>
      </c>
      <c r="C322" s="9" t="s">
        <v>70</v>
      </c>
      <c r="D322" s="10"/>
      <c r="E322" s="2" t="n">
        <f>890</f>
        <v>890.0</v>
      </c>
      <c r="F322" s="10"/>
      <c r="G322" s="2" t="n">
        <f>2990869100</f>
        <v>2.9908691E9</v>
      </c>
      <c r="H322" s="10"/>
      <c r="I322" s="2" t="n">
        <f>235</f>
        <v>235.0</v>
      </c>
      <c r="J322" s="10"/>
      <c r="K322" s="2" t="n">
        <f>8182</f>
        <v>8182.0</v>
      </c>
    </row>
    <row r="323">
      <c r="A323" s="8" t="s">
        <v>37</v>
      </c>
      <c r="B323" s="9" t="s">
        <v>69</v>
      </c>
      <c r="C323" s="9" t="s">
        <v>70</v>
      </c>
      <c r="D323" s="10"/>
      <c r="E323" s="2" t="n">
        <f>1796</f>
        <v>1796.0</v>
      </c>
      <c r="F323" s="10"/>
      <c r="G323" s="2" t="n">
        <f>6005099900</f>
        <v>6.0050999E9</v>
      </c>
      <c r="H323" s="10"/>
      <c r="I323" s="2" t="n">
        <f>609</f>
        <v>609.0</v>
      </c>
      <c r="J323" s="10"/>
      <c r="K323" s="2" t="n">
        <f>8263</f>
        <v>8263.0</v>
      </c>
    </row>
    <row r="324">
      <c r="A324" s="8" t="s">
        <v>38</v>
      </c>
      <c r="B324" s="9" t="s">
        <v>69</v>
      </c>
      <c r="C324" s="9" t="s">
        <v>70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39</v>
      </c>
      <c r="B325" s="9" t="s">
        <v>69</v>
      </c>
      <c r="C325" s="9" t="s">
        <v>70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40</v>
      </c>
      <c r="B326" s="9" t="s">
        <v>69</v>
      </c>
      <c r="C326" s="9" t="s">
        <v>70</v>
      </c>
      <c r="D326" s="10"/>
      <c r="E326" s="2" t="n">
        <f>1650</f>
        <v>1650.0</v>
      </c>
      <c r="F326" s="10"/>
      <c r="G326" s="2" t="n">
        <f>5560318500</f>
        <v>5.5603185E9</v>
      </c>
      <c r="H326" s="10"/>
      <c r="I326" s="2" t="n">
        <f>424</f>
        <v>424.0</v>
      </c>
      <c r="J326" s="10"/>
      <c r="K326" s="2" t="n">
        <f>8334</f>
        <v>8334.0</v>
      </c>
    </row>
    <row r="327">
      <c r="A327" s="8" t="s">
        <v>41</v>
      </c>
      <c r="B327" s="9" t="s">
        <v>69</v>
      </c>
      <c r="C327" s="9" t="s">
        <v>70</v>
      </c>
      <c r="D327" s="10"/>
      <c r="E327" s="2" t="n">
        <f>2540</f>
        <v>2540.0</v>
      </c>
      <c r="F327" s="10"/>
      <c r="G327" s="2" t="n">
        <f>8568217700</f>
        <v>8.5682177E9</v>
      </c>
      <c r="H327" s="10"/>
      <c r="I327" s="2" t="n">
        <f>1042</f>
        <v>1042.0</v>
      </c>
      <c r="J327" s="10"/>
      <c r="K327" s="2" t="n">
        <f>8711</f>
        <v>8711.0</v>
      </c>
    </row>
    <row r="328">
      <c r="A328" s="8" t="s">
        <v>42</v>
      </c>
      <c r="B328" s="9" t="s">
        <v>69</v>
      </c>
      <c r="C328" s="9" t="s">
        <v>70</v>
      </c>
      <c r="D328" s="10"/>
      <c r="E328" s="2"/>
      <c r="F328" s="10"/>
      <c r="G328" s="2"/>
      <c r="H328" s="10"/>
      <c r="I328" s="2"/>
      <c r="J328" s="10"/>
      <c r="K328" s="2"/>
    </row>
    <row r="329">
      <c r="A329" s="8" t="s">
        <v>43</v>
      </c>
      <c r="B329" s="9" t="s">
        <v>69</v>
      </c>
      <c r="C329" s="9" t="s">
        <v>70</v>
      </c>
      <c r="D329" s="10"/>
      <c r="E329" s="2" t="n">
        <f>4952</f>
        <v>4952.0</v>
      </c>
      <c r="F329" s="10"/>
      <c r="G329" s="2" t="n">
        <f>16860343900</f>
        <v>1.68603439E10</v>
      </c>
      <c r="H329" s="10"/>
      <c r="I329" s="2" t="n">
        <f>1885</f>
        <v>1885.0</v>
      </c>
      <c r="J329" s="10"/>
      <c r="K329" s="2" t="n">
        <f>8310</f>
        <v>8310.0</v>
      </c>
    </row>
    <row r="330">
      <c r="A330" s="8" t="s">
        <v>44</v>
      </c>
      <c r="B330" s="9" t="s">
        <v>69</v>
      </c>
      <c r="C330" s="9" t="s">
        <v>70</v>
      </c>
      <c r="D330" s="10" t="s">
        <v>19</v>
      </c>
      <c r="E330" s="2" t="n">
        <f>305</f>
        <v>305.0</v>
      </c>
      <c r="F330" s="10" t="s">
        <v>19</v>
      </c>
      <c r="G330" s="2" t="n">
        <f>1044130000</f>
        <v>1.04413E9</v>
      </c>
      <c r="H330" s="10" t="s">
        <v>19</v>
      </c>
      <c r="I330" s="2" t="n">
        <f>42</f>
        <v>42.0</v>
      </c>
      <c r="J330" s="10"/>
      <c r="K330" s="2" t="n">
        <f>8424</f>
        <v>8424.0</v>
      </c>
    </row>
    <row r="331">
      <c r="A331" s="8" t="s">
        <v>45</v>
      </c>
      <c r="B331" s="9" t="s">
        <v>69</v>
      </c>
      <c r="C331" s="9" t="s">
        <v>70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46</v>
      </c>
      <c r="B332" s="9" t="s">
        <v>69</v>
      </c>
      <c r="C332" s="9" t="s">
        <v>70</v>
      </c>
      <c r="D332" s="10"/>
      <c r="E332" s="2"/>
      <c r="F332" s="10"/>
      <c r="G332" s="2"/>
      <c r="H332" s="10"/>
      <c r="I332" s="2"/>
      <c r="J332" s="10"/>
      <c r="K332" s="2"/>
    </row>
    <row r="333">
      <c r="A333" s="8" t="s">
        <v>47</v>
      </c>
      <c r="B333" s="9" t="s">
        <v>69</v>
      </c>
      <c r="C333" s="9" t="s">
        <v>70</v>
      </c>
      <c r="D333" s="10"/>
      <c r="E333" s="2" t="n">
        <f>1591</f>
        <v>1591.0</v>
      </c>
      <c r="F333" s="10"/>
      <c r="G333" s="2" t="n">
        <f>5444574500</f>
        <v>5.4445745E9</v>
      </c>
      <c r="H333" s="10"/>
      <c r="I333" s="2" t="n">
        <f>558</f>
        <v>558.0</v>
      </c>
      <c r="J333" s="10" t="s">
        <v>27</v>
      </c>
      <c r="K333" s="2" t="n">
        <f>8747</f>
        <v>8747.0</v>
      </c>
    </row>
    <row r="334">
      <c r="A334" s="8" t="s">
        <v>48</v>
      </c>
      <c r="B334" s="9" t="s">
        <v>69</v>
      </c>
      <c r="C334" s="9" t="s">
        <v>70</v>
      </c>
      <c r="D334" s="10"/>
      <c r="E334" s="2" t="n">
        <f>2010</f>
        <v>2010.0</v>
      </c>
      <c r="F334" s="10"/>
      <c r="G334" s="2" t="n">
        <f>6841043400</f>
        <v>6.8410434E9</v>
      </c>
      <c r="H334" s="10"/>
      <c r="I334" s="2" t="n">
        <f>765</f>
        <v>765.0</v>
      </c>
      <c r="J334" s="10"/>
      <c r="K334" s="2" t="n">
        <f>8673</f>
        <v>8673.0</v>
      </c>
    </row>
    <row r="335">
      <c r="A335" s="8" t="s">
        <v>49</v>
      </c>
      <c r="B335" s="9" t="s">
        <v>69</v>
      </c>
      <c r="C335" s="9" t="s">
        <v>70</v>
      </c>
      <c r="D335" s="10"/>
      <c r="E335" s="2" t="n">
        <f>957</f>
        <v>957.0</v>
      </c>
      <c r="F335" s="10"/>
      <c r="G335" s="2" t="n">
        <f>3235643100</f>
        <v>3.2356431E9</v>
      </c>
      <c r="H335" s="10"/>
      <c r="I335" s="2" t="n">
        <f>464</f>
        <v>464.0</v>
      </c>
      <c r="J335" s="10"/>
      <c r="K335" s="2" t="n">
        <f>8688</f>
        <v>8688.0</v>
      </c>
    </row>
    <row r="336">
      <c r="A336" s="8" t="s">
        <v>16</v>
      </c>
      <c r="B336" s="9" t="s">
        <v>71</v>
      </c>
      <c r="C336" s="9" t="s">
        <v>72</v>
      </c>
      <c r="D336" s="10" t="s">
        <v>60</v>
      </c>
      <c r="E336" s="2" t="str">
        <f>"－"</f>
        <v>－</v>
      </c>
      <c r="F336" s="10" t="s">
        <v>60</v>
      </c>
      <c r="G336" s="2" t="str">
        <f>"－"</f>
        <v>－</v>
      </c>
      <c r="H336" s="10" t="s">
        <v>60</v>
      </c>
      <c r="I336" s="2" t="str">
        <f>"－"</f>
        <v>－</v>
      </c>
      <c r="J336" s="10" t="s">
        <v>60</v>
      </c>
      <c r="K336" s="2" t="str">
        <f>"－"</f>
        <v>－</v>
      </c>
    </row>
    <row r="337">
      <c r="A337" s="8" t="s">
        <v>20</v>
      </c>
      <c r="B337" s="9" t="s">
        <v>71</v>
      </c>
      <c r="C337" s="9" t="s">
        <v>72</v>
      </c>
      <c r="D337" s="10"/>
      <c r="E337" s="2" t="str">
        <f>"－"</f>
        <v>－</v>
      </c>
      <c r="F337" s="10"/>
      <c r="G337" s="2" t="str">
        <f>"－"</f>
        <v>－</v>
      </c>
      <c r="H337" s="10"/>
      <c r="I337" s="2" t="str">
        <f>"－"</f>
        <v>－</v>
      </c>
      <c r="J337" s="10"/>
      <c r="K337" s="2" t="str">
        <f>"－"</f>
        <v>－</v>
      </c>
    </row>
    <row r="338">
      <c r="A338" s="8" t="s">
        <v>21</v>
      </c>
      <c r="B338" s="9" t="s">
        <v>71</v>
      </c>
      <c r="C338" s="9" t="s">
        <v>72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22</v>
      </c>
      <c r="B339" s="9" t="s">
        <v>71</v>
      </c>
      <c r="C339" s="9" t="s">
        <v>72</v>
      </c>
      <c r="D339" s="10"/>
      <c r="E339" s="2" t="str">
        <f>"－"</f>
        <v>－</v>
      </c>
      <c r="F339" s="10"/>
      <c r="G339" s="2" t="str">
        <f>"－"</f>
        <v>－</v>
      </c>
      <c r="H339" s="10"/>
      <c r="I339" s="2" t="str">
        <f>"－"</f>
        <v>－</v>
      </c>
      <c r="J339" s="10"/>
      <c r="K339" s="2" t="str">
        <f>"－"</f>
        <v>－</v>
      </c>
    </row>
    <row r="340">
      <c r="A340" s="8" t="s">
        <v>23</v>
      </c>
      <c r="B340" s="9" t="s">
        <v>71</v>
      </c>
      <c r="C340" s="9" t="s">
        <v>72</v>
      </c>
      <c r="D340" s="10"/>
      <c r="E340" s="2"/>
      <c r="F340" s="10"/>
      <c r="G340" s="2"/>
      <c r="H340" s="10"/>
      <c r="I340" s="2"/>
      <c r="J340" s="10"/>
      <c r="K340" s="2"/>
    </row>
    <row r="341">
      <c r="A341" s="8" t="s">
        <v>24</v>
      </c>
      <c r="B341" s="9" t="s">
        <v>71</v>
      </c>
      <c r="C341" s="9" t="s">
        <v>72</v>
      </c>
      <c r="D341" s="10"/>
      <c r="E341" s="2"/>
      <c r="F341" s="10"/>
      <c r="G341" s="2"/>
      <c r="H341" s="10"/>
      <c r="I341" s="2"/>
      <c r="J341" s="10"/>
      <c r="K341" s="2"/>
    </row>
    <row r="342">
      <c r="A342" s="8" t="s">
        <v>25</v>
      </c>
      <c r="B342" s="9" t="s">
        <v>71</v>
      </c>
      <c r="C342" s="9" t="s">
        <v>72</v>
      </c>
      <c r="D342" s="10"/>
      <c r="E342" s="2" t="str">
        <f>"－"</f>
        <v>－</v>
      </c>
      <c r="F342" s="10"/>
      <c r="G342" s="2" t="str">
        <f>"－"</f>
        <v>－</v>
      </c>
      <c r="H342" s="10"/>
      <c r="I342" s="2" t="str">
        <f>"－"</f>
        <v>－</v>
      </c>
      <c r="J342" s="10"/>
      <c r="K342" s="2" t="str">
        <f>"－"</f>
        <v>－</v>
      </c>
    </row>
    <row r="343">
      <c r="A343" s="8" t="s">
        <v>26</v>
      </c>
      <c r="B343" s="9" t="s">
        <v>71</v>
      </c>
      <c r="C343" s="9" t="s">
        <v>72</v>
      </c>
      <c r="D343" s="10"/>
      <c r="E343" s="2" t="str">
        <f>"－"</f>
        <v>－</v>
      </c>
      <c r="F343" s="10"/>
      <c r="G343" s="2" t="str">
        <f>"－"</f>
        <v>－</v>
      </c>
      <c r="H343" s="10"/>
      <c r="I343" s="2" t="str">
        <f>"－"</f>
        <v>－</v>
      </c>
      <c r="J343" s="10"/>
      <c r="K343" s="2" t="str">
        <f>"－"</f>
        <v>－</v>
      </c>
    </row>
    <row r="344">
      <c r="A344" s="8" t="s">
        <v>28</v>
      </c>
      <c r="B344" s="9" t="s">
        <v>71</v>
      </c>
      <c r="C344" s="9" t="s">
        <v>72</v>
      </c>
      <c r="D344" s="10"/>
      <c r="E344" s="2" t="str">
        <f>"－"</f>
        <v>－</v>
      </c>
      <c r="F344" s="10"/>
      <c r="G344" s="2" t="str">
        <f>"－"</f>
        <v>－</v>
      </c>
      <c r="H344" s="10"/>
      <c r="I344" s="2" t="str">
        <f>"－"</f>
        <v>－</v>
      </c>
      <c r="J344" s="10"/>
      <c r="K344" s="2" t="str">
        <f>"－"</f>
        <v>－</v>
      </c>
    </row>
    <row r="345">
      <c r="A345" s="8" t="s">
        <v>29</v>
      </c>
      <c r="B345" s="9" t="s">
        <v>71</v>
      </c>
      <c r="C345" s="9" t="s">
        <v>72</v>
      </c>
      <c r="D345" s="10"/>
      <c r="E345" s="2" t="str">
        <f>"－"</f>
        <v>－</v>
      </c>
      <c r="F345" s="10"/>
      <c r="G345" s="2" t="str">
        <f>"－"</f>
        <v>－</v>
      </c>
      <c r="H345" s="10"/>
      <c r="I345" s="2" t="str">
        <f>"－"</f>
        <v>－</v>
      </c>
      <c r="J345" s="10"/>
      <c r="K345" s="2" t="str">
        <f>"－"</f>
        <v>－</v>
      </c>
    </row>
    <row r="346">
      <c r="A346" s="8" t="s">
        <v>30</v>
      </c>
      <c r="B346" s="9" t="s">
        <v>71</v>
      </c>
      <c r="C346" s="9" t="s">
        <v>72</v>
      </c>
      <c r="D346" s="10"/>
      <c r="E346" s="2" t="str">
        <f>"－"</f>
        <v>－</v>
      </c>
      <c r="F346" s="10"/>
      <c r="G346" s="2" t="str">
        <f>"－"</f>
        <v>－</v>
      </c>
      <c r="H346" s="10"/>
      <c r="I346" s="2" t="str">
        <f>"－"</f>
        <v>－</v>
      </c>
      <c r="J346" s="10"/>
      <c r="K346" s="2" t="str">
        <f>"－"</f>
        <v>－</v>
      </c>
    </row>
    <row r="347">
      <c r="A347" s="8" t="s">
        <v>31</v>
      </c>
      <c r="B347" s="9" t="s">
        <v>71</v>
      </c>
      <c r="C347" s="9" t="s">
        <v>72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32</v>
      </c>
      <c r="B348" s="9" t="s">
        <v>71</v>
      </c>
      <c r="C348" s="9" t="s">
        <v>72</v>
      </c>
      <c r="D348" s="10"/>
      <c r="E348" s="2"/>
      <c r="F348" s="10"/>
      <c r="G348" s="2"/>
      <c r="H348" s="10"/>
      <c r="I348" s="2"/>
      <c r="J348" s="10"/>
      <c r="K348" s="2"/>
    </row>
    <row r="349">
      <c r="A349" s="8" t="s">
        <v>33</v>
      </c>
      <c r="B349" s="9" t="s">
        <v>71</v>
      </c>
      <c r="C349" s="9" t="s">
        <v>72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34</v>
      </c>
      <c r="B350" s="9" t="s">
        <v>71</v>
      </c>
      <c r="C350" s="9" t="s">
        <v>72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35</v>
      </c>
      <c r="B351" s="9" t="s">
        <v>71</v>
      </c>
      <c r="C351" s="9" t="s">
        <v>72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36</v>
      </c>
      <c r="B352" s="9" t="s">
        <v>71</v>
      </c>
      <c r="C352" s="9" t="s">
        <v>72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37</v>
      </c>
      <c r="B353" s="9" t="s">
        <v>71</v>
      </c>
      <c r="C353" s="9" t="s">
        <v>72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38</v>
      </c>
      <c r="B354" s="9" t="s">
        <v>71</v>
      </c>
      <c r="C354" s="9" t="s">
        <v>72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39</v>
      </c>
      <c r="B355" s="9" t="s">
        <v>71</v>
      </c>
      <c r="C355" s="9" t="s">
        <v>72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40</v>
      </c>
      <c r="B356" s="9" t="s">
        <v>71</v>
      </c>
      <c r="C356" s="9" t="s">
        <v>72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41</v>
      </c>
      <c r="B357" s="9" t="s">
        <v>71</v>
      </c>
      <c r="C357" s="9" t="s">
        <v>72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42</v>
      </c>
      <c r="B358" s="9" t="s">
        <v>71</v>
      </c>
      <c r="C358" s="9" t="s">
        <v>72</v>
      </c>
      <c r="D358" s="10"/>
      <c r="E358" s="2"/>
      <c r="F358" s="10"/>
      <c r="G358" s="2"/>
      <c r="H358" s="10"/>
      <c r="I358" s="2"/>
      <c r="J358" s="10"/>
      <c r="K358" s="2"/>
    </row>
    <row r="359">
      <c r="A359" s="8" t="s">
        <v>43</v>
      </c>
      <c r="B359" s="9" t="s">
        <v>71</v>
      </c>
      <c r="C359" s="9" t="s">
        <v>72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44</v>
      </c>
      <c r="B360" s="9" t="s">
        <v>71</v>
      </c>
      <c r="C360" s="9" t="s">
        <v>72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45</v>
      </c>
      <c r="B361" s="9" t="s">
        <v>71</v>
      </c>
      <c r="C361" s="9" t="s">
        <v>72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46</v>
      </c>
      <c r="B362" s="9" t="s">
        <v>71</v>
      </c>
      <c r="C362" s="9" t="s">
        <v>72</v>
      </c>
      <c r="D362" s="10"/>
      <c r="E362" s="2"/>
      <c r="F362" s="10"/>
      <c r="G362" s="2"/>
      <c r="H362" s="10"/>
      <c r="I362" s="2"/>
      <c r="J362" s="10"/>
      <c r="K362" s="2"/>
    </row>
    <row r="363">
      <c r="A363" s="8" t="s">
        <v>47</v>
      </c>
      <c r="B363" s="9" t="s">
        <v>71</v>
      </c>
      <c r="C363" s="9" t="s">
        <v>72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48</v>
      </c>
      <c r="B364" s="9" t="s">
        <v>71</v>
      </c>
      <c r="C364" s="9" t="s">
        <v>72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49</v>
      </c>
      <c r="B365" s="9" t="s">
        <v>71</v>
      </c>
      <c r="C365" s="9" t="s">
        <v>72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16</v>
      </c>
      <c r="B366" s="9" t="s">
        <v>73</v>
      </c>
      <c r="C366" s="9" t="s">
        <v>74</v>
      </c>
      <c r="D366" s="10" t="s">
        <v>60</v>
      </c>
      <c r="E366" s="2" t="str">
        <f>"－"</f>
        <v>－</v>
      </c>
      <c r="F366" s="10" t="s">
        <v>60</v>
      </c>
      <c r="G366" s="2" t="str">
        <f>"－"</f>
        <v>－</v>
      </c>
      <c r="H366" s="10" t="s">
        <v>60</v>
      </c>
      <c r="I366" s="2" t="str">
        <f>"－"</f>
        <v>－</v>
      </c>
      <c r="J366" s="10" t="s">
        <v>60</v>
      </c>
      <c r="K366" s="2" t="str">
        <f>"－"</f>
        <v>－</v>
      </c>
    </row>
    <row r="367">
      <c r="A367" s="8" t="s">
        <v>20</v>
      </c>
      <c r="B367" s="9" t="s">
        <v>73</v>
      </c>
      <c r="C367" s="9" t="s">
        <v>74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21</v>
      </c>
      <c r="B368" s="9" t="s">
        <v>73</v>
      </c>
      <c r="C368" s="9" t="s">
        <v>74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22</v>
      </c>
      <c r="B369" s="9" t="s">
        <v>73</v>
      </c>
      <c r="C369" s="9" t="s">
        <v>74</v>
      </c>
      <c r="D369" s="10"/>
      <c r="E369" s="2" t="str">
        <f>"－"</f>
        <v>－</v>
      </c>
      <c r="F369" s="10"/>
      <c r="G369" s="2" t="str">
        <f>"－"</f>
        <v>－</v>
      </c>
      <c r="H369" s="10"/>
      <c r="I369" s="2" t="str">
        <f>"－"</f>
        <v>－</v>
      </c>
      <c r="J369" s="10"/>
      <c r="K369" s="2" t="str">
        <f>"－"</f>
        <v>－</v>
      </c>
    </row>
    <row r="370">
      <c r="A370" s="8" t="s">
        <v>23</v>
      </c>
      <c r="B370" s="9" t="s">
        <v>73</v>
      </c>
      <c r="C370" s="9" t="s">
        <v>74</v>
      </c>
      <c r="D370" s="10"/>
      <c r="E370" s="2"/>
      <c r="F370" s="10"/>
      <c r="G370" s="2"/>
      <c r="H370" s="10"/>
      <c r="I370" s="2"/>
      <c r="J370" s="10"/>
      <c r="K370" s="2"/>
    </row>
    <row r="371">
      <c r="A371" s="8" t="s">
        <v>24</v>
      </c>
      <c r="B371" s="9" t="s">
        <v>73</v>
      </c>
      <c r="C371" s="9" t="s">
        <v>74</v>
      </c>
      <c r="D371" s="10"/>
      <c r="E371" s="2"/>
      <c r="F371" s="10"/>
      <c r="G371" s="2"/>
      <c r="H371" s="10"/>
      <c r="I371" s="2"/>
      <c r="J371" s="10"/>
      <c r="K371" s="2"/>
    </row>
    <row r="372">
      <c r="A372" s="8" t="s">
        <v>25</v>
      </c>
      <c r="B372" s="9" t="s">
        <v>73</v>
      </c>
      <c r="C372" s="9" t="s">
        <v>74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26</v>
      </c>
      <c r="B373" s="9" t="s">
        <v>73</v>
      </c>
      <c r="C373" s="9" t="s">
        <v>74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28</v>
      </c>
      <c r="B374" s="9" t="s">
        <v>73</v>
      </c>
      <c r="C374" s="9" t="s">
        <v>74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29</v>
      </c>
      <c r="B375" s="9" t="s">
        <v>73</v>
      </c>
      <c r="C375" s="9" t="s">
        <v>74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30</v>
      </c>
      <c r="B376" s="9" t="s">
        <v>73</v>
      </c>
      <c r="C376" s="9" t="s">
        <v>74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str">
        <f>"－"</f>
        <v>－</v>
      </c>
    </row>
    <row r="377">
      <c r="A377" s="8" t="s">
        <v>31</v>
      </c>
      <c r="B377" s="9" t="s">
        <v>73</v>
      </c>
      <c r="C377" s="9" t="s">
        <v>74</v>
      </c>
      <c r="D377" s="10"/>
      <c r="E377" s="2"/>
      <c r="F377" s="10"/>
      <c r="G377" s="2"/>
      <c r="H377" s="10"/>
      <c r="I377" s="2"/>
      <c r="J377" s="10"/>
      <c r="K377" s="2"/>
    </row>
    <row r="378">
      <c r="A378" s="8" t="s">
        <v>32</v>
      </c>
      <c r="B378" s="9" t="s">
        <v>73</v>
      </c>
      <c r="C378" s="9" t="s">
        <v>74</v>
      </c>
      <c r="D378" s="10"/>
      <c r="E378" s="2"/>
      <c r="F378" s="10"/>
      <c r="G378" s="2"/>
      <c r="H378" s="10"/>
      <c r="I378" s="2"/>
      <c r="J378" s="10"/>
      <c r="K378" s="2"/>
    </row>
    <row r="379">
      <c r="A379" s="8" t="s">
        <v>33</v>
      </c>
      <c r="B379" s="9" t="s">
        <v>73</v>
      </c>
      <c r="C379" s="9" t="s">
        <v>74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34</v>
      </c>
      <c r="B380" s="9" t="s">
        <v>73</v>
      </c>
      <c r="C380" s="9" t="s">
        <v>74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35</v>
      </c>
      <c r="B381" s="9" t="s">
        <v>73</v>
      </c>
      <c r="C381" s="9" t="s">
        <v>74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36</v>
      </c>
      <c r="B382" s="9" t="s">
        <v>73</v>
      </c>
      <c r="C382" s="9" t="s">
        <v>74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37</v>
      </c>
      <c r="B383" s="9" t="s">
        <v>73</v>
      </c>
      <c r="C383" s="9" t="s">
        <v>74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38</v>
      </c>
      <c r="B384" s="9" t="s">
        <v>73</v>
      </c>
      <c r="C384" s="9" t="s">
        <v>74</v>
      </c>
      <c r="D384" s="10"/>
      <c r="E384" s="2"/>
      <c r="F384" s="10"/>
      <c r="G384" s="2"/>
      <c r="H384" s="10"/>
      <c r="I384" s="2"/>
      <c r="J384" s="10"/>
      <c r="K384" s="2"/>
    </row>
    <row r="385">
      <c r="A385" s="8" t="s">
        <v>39</v>
      </c>
      <c r="B385" s="9" t="s">
        <v>73</v>
      </c>
      <c r="C385" s="9" t="s">
        <v>74</v>
      </c>
      <c r="D385" s="10"/>
      <c r="E385" s="2"/>
      <c r="F385" s="10"/>
      <c r="G385" s="2"/>
      <c r="H385" s="10"/>
      <c r="I385" s="2"/>
      <c r="J385" s="10"/>
      <c r="K385" s="2"/>
    </row>
    <row r="386">
      <c r="A386" s="8" t="s">
        <v>40</v>
      </c>
      <c r="B386" s="9" t="s">
        <v>73</v>
      </c>
      <c r="C386" s="9" t="s">
        <v>74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41</v>
      </c>
      <c r="B387" s="9" t="s">
        <v>73</v>
      </c>
      <c r="C387" s="9" t="s">
        <v>74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42</v>
      </c>
      <c r="B388" s="9" t="s">
        <v>73</v>
      </c>
      <c r="C388" s="9" t="s">
        <v>74</v>
      </c>
      <c r="D388" s="10"/>
      <c r="E388" s="2"/>
      <c r="F388" s="10"/>
      <c r="G388" s="2"/>
      <c r="H388" s="10"/>
      <c r="I388" s="2"/>
      <c r="J388" s="10"/>
      <c r="K388" s="2"/>
    </row>
    <row r="389">
      <c r="A389" s="8" t="s">
        <v>43</v>
      </c>
      <c r="B389" s="9" t="s">
        <v>73</v>
      </c>
      <c r="C389" s="9" t="s">
        <v>74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44</v>
      </c>
      <c r="B390" s="9" t="s">
        <v>73</v>
      </c>
      <c r="C390" s="9" t="s">
        <v>74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45</v>
      </c>
      <c r="B391" s="9" t="s">
        <v>73</v>
      </c>
      <c r="C391" s="9" t="s">
        <v>74</v>
      </c>
      <c r="D391" s="10"/>
      <c r="E391" s="2"/>
      <c r="F391" s="10"/>
      <c r="G391" s="2"/>
      <c r="H391" s="10"/>
      <c r="I391" s="2"/>
      <c r="J391" s="10"/>
      <c r="K391" s="2"/>
    </row>
    <row r="392">
      <c r="A392" s="8" t="s">
        <v>46</v>
      </c>
      <c r="B392" s="9" t="s">
        <v>73</v>
      </c>
      <c r="C392" s="9" t="s">
        <v>74</v>
      </c>
      <c r="D392" s="10"/>
      <c r="E392" s="2"/>
      <c r="F392" s="10"/>
      <c r="G392" s="2"/>
      <c r="H392" s="10"/>
      <c r="I392" s="2"/>
      <c r="J392" s="10"/>
      <c r="K392" s="2"/>
    </row>
    <row r="393">
      <c r="A393" s="8" t="s">
        <v>47</v>
      </c>
      <c r="B393" s="9" t="s">
        <v>73</v>
      </c>
      <c r="C393" s="9" t="s">
        <v>74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48</v>
      </c>
      <c r="B394" s="9" t="s">
        <v>73</v>
      </c>
      <c r="C394" s="9" t="s">
        <v>74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49</v>
      </c>
      <c r="B395" s="9" t="s">
        <v>73</v>
      </c>
      <c r="C395" s="9" t="s">
        <v>74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 t="s">
        <v>60</v>
      </c>
      <c r="E396" s="2" t="str">
        <f>"－"</f>
        <v>－</v>
      </c>
      <c r="F396" s="10" t="s">
        <v>60</v>
      </c>
      <c r="G396" s="2" t="str">
        <f>"－"</f>
        <v>－</v>
      </c>
      <c r="H396" s="10" t="s">
        <v>60</v>
      </c>
      <c r="I396" s="2" t="str">
        <f>"－"</f>
        <v>－</v>
      </c>
      <c r="J396" s="10" t="s">
        <v>60</v>
      </c>
      <c r="K396" s="2" t="n">
        <f>12104</f>
        <v>12104.0</v>
      </c>
    </row>
    <row r="397">
      <c r="A397" s="8" t="s">
        <v>20</v>
      </c>
      <c r="B397" s="9" t="s">
        <v>75</v>
      </c>
      <c r="C397" s="9" t="s">
        <v>76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n">
        <f>12104</f>
        <v>12104.0</v>
      </c>
    </row>
    <row r="398">
      <c r="A398" s="8" t="s">
        <v>21</v>
      </c>
      <c r="B398" s="9" t="s">
        <v>75</v>
      </c>
      <c r="C398" s="9" t="s">
        <v>76</v>
      </c>
      <c r="D398" s="10"/>
      <c r="E398" s="2"/>
      <c r="F398" s="10"/>
      <c r="G398" s="2"/>
      <c r="H398" s="10"/>
      <c r="I398" s="2"/>
      <c r="J398" s="10"/>
      <c r="K398" s="2"/>
    </row>
    <row r="399">
      <c r="A399" s="8" t="s">
        <v>22</v>
      </c>
      <c r="B399" s="9" t="s">
        <v>75</v>
      </c>
      <c r="C399" s="9" t="s">
        <v>76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n">
        <f>12104</f>
        <v>12104.0</v>
      </c>
    </row>
    <row r="400">
      <c r="A400" s="8" t="s">
        <v>23</v>
      </c>
      <c r="B400" s="9" t="s">
        <v>75</v>
      </c>
      <c r="C400" s="9" t="s">
        <v>76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24</v>
      </c>
      <c r="B401" s="9" t="s">
        <v>75</v>
      </c>
      <c r="C401" s="9" t="s">
        <v>76</v>
      </c>
      <c r="D401" s="10"/>
      <c r="E401" s="2"/>
      <c r="F401" s="10"/>
      <c r="G401" s="2"/>
      <c r="H401" s="10"/>
      <c r="I401" s="2"/>
      <c r="J401" s="10"/>
      <c r="K401" s="2"/>
    </row>
    <row r="402">
      <c r="A402" s="8" t="s">
        <v>25</v>
      </c>
      <c r="B402" s="9" t="s">
        <v>75</v>
      </c>
      <c r="C402" s="9" t="s">
        <v>76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n">
        <f>12104</f>
        <v>12104.0</v>
      </c>
    </row>
    <row r="403">
      <c r="A403" s="8" t="s">
        <v>26</v>
      </c>
      <c r="B403" s="9" t="s">
        <v>75</v>
      </c>
      <c r="C403" s="9" t="s">
        <v>76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n">
        <f>12104</f>
        <v>12104.0</v>
      </c>
    </row>
    <row r="404">
      <c r="A404" s="8" t="s">
        <v>28</v>
      </c>
      <c r="B404" s="9" t="s">
        <v>75</v>
      </c>
      <c r="C404" s="9" t="s">
        <v>76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n">
        <f>12104</f>
        <v>12104.0</v>
      </c>
    </row>
    <row r="405">
      <c r="A405" s="8" t="s">
        <v>29</v>
      </c>
      <c r="B405" s="9" t="s">
        <v>75</v>
      </c>
      <c r="C405" s="9" t="s">
        <v>76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n">
        <f>12104</f>
        <v>12104.0</v>
      </c>
    </row>
    <row r="406">
      <c r="A406" s="8" t="s">
        <v>30</v>
      </c>
      <c r="B406" s="9" t="s">
        <v>75</v>
      </c>
      <c r="C406" s="9" t="s">
        <v>76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n">
        <f>12104</f>
        <v>12104.0</v>
      </c>
    </row>
    <row r="407">
      <c r="A407" s="8" t="s">
        <v>31</v>
      </c>
      <c r="B407" s="9" t="s">
        <v>75</v>
      </c>
      <c r="C407" s="9" t="s">
        <v>76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32</v>
      </c>
      <c r="B408" s="9" t="s">
        <v>75</v>
      </c>
      <c r="C408" s="9" t="s">
        <v>76</v>
      </c>
      <c r="D408" s="10"/>
      <c r="E408" s="2"/>
      <c r="F408" s="10"/>
      <c r="G408" s="2"/>
      <c r="H408" s="10"/>
      <c r="I408" s="2"/>
      <c r="J408" s="10"/>
      <c r="K408" s="2"/>
    </row>
    <row r="409">
      <c r="A409" s="8" t="s">
        <v>33</v>
      </c>
      <c r="B409" s="9" t="s">
        <v>75</v>
      </c>
      <c r="C409" s="9" t="s">
        <v>76</v>
      </c>
      <c r="D409" s="10"/>
      <c r="E409" s="2" t="str">
        <f>"－"</f>
        <v>－</v>
      </c>
      <c r="F409" s="10"/>
      <c r="G409" s="2" t="str">
        <f>"－"</f>
        <v>－</v>
      </c>
      <c r="H409" s="10"/>
      <c r="I409" s="2" t="str">
        <f>"－"</f>
        <v>－</v>
      </c>
      <c r="J409" s="10"/>
      <c r="K409" s="2" t="n">
        <f>12104</f>
        <v>12104.0</v>
      </c>
    </row>
    <row r="410">
      <c r="A410" s="8" t="s">
        <v>34</v>
      </c>
      <c r="B410" s="9" t="s">
        <v>75</v>
      </c>
      <c r="C410" s="9" t="s">
        <v>76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n">
        <f>12104</f>
        <v>12104.0</v>
      </c>
    </row>
    <row r="411">
      <c r="A411" s="8" t="s">
        <v>35</v>
      </c>
      <c r="B411" s="9" t="s">
        <v>75</v>
      </c>
      <c r="C411" s="9" t="s">
        <v>76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12104</f>
        <v>12104.0</v>
      </c>
    </row>
    <row r="412">
      <c r="A412" s="8" t="s">
        <v>36</v>
      </c>
      <c r="B412" s="9" t="s">
        <v>75</v>
      </c>
      <c r="C412" s="9" t="s">
        <v>76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12104</f>
        <v>12104.0</v>
      </c>
    </row>
    <row r="413">
      <c r="A413" s="8" t="s">
        <v>37</v>
      </c>
      <c r="B413" s="9" t="s">
        <v>75</v>
      </c>
      <c r="C413" s="9" t="s">
        <v>76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12104</f>
        <v>12104.0</v>
      </c>
    </row>
    <row r="414">
      <c r="A414" s="8" t="s">
        <v>38</v>
      </c>
      <c r="B414" s="9" t="s">
        <v>75</v>
      </c>
      <c r="C414" s="9" t="s">
        <v>76</v>
      </c>
      <c r="D414" s="10"/>
      <c r="E414" s="2"/>
      <c r="F414" s="10"/>
      <c r="G414" s="2"/>
      <c r="H414" s="10"/>
      <c r="I414" s="2"/>
      <c r="J414" s="10"/>
      <c r="K414" s="2"/>
    </row>
    <row r="415">
      <c r="A415" s="8" t="s">
        <v>39</v>
      </c>
      <c r="B415" s="9" t="s">
        <v>75</v>
      </c>
      <c r="C415" s="9" t="s">
        <v>76</v>
      </c>
      <c r="D415" s="10"/>
      <c r="E415" s="2"/>
      <c r="F415" s="10"/>
      <c r="G415" s="2"/>
      <c r="H415" s="10"/>
      <c r="I415" s="2"/>
      <c r="J415" s="10"/>
      <c r="K415" s="2"/>
    </row>
    <row r="416">
      <c r="A416" s="8" t="s">
        <v>40</v>
      </c>
      <c r="B416" s="9" t="s">
        <v>75</v>
      </c>
      <c r="C416" s="9" t="s">
        <v>76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12104</f>
        <v>12104.0</v>
      </c>
    </row>
    <row r="417">
      <c r="A417" s="8" t="s">
        <v>41</v>
      </c>
      <c r="B417" s="9" t="s">
        <v>75</v>
      </c>
      <c r="C417" s="9" t="s">
        <v>76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12104</f>
        <v>12104.0</v>
      </c>
    </row>
    <row r="418">
      <c r="A418" s="8" t="s">
        <v>42</v>
      </c>
      <c r="B418" s="9" t="s">
        <v>75</v>
      </c>
      <c r="C418" s="9" t="s">
        <v>76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43</v>
      </c>
      <c r="B419" s="9" t="s">
        <v>75</v>
      </c>
      <c r="C419" s="9" t="s">
        <v>76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12104</f>
        <v>12104.0</v>
      </c>
    </row>
    <row r="420">
      <c r="A420" s="8" t="s">
        <v>44</v>
      </c>
      <c r="B420" s="9" t="s">
        <v>75</v>
      </c>
      <c r="C420" s="9" t="s">
        <v>76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12104</f>
        <v>12104.0</v>
      </c>
    </row>
    <row r="421">
      <c r="A421" s="8" t="s">
        <v>45</v>
      </c>
      <c r="B421" s="9" t="s">
        <v>75</v>
      </c>
      <c r="C421" s="9" t="s">
        <v>76</v>
      </c>
      <c r="D421" s="10"/>
      <c r="E421" s="2"/>
      <c r="F421" s="10"/>
      <c r="G421" s="2"/>
      <c r="H421" s="10"/>
      <c r="I421" s="2"/>
      <c r="J421" s="10"/>
      <c r="K421" s="2"/>
    </row>
    <row r="422">
      <c r="A422" s="8" t="s">
        <v>46</v>
      </c>
      <c r="B422" s="9" t="s">
        <v>75</v>
      </c>
      <c r="C422" s="9" t="s">
        <v>76</v>
      </c>
      <c r="D422" s="10"/>
      <c r="E422" s="2"/>
      <c r="F422" s="10"/>
      <c r="G422" s="2"/>
      <c r="H422" s="10"/>
      <c r="I422" s="2"/>
      <c r="J422" s="10"/>
      <c r="K422" s="2"/>
    </row>
    <row r="423">
      <c r="A423" s="8" t="s">
        <v>47</v>
      </c>
      <c r="B423" s="9" t="s">
        <v>75</v>
      </c>
      <c r="C423" s="9" t="s">
        <v>76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12104</f>
        <v>12104.0</v>
      </c>
    </row>
    <row r="424">
      <c r="A424" s="8" t="s">
        <v>48</v>
      </c>
      <c r="B424" s="9" t="s">
        <v>75</v>
      </c>
      <c r="C424" s="9" t="s">
        <v>76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12104</f>
        <v>12104.0</v>
      </c>
    </row>
    <row r="425">
      <c r="A425" s="8" t="s">
        <v>49</v>
      </c>
      <c r="B425" s="9" t="s">
        <v>75</v>
      </c>
      <c r="C425" s="9" t="s">
        <v>76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12104</f>
        <v>12104.0</v>
      </c>
    </row>
    <row r="426">
      <c r="A426" s="8" t="s">
        <v>16</v>
      </c>
      <c r="B426" s="9" t="s">
        <v>77</v>
      </c>
      <c r="C426" s="9" t="s">
        <v>78</v>
      </c>
      <c r="D426" s="10"/>
      <c r="E426" s="2" t="n">
        <f>12</f>
        <v>12.0</v>
      </c>
      <c r="F426" s="10"/>
      <c r="G426" s="2" t="n">
        <f>2608500</f>
        <v>2608500.0</v>
      </c>
      <c r="H426" s="10" t="s">
        <v>60</v>
      </c>
      <c r="I426" s="2" t="str">
        <f>"－"</f>
        <v>－</v>
      </c>
      <c r="J426" s="10"/>
      <c r="K426" s="2" t="n">
        <f>61</f>
        <v>61.0</v>
      </c>
    </row>
    <row r="427">
      <c r="A427" s="8" t="s">
        <v>20</v>
      </c>
      <c r="B427" s="9" t="s">
        <v>77</v>
      </c>
      <c r="C427" s="9" t="s">
        <v>78</v>
      </c>
      <c r="D427" s="10"/>
      <c r="E427" s="2" t="n">
        <f>5</f>
        <v>5.0</v>
      </c>
      <c r="F427" s="10"/>
      <c r="G427" s="2" t="n">
        <f>1081000</f>
        <v>1081000.0</v>
      </c>
      <c r="H427" s="10"/>
      <c r="I427" s="2" t="str">
        <f>"－"</f>
        <v>－</v>
      </c>
      <c r="J427" s="10"/>
      <c r="K427" s="2" t="n">
        <f>61</f>
        <v>61.0</v>
      </c>
    </row>
    <row r="428">
      <c r="A428" s="8" t="s">
        <v>21</v>
      </c>
      <c r="B428" s="9" t="s">
        <v>77</v>
      </c>
      <c r="C428" s="9" t="s">
        <v>78</v>
      </c>
      <c r="D428" s="10"/>
      <c r="E428" s="2"/>
      <c r="F428" s="10"/>
      <c r="G428" s="2"/>
      <c r="H428" s="10"/>
      <c r="I428" s="2"/>
      <c r="J428" s="10"/>
      <c r="K428" s="2"/>
    </row>
    <row r="429">
      <c r="A429" s="8" t="s">
        <v>22</v>
      </c>
      <c r="B429" s="9" t="s">
        <v>77</v>
      </c>
      <c r="C429" s="9" t="s">
        <v>78</v>
      </c>
      <c r="D429" s="10"/>
      <c r="E429" s="2" t="n">
        <f>7</f>
        <v>7.0</v>
      </c>
      <c r="F429" s="10"/>
      <c r="G429" s="2" t="n">
        <f>1514000</f>
        <v>1514000.0</v>
      </c>
      <c r="H429" s="10"/>
      <c r="I429" s="2" t="str">
        <f>"－"</f>
        <v>－</v>
      </c>
      <c r="J429" s="10"/>
      <c r="K429" s="2" t="n">
        <f>58</f>
        <v>58.0</v>
      </c>
    </row>
    <row r="430">
      <c r="A430" s="8" t="s">
        <v>23</v>
      </c>
      <c r="B430" s="9" t="s">
        <v>77</v>
      </c>
      <c r="C430" s="9" t="s">
        <v>78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24</v>
      </c>
      <c r="B431" s="9" t="s">
        <v>77</v>
      </c>
      <c r="C431" s="9" t="s">
        <v>78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25</v>
      </c>
      <c r="B432" s="9" t="s">
        <v>77</v>
      </c>
      <c r="C432" s="9" t="s">
        <v>78</v>
      </c>
      <c r="D432" s="10"/>
      <c r="E432" s="2" t="n">
        <f>10</f>
        <v>10.0</v>
      </c>
      <c r="F432" s="10"/>
      <c r="G432" s="2" t="n">
        <f>2125500</f>
        <v>2125500.0</v>
      </c>
      <c r="H432" s="10"/>
      <c r="I432" s="2" t="str">
        <f>"－"</f>
        <v>－</v>
      </c>
      <c r="J432" s="10"/>
      <c r="K432" s="2" t="n">
        <f>60</f>
        <v>60.0</v>
      </c>
    </row>
    <row r="433">
      <c r="A433" s="8" t="s">
        <v>26</v>
      </c>
      <c r="B433" s="9" t="s">
        <v>77</v>
      </c>
      <c r="C433" s="9" t="s">
        <v>78</v>
      </c>
      <c r="D433" s="10"/>
      <c r="E433" s="2" t="n">
        <f>9</f>
        <v>9.0</v>
      </c>
      <c r="F433" s="10"/>
      <c r="G433" s="2" t="n">
        <f>1871000</f>
        <v>1871000.0</v>
      </c>
      <c r="H433" s="10"/>
      <c r="I433" s="2" t="str">
        <f>"－"</f>
        <v>－</v>
      </c>
      <c r="J433" s="10"/>
      <c r="K433" s="2" t="n">
        <f>59</f>
        <v>59.0</v>
      </c>
    </row>
    <row r="434">
      <c r="A434" s="8" t="s">
        <v>28</v>
      </c>
      <c r="B434" s="9" t="s">
        <v>77</v>
      </c>
      <c r="C434" s="9" t="s">
        <v>78</v>
      </c>
      <c r="D434" s="10"/>
      <c r="E434" s="2" t="n">
        <f>22</f>
        <v>22.0</v>
      </c>
      <c r="F434" s="10"/>
      <c r="G434" s="2" t="n">
        <f>4774500</f>
        <v>4774500.0</v>
      </c>
      <c r="H434" s="10"/>
      <c r="I434" s="2" t="str">
        <f>"－"</f>
        <v>－</v>
      </c>
      <c r="J434" s="10"/>
      <c r="K434" s="2" t="n">
        <f>69</f>
        <v>69.0</v>
      </c>
    </row>
    <row r="435">
      <c r="A435" s="8" t="s">
        <v>29</v>
      </c>
      <c r="B435" s="9" t="s">
        <v>77</v>
      </c>
      <c r="C435" s="9" t="s">
        <v>78</v>
      </c>
      <c r="D435" s="10"/>
      <c r="E435" s="2" t="n">
        <f>7</f>
        <v>7.0</v>
      </c>
      <c r="F435" s="10"/>
      <c r="G435" s="2" t="n">
        <f>1512500</f>
        <v>1512500.0</v>
      </c>
      <c r="H435" s="10"/>
      <c r="I435" s="2" t="str">
        <f>"－"</f>
        <v>－</v>
      </c>
      <c r="J435" s="10" t="s">
        <v>19</v>
      </c>
      <c r="K435" s="2" t="n">
        <f>36</f>
        <v>36.0</v>
      </c>
    </row>
    <row r="436">
      <c r="A436" s="8" t="s">
        <v>30</v>
      </c>
      <c r="B436" s="9" t="s">
        <v>77</v>
      </c>
      <c r="C436" s="9" t="s">
        <v>78</v>
      </c>
      <c r="D436" s="10"/>
      <c r="E436" s="2" t="n">
        <f>4</f>
        <v>4.0</v>
      </c>
      <c r="F436" s="10"/>
      <c r="G436" s="2" t="n">
        <f>828000</f>
        <v>828000.0</v>
      </c>
      <c r="H436" s="10"/>
      <c r="I436" s="2" t="str">
        <f>"－"</f>
        <v>－</v>
      </c>
      <c r="J436" s="10"/>
      <c r="K436" s="2" t="n">
        <f>38</f>
        <v>38.0</v>
      </c>
    </row>
    <row r="437">
      <c r="A437" s="8" t="s">
        <v>31</v>
      </c>
      <c r="B437" s="9" t="s">
        <v>77</v>
      </c>
      <c r="C437" s="9" t="s">
        <v>78</v>
      </c>
      <c r="D437" s="10"/>
      <c r="E437" s="2"/>
      <c r="F437" s="10"/>
      <c r="G437" s="2"/>
      <c r="H437" s="10"/>
      <c r="I437" s="2"/>
      <c r="J437" s="10"/>
      <c r="K437" s="2"/>
    </row>
    <row r="438">
      <c r="A438" s="8" t="s">
        <v>32</v>
      </c>
      <c r="B438" s="9" t="s">
        <v>77</v>
      </c>
      <c r="C438" s="9" t="s">
        <v>78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33</v>
      </c>
      <c r="B439" s="9" t="s">
        <v>77</v>
      </c>
      <c r="C439" s="9" t="s">
        <v>78</v>
      </c>
      <c r="D439" s="10"/>
      <c r="E439" s="2" t="n">
        <f>6</f>
        <v>6.0</v>
      </c>
      <c r="F439" s="10"/>
      <c r="G439" s="2" t="n">
        <f>1282500</f>
        <v>1282500.0</v>
      </c>
      <c r="H439" s="10"/>
      <c r="I439" s="2" t="str">
        <f>"－"</f>
        <v>－</v>
      </c>
      <c r="J439" s="10"/>
      <c r="K439" s="2" t="n">
        <f>40</f>
        <v>40.0</v>
      </c>
    </row>
    <row r="440">
      <c r="A440" s="8" t="s">
        <v>34</v>
      </c>
      <c r="B440" s="9" t="s">
        <v>77</v>
      </c>
      <c r="C440" s="9" t="s">
        <v>78</v>
      </c>
      <c r="D440" s="10"/>
      <c r="E440" s="2" t="n">
        <f>13</f>
        <v>13.0</v>
      </c>
      <c r="F440" s="10"/>
      <c r="G440" s="2" t="n">
        <f>2779500</f>
        <v>2779500.0</v>
      </c>
      <c r="H440" s="10"/>
      <c r="I440" s="2" t="str">
        <f>"－"</f>
        <v>－</v>
      </c>
      <c r="J440" s="10"/>
      <c r="K440" s="2" t="n">
        <f>50</f>
        <v>50.0</v>
      </c>
    </row>
    <row r="441">
      <c r="A441" s="8" t="s">
        <v>35</v>
      </c>
      <c r="B441" s="9" t="s">
        <v>77</v>
      </c>
      <c r="C441" s="9" t="s">
        <v>78</v>
      </c>
      <c r="D441" s="10"/>
      <c r="E441" s="2" t="n">
        <f>5</f>
        <v>5.0</v>
      </c>
      <c r="F441" s="10"/>
      <c r="G441" s="2" t="n">
        <f>1055000</f>
        <v>1055000.0</v>
      </c>
      <c r="H441" s="10"/>
      <c r="I441" s="2" t="str">
        <f>"－"</f>
        <v>－</v>
      </c>
      <c r="J441" s="10"/>
      <c r="K441" s="2" t="n">
        <f>55</f>
        <v>55.0</v>
      </c>
    </row>
    <row r="442">
      <c r="A442" s="8" t="s">
        <v>36</v>
      </c>
      <c r="B442" s="9" t="s">
        <v>77</v>
      </c>
      <c r="C442" s="9" t="s">
        <v>78</v>
      </c>
      <c r="D442" s="10"/>
      <c r="E442" s="2" t="n">
        <f>3</f>
        <v>3.0</v>
      </c>
      <c r="F442" s="10"/>
      <c r="G442" s="2" t="n">
        <f>643500</f>
        <v>643500.0</v>
      </c>
      <c r="H442" s="10"/>
      <c r="I442" s="2" t="str">
        <f>"－"</f>
        <v>－</v>
      </c>
      <c r="J442" s="10"/>
      <c r="K442" s="2" t="n">
        <f>57</f>
        <v>57.0</v>
      </c>
    </row>
    <row r="443">
      <c r="A443" s="8" t="s">
        <v>37</v>
      </c>
      <c r="B443" s="9" t="s">
        <v>77</v>
      </c>
      <c r="C443" s="9" t="s">
        <v>78</v>
      </c>
      <c r="D443" s="10" t="s">
        <v>19</v>
      </c>
      <c r="E443" s="2" t="str">
        <f>"－"</f>
        <v>－</v>
      </c>
      <c r="F443" s="10" t="s">
        <v>19</v>
      </c>
      <c r="G443" s="2" t="str">
        <f>"－"</f>
        <v>－</v>
      </c>
      <c r="H443" s="10"/>
      <c r="I443" s="2" t="str">
        <f>"－"</f>
        <v>－</v>
      </c>
      <c r="J443" s="10"/>
      <c r="K443" s="2" t="n">
        <f>57</f>
        <v>57.0</v>
      </c>
    </row>
    <row r="444">
      <c r="A444" s="8" t="s">
        <v>38</v>
      </c>
      <c r="B444" s="9" t="s">
        <v>77</v>
      </c>
      <c r="C444" s="9" t="s">
        <v>78</v>
      </c>
      <c r="D444" s="10"/>
      <c r="E444" s="2"/>
      <c r="F444" s="10"/>
      <c r="G444" s="2"/>
      <c r="H444" s="10"/>
      <c r="I444" s="2"/>
      <c r="J444" s="10"/>
      <c r="K444" s="2"/>
    </row>
    <row r="445">
      <c r="A445" s="8" t="s">
        <v>39</v>
      </c>
      <c r="B445" s="9" t="s">
        <v>77</v>
      </c>
      <c r="C445" s="9" t="s">
        <v>78</v>
      </c>
      <c r="D445" s="10"/>
      <c r="E445" s="2"/>
      <c r="F445" s="10"/>
      <c r="G445" s="2"/>
      <c r="H445" s="10"/>
      <c r="I445" s="2"/>
      <c r="J445" s="10"/>
      <c r="K445" s="2"/>
    </row>
    <row r="446">
      <c r="A446" s="8" t="s">
        <v>40</v>
      </c>
      <c r="B446" s="9" t="s">
        <v>77</v>
      </c>
      <c r="C446" s="9" t="s">
        <v>78</v>
      </c>
      <c r="D446" s="10"/>
      <c r="E446" s="2" t="n">
        <f>9</f>
        <v>9.0</v>
      </c>
      <c r="F446" s="10"/>
      <c r="G446" s="2" t="n">
        <f>1922000</f>
        <v>1922000.0</v>
      </c>
      <c r="H446" s="10"/>
      <c r="I446" s="2" t="str">
        <f>"－"</f>
        <v>－</v>
      </c>
      <c r="J446" s="10"/>
      <c r="K446" s="2" t="n">
        <f>65</f>
        <v>65.0</v>
      </c>
    </row>
    <row r="447">
      <c r="A447" s="8" t="s">
        <v>41</v>
      </c>
      <c r="B447" s="9" t="s">
        <v>77</v>
      </c>
      <c r="C447" s="9" t="s">
        <v>78</v>
      </c>
      <c r="D447" s="10" t="s">
        <v>27</v>
      </c>
      <c r="E447" s="2" t="n">
        <f>103</f>
        <v>103.0</v>
      </c>
      <c r="F447" s="10" t="s">
        <v>27</v>
      </c>
      <c r="G447" s="2" t="n">
        <f>20770500</f>
        <v>2.07705E7</v>
      </c>
      <c r="H447" s="10"/>
      <c r="I447" s="2" t="str">
        <f>"－"</f>
        <v>－</v>
      </c>
      <c r="J447" s="10"/>
      <c r="K447" s="2" t="n">
        <f>146</f>
        <v>146.0</v>
      </c>
    </row>
    <row r="448">
      <c r="A448" s="8" t="s">
        <v>42</v>
      </c>
      <c r="B448" s="9" t="s">
        <v>77</v>
      </c>
      <c r="C448" s="9" t="s">
        <v>78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43</v>
      </c>
      <c r="B449" s="9" t="s">
        <v>77</v>
      </c>
      <c r="C449" s="9" t="s">
        <v>78</v>
      </c>
      <c r="D449" s="10"/>
      <c r="E449" s="2" t="n">
        <f>39</f>
        <v>39.0</v>
      </c>
      <c r="F449" s="10"/>
      <c r="G449" s="2" t="n">
        <f>7824500</f>
        <v>7824500.0</v>
      </c>
      <c r="H449" s="10"/>
      <c r="I449" s="2" t="str">
        <f>"－"</f>
        <v>－</v>
      </c>
      <c r="J449" s="10"/>
      <c r="K449" s="2" t="n">
        <f>157</f>
        <v>157.0</v>
      </c>
    </row>
    <row r="450">
      <c r="A450" s="8" t="s">
        <v>44</v>
      </c>
      <c r="B450" s="9" t="s">
        <v>77</v>
      </c>
      <c r="C450" s="9" t="s">
        <v>78</v>
      </c>
      <c r="D450" s="10"/>
      <c r="E450" s="2" t="n">
        <f>16</f>
        <v>16.0</v>
      </c>
      <c r="F450" s="10"/>
      <c r="G450" s="2" t="n">
        <f>3249000</f>
        <v>3249000.0</v>
      </c>
      <c r="H450" s="10"/>
      <c r="I450" s="2" t="str">
        <f>"－"</f>
        <v>－</v>
      </c>
      <c r="J450" s="10" t="s">
        <v>27</v>
      </c>
      <c r="K450" s="2" t="n">
        <f>164</f>
        <v>164.0</v>
      </c>
    </row>
    <row r="451">
      <c r="A451" s="8" t="s">
        <v>45</v>
      </c>
      <c r="B451" s="9" t="s">
        <v>77</v>
      </c>
      <c r="C451" s="9" t="s">
        <v>78</v>
      </c>
      <c r="D451" s="10"/>
      <c r="E451" s="2"/>
      <c r="F451" s="10"/>
      <c r="G451" s="2"/>
      <c r="H451" s="10"/>
      <c r="I451" s="2"/>
      <c r="J451" s="10"/>
      <c r="K451" s="2"/>
    </row>
    <row r="452">
      <c r="A452" s="8" t="s">
        <v>46</v>
      </c>
      <c r="B452" s="9" t="s">
        <v>77</v>
      </c>
      <c r="C452" s="9" t="s">
        <v>78</v>
      </c>
      <c r="D452" s="10"/>
      <c r="E452" s="2"/>
      <c r="F452" s="10"/>
      <c r="G452" s="2"/>
      <c r="H452" s="10"/>
      <c r="I452" s="2"/>
      <c r="J452" s="10"/>
      <c r="K452" s="2"/>
    </row>
    <row r="453">
      <c r="A453" s="8" t="s">
        <v>47</v>
      </c>
      <c r="B453" s="9" t="s">
        <v>77</v>
      </c>
      <c r="C453" s="9" t="s">
        <v>78</v>
      </c>
      <c r="D453" s="10"/>
      <c r="E453" s="2" t="n">
        <f>12</f>
        <v>12.0</v>
      </c>
      <c r="F453" s="10"/>
      <c r="G453" s="2" t="n">
        <f>2414500</f>
        <v>2414500.0</v>
      </c>
      <c r="H453" s="10"/>
      <c r="I453" s="2" t="str">
        <f>"－"</f>
        <v>－</v>
      </c>
      <c r="J453" s="10"/>
      <c r="K453" s="2" t="n">
        <f>157</f>
        <v>157.0</v>
      </c>
    </row>
    <row r="454">
      <c r="A454" s="8" t="s">
        <v>48</v>
      </c>
      <c r="B454" s="9" t="s">
        <v>77</v>
      </c>
      <c r="C454" s="9" t="s">
        <v>78</v>
      </c>
      <c r="D454" s="10"/>
      <c r="E454" s="2" t="n">
        <f>6</f>
        <v>6.0</v>
      </c>
      <c r="F454" s="10"/>
      <c r="G454" s="2" t="n">
        <f>1262500</f>
        <v>1262500.0</v>
      </c>
      <c r="H454" s="10"/>
      <c r="I454" s="2" t="str">
        <f>"－"</f>
        <v>－</v>
      </c>
      <c r="J454" s="10"/>
      <c r="K454" s="2" t="n">
        <f>158</f>
        <v>158.0</v>
      </c>
    </row>
    <row r="455">
      <c r="A455" s="8" t="s">
        <v>49</v>
      </c>
      <c r="B455" s="9" t="s">
        <v>77</v>
      </c>
      <c r="C455" s="9" t="s">
        <v>78</v>
      </c>
      <c r="D455" s="10"/>
      <c r="E455" s="2" t="n">
        <f>11</f>
        <v>11.0</v>
      </c>
      <c r="F455" s="10"/>
      <c r="G455" s="2" t="n">
        <f>2265000</f>
        <v>2265000.0</v>
      </c>
      <c r="H455" s="10"/>
      <c r="I455" s="2" t="str">
        <f>"－"</f>
        <v>－</v>
      </c>
      <c r="J455" s="10"/>
      <c r="K455" s="2" t="n">
        <f>160</f>
        <v>160.0</v>
      </c>
    </row>
    <row r="456">
      <c r="A456" s="8" t="s">
        <v>16</v>
      </c>
      <c r="B456" s="9" t="s">
        <v>79</v>
      </c>
      <c r="C456" s="9" t="s">
        <v>80</v>
      </c>
      <c r="D456" s="10"/>
      <c r="E456" s="2"/>
      <c r="F456" s="10"/>
      <c r="G456" s="2"/>
      <c r="H456" s="10"/>
      <c r="I456" s="2"/>
      <c r="J456" s="10"/>
      <c r="K456" s="2"/>
    </row>
    <row r="457">
      <c r="A457" s="8" t="s">
        <v>20</v>
      </c>
      <c r="B457" s="9" t="s">
        <v>79</v>
      </c>
      <c r="C457" s="9" t="s">
        <v>80</v>
      </c>
      <c r="D457" s="10"/>
      <c r="E457" s="2"/>
      <c r="F457" s="10"/>
      <c r="G457" s="2"/>
      <c r="H457" s="10"/>
      <c r="I457" s="2"/>
      <c r="J457" s="10"/>
      <c r="K457" s="2"/>
    </row>
    <row r="458">
      <c r="A458" s="8" t="s">
        <v>21</v>
      </c>
      <c r="B458" s="9" t="s">
        <v>79</v>
      </c>
      <c r="C458" s="9" t="s">
        <v>80</v>
      </c>
      <c r="D458" s="10"/>
      <c r="E458" s="2"/>
      <c r="F458" s="10"/>
      <c r="G458" s="2"/>
      <c r="H458" s="10"/>
      <c r="I458" s="2"/>
      <c r="J458" s="10"/>
      <c r="K458" s="2"/>
    </row>
    <row r="459">
      <c r="A459" s="8" t="s">
        <v>22</v>
      </c>
      <c r="B459" s="9" t="s">
        <v>79</v>
      </c>
      <c r="C459" s="9" t="s">
        <v>80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23</v>
      </c>
      <c r="B460" s="9" t="s">
        <v>79</v>
      </c>
      <c r="C460" s="9" t="s">
        <v>80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24</v>
      </c>
      <c r="B461" s="9" t="s">
        <v>79</v>
      </c>
      <c r="C461" s="9" t="s">
        <v>80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25</v>
      </c>
      <c r="B462" s="9" t="s">
        <v>79</v>
      </c>
      <c r="C462" s="9" t="s">
        <v>80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26</v>
      </c>
      <c r="B463" s="9" t="s">
        <v>79</v>
      </c>
      <c r="C463" s="9" t="s">
        <v>80</v>
      </c>
      <c r="D463" s="10"/>
      <c r="E463" s="2"/>
      <c r="F463" s="10"/>
      <c r="G463" s="2"/>
      <c r="H463" s="10"/>
      <c r="I463" s="2"/>
      <c r="J463" s="10"/>
      <c r="K463" s="2"/>
    </row>
    <row r="464">
      <c r="A464" s="8" t="s">
        <v>28</v>
      </c>
      <c r="B464" s="9" t="s">
        <v>79</v>
      </c>
      <c r="C464" s="9" t="s">
        <v>80</v>
      </c>
      <c r="D464" s="10"/>
      <c r="E464" s="2"/>
      <c r="F464" s="10"/>
      <c r="G464" s="2"/>
      <c r="H464" s="10"/>
      <c r="I464" s="2"/>
      <c r="J464" s="10"/>
      <c r="K464" s="2"/>
    </row>
    <row r="465">
      <c r="A465" s="8" t="s">
        <v>29</v>
      </c>
      <c r="B465" s="9" t="s">
        <v>79</v>
      </c>
      <c r="C465" s="9" t="s">
        <v>80</v>
      </c>
      <c r="D465" s="10"/>
      <c r="E465" s="2"/>
      <c r="F465" s="10"/>
      <c r="G465" s="2"/>
      <c r="H465" s="10"/>
      <c r="I465" s="2"/>
      <c r="J465" s="10"/>
      <c r="K465" s="2"/>
    </row>
    <row r="466">
      <c r="A466" s="8" t="s">
        <v>30</v>
      </c>
      <c r="B466" s="9" t="s">
        <v>79</v>
      </c>
      <c r="C466" s="9" t="s">
        <v>80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31</v>
      </c>
      <c r="B467" s="9" t="s">
        <v>79</v>
      </c>
      <c r="C467" s="9" t="s">
        <v>80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32</v>
      </c>
      <c r="B468" s="9" t="s">
        <v>79</v>
      </c>
      <c r="C468" s="9" t="s">
        <v>80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33</v>
      </c>
      <c r="B469" s="9" t="s">
        <v>79</v>
      </c>
      <c r="C469" s="9" t="s">
        <v>80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34</v>
      </c>
      <c r="B470" s="9" t="s">
        <v>79</v>
      </c>
      <c r="C470" s="9" t="s">
        <v>80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35</v>
      </c>
      <c r="B471" s="9" t="s">
        <v>79</v>
      </c>
      <c r="C471" s="9" t="s">
        <v>80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36</v>
      </c>
      <c r="B472" s="9" t="s">
        <v>79</v>
      </c>
      <c r="C472" s="9" t="s">
        <v>80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37</v>
      </c>
      <c r="B473" s="9" t="s">
        <v>79</v>
      </c>
      <c r="C473" s="9" t="s">
        <v>80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38</v>
      </c>
      <c r="B474" s="9" t="s">
        <v>79</v>
      </c>
      <c r="C474" s="9" t="s">
        <v>80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39</v>
      </c>
      <c r="B475" s="9" t="s">
        <v>79</v>
      </c>
      <c r="C475" s="9" t="s">
        <v>80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40</v>
      </c>
      <c r="B476" s="9" t="s">
        <v>79</v>
      </c>
      <c r="C476" s="9" t="s">
        <v>80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41</v>
      </c>
      <c r="B477" s="9" t="s">
        <v>79</v>
      </c>
      <c r="C477" s="9" t="s">
        <v>80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42</v>
      </c>
      <c r="B478" s="9" t="s">
        <v>79</v>
      </c>
      <c r="C478" s="9" t="s">
        <v>80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43</v>
      </c>
      <c r="B479" s="9" t="s">
        <v>79</v>
      </c>
      <c r="C479" s="9" t="s">
        <v>80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44</v>
      </c>
      <c r="B480" s="9" t="s">
        <v>79</v>
      </c>
      <c r="C480" s="9" t="s">
        <v>80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45</v>
      </c>
      <c r="B481" s="9" t="s">
        <v>79</v>
      </c>
      <c r="C481" s="9" t="s">
        <v>80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46</v>
      </c>
      <c r="B482" s="9" t="s">
        <v>79</v>
      </c>
      <c r="C482" s="9" t="s">
        <v>80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47</v>
      </c>
      <c r="B483" s="9" t="s">
        <v>79</v>
      </c>
      <c r="C483" s="9" t="s">
        <v>80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48</v>
      </c>
      <c r="B484" s="9" t="s">
        <v>79</v>
      </c>
      <c r="C484" s="9" t="s">
        <v>80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49</v>
      </c>
      <c r="B485" s="9" t="s">
        <v>79</v>
      </c>
      <c r="C485" s="9" t="s">
        <v>80</v>
      </c>
      <c r="D485" s="10"/>
      <c r="E485" s="2"/>
      <c r="F485" s="10"/>
      <c r="G485" s="2"/>
      <c r="H485" s="10"/>
      <c r="I485" s="2"/>
      <c r="J485" s="10"/>
      <c r="K485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