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<sst xmlns="http://schemas.openxmlformats.org/spreadsheetml/2006/main" count="698" uniqueCount="72">
  <si>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</si>
  <si>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</si>
  <si>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</si>
  <si>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</si>
  <si>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</si>
  <si>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</si>
  <si>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</si>
  <si>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</si>
  <si>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</si>
  <si>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</si>
  <si>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</si>
  <si>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</si>
  <si>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</si>
  <si>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</si>
  <si>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</si>
  <si>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</si>
  <si>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</si>
  <si>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</si>
  <si>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</si>
  <si>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</si>
  <si>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</si>
  <si>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</si>
  <si>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</si>
  <si>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</si>
  <si>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</si>
  <si>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</si>
  <si>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1.1</t>
  </si>
  <si>
    <t>日経225オプション</t>
  </si>
  <si>
    <t>Nikkei 225 Options</t>
  </si>
  <si>
    <t>2</t>
  </si>
  <si>
    <t>3</t>
  </si>
  <si>
    <t>4</t>
  </si>
  <si>
    <t>◎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</si>
  <si>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</si>
  <si>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</si>
  <si>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</si>
  <si>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</si>
  <si>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</si>
  <si>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</si>
  <si>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</si>
  <si>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</si>
  <si>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</si>
  <si>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●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</si>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</sst>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95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/>
      <c r="F10" s="23"/>
      <c r="G10" s="25"/>
      <c r="H10" s="23"/>
      <c r="I10" s="26"/>
      <c r="J10" s="24"/>
      <c r="K10" s="25"/>
      <c r="L10" s="23"/>
      <c r="M10" s="25"/>
      <c r="N10" s="23"/>
      <c r="O10" s="26"/>
      <c r="P10" s="27"/>
      <c r="Q10" s="28"/>
      <c r="R10" s="29"/>
      <c r="S10" s="24"/>
      <c r="T10" s="25"/>
      <c r="U10" s="23"/>
      <c r="V10" s="25"/>
      <c r="W10" s="23"/>
      <c r="X10" s="26"/>
      <c r="Y10" s="24"/>
      <c r="Z10" s="25"/>
      <c r="AA10" s="23"/>
      <c r="AB10" s="25"/>
      <c r="AC10" s="23"/>
      <c r="AD10" s="26"/>
    </row>
    <row r="11">
      <c r="A11" s="30" t="s">
        <v>29</v>
      </c>
      <c r="B11" s="22" t="s">
        <v>27</v>
      </c>
      <c r="C11" s="22" t="s">
        <v>28</v>
      </c>
      <c r="D11" s="24"/>
      <c r="E11" s="25"/>
      <c r="F11" s="23"/>
      <c r="G11" s="25"/>
      <c r="H11" s="23"/>
      <c r="I11" s="26"/>
      <c r="J11" s="24"/>
      <c r="K11" s="25"/>
      <c r="L11" s="23"/>
      <c r="M11" s="25"/>
      <c r="N11" s="23"/>
      <c r="O11" s="26"/>
      <c r="P11" s="27"/>
      <c r="Q11" s="28"/>
      <c r="R11" s="29"/>
      <c r="S11" s="24"/>
      <c r="T11" s="25"/>
      <c r="U11" s="23"/>
      <c r="V11" s="25"/>
      <c r="W11" s="23"/>
      <c r="X11" s="26"/>
      <c r="Y11" s="24"/>
      <c r="Z11" s="25"/>
      <c r="AA11" s="23"/>
      <c r="AB11" s="25"/>
      <c r="AC11" s="23"/>
      <c r="AD11" s="26"/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/>
      <c r="E13" s="25" t="n">
        <f>73239</f>
        <v>73239.0</v>
      </c>
      <c r="F13" s="23"/>
      <c r="G13" s="25" t="n">
        <f>63255</f>
        <v>63255.0</v>
      </c>
      <c r="H13" s="23"/>
      <c r="I13" s="26" t="n">
        <f>136494</f>
        <v>136494.0</v>
      </c>
      <c r="J13" s="24"/>
      <c r="K13" s="25" t="n">
        <f>24088462890</f>
        <v>2.408846289E10</v>
      </c>
      <c r="L13" s="23"/>
      <c r="M13" s="25" t="n">
        <f>15161070990</f>
        <v>1.516107099E10</v>
      </c>
      <c r="N13" s="23"/>
      <c r="O13" s="26" t="n">
        <f>39249533880</f>
        <v>3.924953388E10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17560</f>
        <v>17560.0</v>
      </c>
      <c r="U13" s="23" t="s">
        <v>32</v>
      </c>
      <c r="V13" s="25" t="n">
        <f>15251</f>
        <v>15251.0</v>
      </c>
      <c r="W13" s="23" t="s">
        <v>32</v>
      </c>
      <c r="X13" s="26" t="n">
        <f>32811</f>
        <v>32811.0</v>
      </c>
      <c r="Y13" s="24"/>
      <c r="Z13" s="25" t="n">
        <f>894718</f>
        <v>894718.0</v>
      </c>
      <c r="AA13" s="23"/>
      <c r="AB13" s="25" t="n">
        <f>537198</f>
        <v>537198.0</v>
      </c>
      <c r="AC13" s="23"/>
      <c r="AD13" s="26" t="n">
        <f>1431916</f>
        <v>1431916.0</v>
      </c>
    </row>
    <row r="14">
      <c r="A14" s="30" t="s">
        <v>33</v>
      </c>
      <c r="B14" s="22" t="s">
        <v>27</v>
      </c>
      <c r="C14" s="22" t="s">
        <v>28</v>
      </c>
      <c r="D14" s="24"/>
      <c r="E14" s="25" t="n">
        <f>62291</f>
        <v>62291.0</v>
      </c>
      <c r="F14" s="23"/>
      <c r="G14" s="25" t="n">
        <f>49835</f>
        <v>49835.0</v>
      </c>
      <c r="H14" s="23"/>
      <c r="I14" s="26" t="n">
        <f>112126</f>
        <v>112126.0</v>
      </c>
      <c r="J14" s="24"/>
      <c r="K14" s="25" t="n">
        <f>26884989295</f>
        <v>2.6884989295E10</v>
      </c>
      <c r="L14" s="23"/>
      <c r="M14" s="25" t="n">
        <f>15067269990</f>
        <v>1.506726999E10</v>
      </c>
      <c r="N14" s="23" t="s">
        <v>32</v>
      </c>
      <c r="O14" s="26" t="n">
        <f>41952259285</f>
        <v>4.1952259285E10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10426</f>
        <v>10426.0</v>
      </c>
      <c r="U14" s="23"/>
      <c r="V14" s="25" t="n">
        <f>7251</f>
        <v>7251.0</v>
      </c>
      <c r="W14" s="23"/>
      <c r="X14" s="26" t="n">
        <f>17677</f>
        <v>17677.0</v>
      </c>
      <c r="Y14" s="24"/>
      <c r="Z14" s="25" t="n">
        <f>917996</f>
        <v>917996.0</v>
      </c>
      <c r="AA14" s="23"/>
      <c r="AB14" s="25" t="n">
        <f>555341</f>
        <v>555341.0</v>
      </c>
      <c r="AC14" s="23"/>
      <c r="AD14" s="26" t="n">
        <f>1473337</f>
        <v>1473337.0</v>
      </c>
    </row>
    <row r="15">
      <c r="A15" s="30" t="s">
        <v>34</v>
      </c>
      <c r="B15" s="22" t="s">
        <v>27</v>
      </c>
      <c r="C15" s="22" t="s">
        <v>28</v>
      </c>
      <c r="D15" s="24"/>
      <c r="E15" s="25" t="n">
        <f>77568</f>
        <v>77568.0</v>
      </c>
      <c r="F15" s="23"/>
      <c r="G15" s="25" t="n">
        <f>42830</f>
        <v>42830.0</v>
      </c>
      <c r="H15" s="23"/>
      <c r="I15" s="26" t="n">
        <f>120398</f>
        <v>120398.0</v>
      </c>
      <c r="J15" s="24" t="s">
        <v>32</v>
      </c>
      <c r="K15" s="25" t="n">
        <f>32488463223</f>
        <v>3.2488463223E10</v>
      </c>
      <c r="L15" s="23"/>
      <c r="M15" s="25" t="n">
        <f>8150294300</f>
        <v>8.1502943E9</v>
      </c>
      <c r="N15" s="23"/>
      <c r="O15" s="26" t="n">
        <f>40638757523</f>
        <v>4.0638757523E10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 t="s">
        <v>32</v>
      </c>
      <c r="T15" s="25" t="n">
        <f>19965</f>
        <v>19965.0</v>
      </c>
      <c r="U15" s="23"/>
      <c r="V15" s="25" t="n">
        <f>7566</f>
        <v>7566.0</v>
      </c>
      <c r="W15" s="23"/>
      <c r="X15" s="26" t="n">
        <f>27531</f>
        <v>27531.0</v>
      </c>
      <c r="Y15" s="24"/>
      <c r="Z15" s="25" t="n">
        <f>922406</f>
        <v>922406.0</v>
      </c>
      <c r="AA15" s="23"/>
      <c r="AB15" s="25" t="n">
        <f>556830</f>
        <v>556830.0</v>
      </c>
      <c r="AC15" s="23"/>
      <c r="AD15" s="26" t="n">
        <f>1479236</f>
        <v>1479236.0</v>
      </c>
    </row>
    <row r="16">
      <c r="A16" s="30" t="s">
        <v>35</v>
      </c>
      <c r="B16" s="22" t="s">
        <v>27</v>
      </c>
      <c r="C16" s="22" t="s">
        <v>28</v>
      </c>
      <c r="D16" s="24"/>
      <c r="E16" s="25"/>
      <c r="F16" s="23"/>
      <c r="G16" s="25"/>
      <c r="H16" s="23"/>
      <c r="I16" s="26"/>
      <c r="J16" s="24"/>
      <c r="K16" s="25"/>
      <c r="L16" s="23"/>
      <c r="M16" s="25"/>
      <c r="N16" s="23"/>
      <c r="O16" s="26"/>
      <c r="P16" s="27"/>
      <c r="Q16" s="28"/>
      <c r="R16" s="29"/>
      <c r="S16" s="24"/>
      <c r="T16" s="25"/>
      <c r="U16" s="23"/>
      <c r="V16" s="25"/>
      <c r="W16" s="23"/>
      <c r="X16" s="26"/>
      <c r="Y16" s="24"/>
      <c r="Z16" s="25"/>
      <c r="AA16" s="23"/>
      <c r="AB16" s="25"/>
      <c r="AC16" s="23"/>
      <c r="AD16" s="26"/>
    </row>
    <row r="17">
      <c r="A17" s="30" t="s">
        <v>36</v>
      </c>
      <c r="B17" s="22" t="s">
        <v>27</v>
      </c>
      <c r="C17" s="22" t="s">
        <v>28</v>
      </c>
      <c r="D17" s="24"/>
      <c r="E17" s="25"/>
      <c r="F17" s="23"/>
      <c r="G17" s="25"/>
      <c r="H17" s="23"/>
      <c r="I17" s="26"/>
      <c r="J17" s="24"/>
      <c r="K17" s="25"/>
      <c r="L17" s="23"/>
      <c r="M17" s="25"/>
      <c r="N17" s="23"/>
      <c r="O17" s="26"/>
      <c r="P17" s="27"/>
      <c r="Q17" s="28"/>
      <c r="R17" s="29"/>
      <c r="S17" s="24"/>
      <c r="T17" s="25"/>
      <c r="U17" s="23"/>
      <c r="V17" s="25"/>
      <c r="W17" s="23"/>
      <c r="X17" s="26"/>
      <c r="Y17" s="24"/>
      <c r="Z17" s="25"/>
      <c r="AA17" s="23"/>
      <c r="AB17" s="25"/>
      <c r="AC17" s="23"/>
      <c r="AD17" s="26"/>
    </row>
    <row r="18">
      <c r="A18" s="30" t="s">
        <v>37</v>
      </c>
      <c r="B18" s="22" t="s">
        <v>27</v>
      </c>
      <c r="C18" s="22" t="s">
        <v>28</v>
      </c>
      <c r="D18" s="24"/>
      <c r="E18" s="25"/>
      <c r="F18" s="23"/>
      <c r="G18" s="25"/>
      <c r="H18" s="23"/>
      <c r="I18" s="26"/>
      <c r="J18" s="24"/>
      <c r="K18" s="25"/>
      <c r="L18" s="23"/>
      <c r="M18" s="25"/>
      <c r="N18" s="23"/>
      <c r="O18" s="26"/>
      <c r="P18" s="27"/>
      <c r="Q18" s="28"/>
      <c r="R18" s="29"/>
      <c r="S18" s="24"/>
      <c r="T18" s="25"/>
      <c r="U18" s="23"/>
      <c r="V18" s="25"/>
      <c r="W18" s="23"/>
      <c r="X18" s="26"/>
      <c r="Y18" s="24"/>
      <c r="Z18" s="25"/>
      <c r="AA18" s="23"/>
      <c r="AB18" s="25"/>
      <c r="AC18" s="23"/>
      <c r="AD18" s="26"/>
    </row>
    <row r="19">
      <c r="A19" s="30" t="s">
        <v>38</v>
      </c>
      <c r="B19" s="22" t="s">
        <v>27</v>
      </c>
      <c r="C19" s="22" t="s">
        <v>28</v>
      </c>
      <c r="D19" s="24"/>
      <c r="E19" s="25" t="n">
        <f>67504</f>
        <v>67504.0</v>
      </c>
      <c r="F19" s="23"/>
      <c r="G19" s="25" t="n">
        <f>40583</f>
        <v>40583.0</v>
      </c>
      <c r="H19" s="23"/>
      <c r="I19" s="26" t="n">
        <f>108087</f>
        <v>108087.0</v>
      </c>
      <c r="J19" s="24"/>
      <c r="K19" s="25" t="n">
        <f>16602327620</f>
        <v>1.660232762E10</v>
      </c>
      <c r="L19" s="23"/>
      <c r="M19" s="25" t="n">
        <f>7478039590</f>
        <v>7.47803959E9</v>
      </c>
      <c r="N19" s="23"/>
      <c r="O19" s="26" t="n">
        <f>24080367210</f>
        <v>2.408036721E10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4"/>
      <c r="T19" s="25" t="n">
        <f>11331</f>
        <v>11331.0</v>
      </c>
      <c r="U19" s="23"/>
      <c r="V19" s="25" t="n">
        <f>5647</f>
        <v>5647.0</v>
      </c>
      <c r="W19" s="23"/>
      <c r="X19" s="26" t="n">
        <f>16978</f>
        <v>16978.0</v>
      </c>
      <c r="Y19" s="24"/>
      <c r="Z19" s="25" t="n">
        <f>928558</f>
        <v>928558.0</v>
      </c>
      <c r="AA19" s="23"/>
      <c r="AB19" s="25" t="n">
        <f>565239</f>
        <v>565239.0</v>
      </c>
      <c r="AC19" s="23"/>
      <c r="AD19" s="26" t="n">
        <f>1493797</f>
        <v>1493797.0</v>
      </c>
    </row>
    <row r="20">
      <c r="A20" s="30" t="s">
        <v>39</v>
      </c>
      <c r="B20" s="22" t="s">
        <v>27</v>
      </c>
      <c r="C20" s="22" t="s">
        <v>28</v>
      </c>
      <c r="D20" s="24"/>
      <c r="E20" s="25" t="n">
        <f>70280</f>
        <v>70280.0</v>
      </c>
      <c r="F20" s="23"/>
      <c r="G20" s="25" t="n">
        <f>53406</f>
        <v>53406.0</v>
      </c>
      <c r="H20" s="23"/>
      <c r="I20" s="26" t="n">
        <f>123686</f>
        <v>123686.0</v>
      </c>
      <c r="J20" s="24"/>
      <c r="K20" s="25" t="n">
        <f>22728645790</f>
        <v>2.272864579E10</v>
      </c>
      <c r="L20" s="23"/>
      <c r="M20" s="25" t="n">
        <f>10783483670</f>
        <v>1.078348367E10</v>
      </c>
      <c r="N20" s="23"/>
      <c r="O20" s="26" t="n">
        <f>33512129460</f>
        <v>3.351212946E10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11676</f>
        <v>11676.0</v>
      </c>
      <c r="U20" s="23"/>
      <c r="V20" s="25" t="n">
        <f>6627</f>
        <v>6627.0</v>
      </c>
      <c r="W20" s="23"/>
      <c r="X20" s="26" t="n">
        <f>18303</f>
        <v>18303.0</v>
      </c>
      <c r="Y20" s="24"/>
      <c r="Z20" s="25" t="n">
        <f>942483</f>
        <v>942483.0</v>
      </c>
      <c r="AA20" s="23"/>
      <c r="AB20" s="25" t="n">
        <f>576151</f>
        <v>576151.0</v>
      </c>
      <c r="AC20" s="23"/>
      <c r="AD20" s="26" t="n">
        <f>1518634</f>
        <v>1518634.0</v>
      </c>
    </row>
    <row r="21">
      <c r="A21" s="30" t="s">
        <v>40</v>
      </c>
      <c r="B21" s="22" t="s">
        <v>27</v>
      </c>
      <c r="C21" s="22" t="s">
        <v>28</v>
      </c>
      <c r="D21" s="24"/>
      <c r="E21" s="25" t="n">
        <f>47267</f>
        <v>47267.0</v>
      </c>
      <c r="F21" s="23"/>
      <c r="G21" s="25" t="n">
        <f>44882</f>
        <v>44882.0</v>
      </c>
      <c r="H21" s="23"/>
      <c r="I21" s="26" t="n">
        <f>92149</f>
        <v>92149.0</v>
      </c>
      <c r="J21" s="24"/>
      <c r="K21" s="25" t="n">
        <f>7588394220</f>
        <v>7.58839422E9</v>
      </c>
      <c r="L21" s="23"/>
      <c r="M21" s="25" t="n">
        <f>5295260730</f>
        <v>5.29526073E9</v>
      </c>
      <c r="N21" s="23"/>
      <c r="O21" s="26" t="n">
        <f>12883654950</f>
        <v>1.288365495E10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8332</f>
        <v>8332.0</v>
      </c>
      <c r="U21" s="23"/>
      <c r="V21" s="25" t="n">
        <f>5259</f>
        <v>5259.0</v>
      </c>
      <c r="W21" s="23"/>
      <c r="X21" s="26" t="n">
        <f>13591</f>
        <v>13591.0</v>
      </c>
      <c r="Y21" s="24"/>
      <c r="Z21" s="25" t="n">
        <f>946382</f>
        <v>946382.0</v>
      </c>
      <c r="AA21" s="23" t="s">
        <v>32</v>
      </c>
      <c r="AB21" s="25" t="n">
        <f>583019</f>
        <v>583019.0</v>
      </c>
      <c r="AC21" s="23" t="s">
        <v>32</v>
      </c>
      <c r="AD21" s="26" t="n">
        <f>1529401</f>
        <v>1529401.0</v>
      </c>
    </row>
    <row r="22">
      <c r="A22" s="30" t="s">
        <v>41</v>
      </c>
      <c r="B22" s="22" t="s">
        <v>27</v>
      </c>
      <c r="C22" s="22" t="s">
        <v>28</v>
      </c>
      <c r="D22" s="24"/>
      <c r="E22" s="25" t="n">
        <f>49108</f>
        <v>49108.0</v>
      </c>
      <c r="F22" s="23"/>
      <c r="G22" s="25" t="n">
        <f>32416</f>
        <v>32416.0</v>
      </c>
      <c r="H22" s="23"/>
      <c r="I22" s="26" t="n">
        <f>81524</f>
        <v>81524.0</v>
      </c>
      <c r="J22" s="24"/>
      <c r="K22" s="25" t="n">
        <f>15773606105</f>
        <v>1.5773606105E10</v>
      </c>
      <c r="L22" s="23"/>
      <c r="M22" s="25" t="n">
        <f>9474363380</f>
        <v>9.47436338E9</v>
      </c>
      <c r="N22" s="23"/>
      <c r="O22" s="26" t="n">
        <f>25247969485</f>
        <v>2.5247969485E10</v>
      </c>
      <c r="P22" s="27" t="n">
        <f>27470</f>
        <v>27470.0</v>
      </c>
      <c r="Q22" s="28" t="n">
        <f>5424</f>
        <v>5424.0</v>
      </c>
      <c r="R22" s="29" t="n">
        <f>32894</f>
        <v>32894.0</v>
      </c>
      <c r="S22" s="24"/>
      <c r="T22" s="25" t="n">
        <f>9440</f>
        <v>9440.0</v>
      </c>
      <c r="U22" s="23"/>
      <c r="V22" s="25" t="n">
        <f>5162</f>
        <v>5162.0</v>
      </c>
      <c r="W22" s="23"/>
      <c r="X22" s="26" t="n">
        <f>14602</f>
        <v>14602.0</v>
      </c>
      <c r="Y22" s="24" t="s">
        <v>42</v>
      </c>
      <c r="Z22" s="25" t="n">
        <f>837405</f>
        <v>837405.0</v>
      </c>
      <c r="AA22" s="23" t="s">
        <v>42</v>
      </c>
      <c r="AB22" s="25" t="n">
        <f>469596</f>
        <v>469596.0</v>
      </c>
      <c r="AC22" s="23" t="s">
        <v>42</v>
      </c>
      <c r="AD22" s="26" t="n">
        <f>1307001</f>
        <v>1307001.0</v>
      </c>
    </row>
    <row r="23">
      <c r="A23" s="30" t="s">
        <v>43</v>
      </c>
      <c r="B23" s="22" t="s">
        <v>27</v>
      </c>
      <c r="C23" s="22" t="s">
        <v>28</v>
      </c>
      <c r="D23" s="24"/>
      <c r="E23" s="25"/>
      <c r="F23" s="23"/>
      <c r="G23" s="25"/>
      <c r="H23" s="23"/>
      <c r="I23" s="26"/>
      <c r="J23" s="24"/>
      <c r="K23" s="25"/>
      <c r="L23" s="23"/>
      <c r="M23" s="25"/>
      <c r="N23" s="23"/>
      <c r="O23" s="26"/>
      <c r="P23" s="27"/>
      <c r="Q23" s="28"/>
      <c r="R23" s="29"/>
      <c r="S23" s="24"/>
      <c r="T23" s="25"/>
      <c r="U23" s="23"/>
      <c r="V23" s="25"/>
      <c r="W23" s="23"/>
      <c r="X23" s="26"/>
      <c r="Y23" s="24"/>
      <c r="Z23" s="25"/>
      <c r="AA23" s="23"/>
      <c r="AB23" s="25"/>
      <c r="AC23" s="23"/>
      <c r="AD23" s="26"/>
    </row>
    <row r="24">
      <c r="A24" s="30" t="s">
        <v>44</v>
      </c>
      <c r="B24" s="22" t="s">
        <v>27</v>
      </c>
      <c r="C24" s="22" t="s">
        <v>28</v>
      </c>
      <c r="D24" s="24"/>
      <c r="E24" s="25"/>
      <c r="F24" s="23"/>
      <c r="G24" s="25"/>
      <c r="H24" s="23"/>
      <c r="I24" s="26"/>
      <c r="J24" s="24"/>
      <c r="K24" s="25"/>
      <c r="L24" s="23"/>
      <c r="M24" s="25"/>
      <c r="N24" s="23"/>
      <c r="O24" s="26"/>
      <c r="P24" s="27"/>
      <c r="Q24" s="28"/>
      <c r="R24" s="29"/>
      <c r="S24" s="24"/>
      <c r="T24" s="25"/>
      <c r="U24" s="23"/>
      <c r="V24" s="25"/>
      <c r="W24" s="23"/>
      <c r="X24" s="26"/>
      <c r="Y24" s="24"/>
      <c r="Z24" s="25"/>
      <c r="AA24" s="23"/>
      <c r="AB24" s="25"/>
      <c r="AC24" s="23"/>
      <c r="AD24" s="26"/>
    </row>
    <row r="25">
      <c r="A25" s="30" t="s">
        <v>45</v>
      </c>
      <c r="B25" s="22" t="s">
        <v>27</v>
      </c>
      <c r="C25" s="22" t="s">
        <v>28</v>
      </c>
      <c r="D25" s="24"/>
      <c r="E25" s="25" t="n">
        <f>63011</f>
        <v>63011.0</v>
      </c>
      <c r="F25" s="23"/>
      <c r="G25" s="25" t="n">
        <f>45589</f>
        <v>45589.0</v>
      </c>
      <c r="H25" s="23"/>
      <c r="I25" s="26" t="n">
        <f>108600</f>
        <v>108600.0</v>
      </c>
      <c r="J25" s="24"/>
      <c r="K25" s="25" t="n">
        <f>19701755870</f>
        <v>1.970175587E10</v>
      </c>
      <c r="L25" s="23"/>
      <c r="M25" s="25" t="n">
        <f>11091406040</f>
        <v>1.109140604E10</v>
      </c>
      <c r="N25" s="23"/>
      <c r="O25" s="26" t="n">
        <f>30793161910</f>
        <v>3.079316191E10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10272</f>
        <v>10272.0</v>
      </c>
      <c r="U25" s="23"/>
      <c r="V25" s="25" t="n">
        <f>7107</f>
        <v>7107.0</v>
      </c>
      <c r="W25" s="23"/>
      <c r="X25" s="26" t="n">
        <f>17379</f>
        <v>17379.0</v>
      </c>
      <c r="Y25" s="24"/>
      <c r="Z25" s="25" t="n">
        <f>858483</f>
        <v>858483.0</v>
      </c>
      <c r="AA25" s="23"/>
      <c r="AB25" s="25" t="n">
        <f>482243</f>
        <v>482243.0</v>
      </c>
      <c r="AC25" s="23"/>
      <c r="AD25" s="26" t="n">
        <f>1340726</f>
        <v>1340726.0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43516</f>
        <v>43516.0</v>
      </c>
      <c r="F26" s="23"/>
      <c r="G26" s="25" t="n">
        <f>36760</f>
        <v>36760.0</v>
      </c>
      <c r="H26" s="23"/>
      <c r="I26" s="26" t="n">
        <f>80276</f>
        <v>80276.0</v>
      </c>
      <c r="J26" s="24"/>
      <c r="K26" s="25" t="n">
        <f>15843356960</f>
        <v>1.584335696E10</v>
      </c>
      <c r="L26" s="23"/>
      <c r="M26" s="25" t="n">
        <f>10129119480</f>
        <v>1.012911948E10</v>
      </c>
      <c r="N26" s="23"/>
      <c r="O26" s="26" t="n">
        <f>25972476440</f>
        <v>2.597247644E10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6854</f>
        <v>6854.0</v>
      </c>
      <c r="U26" s="23"/>
      <c r="V26" s="25" t="n">
        <f>3517</f>
        <v>3517.0</v>
      </c>
      <c r="W26" s="23"/>
      <c r="X26" s="26" t="n">
        <f>10371</f>
        <v>10371.0</v>
      </c>
      <c r="Y26" s="24"/>
      <c r="Z26" s="25" t="n">
        <f>864675</f>
        <v>864675.0</v>
      </c>
      <c r="AA26" s="23"/>
      <c r="AB26" s="25" t="n">
        <f>489603</f>
        <v>489603.0</v>
      </c>
      <c r="AC26" s="23"/>
      <c r="AD26" s="26" t="n">
        <f>1354278</f>
        <v>1354278.0</v>
      </c>
    </row>
    <row r="27">
      <c r="A27" s="30" t="s">
        <v>47</v>
      </c>
      <c r="B27" s="22" t="s">
        <v>27</v>
      </c>
      <c r="C27" s="22" t="s">
        <v>28</v>
      </c>
      <c r="D27" s="24" t="s">
        <v>32</v>
      </c>
      <c r="E27" s="25" t="n">
        <f>83036</f>
        <v>83036.0</v>
      </c>
      <c r="F27" s="23" t="s">
        <v>32</v>
      </c>
      <c r="G27" s="25" t="n">
        <f>68884</f>
        <v>68884.0</v>
      </c>
      <c r="H27" s="23" t="s">
        <v>32</v>
      </c>
      <c r="I27" s="26" t="n">
        <f>151920</f>
        <v>151920.0</v>
      </c>
      <c r="J27" s="24"/>
      <c r="K27" s="25" t="n">
        <f>17526564150</f>
        <v>1.752656415E10</v>
      </c>
      <c r="L27" s="23" t="s">
        <v>32</v>
      </c>
      <c r="M27" s="25" t="n">
        <f>16946031640</f>
        <v>1.694603164E10</v>
      </c>
      <c r="N27" s="23"/>
      <c r="O27" s="26" t="n">
        <f>34472595790</f>
        <v>3.447259579E10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14860</f>
        <v>14860.0</v>
      </c>
      <c r="U27" s="23"/>
      <c r="V27" s="25" t="n">
        <f>11002</f>
        <v>11002.0</v>
      </c>
      <c r="W27" s="23"/>
      <c r="X27" s="26" t="n">
        <f>25862</f>
        <v>25862.0</v>
      </c>
      <c r="Y27" s="24"/>
      <c r="Z27" s="25" t="n">
        <f>878138</f>
        <v>878138.0</v>
      </c>
      <c r="AA27" s="23"/>
      <c r="AB27" s="25" t="n">
        <f>501968</f>
        <v>501968.0</v>
      </c>
      <c r="AC27" s="23"/>
      <c r="AD27" s="26" t="n">
        <f>1380106</f>
        <v>1380106.0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51287</f>
        <v>51287.0</v>
      </c>
      <c r="F28" s="23"/>
      <c r="G28" s="25" t="n">
        <f>41238</f>
        <v>41238.0</v>
      </c>
      <c r="H28" s="23"/>
      <c r="I28" s="26" t="n">
        <f>92525</f>
        <v>92525.0</v>
      </c>
      <c r="J28" s="24"/>
      <c r="K28" s="25" t="n">
        <f>12159358595</f>
        <v>1.2159358595E10</v>
      </c>
      <c r="L28" s="23"/>
      <c r="M28" s="25" t="n">
        <f>10560140710</f>
        <v>1.056014071E10</v>
      </c>
      <c r="N28" s="23"/>
      <c r="O28" s="26" t="n">
        <f>22719499305</f>
        <v>2.2719499305E10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7063</f>
        <v>7063.0</v>
      </c>
      <c r="U28" s="23"/>
      <c r="V28" s="25" t="n">
        <f>5568</f>
        <v>5568.0</v>
      </c>
      <c r="W28" s="23"/>
      <c r="X28" s="26" t="n">
        <f>12631</f>
        <v>12631.0</v>
      </c>
      <c r="Y28" s="24"/>
      <c r="Z28" s="25" t="n">
        <f>890201</f>
        <v>890201.0</v>
      </c>
      <c r="AA28" s="23"/>
      <c r="AB28" s="25" t="n">
        <f>513593</f>
        <v>513593.0</v>
      </c>
      <c r="AC28" s="23"/>
      <c r="AD28" s="26" t="n">
        <f>1403794</f>
        <v>1403794.0</v>
      </c>
    </row>
    <row r="29">
      <c r="A29" s="30" t="s">
        <v>49</v>
      </c>
      <c r="B29" s="22" t="s">
        <v>27</v>
      </c>
      <c r="C29" s="22" t="s">
        <v>28</v>
      </c>
      <c r="D29" s="24" t="s">
        <v>42</v>
      </c>
      <c r="E29" s="25" t="n">
        <f>42817</f>
        <v>42817.0</v>
      </c>
      <c r="F29" s="23"/>
      <c r="G29" s="25" t="n">
        <f>33051</f>
        <v>33051.0</v>
      </c>
      <c r="H29" s="23"/>
      <c r="I29" s="26" t="n">
        <f>75868</f>
        <v>75868.0</v>
      </c>
      <c r="J29" s="24"/>
      <c r="K29" s="25" t="n">
        <f>14093914620</f>
        <v>1.409391462E10</v>
      </c>
      <c r="L29" s="23"/>
      <c r="M29" s="25" t="n">
        <f>7854878994</f>
        <v>7.854878994E9</v>
      </c>
      <c r="N29" s="23"/>
      <c r="O29" s="26" t="n">
        <f>21948793614</f>
        <v>2.1948793614E10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 t="s">
        <v>42</v>
      </c>
      <c r="T29" s="25" t="n">
        <f>4174</f>
        <v>4174.0</v>
      </c>
      <c r="U29" s="23"/>
      <c r="V29" s="25" t="n">
        <f>4126</f>
        <v>4126.0</v>
      </c>
      <c r="W29" s="23" t="s">
        <v>42</v>
      </c>
      <c r="X29" s="26" t="n">
        <f>8300</f>
        <v>8300.0</v>
      </c>
      <c r="Y29" s="24"/>
      <c r="Z29" s="25" t="n">
        <f>892375</f>
        <v>892375.0</v>
      </c>
      <c r="AA29" s="23"/>
      <c r="AB29" s="25" t="n">
        <f>519134</f>
        <v>519134.0</v>
      </c>
      <c r="AC29" s="23"/>
      <c r="AD29" s="26" t="n">
        <f>1411509</f>
        <v>1411509.0</v>
      </c>
    </row>
    <row r="30">
      <c r="A30" s="30" t="s">
        <v>50</v>
      </c>
      <c r="B30" s="22" t="s">
        <v>27</v>
      </c>
      <c r="C30" s="22" t="s">
        <v>28</v>
      </c>
      <c r="D30" s="24"/>
      <c r="E30" s="25"/>
      <c r="F30" s="23"/>
      <c r="G30" s="25"/>
      <c r="H30" s="23"/>
      <c r="I30" s="26"/>
      <c r="J30" s="24"/>
      <c r="K30" s="25"/>
      <c r="L30" s="23"/>
      <c r="M30" s="25"/>
      <c r="N30" s="23"/>
      <c r="O30" s="26"/>
      <c r="P30" s="27"/>
      <c r="Q30" s="28"/>
      <c r="R30" s="29"/>
      <c r="S30" s="24"/>
      <c r="T30" s="25"/>
      <c r="U30" s="23"/>
      <c r="V30" s="25"/>
      <c r="W30" s="23"/>
      <c r="X30" s="26"/>
      <c r="Y30" s="24"/>
      <c r="Z30" s="25"/>
      <c r="AA30" s="23"/>
      <c r="AB30" s="25"/>
      <c r="AC30" s="23"/>
      <c r="AD30" s="26"/>
    </row>
    <row r="31">
      <c r="A31" s="30" t="s">
        <v>51</v>
      </c>
      <c r="B31" s="22" t="s">
        <v>27</v>
      </c>
      <c r="C31" s="22" t="s">
        <v>28</v>
      </c>
      <c r="D31" s="24"/>
      <c r="E31" s="25"/>
      <c r="F31" s="23"/>
      <c r="G31" s="25"/>
      <c r="H31" s="23"/>
      <c r="I31" s="26"/>
      <c r="J31" s="24"/>
      <c r="K31" s="25"/>
      <c r="L31" s="23"/>
      <c r="M31" s="25"/>
      <c r="N31" s="23"/>
      <c r="O31" s="26"/>
      <c r="P31" s="27"/>
      <c r="Q31" s="28"/>
      <c r="R31" s="29"/>
      <c r="S31" s="24"/>
      <c r="T31" s="25"/>
      <c r="U31" s="23"/>
      <c r="V31" s="25"/>
      <c r="W31" s="23"/>
      <c r="X31" s="26"/>
      <c r="Y31" s="24"/>
      <c r="Z31" s="25"/>
      <c r="AA31" s="23"/>
      <c r="AB31" s="25"/>
      <c r="AC31" s="23"/>
      <c r="AD31" s="26"/>
    </row>
    <row r="32">
      <c r="A32" s="30" t="s">
        <v>52</v>
      </c>
      <c r="B32" s="22" t="s">
        <v>27</v>
      </c>
      <c r="C32" s="22" t="s">
        <v>28</v>
      </c>
      <c r="D32" s="24"/>
      <c r="E32" s="25" t="n">
        <f>51801</f>
        <v>51801.0</v>
      </c>
      <c r="F32" s="23"/>
      <c r="G32" s="25" t="n">
        <f>34297</f>
        <v>34297.0</v>
      </c>
      <c r="H32" s="23"/>
      <c r="I32" s="26" t="n">
        <f>86098</f>
        <v>86098.0</v>
      </c>
      <c r="J32" s="24"/>
      <c r="K32" s="25" t="n">
        <f>12418342423</f>
        <v>1.2418342423E10</v>
      </c>
      <c r="L32" s="23"/>
      <c r="M32" s="25" t="n">
        <f>6149862720</f>
        <v>6.14986272E9</v>
      </c>
      <c r="N32" s="23"/>
      <c r="O32" s="26" t="n">
        <f>18568205143</f>
        <v>1.8568205143E10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4"/>
      <c r="T32" s="25" t="n">
        <f>9779</f>
        <v>9779.0</v>
      </c>
      <c r="U32" s="23"/>
      <c r="V32" s="25" t="n">
        <f>4810</f>
        <v>4810.0</v>
      </c>
      <c r="W32" s="23"/>
      <c r="X32" s="26" t="n">
        <f>14589</f>
        <v>14589.0</v>
      </c>
      <c r="Y32" s="24"/>
      <c r="Z32" s="25" t="n">
        <f>897480</f>
        <v>897480.0</v>
      </c>
      <c r="AA32" s="23"/>
      <c r="AB32" s="25" t="n">
        <f>521687</f>
        <v>521687.0</v>
      </c>
      <c r="AC32" s="23"/>
      <c r="AD32" s="26" t="n">
        <f>1419167</f>
        <v>1419167.0</v>
      </c>
    </row>
    <row r="33">
      <c r="A33" s="30" t="s">
        <v>53</v>
      </c>
      <c r="B33" s="22" t="s">
        <v>27</v>
      </c>
      <c r="C33" s="22" t="s">
        <v>28</v>
      </c>
      <c r="D33" s="24"/>
      <c r="E33" s="25" t="n">
        <f>71838</f>
        <v>71838.0</v>
      </c>
      <c r="F33" s="23"/>
      <c r="G33" s="25" t="n">
        <f>57362</f>
        <v>57362.0</v>
      </c>
      <c r="H33" s="23"/>
      <c r="I33" s="26" t="n">
        <f>129200</f>
        <v>129200.0</v>
      </c>
      <c r="J33" s="24"/>
      <c r="K33" s="25" t="n">
        <f>16061529530</f>
        <v>1.606152953E10</v>
      </c>
      <c r="L33" s="23"/>
      <c r="M33" s="25" t="n">
        <f>12979555450</f>
        <v>1.297955545E10</v>
      </c>
      <c r="N33" s="23"/>
      <c r="O33" s="26" t="n">
        <f>29041084980</f>
        <v>2.904108498E10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14223</f>
        <v>14223.0</v>
      </c>
      <c r="U33" s="23"/>
      <c r="V33" s="25" t="n">
        <f>10184</f>
        <v>10184.0</v>
      </c>
      <c r="W33" s="23"/>
      <c r="X33" s="26" t="n">
        <f>24407</f>
        <v>24407.0</v>
      </c>
      <c r="Y33" s="24"/>
      <c r="Z33" s="25" t="n">
        <f>910251</f>
        <v>910251.0</v>
      </c>
      <c r="AA33" s="23"/>
      <c r="AB33" s="25" t="n">
        <f>529652</f>
        <v>529652.0</v>
      </c>
      <c r="AC33" s="23"/>
      <c r="AD33" s="26" t="n">
        <f>1439903</f>
        <v>1439903.0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54080</f>
        <v>54080.0</v>
      </c>
      <c r="F34" s="23"/>
      <c r="G34" s="25" t="n">
        <f>38329</f>
        <v>38329.0</v>
      </c>
      <c r="H34" s="23"/>
      <c r="I34" s="26" t="n">
        <f>92409</f>
        <v>92409.0</v>
      </c>
      <c r="J34" s="24"/>
      <c r="K34" s="25" t="n">
        <f>7508358110</f>
        <v>7.50835811E9</v>
      </c>
      <c r="L34" s="23"/>
      <c r="M34" s="25" t="n">
        <f>8092819080</f>
        <v>8.09281908E9</v>
      </c>
      <c r="N34" s="23"/>
      <c r="O34" s="26" t="n">
        <f>15601177190</f>
        <v>1.560117719E10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5087</f>
        <v>5087.0</v>
      </c>
      <c r="U34" s="23"/>
      <c r="V34" s="25" t="n">
        <f>6895</f>
        <v>6895.0</v>
      </c>
      <c r="W34" s="23"/>
      <c r="X34" s="26" t="n">
        <f>11982</f>
        <v>11982.0</v>
      </c>
      <c r="Y34" s="24"/>
      <c r="Z34" s="25" t="n">
        <f>917160</f>
        <v>917160.0</v>
      </c>
      <c r="AA34" s="23"/>
      <c r="AB34" s="25" t="n">
        <f>533531</f>
        <v>533531.0</v>
      </c>
      <c r="AC34" s="23"/>
      <c r="AD34" s="26" t="n">
        <f>1450691</f>
        <v>1450691.0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45980</f>
        <v>45980.0</v>
      </c>
      <c r="F35" s="23"/>
      <c r="G35" s="25" t="n">
        <f>37792</f>
        <v>37792.0</v>
      </c>
      <c r="H35" s="23"/>
      <c r="I35" s="26" t="n">
        <f>83772</f>
        <v>83772.0</v>
      </c>
      <c r="J35" s="24"/>
      <c r="K35" s="25" t="n">
        <f>10188825995</f>
        <v>1.0188825995E10</v>
      </c>
      <c r="L35" s="23"/>
      <c r="M35" s="25" t="n">
        <f>9243632686</f>
        <v>9.243632686E9</v>
      </c>
      <c r="N35" s="23"/>
      <c r="O35" s="26" t="n">
        <f>19432458681</f>
        <v>1.9432458681E10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4720</f>
        <v>4720.0</v>
      </c>
      <c r="U35" s="23"/>
      <c r="V35" s="25" t="n">
        <f>5489</f>
        <v>5489.0</v>
      </c>
      <c r="W35" s="23"/>
      <c r="X35" s="26" t="n">
        <f>10209</f>
        <v>10209.0</v>
      </c>
      <c r="Y35" s="24"/>
      <c r="Z35" s="25" t="n">
        <f>920371</f>
        <v>920371.0</v>
      </c>
      <c r="AA35" s="23"/>
      <c r="AB35" s="25" t="n">
        <f>537725</f>
        <v>537725.0</v>
      </c>
      <c r="AC35" s="23"/>
      <c r="AD35" s="26" t="n">
        <f>1458096</f>
        <v>1458096.0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50141</f>
        <v>50141.0</v>
      </c>
      <c r="F36" s="23"/>
      <c r="G36" s="25" t="n">
        <f>38097</f>
        <v>38097.0</v>
      </c>
      <c r="H36" s="23"/>
      <c r="I36" s="26" t="n">
        <f>88238</f>
        <v>88238.0</v>
      </c>
      <c r="J36" s="24"/>
      <c r="K36" s="25" t="n">
        <f>12680780665</f>
        <v>1.2680780665E10</v>
      </c>
      <c r="L36" s="23"/>
      <c r="M36" s="25" t="n">
        <f>8462312620</f>
        <v>8.46231262E9</v>
      </c>
      <c r="N36" s="23"/>
      <c r="O36" s="26" t="n">
        <f>21143093285</f>
        <v>2.1143093285E10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7828</f>
        <v>7828.0</v>
      </c>
      <c r="U36" s="23"/>
      <c r="V36" s="25" t="n">
        <f>6481</f>
        <v>6481.0</v>
      </c>
      <c r="W36" s="23"/>
      <c r="X36" s="26" t="n">
        <f>14309</f>
        <v>14309.0</v>
      </c>
      <c r="Y36" s="24"/>
      <c r="Z36" s="25" t="n">
        <f>930508</f>
        <v>930508.0</v>
      </c>
      <c r="AA36" s="23"/>
      <c r="AB36" s="25" t="n">
        <f>544577</f>
        <v>544577.0</v>
      </c>
      <c r="AC36" s="23"/>
      <c r="AD36" s="26" t="n">
        <f>1475085</f>
        <v>1475085.0</v>
      </c>
    </row>
    <row r="37">
      <c r="A37" s="30" t="s">
        <v>57</v>
      </c>
      <c r="B37" s="22" t="s">
        <v>27</v>
      </c>
      <c r="C37" s="22" t="s">
        <v>28</v>
      </c>
      <c r="D37" s="24"/>
      <c r="E37" s="25"/>
      <c r="F37" s="23"/>
      <c r="G37" s="25"/>
      <c r="H37" s="23"/>
      <c r="I37" s="26"/>
      <c r="J37" s="24"/>
      <c r="K37" s="25"/>
      <c r="L37" s="23"/>
      <c r="M37" s="25"/>
      <c r="N37" s="23"/>
      <c r="O37" s="26"/>
      <c r="P37" s="27"/>
      <c r="Q37" s="28"/>
      <c r="R37" s="29"/>
      <c r="S37" s="24"/>
      <c r="T37" s="25"/>
      <c r="U37" s="23"/>
      <c r="V37" s="25"/>
      <c r="W37" s="23"/>
      <c r="X37" s="26"/>
      <c r="Y37" s="24"/>
      <c r="Z37" s="25"/>
      <c r="AA37" s="23"/>
      <c r="AB37" s="25"/>
      <c r="AC37" s="23"/>
      <c r="AD37" s="26"/>
    </row>
    <row r="38">
      <c r="A38" s="30" t="s">
        <v>58</v>
      </c>
      <c r="B38" s="22" t="s">
        <v>27</v>
      </c>
      <c r="C38" s="22" t="s">
        <v>28</v>
      </c>
      <c r="D38" s="24"/>
      <c r="E38" s="25"/>
      <c r="F38" s="23"/>
      <c r="G38" s="25"/>
      <c r="H38" s="23"/>
      <c r="I38" s="26"/>
      <c r="J38" s="24"/>
      <c r="K38" s="25"/>
      <c r="L38" s="23"/>
      <c r="M38" s="25"/>
      <c r="N38" s="23"/>
      <c r="O38" s="26"/>
      <c r="P38" s="27"/>
      <c r="Q38" s="28"/>
      <c r="R38" s="29"/>
      <c r="S38" s="24"/>
      <c r="T38" s="25"/>
      <c r="U38" s="23"/>
      <c r="V38" s="25"/>
      <c r="W38" s="23"/>
      <c r="X38" s="26"/>
      <c r="Y38" s="24"/>
      <c r="Z38" s="25"/>
      <c r="AA38" s="23"/>
      <c r="AB38" s="25"/>
      <c r="AC38" s="23"/>
      <c r="AD38" s="26"/>
    </row>
    <row r="39">
      <c r="A39" s="30" t="s">
        <v>59</v>
      </c>
      <c r="B39" s="22" t="s">
        <v>27</v>
      </c>
      <c r="C39" s="22" t="s">
        <v>28</v>
      </c>
      <c r="D39" s="24"/>
      <c r="E39" s="25" t="n">
        <f>49756</f>
        <v>49756.0</v>
      </c>
      <c r="F39" s="23" t="s">
        <v>42</v>
      </c>
      <c r="G39" s="25" t="n">
        <f>25639</f>
        <v>25639.0</v>
      </c>
      <c r="H39" s="23" t="s">
        <v>42</v>
      </c>
      <c r="I39" s="26" t="n">
        <f>75395</f>
        <v>75395.0</v>
      </c>
      <c r="J39" s="24" t="s">
        <v>42</v>
      </c>
      <c r="K39" s="25" t="n">
        <f>6055322699</f>
        <v>6.055322699E9</v>
      </c>
      <c r="L39" s="23" t="s">
        <v>42</v>
      </c>
      <c r="M39" s="25" t="n">
        <f>2777419660</f>
        <v>2.77741966E9</v>
      </c>
      <c r="N39" s="23" t="s">
        <v>42</v>
      </c>
      <c r="O39" s="26" t="n">
        <f>8832742359</f>
        <v>8.832742359E9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8311</f>
        <v>8311.0</v>
      </c>
      <c r="U39" s="23" t="s">
        <v>42</v>
      </c>
      <c r="V39" s="25" t="n">
        <f>3156</f>
        <v>3156.0</v>
      </c>
      <c r="W39" s="23"/>
      <c r="X39" s="26" t="n">
        <f>11467</f>
        <v>11467.0</v>
      </c>
      <c r="Y39" s="24"/>
      <c r="Z39" s="25" t="n">
        <f>933821</f>
        <v>933821.0</v>
      </c>
      <c r="AA39" s="23"/>
      <c r="AB39" s="25" t="n">
        <f>546539</f>
        <v>546539.0</v>
      </c>
      <c r="AC39" s="23"/>
      <c r="AD39" s="26" t="n">
        <f>1480360</f>
        <v>1480360.0</v>
      </c>
    </row>
    <row r="40">
      <c r="A40" s="30" t="s">
        <v>60</v>
      </c>
      <c r="B40" s="22" t="s">
        <v>27</v>
      </c>
      <c r="C40" s="22" t="s">
        <v>28</v>
      </c>
      <c r="D40" s="24"/>
      <c r="E40" s="25" t="n">
        <f>48888</f>
        <v>48888.0</v>
      </c>
      <c r="F40" s="23"/>
      <c r="G40" s="25" t="n">
        <f>28820</f>
        <v>28820.0</v>
      </c>
      <c r="H40" s="23"/>
      <c r="I40" s="26" t="n">
        <f>77708</f>
        <v>77708.0</v>
      </c>
      <c r="J40" s="24"/>
      <c r="K40" s="25" t="n">
        <f>9976773740</f>
        <v>9.97677374E9</v>
      </c>
      <c r="L40" s="23"/>
      <c r="M40" s="25" t="n">
        <f>6146148060</f>
        <v>6.14614806E9</v>
      </c>
      <c r="N40" s="23"/>
      <c r="O40" s="26" t="n">
        <f>16122921800</f>
        <v>1.61229218E10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7129</f>
        <v>7129.0</v>
      </c>
      <c r="U40" s="23"/>
      <c r="V40" s="25" t="n">
        <f>5303</f>
        <v>5303.0</v>
      </c>
      <c r="W40" s="23"/>
      <c r="X40" s="26" t="n">
        <f>12432</f>
        <v>12432.0</v>
      </c>
      <c r="Y40" s="24" t="s">
        <v>32</v>
      </c>
      <c r="Z40" s="25" t="n">
        <f>949562</f>
        <v>949562.0</v>
      </c>
      <c r="AA40" s="23"/>
      <c r="AB40" s="25" t="n">
        <f>553034</f>
        <v>553034.0</v>
      </c>
      <c r="AC40" s="23"/>
      <c r="AD40" s="26" t="n">
        <f>1502596</f>
        <v>1502596.0</v>
      </c>
    </row>
    <row r="41">
      <c r="A41" s="30" t="s">
        <v>26</v>
      </c>
      <c r="B41" s="22" t="s">
        <v>61</v>
      </c>
      <c r="C41" s="22" t="s">
        <v>62</v>
      </c>
      <c r="D41" s="24"/>
      <c r="E41" s="25"/>
      <c r="F41" s="23"/>
      <c r="G41" s="25"/>
      <c r="H41" s="23"/>
      <c r="I41" s="26"/>
      <c r="J41" s="24"/>
      <c r="K41" s="25"/>
      <c r="L41" s="23"/>
      <c r="M41" s="25"/>
      <c r="N41" s="23"/>
      <c r="O41" s="26"/>
      <c r="P41" s="27"/>
      <c r="Q41" s="28"/>
      <c r="R41" s="29"/>
      <c r="S41" s="24"/>
      <c r="T41" s="25"/>
      <c r="U41" s="23"/>
      <c r="V41" s="25"/>
      <c r="W41" s="23"/>
      <c r="X41" s="26"/>
      <c r="Y41" s="24"/>
      <c r="Z41" s="25"/>
      <c r="AA41" s="23"/>
      <c r="AB41" s="25"/>
      <c r="AC41" s="23"/>
      <c r="AD41" s="26"/>
    </row>
    <row r="42">
      <c r="A42" s="30" t="s">
        <v>29</v>
      </c>
      <c r="B42" s="22" t="s">
        <v>61</v>
      </c>
      <c r="C42" s="22" t="s">
        <v>62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30</v>
      </c>
      <c r="B43" s="22" t="s">
        <v>61</v>
      </c>
      <c r="C43" s="22" t="s">
        <v>62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31</v>
      </c>
      <c r="B44" s="22" t="s">
        <v>61</v>
      </c>
      <c r="C44" s="22" t="s">
        <v>62</v>
      </c>
      <c r="D44" s="24"/>
      <c r="E44" s="25" t="n">
        <f>2587</f>
        <v>2587.0</v>
      </c>
      <c r="F44" s="23"/>
      <c r="G44" s="25" t="n">
        <f>3789</f>
        <v>3789.0</v>
      </c>
      <c r="H44" s="23"/>
      <c r="I44" s="26" t="n">
        <f>6376</f>
        <v>6376.0</v>
      </c>
      <c r="J44" s="24"/>
      <c r="K44" s="25" t="n">
        <f>112606540</f>
        <v>1.1260654E8</v>
      </c>
      <c r="L44" s="23"/>
      <c r="M44" s="25" t="n">
        <f>96806900</f>
        <v>9.68069E7</v>
      </c>
      <c r="N44" s="23"/>
      <c r="O44" s="26" t="n">
        <f>209413440</f>
        <v>2.0941344E8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412</f>
        <v>412.0</v>
      </c>
      <c r="U44" s="23"/>
      <c r="V44" s="25" t="n">
        <f>664</f>
        <v>664.0</v>
      </c>
      <c r="W44" s="23"/>
      <c r="X44" s="26" t="n">
        <f>1076</f>
        <v>1076.0</v>
      </c>
      <c r="Y44" s="24"/>
      <c r="Z44" s="25" t="n">
        <f>3149</f>
        <v>3149.0</v>
      </c>
      <c r="AA44" s="23"/>
      <c r="AB44" s="25" t="n">
        <f>3099</f>
        <v>3099.0</v>
      </c>
      <c r="AC44" s="23"/>
      <c r="AD44" s="26" t="n">
        <f>6248</f>
        <v>6248.0</v>
      </c>
    </row>
    <row r="45">
      <c r="A45" s="30" t="s">
        <v>33</v>
      </c>
      <c r="B45" s="22" t="s">
        <v>61</v>
      </c>
      <c r="C45" s="22" t="s">
        <v>62</v>
      </c>
      <c r="D45" s="24"/>
      <c r="E45" s="25" t="n">
        <f>2527</f>
        <v>2527.0</v>
      </c>
      <c r="F45" s="23"/>
      <c r="G45" s="25" t="n">
        <f>2066</f>
        <v>2066.0</v>
      </c>
      <c r="H45" s="23"/>
      <c r="I45" s="26" t="n">
        <f>4593</f>
        <v>4593.0</v>
      </c>
      <c r="J45" s="24"/>
      <c r="K45" s="25" t="n">
        <f>52157200</f>
        <v>5.21572E7</v>
      </c>
      <c r="L45" s="23"/>
      <c r="M45" s="25" t="n">
        <f>53558230</f>
        <v>5.355823E7</v>
      </c>
      <c r="N45" s="23"/>
      <c r="O45" s="26" t="n">
        <f>105715430</f>
        <v>1.0571543E8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404</f>
        <v>404.0</v>
      </c>
      <c r="U45" s="23"/>
      <c r="V45" s="25" t="n">
        <f>211</f>
        <v>211.0</v>
      </c>
      <c r="W45" s="23"/>
      <c r="X45" s="26" t="n">
        <f>615</f>
        <v>615.0</v>
      </c>
      <c r="Y45" s="24"/>
      <c r="Z45" s="25" t="n">
        <f>3650</f>
        <v>3650.0</v>
      </c>
      <c r="AA45" s="23"/>
      <c r="AB45" s="25" t="n">
        <f>3633</f>
        <v>3633.0</v>
      </c>
      <c r="AC45" s="23"/>
      <c r="AD45" s="26" t="n">
        <f>7283</f>
        <v>7283.0</v>
      </c>
    </row>
    <row r="46">
      <c r="A46" s="30" t="s">
        <v>34</v>
      </c>
      <c r="B46" s="22" t="s">
        <v>61</v>
      </c>
      <c r="C46" s="22" t="s">
        <v>62</v>
      </c>
      <c r="D46" s="24" t="s">
        <v>42</v>
      </c>
      <c r="E46" s="25" t="n">
        <f>103</f>
        <v>103.0</v>
      </c>
      <c r="F46" s="23" t="s">
        <v>42</v>
      </c>
      <c r="G46" s="25" t="n">
        <f>399</f>
        <v>399.0</v>
      </c>
      <c r="H46" s="23" t="s">
        <v>42</v>
      </c>
      <c r="I46" s="26" t="n">
        <f>502</f>
        <v>502.0</v>
      </c>
      <c r="J46" s="24" t="s">
        <v>42</v>
      </c>
      <c r="K46" s="25" t="n">
        <f>7874000</f>
        <v>7874000.0</v>
      </c>
      <c r="L46" s="23"/>
      <c r="M46" s="25" t="n">
        <f>81017570</f>
        <v>8.101757E7</v>
      </c>
      <c r="N46" s="23"/>
      <c r="O46" s="26" t="n">
        <f>88891570</f>
        <v>8.889157E7</v>
      </c>
      <c r="P46" s="27" t="n">
        <f>284</f>
        <v>284.0</v>
      </c>
      <c r="Q46" s="28" t="n">
        <f>4</f>
        <v>4.0</v>
      </c>
      <c r="R46" s="29" t="n">
        <f>288</f>
        <v>288.0</v>
      </c>
      <c r="S46" s="24" t="s">
        <v>42</v>
      </c>
      <c r="T46" s="25" t="n">
        <f>5</f>
        <v>5.0</v>
      </c>
      <c r="U46" s="23"/>
      <c r="V46" s="25" t="n">
        <f>314</f>
        <v>314.0</v>
      </c>
      <c r="W46" s="23"/>
      <c r="X46" s="26" t="n">
        <f>319</f>
        <v>319.0</v>
      </c>
      <c r="Y46" s="24" t="s">
        <v>42</v>
      </c>
      <c r="Z46" s="25" t="n">
        <f>196</f>
        <v>196.0</v>
      </c>
      <c r="AA46" s="23" t="s">
        <v>42</v>
      </c>
      <c r="AB46" s="25" t="n">
        <f>1372</f>
        <v>1372.0</v>
      </c>
      <c r="AC46" s="23" t="s">
        <v>42</v>
      </c>
      <c r="AD46" s="26" t="n">
        <f>1568</f>
        <v>1568.0</v>
      </c>
    </row>
    <row r="47">
      <c r="A47" s="30" t="s">
        <v>35</v>
      </c>
      <c r="B47" s="22" t="s">
        <v>61</v>
      </c>
      <c r="C47" s="22" t="s">
        <v>62</v>
      </c>
      <c r="D47" s="24"/>
      <c r="E47" s="25"/>
      <c r="F47" s="23"/>
      <c r="G47" s="25"/>
      <c r="H47" s="23"/>
      <c r="I47" s="26"/>
      <c r="J47" s="24"/>
      <c r="K47" s="25"/>
      <c r="L47" s="23"/>
      <c r="M47" s="25"/>
      <c r="N47" s="23"/>
      <c r="O47" s="26"/>
      <c r="P47" s="27"/>
      <c r="Q47" s="28"/>
      <c r="R47" s="29"/>
      <c r="S47" s="24"/>
      <c r="T47" s="25"/>
      <c r="U47" s="23"/>
      <c r="V47" s="25"/>
      <c r="W47" s="23"/>
      <c r="X47" s="26"/>
      <c r="Y47" s="24"/>
      <c r="Z47" s="25"/>
      <c r="AA47" s="23"/>
      <c r="AB47" s="25"/>
      <c r="AC47" s="23"/>
      <c r="AD47" s="26"/>
    </row>
    <row r="48">
      <c r="A48" s="30" t="s">
        <v>36</v>
      </c>
      <c r="B48" s="22" t="s">
        <v>61</v>
      </c>
      <c r="C48" s="22" t="s">
        <v>62</v>
      </c>
      <c r="D48" s="24"/>
      <c r="E48" s="25"/>
      <c r="F48" s="23"/>
      <c r="G48" s="25"/>
      <c r="H48" s="23"/>
      <c r="I48" s="26"/>
      <c r="J48" s="24"/>
      <c r="K48" s="25"/>
      <c r="L48" s="23"/>
      <c r="M48" s="25"/>
      <c r="N48" s="23"/>
      <c r="O48" s="26"/>
      <c r="P48" s="27"/>
      <c r="Q48" s="28"/>
      <c r="R48" s="29"/>
      <c r="S48" s="24"/>
      <c r="T48" s="25"/>
      <c r="U48" s="23"/>
      <c r="V48" s="25"/>
      <c r="W48" s="23"/>
      <c r="X48" s="26"/>
      <c r="Y48" s="24"/>
      <c r="Z48" s="25"/>
      <c r="AA48" s="23"/>
      <c r="AB48" s="25"/>
      <c r="AC48" s="23"/>
      <c r="AD48" s="26"/>
    </row>
    <row r="49">
      <c r="A49" s="30" t="s">
        <v>37</v>
      </c>
      <c r="B49" s="22" t="s">
        <v>61</v>
      </c>
      <c r="C49" s="22" t="s">
        <v>62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38</v>
      </c>
      <c r="B50" s="22" t="s">
        <v>61</v>
      </c>
      <c r="C50" s="22" t="s">
        <v>62</v>
      </c>
      <c r="D50" s="24"/>
      <c r="E50" s="25" t="n">
        <f>241</f>
        <v>241.0</v>
      </c>
      <c r="F50" s="23"/>
      <c r="G50" s="25" t="n">
        <f>640</f>
        <v>640.0</v>
      </c>
      <c r="H50" s="23"/>
      <c r="I50" s="26" t="n">
        <f>881</f>
        <v>881.0</v>
      </c>
      <c r="J50" s="24"/>
      <c r="K50" s="25" t="n">
        <f>17906000</f>
        <v>1.7906E7</v>
      </c>
      <c r="L50" s="23" t="s">
        <v>42</v>
      </c>
      <c r="M50" s="25" t="n">
        <f>28583000</f>
        <v>2.8583E7</v>
      </c>
      <c r="N50" s="23" t="s">
        <v>42</v>
      </c>
      <c r="O50" s="26" t="n">
        <f>46489000</f>
        <v>4.6489E7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/>
      <c r="T50" s="25" t="n">
        <f>10</f>
        <v>10.0</v>
      </c>
      <c r="U50" s="23" t="s">
        <v>42</v>
      </c>
      <c r="V50" s="25" t="n">
        <f>12</f>
        <v>12.0</v>
      </c>
      <c r="W50" s="23" t="s">
        <v>42</v>
      </c>
      <c r="X50" s="26" t="n">
        <f>22</f>
        <v>22.0</v>
      </c>
      <c r="Y50" s="24"/>
      <c r="Z50" s="25" t="n">
        <f>351</f>
        <v>351.0</v>
      </c>
      <c r="AA50" s="23"/>
      <c r="AB50" s="25" t="n">
        <f>1909</f>
        <v>1909.0</v>
      </c>
      <c r="AC50" s="23"/>
      <c r="AD50" s="26" t="n">
        <f>2260</f>
        <v>2260.0</v>
      </c>
    </row>
    <row r="51">
      <c r="A51" s="30" t="s">
        <v>39</v>
      </c>
      <c r="B51" s="22" t="s">
        <v>61</v>
      </c>
      <c r="C51" s="22" t="s">
        <v>62</v>
      </c>
      <c r="D51" s="24"/>
      <c r="E51" s="25" t="n">
        <f>930</f>
        <v>930.0</v>
      </c>
      <c r="F51" s="23"/>
      <c r="G51" s="25" t="n">
        <f>491</f>
        <v>491.0</v>
      </c>
      <c r="H51" s="23"/>
      <c r="I51" s="26" t="n">
        <f>1421</f>
        <v>1421.0</v>
      </c>
      <c r="J51" s="24"/>
      <c r="K51" s="25" t="n">
        <f>30208050</f>
        <v>3.020805E7</v>
      </c>
      <c r="L51" s="23"/>
      <c r="M51" s="25" t="n">
        <f>40622330</f>
        <v>4.062233E7</v>
      </c>
      <c r="N51" s="23"/>
      <c r="O51" s="26" t="n">
        <f>70830380</f>
        <v>7.083038E7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635</f>
        <v>635.0</v>
      </c>
      <c r="U51" s="23"/>
      <c r="V51" s="25" t="n">
        <f>13</f>
        <v>13.0</v>
      </c>
      <c r="W51" s="23"/>
      <c r="X51" s="26" t="n">
        <f>648</f>
        <v>648.0</v>
      </c>
      <c r="Y51" s="24"/>
      <c r="Z51" s="25" t="n">
        <f>1151</f>
        <v>1151.0</v>
      </c>
      <c r="AA51" s="23"/>
      <c r="AB51" s="25" t="n">
        <f>2268</f>
        <v>2268.0</v>
      </c>
      <c r="AC51" s="23"/>
      <c r="AD51" s="26" t="n">
        <f>3419</f>
        <v>3419.0</v>
      </c>
    </row>
    <row r="52">
      <c r="A52" s="30" t="s">
        <v>40</v>
      </c>
      <c r="B52" s="22" t="s">
        <v>61</v>
      </c>
      <c r="C52" s="22" t="s">
        <v>62</v>
      </c>
      <c r="D52" s="24"/>
      <c r="E52" s="25" t="n">
        <f>376</f>
        <v>376.0</v>
      </c>
      <c r="F52" s="23"/>
      <c r="G52" s="25" t="n">
        <f>520</f>
        <v>520.0</v>
      </c>
      <c r="H52" s="23"/>
      <c r="I52" s="26" t="n">
        <f>896</f>
        <v>896.0</v>
      </c>
      <c r="J52" s="24"/>
      <c r="K52" s="25" t="n">
        <f>19043930</f>
        <v>1.904393E7</v>
      </c>
      <c r="L52" s="23"/>
      <c r="M52" s="25" t="n">
        <f>56973210</f>
        <v>5.697321E7</v>
      </c>
      <c r="N52" s="23"/>
      <c r="O52" s="26" t="n">
        <f>76017140</f>
        <v>7.601714E7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27</f>
        <v>27.0</v>
      </c>
      <c r="U52" s="23"/>
      <c r="V52" s="25" t="n">
        <f>86</f>
        <v>86.0</v>
      </c>
      <c r="W52" s="23"/>
      <c r="X52" s="26" t="n">
        <f>113</f>
        <v>113.0</v>
      </c>
      <c r="Y52" s="24"/>
      <c r="Z52" s="25" t="n">
        <f>1339</f>
        <v>1339.0</v>
      </c>
      <c r="AA52" s="23"/>
      <c r="AB52" s="25" t="n">
        <f>2655</f>
        <v>2655.0</v>
      </c>
      <c r="AC52" s="23"/>
      <c r="AD52" s="26" t="n">
        <f>3994</f>
        <v>3994.0</v>
      </c>
    </row>
    <row r="53">
      <c r="A53" s="30" t="s">
        <v>41</v>
      </c>
      <c r="B53" s="22" t="s">
        <v>61</v>
      </c>
      <c r="C53" s="22" t="s">
        <v>62</v>
      </c>
      <c r="D53" s="24"/>
      <c r="E53" s="25" t="n">
        <f>2757</f>
        <v>2757.0</v>
      </c>
      <c r="F53" s="23"/>
      <c r="G53" s="25" t="n">
        <f>2179</f>
        <v>2179.0</v>
      </c>
      <c r="H53" s="23"/>
      <c r="I53" s="26" t="n">
        <f>4936</f>
        <v>4936.0</v>
      </c>
      <c r="J53" s="24" t="s">
        <v>32</v>
      </c>
      <c r="K53" s="25" t="n">
        <f>261528540</f>
        <v>2.6152854E8</v>
      </c>
      <c r="L53" s="23"/>
      <c r="M53" s="25" t="n">
        <f>117045580</f>
        <v>1.1704558E8</v>
      </c>
      <c r="N53" s="23"/>
      <c r="O53" s="26" t="n">
        <f>378574120</f>
        <v>3.7857412E8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424</f>
        <v>424.0</v>
      </c>
      <c r="U53" s="23"/>
      <c r="V53" s="25" t="n">
        <f>279</f>
        <v>279.0</v>
      </c>
      <c r="W53" s="23"/>
      <c r="X53" s="26" t="n">
        <f>703</f>
        <v>703.0</v>
      </c>
      <c r="Y53" s="24"/>
      <c r="Z53" s="25" t="n">
        <f>2666</f>
        <v>2666.0</v>
      </c>
      <c r="AA53" s="23"/>
      <c r="AB53" s="25" t="n">
        <f>3306</f>
        <v>3306.0</v>
      </c>
      <c r="AC53" s="23"/>
      <c r="AD53" s="26" t="n">
        <f>5972</f>
        <v>5972.0</v>
      </c>
    </row>
    <row r="54">
      <c r="A54" s="30" t="s">
        <v>43</v>
      </c>
      <c r="B54" s="22" t="s">
        <v>61</v>
      </c>
      <c r="C54" s="22" t="s">
        <v>62</v>
      </c>
      <c r="D54" s="24"/>
      <c r="E54" s="25"/>
      <c r="F54" s="23"/>
      <c r="G54" s="25"/>
      <c r="H54" s="23"/>
      <c r="I54" s="26"/>
      <c r="J54" s="24"/>
      <c r="K54" s="25"/>
      <c r="L54" s="23"/>
      <c r="M54" s="25"/>
      <c r="N54" s="23"/>
      <c r="O54" s="26"/>
      <c r="P54" s="27"/>
      <c r="Q54" s="28"/>
      <c r="R54" s="29"/>
      <c r="S54" s="24"/>
      <c r="T54" s="25"/>
      <c r="U54" s="23"/>
      <c r="V54" s="25"/>
      <c r="W54" s="23"/>
      <c r="X54" s="26"/>
      <c r="Y54" s="24"/>
      <c r="Z54" s="25"/>
      <c r="AA54" s="23"/>
      <c r="AB54" s="25"/>
      <c r="AC54" s="23"/>
      <c r="AD54" s="26"/>
    </row>
    <row r="55">
      <c r="A55" s="30" t="s">
        <v>44</v>
      </c>
      <c r="B55" s="22" t="s">
        <v>61</v>
      </c>
      <c r="C55" s="22" t="s">
        <v>62</v>
      </c>
      <c r="D55" s="24"/>
      <c r="E55" s="25"/>
      <c r="F55" s="23"/>
      <c r="G55" s="25"/>
      <c r="H55" s="23"/>
      <c r="I55" s="26"/>
      <c r="J55" s="24"/>
      <c r="K55" s="25"/>
      <c r="L55" s="23"/>
      <c r="M55" s="25"/>
      <c r="N55" s="23"/>
      <c r="O55" s="26"/>
      <c r="P55" s="27"/>
      <c r="Q55" s="28"/>
      <c r="R55" s="29"/>
      <c r="S55" s="24"/>
      <c r="T55" s="25"/>
      <c r="U55" s="23"/>
      <c r="V55" s="25"/>
      <c r="W55" s="23"/>
      <c r="X55" s="26"/>
      <c r="Y55" s="24"/>
      <c r="Z55" s="25"/>
      <c r="AA55" s="23"/>
      <c r="AB55" s="25"/>
      <c r="AC55" s="23"/>
      <c r="AD55" s="26"/>
    </row>
    <row r="56">
      <c r="A56" s="30" t="s">
        <v>45</v>
      </c>
      <c r="B56" s="22" t="s">
        <v>61</v>
      </c>
      <c r="C56" s="22" t="s">
        <v>62</v>
      </c>
      <c r="D56" s="24"/>
      <c r="E56" s="25" t="n">
        <f>3689</f>
        <v>3689.0</v>
      </c>
      <c r="F56" s="23"/>
      <c r="G56" s="25" t="n">
        <f>3201</f>
        <v>3201.0</v>
      </c>
      <c r="H56" s="23"/>
      <c r="I56" s="26" t="n">
        <f>6890</f>
        <v>6890.0</v>
      </c>
      <c r="J56" s="24"/>
      <c r="K56" s="25" t="n">
        <f>212725860</f>
        <v>2.1272586E8</v>
      </c>
      <c r="L56" s="23"/>
      <c r="M56" s="25" t="n">
        <f>119644020</f>
        <v>1.1964402E8</v>
      </c>
      <c r="N56" s="23"/>
      <c r="O56" s="26" t="n">
        <f>332369880</f>
        <v>3.3236988E8</v>
      </c>
      <c r="P56" s="27" t="str">
        <f>"－"</f>
        <v>－</v>
      </c>
      <c r="Q56" s="28" t="str">
        <f>"－"</f>
        <v>－</v>
      </c>
      <c r="R56" s="29" t="str">
        <f>"－"</f>
        <v>－</v>
      </c>
      <c r="S56" s="24"/>
      <c r="T56" s="25" t="n">
        <f>636</f>
        <v>636.0</v>
      </c>
      <c r="U56" s="23"/>
      <c r="V56" s="25" t="n">
        <f>1006</f>
        <v>1006.0</v>
      </c>
      <c r="W56" s="23"/>
      <c r="X56" s="26" t="n">
        <f>1642</f>
        <v>1642.0</v>
      </c>
      <c r="Y56" s="24"/>
      <c r="Z56" s="25" t="n">
        <f>4223</f>
        <v>4223.0</v>
      </c>
      <c r="AA56" s="23"/>
      <c r="AB56" s="25" t="n">
        <f>3953</f>
        <v>3953.0</v>
      </c>
      <c r="AC56" s="23"/>
      <c r="AD56" s="26" t="n">
        <f>8176</f>
        <v>8176.0</v>
      </c>
    </row>
    <row r="57">
      <c r="A57" s="30" t="s">
        <v>46</v>
      </c>
      <c r="B57" s="22" t="s">
        <v>61</v>
      </c>
      <c r="C57" s="22" t="s">
        <v>62</v>
      </c>
      <c r="D57" s="24"/>
      <c r="E57" s="25" t="n">
        <f>3302</f>
        <v>3302.0</v>
      </c>
      <c r="F57" s="23"/>
      <c r="G57" s="25" t="n">
        <f>2110</f>
        <v>2110.0</v>
      </c>
      <c r="H57" s="23"/>
      <c r="I57" s="26" t="n">
        <f>5412</f>
        <v>5412.0</v>
      </c>
      <c r="J57" s="24"/>
      <c r="K57" s="25" t="n">
        <f>209876960</f>
        <v>2.0987696E8</v>
      </c>
      <c r="L57" s="23"/>
      <c r="M57" s="25" t="n">
        <f>121260770</f>
        <v>1.2126077E8</v>
      </c>
      <c r="N57" s="23"/>
      <c r="O57" s="26" t="n">
        <f>331137730</f>
        <v>3.3113773E8</v>
      </c>
      <c r="P57" s="27" t="str">
        <f>"－"</f>
        <v>－</v>
      </c>
      <c r="Q57" s="28" t="str">
        <f>"－"</f>
        <v>－</v>
      </c>
      <c r="R57" s="29" t="str">
        <f>"－"</f>
        <v>－</v>
      </c>
      <c r="S57" s="24"/>
      <c r="T57" s="25" t="n">
        <f>901</f>
        <v>901.0</v>
      </c>
      <c r="U57" s="23"/>
      <c r="V57" s="25" t="n">
        <f>450</f>
        <v>450.0</v>
      </c>
      <c r="W57" s="23"/>
      <c r="X57" s="26" t="n">
        <f>1351</f>
        <v>1351.0</v>
      </c>
      <c r="Y57" s="24"/>
      <c r="Z57" s="25" t="n">
        <f>5521</f>
        <v>5521.0</v>
      </c>
      <c r="AA57" s="23"/>
      <c r="AB57" s="25" t="n">
        <f>4703</f>
        <v>4703.0</v>
      </c>
      <c r="AC57" s="23"/>
      <c r="AD57" s="26" t="n">
        <f>10224</f>
        <v>10224.0</v>
      </c>
    </row>
    <row r="58">
      <c r="A58" s="30" t="s">
        <v>47</v>
      </c>
      <c r="B58" s="22" t="s">
        <v>61</v>
      </c>
      <c r="C58" s="22" t="s">
        <v>62</v>
      </c>
      <c r="D58" s="24" t="s">
        <v>32</v>
      </c>
      <c r="E58" s="25" t="n">
        <f>6270</f>
        <v>6270.0</v>
      </c>
      <c r="F58" s="23" t="s">
        <v>32</v>
      </c>
      <c r="G58" s="25" t="n">
        <f>4848</f>
        <v>4848.0</v>
      </c>
      <c r="H58" s="23" t="s">
        <v>32</v>
      </c>
      <c r="I58" s="26" t="n">
        <f>11118</f>
        <v>11118.0</v>
      </c>
      <c r="J58" s="24"/>
      <c r="K58" s="25" t="n">
        <f>213023040</f>
        <v>2.1302304E8</v>
      </c>
      <c r="L58" s="23" t="s">
        <v>32</v>
      </c>
      <c r="M58" s="25" t="n">
        <f>246408600</f>
        <v>2.464086E8</v>
      </c>
      <c r="N58" s="23" t="s">
        <v>32</v>
      </c>
      <c r="O58" s="26" t="n">
        <f>459431640</f>
        <v>4.5943164E8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 t="s">
        <v>32</v>
      </c>
      <c r="T58" s="25" t="n">
        <f>1480</f>
        <v>1480.0</v>
      </c>
      <c r="U58" s="23"/>
      <c r="V58" s="25" t="n">
        <f>763</f>
        <v>763.0</v>
      </c>
      <c r="W58" s="23" t="s">
        <v>32</v>
      </c>
      <c r="X58" s="26" t="n">
        <f>2243</f>
        <v>2243.0</v>
      </c>
      <c r="Y58" s="24"/>
      <c r="Z58" s="25" t="n">
        <f>6842</f>
        <v>6842.0</v>
      </c>
      <c r="AA58" s="23"/>
      <c r="AB58" s="25" t="n">
        <f>5972</f>
        <v>5972.0</v>
      </c>
      <c r="AC58" s="23"/>
      <c r="AD58" s="26" t="n">
        <f>12814</f>
        <v>12814.0</v>
      </c>
    </row>
    <row r="59">
      <c r="A59" s="30" t="s">
        <v>48</v>
      </c>
      <c r="B59" s="22" t="s">
        <v>61</v>
      </c>
      <c r="C59" s="22" t="s">
        <v>62</v>
      </c>
      <c r="D59" s="24"/>
      <c r="E59" s="25" t="n">
        <f>4853</f>
        <v>4853.0</v>
      </c>
      <c r="F59" s="23"/>
      <c r="G59" s="25" t="n">
        <f>4461</f>
        <v>4461.0</v>
      </c>
      <c r="H59" s="23"/>
      <c r="I59" s="26" t="n">
        <f>9314</f>
        <v>9314.0</v>
      </c>
      <c r="J59" s="24"/>
      <c r="K59" s="25" t="n">
        <f>146904230</f>
        <v>1.4690423E8</v>
      </c>
      <c r="L59" s="23"/>
      <c r="M59" s="25" t="n">
        <f>190624900</f>
        <v>1.906249E8</v>
      </c>
      <c r="N59" s="23"/>
      <c r="O59" s="26" t="n">
        <f>337529130</f>
        <v>3.3752913E8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695</f>
        <v>695.0</v>
      </c>
      <c r="U59" s="23" t="s">
        <v>32</v>
      </c>
      <c r="V59" s="25" t="n">
        <f>1105</f>
        <v>1105.0</v>
      </c>
      <c r="W59" s="23"/>
      <c r="X59" s="26" t="n">
        <f>1800</f>
        <v>1800.0</v>
      </c>
      <c r="Y59" s="24" t="s">
        <v>32</v>
      </c>
      <c r="Z59" s="25" t="n">
        <f>8399</f>
        <v>8399.0</v>
      </c>
      <c r="AA59" s="23" t="s">
        <v>32</v>
      </c>
      <c r="AB59" s="25" t="n">
        <f>6876</f>
        <v>6876.0</v>
      </c>
      <c r="AC59" s="23" t="s">
        <v>32</v>
      </c>
      <c r="AD59" s="26" t="n">
        <f>15275</f>
        <v>15275.0</v>
      </c>
    </row>
    <row r="60">
      <c r="A60" s="30" t="s">
        <v>49</v>
      </c>
      <c r="B60" s="22" t="s">
        <v>61</v>
      </c>
      <c r="C60" s="22" t="s">
        <v>62</v>
      </c>
      <c r="D60" s="24"/>
      <c r="E60" s="25" t="n">
        <f>1673</f>
        <v>1673.0</v>
      </c>
      <c r="F60" s="23"/>
      <c r="G60" s="25" t="n">
        <f>1718</f>
        <v>1718.0</v>
      </c>
      <c r="H60" s="23"/>
      <c r="I60" s="26" t="n">
        <f>3391</f>
        <v>3391.0</v>
      </c>
      <c r="J60" s="24"/>
      <c r="K60" s="25" t="n">
        <f>67417430</f>
        <v>6.741743E7</v>
      </c>
      <c r="L60" s="23"/>
      <c r="M60" s="25" t="n">
        <f>182393710</f>
        <v>1.8239371E8</v>
      </c>
      <c r="N60" s="23"/>
      <c r="O60" s="26" t="n">
        <f>249811140</f>
        <v>2.4981114E8</v>
      </c>
      <c r="P60" s="27" t="n">
        <f>339</f>
        <v>339.0</v>
      </c>
      <c r="Q60" s="28" t="n">
        <f>98</f>
        <v>98.0</v>
      </c>
      <c r="R60" s="29" t="n">
        <f>437</f>
        <v>437.0</v>
      </c>
      <c r="S60" s="24"/>
      <c r="T60" s="25" t="n">
        <f>142</f>
        <v>142.0</v>
      </c>
      <c r="U60" s="23"/>
      <c r="V60" s="25" t="n">
        <f>509</f>
        <v>509.0</v>
      </c>
      <c r="W60" s="23"/>
      <c r="X60" s="26" t="n">
        <f>651</f>
        <v>651.0</v>
      </c>
      <c r="Y60" s="24"/>
      <c r="Z60" s="25" t="n">
        <f>2277</f>
        <v>2277.0</v>
      </c>
      <c r="AA60" s="23"/>
      <c r="AB60" s="25" t="n">
        <f>3092</f>
        <v>3092.0</v>
      </c>
      <c r="AC60" s="23"/>
      <c r="AD60" s="26" t="n">
        <f>5369</f>
        <v>5369.0</v>
      </c>
    </row>
    <row r="61">
      <c r="A61" s="30" t="s">
        <v>50</v>
      </c>
      <c r="B61" s="22" t="s">
        <v>61</v>
      </c>
      <c r="C61" s="22" t="s">
        <v>62</v>
      </c>
      <c r="D61" s="24"/>
      <c r="E61" s="25"/>
      <c r="F61" s="23"/>
      <c r="G61" s="25"/>
      <c r="H61" s="23"/>
      <c r="I61" s="26"/>
      <c r="J61" s="24"/>
      <c r="K61" s="25"/>
      <c r="L61" s="23"/>
      <c r="M61" s="25"/>
      <c r="N61" s="23"/>
      <c r="O61" s="26"/>
      <c r="P61" s="27"/>
      <c r="Q61" s="28"/>
      <c r="R61" s="29"/>
      <c r="S61" s="24"/>
      <c r="T61" s="25"/>
      <c r="U61" s="23"/>
      <c r="V61" s="25"/>
      <c r="W61" s="23"/>
      <c r="X61" s="26"/>
      <c r="Y61" s="24"/>
      <c r="Z61" s="25"/>
      <c r="AA61" s="23"/>
      <c r="AB61" s="25"/>
      <c r="AC61" s="23"/>
      <c r="AD61" s="26"/>
    </row>
    <row r="62">
      <c r="A62" s="30" t="s">
        <v>51</v>
      </c>
      <c r="B62" s="22" t="s">
        <v>61</v>
      </c>
      <c r="C62" s="22" t="s">
        <v>62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52</v>
      </c>
      <c r="B63" s="22" t="s">
        <v>61</v>
      </c>
      <c r="C63" s="22" t="s">
        <v>62</v>
      </c>
      <c r="D63" s="24"/>
      <c r="E63" s="25" t="n">
        <f>2984</f>
        <v>2984.0</v>
      </c>
      <c r="F63" s="23"/>
      <c r="G63" s="25" t="n">
        <f>2264</f>
        <v>2264.0</v>
      </c>
      <c r="H63" s="23"/>
      <c r="I63" s="26" t="n">
        <f>5248</f>
        <v>5248.0</v>
      </c>
      <c r="J63" s="24"/>
      <c r="K63" s="25" t="n">
        <f>86479460</f>
        <v>8.647946E7</v>
      </c>
      <c r="L63" s="23"/>
      <c r="M63" s="25" t="n">
        <f>148627380</f>
        <v>1.4862738E8</v>
      </c>
      <c r="N63" s="23"/>
      <c r="O63" s="26" t="n">
        <f>235106840</f>
        <v>2.3510684E8</v>
      </c>
      <c r="P63" s="27" t="str">
        <f>"－"</f>
        <v>－</v>
      </c>
      <c r="Q63" s="28" t="str">
        <f>"－"</f>
        <v>－</v>
      </c>
      <c r="R63" s="29" t="str">
        <f>"－"</f>
        <v>－</v>
      </c>
      <c r="S63" s="24"/>
      <c r="T63" s="25" t="n">
        <f>486</f>
        <v>486.0</v>
      </c>
      <c r="U63" s="23"/>
      <c r="V63" s="25" t="n">
        <f>246</f>
        <v>246.0</v>
      </c>
      <c r="W63" s="23"/>
      <c r="X63" s="26" t="n">
        <f>732</f>
        <v>732.0</v>
      </c>
      <c r="Y63" s="24"/>
      <c r="Z63" s="25" t="n">
        <f>3289</f>
        <v>3289.0</v>
      </c>
      <c r="AA63" s="23"/>
      <c r="AB63" s="25" t="n">
        <f>3958</f>
        <v>3958.0</v>
      </c>
      <c r="AC63" s="23"/>
      <c r="AD63" s="26" t="n">
        <f>7247</f>
        <v>7247.0</v>
      </c>
    </row>
    <row r="64">
      <c r="A64" s="30" t="s">
        <v>53</v>
      </c>
      <c r="B64" s="22" t="s">
        <v>61</v>
      </c>
      <c r="C64" s="22" t="s">
        <v>62</v>
      </c>
      <c r="D64" s="24"/>
      <c r="E64" s="25" t="n">
        <f>3863</f>
        <v>3863.0</v>
      </c>
      <c r="F64" s="23"/>
      <c r="G64" s="25" t="n">
        <f>2743</f>
        <v>2743.0</v>
      </c>
      <c r="H64" s="23"/>
      <c r="I64" s="26" t="n">
        <f>6606</f>
        <v>6606.0</v>
      </c>
      <c r="J64" s="24"/>
      <c r="K64" s="25" t="n">
        <f>107660860</f>
        <v>1.0766086E8</v>
      </c>
      <c r="L64" s="23"/>
      <c r="M64" s="25" t="n">
        <f>215967840</f>
        <v>2.1596784E8</v>
      </c>
      <c r="N64" s="23"/>
      <c r="O64" s="26" t="n">
        <f>323628700</f>
        <v>3.236287E8</v>
      </c>
      <c r="P64" s="27" t="str">
        <f>"－"</f>
        <v>－</v>
      </c>
      <c r="Q64" s="28" t="str">
        <f>"－"</f>
        <v>－</v>
      </c>
      <c r="R64" s="29" t="str">
        <f>"－"</f>
        <v>－</v>
      </c>
      <c r="S64" s="24"/>
      <c r="T64" s="25" t="n">
        <f>888</f>
        <v>888.0</v>
      </c>
      <c r="U64" s="23"/>
      <c r="V64" s="25" t="n">
        <f>568</f>
        <v>568.0</v>
      </c>
      <c r="W64" s="23"/>
      <c r="X64" s="26" t="n">
        <f>1456</f>
        <v>1456.0</v>
      </c>
      <c r="Y64" s="24"/>
      <c r="Z64" s="25" t="n">
        <f>4243</f>
        <v>4243.0</v>
      </c>
      <c r="AA64" s="23"/>
      <c r="AB64" s="25" t="n">
        <f>4524</f>
        <v>4524.0</v>
      </c>
      <c r="AC64" s="23"/>
      <c r="AD64" s="26" t="n">
        <f>8767</f>
        <v>8767.0</v>
      </c>
    </row>
    <row r="65">
      <c r="A65" s="30" t="s">
        <v>54</v>
      </c>
      <c r="B65" s="22" t="s">
        <v>61</v>
      </c>
      <c r="C65" s="22" t="s">
        <v>62</v>
      </c>
      <c r="D65" s="24"/>
      <c r="E65" s="25" t="n">
        <f>3300</f>
        <v>3300.0</v>
      </c>
      <c r="F65" s="23"/>
      <c r="G65" s="25" t="n">
        <f>2721</f>
        <v>2721.0</v>
      </c>
      <c r="H65" s="23"/>
      <c r="I65" s="26" t="n">
        <f>6021</f>
        <v>6021.0</v>
      </c>
      <c r="J65" s="24"/>
      <c r="K65" s="25" t="n">
        <f>102595680</f>
        <v>1.0259568E8</v>
      </c>
      <c r="L65" s="23"/>
      <c r="M65" s="25" t="n">
        <f>172352600</f>
        <v>1.723526E8</v>
      </c>
      <c r="N65" s="23"/>
      <c r="O65" s="26" t="n">
        <f>274948280</f>
        <v>2.7494828E8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604</f>
        <v>604.0</v>
      </c>
      <c r="U65" s="23"/>
      <c r="V65" s="25" t="n">
        <f>266</f>
        <v>266.0</v>
      </c>
      <c r="W65" s="23"/>
      <c r="X65" s="26" t="n">
        <f>870</f>
        <v>870.0</v>
      </c>
      <c r="Y65" s="24"/>
      <c r="Z65" s="25" t="n">
        <f>5157</f>
        <v>5157.0</v>
      </c>
      <c r="AA65" s="23"/>
      <c r="AB65" s="25" t="n">
        <f>4617</f>
        <v>4617.0</v>
      </c>
      <c r="AC65" s="23"/>
      <c r="AD65" s="26" t="n">
        <f>9774</f>
        <v>9774.0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3516</f>
        <v>3516.0</v>
      </c>
      <c r="F66" s="23"/>
      <c r="G66" s="25" t="n">
        <f>3051</f>
        <v>3051.0</v>
      </c>
      <c r="H66" s="23"/>
      <c r="I66" s="26" t="n">
        <f>6567</f>
        <v>6567.0</v>
      </c>
      <c r="J66" s="24"/>
      <c r="K66" s="25" t="n">
        <f>70464670</f>
        <v>7.046467E7</v>
      </c>
      <c r="L66" s="23"/>
      <c r="M66" s="25" t="n">
        <f>113261790</f>
        <v>1.1326179E8</v>
      </c>
      <c r="N66" s="23"/>
      <c r="O66" s="26" t="n">
        <f>183726460</f>
        <v>1.8372646E8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679</f>
        <v>679.0</v>
      </c>
      <c r="U66" s="23"/>
      <c r="V66" s="25" t="n">
        <f>532</f>
        <v>532.0</v>
      </c>
      <c r="W66" s="23"/>
      <c r="X66" s="26" t="n">
        <f>1211</f>
        <v>1211.0</v>
      </c>
      <c r="Y66" s="24"/>
      <c r="Z66" s="25" t="n">
        <f>6246</f>
        <v>6246.0</v>
      </c>
      <c r="AA66" s="23"/>
      <c r="AB66" s="25" t="n">
        <f>4867</f>
        <v>4867.0</v>
      </c>
      <c r="AC66" s="23"/>
      <c r="AD66" s="26" t="n">
        <f>11113</f>
        <v>11113.0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1246</f>
        <v>1246.0</v>
      </c>
      <c r="F67" s="23"/>
      <c r="G67" s="25" t="n">
        <f>1041</f>
        <v>1041.0</v>
      </c>
      <c r="H67" s="23"/>
      <c r="I67" s="26" t="n">
        <f>2287</f>
        <v>2287.0</v>
      </c>
      <c r="J67" s="24"/>
      <c r="K67" s="25" t="n">
        <f>49117000</f>
        <v>4.9117E7</v>
      </c>
      <c r="L67" s="23"/>
      <c r="M67" s="25" t="n">
        <f>122456860</f>
        <v>1.2245686E8</v>
      </c>
      <c r="N67" s="23"/>
      <c r="O67" s="26" t="n">
        <f>171573860</f>
        <v>1.7157386E8</v>
      </c>
      <c r="P67" s="27" t="n">
        <f>12</f>
        <v>12.0</v>
      </c>
      <c r="Q67" s="28" t="n">
        <f>1304</f>
        <v>1304.0</v>
      </c>
      <c r="R67" s="29" t="n">
        <f>1316</f>
        <v>1316.0</v>
      </c>
      <c r="S67" s="24"/>
      <c r="T67" s="25" t="n">
        <f>139</f>
        <v>139.0</v>
      </c>
      <c r="U67" s="23"/>
      <c r="V67" s="25" t="n">
        <f>320</f>
        <v>320.0</v>
      </c>
      <c r="W67" s="23"/>
      <c r="X67" s="26" t="n">
        <f>459</f>
        <v>459.0</v>
      </c>
      <c r="Y67" s="24"/>
      <c r="Z67" s="25" t="n">
        <f>1732</f>
        <v>1732.0</v>
      </c>
      <c r="AA67" s="23"/>
      <c r="AB67" s="25" t="n">
        <f>2348</f>
        <v>2348.0</v>
      </c>
      <c r="AC67" s="23"/>
      <c r="AD67" s="26" t="n">
        <f>4080</f>
        <v>4080.0</v>
      </c>
    </row>
    <row r="68">
      <c r="A68" s="30" t="s">
        <v>57</v>
      </c>
      <c r="B68" s="22" t="s">
        <v>61</v>
      </c>
      <c r="C68" s="22" t="s">
        <v>62</v>
      </c>
      <c r="D68" s="24"/>
      <c r="E68" s="25"/>
      <c r="F68" s="23"/>
      <c r="G68" s="25"/>
      <c r="H68" s="23"/>
      <c r="I68" s="26"/>
      <c r="J68" s="24"/>
      <c r="K68" s="25"/>
      <c r="L68" s="23"/>
      <c r="M68" s="25"/>
      <c r="N68" s="23"/>
      <c r="O68" s="26"/>
      <c r="P68" s="27"/>
      <c r="Q68" s="28"/>
      <c r="R68" s="29"/>
      <c r="S68" s="24"/>
      <c r="T68" s="25"/>
      <c r="U68" s="23"/>
      <c r="V68" s="25"/>
      <c r="W68" s="23"/>
      <c r="X68" s="26"/>
      <c r="Y68" s="24"/>
      <c r="Z68" s="25"/>
      <c r="AA68" s="23"/>
      <c r="AB68" s="25"/>
      <c r="AC68" s="23"/>
      <c r="AD68" s="26"/>
    </row>
    <row r="69">
      <c r="A69" s="30" t="s">
        <v>58</v>
      </c>
      <c r="B69" s="22" t="s">
        <v>61</v>
      </c>
      <c r="C69" s="22" t="s">
        <v>62</v>
      </c>
      <c r="D69" s="24"/>
      <c r="E69" s="25"/>
      <c r="F69" s="23"/>
      <c r="G69" s="25"/>
      <c r="H69" s="23"/>
      <c r="I69" s="26"/>
      <c r="J69" s="24"/>
      <c r="K69" s="25"/>
      <c r="L69" s="23"/>
      <c r="M69" s="25"/>
      <c r="N69" s="23"/>
      <c r="O69" s="26"/>
      <c r="P69" s="27"/>
      <c r="Q69" s="28"/>
      <c r="R69" s="29"/>
      <c r="S69" s="24"/>
      <c r="T69" s="25"/>
      <c r="U69" s="23"/>
      <c r="V69" s="25"/>
      <c r="W69" s="23"/>
      <c r="X69" s="26"/>
      <c r="Y69" s="24"/>
      <c r="Z69" s="25"/>
      <c r="AA69" s="23"/>
      <c r="AB69" s="25"/>
      <c r="AC69" s="23"/>
      <c r="AD69" s="26"/>
    </row>
    <row r="70">
      <c r="A70" s="30" t="s">
        <v>59</v>
      </c>
      <c r="B70" s="22" t="s">
        <v>61</v>
      </c>
      <c r="C70" s="22" t="s">
        <v>62</v>
      </c>
      <c r="D70" s="24"/>
      <c r="E70" s="25" t="n">
        <f>3637</f>
        <v>3637.0</v>
      </c>
      <c r="F70" s="23"/>
      <c r="G70" s="25" t="n">
        <f>1691</f>
        <v>1691.0</v>
      </c>
      <c r="H70" s="23"/>
      <c r="I70" s="26" t="n">
        <f>5328</f>
        <v>5328.0</v>
      </c>
      <c r="J70" s="24"/>
      <c r="K70" s="25" t="n">
        <f>54725580</f>
        <v>5.472558E7</v>
      </c>
      <c r="L70" s="23"/>
      <c r="M70" s="25" t="n">
        <f>63990480</f>
        <v>6.399048E7</v>
      </c>
      <c r="N70" s="23"/>
      <c r="O70" s="26" t="n">
        <f>118716060</f>
        <v>1.1871606E8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376</f>
        <v>376.0</v>
      </c>
      <c r="U70" s="23"/>
      <c r="V70" s="25" t="n">
        <f>198</f>
        <v>198.0</v>
      </c>
      <c r="W70" s="23"/>
      <c r="X70" s="26" t="n">
        <f>574</f>
        <v>574.0</v>
      </c>
      <c r="Y70" s="24"/>
      <c r="Z70" s="25" t="n">
        <f>4185</f>
        <v>4185.0</v>
      </c>
      <c r="AA70" s="23"/>
      <c r="AB70" s="25" t="n">
        <f>2964</f>
        <v>2964.0</v>
      </c>
      <c r="AC70" s="23"/>
      <c r="AD70" s="26" t="n">
        <f>7149</f>
        <v>7149.0</v>
      </c>
    </row>
    <row r="71">
      <c r="A71" s="30" t="s">
        <v>60</v>
      </c>
      <c r="B71" s="22" t="s">
        <v>61</v>
      </c>
      <c r="C71" s="22" t="s">
        <v>62</v>
      </c>
      <c r="D71" s="24"/>
      <c r="E71" s="25" t="n">
        <f>1459</f>
        <v>1459.0</v>
      </c>
      <c r="F71" s="23"/>
      <c r="G71" s="25" t="n">
        <f>976</f>
        <v>976.0</v>
      </c>
      <c r="H71" s="23"/>
      <c r="I71" s="26" t="n">
        <f>2435</f>
        <v>2435.0</v>
      </c>
      <c r="J71" s="24"/>
      <c r="K71" s="25" t="n">
        <f>40458640</f>
        <v>4.045864E7</v>
      </c>
      <c r="L71" s="23"/>
      <c r="M71" s="25" t="n">
        <f>37154260</f>
        <v>3.715426E7</v>
      </c>
      <c r="N71" s="23"/>
      <c r="O71" s="26" t="n">
        <f>77612900</f>
        <v>7.76129E7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245</f>
        <v>245.0</v>
      </c>
      <c r="U71" s="23"/>
      <c r="V71" s="25" t="n">
        <f>102</f>
        <v>102.0</v>
      </c>
      <c r="W71" s="23"/>
      <c r="X71" s="26" t="n">
        <f>347</f>
        <v>347.0</v>
      </c>
      <c r="Y71" s="24"/>
      <c r="Z71" s="25" t="n">
        <f>4576</f>
        <v>4576.0</v>
      </c>
      <c r="AA71" s="23"/>
      <c r="AB71" s="25" t="n">
        <f>3074</f>
        <v>3074.0</v>
      </c>
      <c r="AC71" s="23"/>
      <c r="AD71" s="26" t="n">
        <f>7650</f>
        <v>7650.0</v>
      </c>
    </row>
    <row r="72">
      <c r="A72" s="30" t="s">
        <v>26</v>
      </c>
      <c r="B72" s="22" t="s">
        <v>63</v>
      </c>
      <c r="C72" s="22" t="s">
        <v>64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29</v>
      </c>
      <c r="B73" s="22" t="s">
        <v>63</v>
      </c>
      <c r="C73" s="22" t="s">
        <v>64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30</v>
      </c>
      <c r="B74" s="22" t="s">
        <v>63</v>
      </c>
      <c r="C74" s="22" t="s">
        <v>64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31</v>
      </c>
      <c r="B75" s="22" t="s">
        <v>63</v>
      </c>
      <c r="C75" s="22" t="s">
        <v>64</v>
      </c>
      <c r="D75" s="24" t="s">
        <v>42</v>
      </c>
      <c r="E75" s="25" t="str">
        <f>"－"</f>
        <v>－</v>
      </c>
      <c r="F75" s="23" t="s">
        <v>42</v>
      </c>
      <c r="G75" s="25" t="str">
        <f>"－"</f>
        <v>－</v>
      </c>
      <c r="H75" s="23" t="s">
        <v>42</v>
      </c>
      <c r="I75" s="26" t="str">
        <f>"－"</f>
        <v>－</v>
      </c>
      <c r="J75" s="24" t="s">
        <v>42</v>
      </c>
      <c r="K75" s="25" t="str">
        <f>"－"</f>
        <v>－</v>
      </c>
      <c r="L75" s="23" t="s">
        <v>42</v>
      </c>
      <c r="M75" s="25" t="str">
        <f>"－"</f>
        <v>－</v>
      </c>
      <c r="N75" s="23" t="s">
        <v>42</v>
      </c>
      <c r="O75" s="26" t="str">
        <f>"－"</f>
        <v>－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 t="s">
        <v>42</v>
      </c>
      <c r="T75" s="25" t="str">
        <f>"－"</f>
        <v>－</v>
      </c>
      <c r="U75" s="23" t="s">
        <v>42</v>
      </c>
      <c r="V75" s="25" t="str">
        <f>"－"</f>
        <v>－</v>
      </c>
      <c r="W75" s="23" t="s">
        <v>42</v>
      </c>
      <c r="X75" s="26" t="str">
        <f>"－"</f>
        <v>－</v>
      </c>
      <c r="Y75" s="24"/>
      <c r="Z75" s="25" t="n">
        <f>84459</f>
        <v>84459.0</v>
      </c>
      <c r="AA75" s="23"/>
      <c r="AB75" s="25" t="n">
        <f>13669</f>
        <v>13669.0</v>
      </c>
      <c r="AC75" s="23"/>
      <c r="AD75" s="26" t="n">
        <f>98128</f>
        <v>98128.0</v>
      </c>
    </row>
    <row r="76">
      <c r="A76" s="30" t="s">
        <v>33</v>
      </c>
      <c r="B76" s="22" t="s">
        <v>63</v>
      </c>
      <c r="C76" s="22" t="s">
        <v>64</v>
      </c>
      <c r="D76" s="24"/>
      <c r="E76" s="25" t="n">
        <f>170</f>
        <v>170.0</v>
      </c>
      <c r="F76" s="23"/>
      <c r="G76" s="25" t="n">
        <f>170</f>
        <v>170.0</v>
      </c>
      <c r="H76" s="23"/>
      <c r="I76" s="26" t="n">
        <f>340</f>
        <v>340.0</v>
      </c>
      <c r="J76" s="24"/>
      <c r="K76" s="25" t="n">
        <f>145420000</f>
        <v>1.4542E8</v>
      </c>
      <c r="L76" s="23"/>
      <c r="M76" s="25" t="n">
        <f>135400000</f>
        <v>1.354E8</v>
      </c>
      <c r="N76" s="23"/>
      <c r="O76" s="26" t="n">
        <f>280820000</f>
        <v>2.8082E8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str">
        <f>"－"</f>
        <v>－</v>
      </c>
      <c r="U76" s="23"/>
      <c r="V76" s="25" t="str">
        <f>"－"</f>
        <v>－</v>
      </c>
      <c r="W76" s="23"/>
      <c r="X76" s="26" t="str">
        <f>"－"</f>
        <v>－</v>
      </c>
      <c r="Y76" s="24"/>
      <c r="Z76" s="25" t="n">
        <f>84629</f>
        <v>84629.0</v>
      </c>
      <c r="AA76" s="23"/>
      <c r="AB76" s="25" t="n">
        <f>13839</f>
        <v>13839.0</v>
      </c>
      <c r="AC76" s="23"/>
      <c r="AD76" s="26" t="n">
        <f>98468</f>
        <v>98468.0</v>
      </c>
    </row>
    <row r="77">
      <c r="A77" s="30" t="s">
        <v>34</v>
      </c>
      <c r="B77" s="22" t="s">
        <v>63</v>
      </c>
      <c r="C77" s="22" t="s">
        <v>64</v>
      </c>
      <c r="D77" s="24"/>
      <c r="E77" s="25" t="n">
        <f>372</f>
        <v>372.0</v>
      </c>
      <c r="F77" s="23"/>
      <c r="G77" s="25" t="str">
        <f>"－"</f>
        <v>－</v>
      </c>
      <c r="H77" s="23"/>
      <c r="I77" s="26" t="n">
        <f>372</f>
        <v>372.0</v>
      </c>
      <c r="J77" s="24"/>
      <c r="K77" s="25" t="n">
        <f>38687880</f>
        <v>3.868788E7</v>
      </c>
      <c r="L77" s="23"/>
      <c r="M77" s="25" t="str">
        <f>"－"</f>
        <v>－</v>
      </c>
      <c r="N77" s="23"/>
      <c r="O77" s="26" t="n">
        <f>38687880</f>
        <v>3.868788E7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str">
        <f>"－"</f>
        <v>－</v>
      </c>
      <c r="U77" s="23"/>
      <c r="V77" s="25" t="str">
        <f>"－"</f>
        <v>－</v>
      </c>
      <c r="W77" s="23"/>
      <c r="X77" s="26" t="str">
        <f>"－"</f>
        <v>－</v>
      </c>
      <c r="Y77" s="24"/>
      <c r="Z77" s="25" t="n">
        <f>84941</f>
        <v>84941.0</v>
      </c>
      <c r="AA77" s="23"/>
      <c r="AB77" s="25" t="n">
        <f>13839</f>
        <v>13839.0</v>
      </c>
      <c r="AC77" s="23"/>
      <c r="AD77" s="26" t="n">
        <f>98780</f>
        <v>98780.0</v>
      </c>
    </row>
    <row r="78">
      <c r="A78" s="30" t="s">
        <v>35</v>
      </c>
      <c r="B78" s="22" t="s">
        <v>63</v>
      </c>
      <c r="C78" s="22" t="s">
        <v>64</v>
      </c>
      <c r="D78" s="24"/>
      <c r="E78" s="25"/>
      <c r="F78" s="23"/>
      <c r="G78" s="25"/>
      <c r="H78" s="23"/>
      <c r="I78" s="26"/>
      <c r="J78" s="24"/>
      <c r="K78" s="25"/>
      <c r="L78" s="23"/>
      <c r="M78" s="25"/>
      <c r="N78" s="23"/>
      <c r="O78" s="26"/>
      <c r="P78" s="27"/>
      <c r="Q78" s="28"/>
      <c r="R78" s="29"/>
      <c r="S78" s="24"/>
      <c r="T78" s="25"/>
      <c r="U78" s="23"/>
      <c r="V78" s="25"/>
      <c r="W78" s="23"/>
      <c r="X78" s="26"/>
      <c r="Y78" s="24"/>
      <c r="Z78" s="25"/>
      <c r="AA78" s="23"/>
      <c r="AB78" s="25"/>
      <c r="AC78" s="23"/>
      <c r="AD78" s="26"/>
    </row>
    <row r="79">
      <c r="A79" s="30" t="s">
        <v>36</v>
      </c>
      <c r="B79" s="22" t="s">
        <v>63</v>
      </c>
      <c r="C79" s="22" t="s">
        <v>64</v>
      </c>
      <c r="D79" s="24"/>
      <c r="E79" s="25"/>
      <c r="F79" s="23"/>
      <c r="G79" s="25"/>
      <c r="H79" s="23"/>
      <c r="I79" s="26"/>
      <c r="J79" s="24"/>
      <c r="K79" s="25"/>
      <c r="L79" s="23"/>
      <c r="M79" s="25"/>
      <c r="N79" s="23"/>
      <c r="O79" s="26"/>
      <c r="P79" s="27"/>
      <c r="Q79" s="28"/>
      <c r="R79" s="29"/>
      <c r="S79" s="24"/>
      <c r="T79" s="25"/>
      <c r="U79" s="23"/>
      <c r="V79" s="25"/>
      <c r="W79" s="23"/>
      <c r="X79" s="26"/>
      <c r="Y79" s="24"/>
      <c r="Z79" s="25"/>
      <c r="AA79" s="23"/>
      <c r="AB79" s="25"/>
      <c r="AC79" s="23"/>
      <c r="AD79" s="26"/>
    </row>
    <row r="80">
      <c r="A80" s="30" t="s">
        <v>37</v>
      </c>
      <c r="B80" s="22" t="s">
        <v>63</v>
      </c>
      <c r="C80" s="22" t="s">
        <v>64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38</v>
      </c>
      <c r="B81" s="22" t="s">
        <v>63</v>
      </c>
      <c r="C81" s="22" t="s">
        <v>64</v>
      </c>
      <c r="D81" s="24"/>
      <c r="E81" s="25" t="n">
        <f>75</f>
        <v>75.0</v>
      </c>
      <c r="F81" s="23"/>
      <c r="G81" s="25" t="n">
        <f>75</f>
        <v>75.0</v>
      </c>
      <c r="H81" s="23"/>
      <c r="I81" s="26" t="n">
        <f>150</f>
        <v>150.0</v>
      </c>
      <c r="J81" s="24"/>
      <c r="K81" s="25" t="n">
        <f>57075000</f>
        <v>5.7075E7</v>
      </c>
      <c r="L81" s="23"/>
      <c r="M81" s="25" t="n">
        <f>62625000</f>
        <v>6.2625E7</v>
      </c>
      <c r="N81" s="23"/>
      <c r="O81" s="26" t="n">
        <f>119700000</f>
        <v>1.197E8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/>
      <c r="T81" s="25" t="n">
        <f>75</f>
        <v>75.0</v>
      </c>
      <c r="U81" s="23"/>
      <c r="V81" s="25" t="n">
        <f>75</f>
        <v>75.0</v>
      </c>
      <c r="W81" s="23"/>
      <c r="X81" s="26" t="n">
        <f>150</f>
        <v>150.0</v>
      </c>
      <c r="Y81" s="24"/>
      <c r="Z81" s="25" t="n">
        <f>85016</f>
        <v>85016.0</v>
      </c>
      <c r="AA81" s="23"/>
      <c r="AB81" s="25" t="n">
        <f>13914</f>
        <v>13914.0</v>
      </c>
      <c r="AC81" s="23"/>
      <c r="AD81" s="26" t="n">
        <f>98930</f>
        <v>98930.0</v>
      </c>
    </row>
    <row r="82">
      <c r="A82" s="30" t="s">
        <v>39</v>
      </c>
      <c r="B82" s="22" t="s">
        <v>63</v>
      </c>
      <c r="C82" s="22" t="s">
        <v>64</v>
      </c>
      <c r="D82" s="24"/>
      <c r="E82" s="25" t="n">
        <f>1050</f>
        <v>1050.0</v>
      </c>
      <c r="F82" s="23"/>
      <c r="G82" s="25" t="n">
        <f>600</f>
        <v>600.0</v>
      </c>
      <c r="H82" s="23"/>
      <c r="I82" s="26" t="n">
        <f>1650</f>
        <v>1650.0</v>
      </c>
      <c r="J82" s="24"/>
      <c r="K82" s="25" t="n">
        <f>169700000</f>
        <v>1.697E8</v>
      </c>
      <c r="L82" s="23"/>
      <c r="M82" s="25" t="n">
        <f>35825000</f>
        <v>3.5825E7</v>
      </c>
      <c r="N82" s="23"/>
      <c r="O82" s="26" t="n">
        <f>205525000</f>
        <v>2.05525E8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n">
        <f>250</f>
        <v>250.0</v>
      </c>
      <c r="U82" s="23"/>
      <c r="V82" s="25" t="n">
        <f>500</f>
        <v>500.0</v>
      </c>
      <c r="W82" s="23"/>
      <c r="X82" s="26" t="n">
        <f>750</f>
        <v>750.0</v>
      </c>
      <c r="Y82" s="24"/>
      <c r="Z82" s="25" t="n">
        <f>85366</f>
        <v>85366.0</v>
      </c>
      <c r="AA82" s="23" t="s">
        <v>32</v>
      </c>
      <c r="AB82" s="25" t="n">
        <f>14514</f>
        <v>14514.0</v>
      </c>
      <c r="AC82" s="23"/>
      <c r="AD82" s="26" t="n">
        <f>99880</f>
        <v>99880.0</v>
      </c>
    </row>
    <row r="83">
      <c r="A83" s="30" t="s">
        <v>40</v>
      </c>
      <c r="B83" s="22" t="s">
        <v>63</v>
      </c>
      <c r="C83" s="22" t="s">
        <v>64</v>
      </c>
      <c r="D83" s="24"/>
      <c r="E83" s="25" t="n">
        <f>900</f>
        <v>900.0</v>
      </c>
      <c r="F83" s="23"/>
      <c r="G83" s="25" t="str">
        <f>"－"</f>
        <v>－</v>
      </c>
      <c r="H83" s="23"/>
      <c r="I83" s="26" t="n">
        <f>900</f>
        <v>900.0</v>
      </c>
      <c r="J83" s="24"/>
      <c r="K83" s="25" t="n">
        <f>425750000</f>
        <v>4.2575E8</v>
      </c>
      <c r="L83" s="23"/>
      <c r="M83" s="25" t="str">
        <f>"－"</f>
        <v>－</v>
      </c>
      <c r="N83" s="23"/>
      <c r="O83" s="26" t="n">
        <f>425750000</f>
        <v>4.2575E8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str">
        <f>"－"</f>
        <v>－</v>
      </c>
      <c r="U83" s="23"/>
      <c r="V83" s="25" t="str">
        <f>"－"</f>
        <v>－</v>
      </c>
      <c r="W83" s="23"/>
      <c r="X83" s="26" t="str">
        <f>"－"</f>
        <v>－</v>
      </c>
      <c r="Y83" s="24" t="s">
        <v>32</v>
      </c>
      <c r="Z83" s="25" t="n">
        <f>85866</f>
        <v>85866.0</v>
      </c>
      <c r="AA83" s="23"/>
      <c r="AB83" s="25" t="n">
        <f>14514</f>
        <v>14514.0</v>
      </c>
      <c r="AC83" s="23" t="s">
        <v>32</v>
      </c>
      <c r="AD83" s="26" t="n">
        <f>100380</f>
        <v>100380.0</v>
      </c>
    </row>
    <row r="84">
      <c r="A84" s="30" t="s">
        <v>41</v>
      </c>
      <c r="B84" s="22" t="s">
        <v>63</v>
      </c>
      <c r="C84" s="22" t="s">
        <v>64</v>
      </c>
      <c r="D84" s="24"/>
      <c r="E84" s="25" t="n">
        <f>280</f>
        <v>280.0</v>
      </c>
      <c r="F84" s="23"/>
      <c r="G84" s="25" t="str">
        <f>"－"</f>
        <v>－</v>
      </c>
      <c r="H84" s="23"/>
      <c r="I84" s="26" t="n">
        <f>280</f>
        <v>280.0</v>
      </c>
      <c r="J84" s="24"/>
      <c r="K84" s="25" t="n">
        <f>27508000</f>
        <v>2.7508E7</v>
      </c>
      <c r="L84" s="23"/>
      <c r="M84" s="25" t="str">
        <f>"－"</f>
        <v>－</v>
      </c>
      <c r="N84" s="23"/>
      <c r="O84" s="26" t="n">
        <f>27508000</f>
        <v>2.7508E7</v>
      </c>
      <c r="P84" s="27" t="n">
        <f>250</f>
        <v>250.0</v>
      </c>
      <c r="Q84" s="28" t="n">
        <f>250</f>
        <v>250.0</v>
      </c>
      <c r="R84" s="29" t="n">
        <f>500</f>
        <v>500.0</v>
      </c>
      <c r="S84" s="24"/>
      <c r="T84" s="25" t="n">
        <f>60</f>
        <v>60.0</v>
      </c>
      <c r="U84" s="23"/>
      <c r="V84" s="25" t="str">
        <f>"－"</f>
        <v>－</v>
      </c>
      <c r="W84" s="23"/>
      <c r="X84" s="26" t="n">
        <f>60</f>
        <v>60.0</v>
      </c>
      <c r="Y84" s="24" t="s">
        <v>42</v>
      </c>
      <c r="Z84" s="25" t="n">
        <f>81370</f>
        <v>81370.0</v>
      </c>
      <c r="AA84" s="23"/>
      <c r="AB84" s="25" t="n">
        <f>11918</f>
        <v>11918.0</v>
      </c>
      <c r="AC84" s="23" t="s">
        <v>42</v>
      </c>
      <c r="AD84" s="26" t="n">
        <f>93288</f>
        <v>93288.0</v>
      </c>
    </row>
    <row r="85">
      <c r="A85" s="30" t="s">
        <v>43</v>
      </c>
      <c r="B85" s="22" t="s">
        <v>63</v>
      </c>
      <c r="C85" s="22" t="s">
        <v>64</v>
      </c>
      <c r="D85" s="24"/>
      <c r="E85" s="25"/>
      <c r="F85" s="23"/>
      <c r="G85" s="25"/>
      <c r="H85" s="23"/>
      <c r="I85" s="26"/>
      <c r="J85" s="24"/>
      <c r="K85" s="25"/>
      <c r="L85" s="23"/>
      <c r="M85" s="25"/>
      <c r="N85" s="23"/>
      <c r="O85" s="26"/>
      <c r="P85" s="27"/>
      <c r="Q85" s="28"/>
      <c r="R85" s="29"/>
      <c r="S85" s="24"/>
      <c r="T85" s="25"/>
      <c r="U85" s="23"/>
      <c r="V85" s="25"/>
      <c r="W85" s="23"/>
      <c r="X85" s="26"/>
      <c r="Y85" s="24"/>
      <c r="Z85" s="25"/>
      <c r="AA85" s="23"/>
      <c r="AB85" s="25"/>
      <c r="AC85" s="23"/>
      <c r="AD85" s="26"/>
    </row>
    <row r="86">
      <c r="A86" s="30" t="s">
        <v>44</v>
      </c>
      <c r="B86" s="22" t="s">
        <v>63</v>
      </c>
      <c r="C86" s="22" t="s">
        <v>64</v>
      </c>
      <c r="D86" s="24"/>
      <c r="E86" s="25"/>
      <c r="F86" s="23"/>
      <c r="G86" s="25"/>
      <c r="H86" s="23"/>
      <c r="I86" s="26"/>
      <c r="J86" s="24"/>
      <c r="K86" s="25"/>
      <c r="L86" s="23"/>
      <c r="M86" s="25"/>
      <c r="N86" s="23"/>
      <c r="O86" s="26"/>
      <c r="P86" s="27"/>
      <c r="Q86" s="28"/>
      <c r="R86" s="29"/>
      <c r="S86" s="24"/>
      <c r="T86" s="25"/>
      <c r="U86" s="23"/>
      <c r="V86" s="25"/>
      <c r="W86" s="23"/>
      <c r="X86" s="26"/>
      <c r="Y86" s="24"/>
      <c r="Z86" s="25"/>
      <c r="AA86" s="23"/>
      <c r="AB86" s="25"/>
      <c r="AC86" s="23"/>
      <c r="AD86" s="26"/>
    </row>
    <row r="87">
      <c r="A87" s="30" t="s">
        <v>45</v>
      </c>
      <c r="B87" s="22" t="s">
        <v>63</v>
      </c>
      <c r="C87" s="22" t="s">
        <v>64</v>
      </c>
      <c r="D87" s="24"/>
      <c r="E87" s="25" t="str">
        <f>"－"</f>
        <v>－</v>
      </c>
      <c r="F87" s="23"/>
      <c r="G87" s="25" t="str">
        <f>"－"</f>
        <v>－</v>
      </c>
      <c r="H87" s="23"/>
      <c r="I87" s="26" t="str">
        <f>"－"</f>
        <v>－</v>
      </c>
      <c r="J87" s="24"/>
      <c r="K87" s="25" t="str">
        <f>"－"</f>
        <v>－</v>
      </c>
      <c r="L87" s="23"/>
      <c r="M87" s="25" t="str">
        <f>"－"</f>
        <v>－</v>
      </c>
      <c r="N87" s="23"/>
      <c r="O87" s="26" t="str">
        <f>"－"</f>
        <v>－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str">
        <f>"－"</f>
        <v>－</v>
      </c>
      <c r="U87" s="23"/>
      <c r="V87" s="25" t="str">
        <f>"－"</f>
        <v>－</v>
      </c>
      <c r="W87" s="23"/>
      <c r="X87" s="26" t="str">
        <f>"－"</f>
        <v>－</v>
      </c>
      <c r="Y87" s="24"/>
      <c r="Z87" s="25" t="n">
        <f>81370</f>
        <v>81370.0</v>
      </c>
      <c r="AA87" s="23"/>
      <c r="AB87" s="25" t="n">
        <f>11918</f>
        <v>11918.0</v>
      </c>
      <c r="AC87" s="23"/>
      <c r="AD87" s="26" t="n">
        <f>93288</f>
        <v>93288.0</v>
      </c>
    </row>
    <row r="88">
      <c r="A88" s="30" t="s">
        <v>46</v>
      </c>
      <c r="B88" s="22" t="s">
        <v>63</v>
      </c>
      <c r="C88" s="22" t="s">
        <v>64</v>
      </c>
      <c r="D88" s="24"/>
      <c r="E88" s="25" t="n">
        <f>340</f>
        <v>340.0</v>
      </c>
      <c r="F88" s="23"/>
      <c r="G88" s="25" t="str">
        <f>"－"</f>
        <v>－</v>
      </c>
      <c r="H88" s="23"/>
      <c r="I88" s="26" t="n">
        <f>340</f>
        <v>340.0</v>
      </c>
      <c r="J88" s="24"/>
      <c r="K88" s="25" t="n">
        <f>90226140</f>
        <v>9.022614E7</v>
      </c>
      <c r="L88" s="23"/>
      <c r="M88" s="25" t="str">
        <f>"－"</f>
        <v>－</v>
      </c>
      <c r="N88" s="23"/>
      <c r="O88" s="26" t="n">
        <f>90226140</f>
        <v>9.022614E7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/>
      <c r="T88" s="25" t="n">
        <f>340</f>
        <v>340.0</v>
      </c>
      <c r="U88" s="23"/>
      <c r="V88" s="25" t="str">
        <f>"－"</f>
        <v>－</v>
      </c>
      <c r="W88" s="23"/>
      <c r="X88" s="26" t="n">
        <f>340</f>
        <v>340.0</v>
      </c>
      <c r="Y88" s="24"/>
      <c r="Z88" s="25" t="n">
        <f>81710</f>
        <v>81710.0</v>
      </c>
      <c r="AA88" s="23"/>
      <c r="AB88" s="25" t="n">
        <f>11918</f>
        <v>11918.0</v>
      </c>
      <c r="AC88" s="23"/>
      <c r="AD88" s="26" t="n">
        <f>93628</f>
        <v>93628.0</v>
      </c>
    </row>
    <row r="89">
      <c r="A89" s="30" t="s">
        <v>47</v>
      </c>
      <c r="B89" s="22" t="s">
        <v>63</v>
      </c>
      <c r="C89" s="22" t="s">
        <v>64</v>
      </c>
      <c r="D89" s="24"/>
      <c r="E89" s="25" t="n">
        <f>200</f>
        <v>200.0</v>
      </c>
      <c r="F89" s="23"/>
      <c r="G89" s="25" t="str">
        <f>"－"</f>
        <v>－</v>
      </c>
      <c r="H89" s="23"/>
      <c r="I89" s="26" t="n">
        <f>200</f>
        <v>200.0</v>
      </c>
      <c r="J89" s="24"/>
      <c r="K89" s="25" t="n">
        <f>73500000</f>
        <v>7.35E7</v>
      </c>
      <c r="L89" s="23"/>
      <c r="M89" s="25" t="str">
        <f>"－"</f>
        <v>－</v>
      </c>
      <c r="N89" s="23"/>
      <c r="O89" s="26" t="n">
        <f>73500000</f>
        <v>7.35E7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str">
        <f>"－"</f>
        <v>－</v>
      </c>
      <c r="U89" s="23"/>
      <c r="V89" s="25" t="str">
        <f>"－"</f>
        <v>－</v>
      </c>
      <c r="W89" s="23"/>
      <c r="X89" s="26" t="str">
        <f>"－"</f>
        <v>－</v>
      </c>
      <c r="Y89" s="24"/>
      <c r="Z89" s="25" t="n">
        <f>81510</f>
        <v>81510.0</v>
      </c>
      <c r="AA89" s="23"/>
      <c r="AB89" s="25" t="n">
        <f>11918</f>
        <v>11918.0</v>
      </c>
      <c r="AC89" s="23"/>
      <c r="AD89" s="26" t="n">
        <f>93428</f>
        <v>93428.0</v>
      </c>
    </row>
    <row r="90">
      <c r="A90" s="30" t="s">
        <v>48</v>
      </c>
      <c r="B90" s="22" t="s">
        <v>63</v>
      </c>
      <c r="C90" s="22" t="s">
        <v>64</v>
      </c>
      <c r="D90" s="24"/>
      <c r="E90" s="25" t="n">
        <f>192</f>
        <v>192.0</v>
      </c>
      <c r="F90" s="23"/>
      <c r="G90" s="25" t="str">
        <f>"－"</f>
        <v>－</v>
      </c>
      <c r="H90" s="23"/>
      <c r="I90" s="26" t="n">
        <f>192</f>
        <v>192.0</v>
      </c>
      <c r="J90" s="24"/>
      <c r="K90" s="25" t="n">
        <f>43465283</f>
        <v>4.3465283E7</v>
      </c>
      <c r="L90" s="23"/>
      <c r="M90" s="25" t="str">
        <f>"－"</f>
        <v>－</v>
      </c>
      <c r="N90" s="23"/>
      <c r="O90" s="26" t="n">
        <f>43465283</f>
        <v>4.3465283E7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192</f>
        <v>192.0</v>
      </c>
      <c r="U90" s="23"/>
      <c r="V90" s="25" t="str">
        <f>"－"</f>
        <v>－</v>
      </c>
      <c r="W90" s="23"/>
      <c r="X90" s="26" t="n">
        <f>192</f>
        <v>192.0</v>
      </c>
      <c r="Y90" s="24"/>
      <c r="Z90" s="25" t="n">
        <f>81510</f>
        <v>81510.0</v>
      </c>
      <c r="AA90" s="23"/>
      <c r="AB90" s="25" t="n">
        <f>11918</f>
        <v>11918.0</v>
      </c>
      <c r="AC90" s="23"/>
      <c r="AD90" s="26" t="n">
        <f>93428</f>
        <v>93428.0</v>
      </c>
    </row>
    <row r="91">
      <c r="A91" s="30" t="s">
        <v>49</v>
      </c>
      <c r="B91" s="22" t="s">
        <v>63</v>
      </c>
      <c r="C91" s="22" t="s">
        <v>64</v>
      </c>
      <c r="D91" s="24" t="s">
        <v>32</v>
      </c>
      <c r="E91" s="25" t="n">
        <f>3640</f>
        <v>3640.0</v>
      </c>
      <c r="F91" s="23"/>
      <c r="G91" s="25" t="n">
        <f>100</f>
        <v>100.0</v>
      </c>
      <c r="H91" s="23" t="s">
        <v>32</v>
      </c>
      <c r="I91" s="26" t="n">
        <f>3740</f>
        <v>3740.0</v>
      </c>
      <c r="J91" s="24" t="s">
        <v>32</v>
      </c>
      <c r="K91" s="25" t="n">
        <f>453635000</f>
        <v>4.53635E8</v>
      </c>
      <c r="L91" s="23"/>
      <c r="M91" s="25" t="n">
        <f>3250000</f>
        <v>3250000.0</v>
      </c>
      <c r="N91" s="23"/>
      <c r="O91" s="26" t="n">
        <f>456885000</f>
        <v>4.56885E8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 t="s">
        <v>32</v>
      </c>
      <c r="T91" s="25" t="n">
        <f>3640</f>
        <v>3640.0</v>
      </c>
      <c r="U91" s="23"/>
      <c r="V91" s="25" t="str">
        <f>"－"</f>
        <v>－</v>
      </c>
      <c r="W91" s="23" t="s">
        <v>32</v>
      </c>
      <c r="X91" s="26" t="n">
        <f>3640</f>
        <v>3640.0</v>
      </c>
      <c r="Y91" s="24"/>
      <c r="Z91" s="25" t="n">
        <f>83330</f>
        <v>83330.0</v>
      </c>
      <c r="AA91" s="23" t="s">
        <v>42</v>
      </c>
      <c r="AB91" s="25" t="n">
        <f>11818</f>
        <v>11818.0</v>
      </c>
      <c r="AC91" s="23"/>
      <c r="AD91" s="26" t="n">
        <f>95148</f>
        <v>95148.0</v>
      </c>
    </row>
    <row r="92">
      <c r="A92" s="30" t="s">
        <v>50</v>
      </c>
      <c r="B92" s="22" t="s">
        <v>63</v>
      </c>
      <c r="C92" s="22" t="s">
        <v>64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51</v>
      </c>
      <c r="B93" s="22" t="s">
        <v>63</v>
      </c>
      <c r="C93" s="22" t="s">
        <v>64</v>
      </c>
      <c r="D93" s="24"/>
      <c r="E93" s="25"/>
      <c r="F93" s="23"/>
      <c r="G93" s="25"/>
      <c r="H93" s="23"/>
      <c r="I93" s="26"/>
      <c r="J93" s="24"/>
      <c r="K93" s="25"/>
      <c r="L93" s="23"/>
      <c r="M93" s="25"/>
      <c r="N93" s="23"/>
      <c r="O93" s="26"/>
      <c r="P93" s="27"/>
      <c r="Q93" s="28"/>
      <c r="R93" s="29"/>
      <c r="S93" s="24"/>
      <c r="T93" s="25"/>
      <c r="U93" s="23"/>
      <c r="V93" s="25"/>
      <c r="W93" s="23"/>
      <c r="X93" s="26"/>
      <c r="Y93" s="24"/>
      <c r="Z93" s="25"/>
      <c r="AA93" s="23"/>
      <c r="AB93" s="25"/>
      <c r="AC93" s="23"/>
      <c r="AD93" s="26"/>
    </row>
    <row r="94">
      <c r="A94" s="30" t="s">
        <v>52</v>
      </c>
      <c r="B94" s="22" t="s">
        <v>63</v>
      </c>
      <c r="C94" s="22" t="s">
        <v>64</v>
      </c>
      <c r="D94" s="24"/>
      <c r="E94" s="25" t="n">
        <f>330</f>
        <v>330.0</v>
      </c>
      <c r="F94" s="23"/>
      <c r="G94" s="25" t="str">
        <f>"－"</f>
        <v>－</v>
      </c>
      <c r="H94" s="23"/>
      <c r="I94" s="26" t="n">
        <f>330</f>
        <v>330.0</v>
      </c>
      <c r="J94" s="24"/>
      <c r="K94" s="25" t="n">
        <f>37845000</f>
        <v>3.7845E7</v>
      </c>
      <c r="L94" s="23"/>
      <c r="M94" s="25" t="str">
        <f>"－"</f>
        <v>－</v>
      </c>
      <c r="N94" s="23"/>
      <c r="O94" s="26" t="n">
        <f>37845000</f>
        <v>3.7845E7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/>
      <c r="T94" s="25" t="n">
        <f>150</f>
        <v>150.0</v>
      </c>
      <c r="U94" s="23"/>
      <c r="V94" s="25" t="str">
        <f>"－"</f>
        <v>－</v>
      </c>
      <c r="W94" s="23"/>
      <c r="X94" s="26" t="n">
        <f>150</f>
        <v>150.0</v>
      </c>
      <c r="Y94" s="24"/>
      <c r="Z94" s="25" t="n">
        <f>83330</f>
        <v>83330.0</v>
      </c>
      <c r="AA94" s="23"/>
      <c r="AB94" s="25" t="n">
        <f>11818</f>
        <v>11818.0</v>
      </c>
      <c r="AC94" s="23"/>
      <c r="AD94" s="26" t="n">
        <f>95148</f>
        <v>95148.0</v>
      </c>
    </row>
    <row r="95">
      <c r="A95" s="30" t="s">
        <v>53</v>
      </c>
      <c r="B95" s="22" t="s">
        <v>63</v>
      </c>
      <c r="C95" s="22" t="s">
        <v>64</v>
      </c>
      <c r="D95" s="24"/>
      <c r="E95" s="25" t="str">
        <f>"－"</f>
        <v>－</v>
      </c>
      <c r="F95" s="23"/>
      <c r="G95" s="25" t="str">
        <f>"－"</f>
        <v>－</v>
      </c>
      <c r="H95" s="23"/>
      <c r="I95" s="26" t="str">
        <f>"－"</f>
        <v>－</v>
      </c>
      <c r="J95" s="24"/>
      <c r="K95" s="25" t="str">
        <f>"－"</f>
        <v>－</v>
      </c>
      <c r="L95" s="23"/>
      <c r="M95" s="25" t="str">
        <f>"－"</f>
        <v>－</v>
      </c>
      <c r="N95" s="23"/>
      <c r="O95" s="26" t="str">
        <f>"－"</f>
        <v>－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str">
        <f>"－"</f>
        <v>－</v>
      </c>
      <c r="U95" s="23"/>
      <c r="V95" s="25" t="str">
        <f>"－"</f>
        <v>－</v>
      </c>
      <c r="W95" s="23"/>
      <c r="X95" s="26" t="str">
        <f>"－"</f>
        <v>－</v>
      </c>
      <c r="Y95" s="24"/>
      <c r="Z95" s="25" t="n">
        <f>83330</f>
        <v>83330.0</v>
      </c>
      <c r="AA95" s="23"/>
      <c r="AB95" s="25" t="n">
        <f>11818</f>
        <v>11818.0</v>
      </c>
      <c r="AC95" s="23"/>
      <c r="AD95" s="26" t="n">
        <f>95148</f>
        <v>95148.0</v>
      </c>
    </row>
    <row r="96">
      <c r="A96" s="30" t="s">
        <v>54</v>
      </c>
      <c r="B96" s="22" t="s">
        <v>63</v>
      </c>
      <c r="C96" s="22" t="s">
        <v>64</v>
      </c>
      <c r="D96" s="24"/>
      <c r="E96" s="25" t="n">
        <f>300</f>
        <v>300.0</v>
      </c>
      <c r="F96" s="23" t="s">
        <v>32</v>
      </c>
      <c r="G96" s="25" t="n">
        <f>1150</f>
        <v>1150.0</v>
      </c>
      <c r="H96" s="23"/>
      <c r="I96" s="26" t="n">
        <f>1450</f>
        <v>1450.0</v>
      </c>
      <c r="J96" s="24"/>
      <c r="K96" s="25" t="n">
        <f>94250000</f>
        <v>9.425E7</v>
      </c>
      <c r="L96" s="23" t="s">
        <v>32</v>
      </c>
      <c r="M96" s="25" t="n">
        <f>851750000</f>
        <v>8.5175E8</v>
      </c>
      <c r="N96" s="23" t="s">
        <v>32</v>
      </c>
      <c r="O96" s="26" t="n">
        <f>946000000</f>
        <v>9.46E8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/>
      <c r="V96" s="25" t="str">
        <f>"－"</f>
        <v>－</v>
      </c>
      <c r="W96" s="23"/>
      <c r="X96" s="26" t="str">
        <f>"－"</f>
        <v>－</v>
      </c>
      <c r="Y96" s="24"/>
      <c r="Z96" s="25" t="n">
        <f>83430</f>
        <v>83430.0</v>
      </c>
      <c r="AA96" s="23"/>
      <c r="AB96" s="25" t="n">
        <f>12968</f>
        <v>12968.0</v>
      </c>
      <c r="AC96" s="23"/>
      <c r="AD96" s="26" t="n">
        <f>96398</f>
        <v>96398.0</v>
      </c>
    </row>
    <row r="97">
      <c r="A97" s="30" t="s">
        <v>55</v>
      </c>
      <c r="B97" s="22" t="s">
        <v>63</v>
      </c>
      <c r="C97" s="22" t="s">
        <v>64</v>
      </c>
      <c r="D97" s="24"/>
      <c r="E97" s="25" t="n">
        <f>1556</f>
        <v>1556.0</v>
      </c>
      <c r="F97" s="23"/>
      <c r="G97" s="25" t="n">
        <f>803</f>
        <v>803.0</v>
      </c>
      <c r="H97" s="23"/>
      <c r="I97" s="26" t="n">
        <f>2359</f>
        <v>2359.0</v>
      </c>
      <c r="J97" s="24"/>
      <c r="K97" s="25" t="n">
        <f>418435398</f>
        <v>4.18435398E8</v>
      </c>
      <c r="L97" s="23"/>
      <c r="M97" s="25" t="n">
        <f>104650000</f>
        <v>1.0465E8</v>
      </c>
      <c r="N97" s="23"/>
      <c r="O97" s="26" t="n">
        <f>523085398</f>
        <v>5.23085398E8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n">
        <f>1456</f>
        <v>1456.0</v>
      </c>
      <c r="U97" s="23" t="s">
        <v>32</v>
      </c>
      <c r="V97" s="25" t="n">
        <f>653</f>
        <v>653.0</v>
      </c>
      <c r="W97" s="23"/>
      <c r="X97" s="26" t="n">
        <f>2109</f>
        <v>2109.0</v>
      </c>
      <c r="Y97" s="24"/>
      <c r="Z97" s="25" t="n">
        <f>84836</f>
        <v>84836.0</v>
      </c>
      <c r="AA97" s="23"/>
      <c r="AB97" s="25" t="n">
        <f>13771</f>
        <v>13771.0</v>
      </c>
      <c r="AC97" s="23"/>
      <c r="AD97" s="26" t="n">
        <f>98607</f>
        <v>98607.0</v>
      </c>
    </row>
    <row r="98">
      <c r="A98" s="30" t="s">
        <v>56</v>
      </c>
      <c r="B98" s="22" t="s">
        <v>63</v>
      </c>
      <c r="C98" s="22" t="s">
        <v>64</v>
      </c>
      <c r="D98" s="24"/>
      <c r="E98" s="25" t="n">
        <f>400</f>
        <v>400.0</v>
      </c>
      <c r="F98" s="23"/>
      <c r="G98" s="25" t="n">
        <f>50</f>
        <v>50.0</v>
      </c>
      <c r="H98" s="23"/>
      <c r="I98" s="26" t="n">
        <f>450</f>
        <v>450.0</v>
      </c>
      <c r="J98" s="24"/>
      <c r="K98" s="25" t="n">
        <f>206850000</f>
        <v>2.0685E8</v>
      </c>
      <c r="L98" s="23"/>
      <c r="M98" s="25" t="n">
        <f>73250000</f>
        <v>7.325E7</v>
      </c>
      <c r="N98" s="23"/>
      <c r="O98" s="26" t="n">
        <f>280100000</f>
        <v>2.801E8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50</f>
        <v>50.0</v>
      </c>
      <c r="U98" s="23"/>
      <c r="V98" s="25" t="n">
        <f>50</f>
        <v>50.0</v>
      </c>
      <c r="W98" s="23"/>
      <c r="X98" s="26" t="n">
        <f>100</f>
        <v>100.0</v>
      </c>
      <c r="Y98" s="24"/>
      <c r="Z98" s="25" t="n">
        <f>85236</f>
        <v>85236.0</v>
      </c>
      <c r="AA98" s="23"/>
      <c r="AB98" s="25" t="n">
        <f>13821</f>
        <v>13821.0</v>
      </c>
      <c r="AC98" s="23"/>
      <c r="AD98" s="26" t="n">
        <f>99057</f>
        <v>99057.0</v>
      </c>
    </row>
    <row r="99">
      <c r="A99" s="30" t="s">
        <v>57</v>
      </c>
      <c r="B99" s="22" t="s">
        <v>63</v>
      </c>
      <c r="C99" s="22" t="s">
        <v>64</v>
      </c>
      <c r="D99" s="24"/>
      <c r="E99" s="25"/>
      <c r="F99" s="23"/>
      <c r="G99" s="25"/>
      <c r="H99" s="23"/>
      <c r="I99" s="26"/>
      <c r="J99" s="24"/>
      <c r="K99" s="25"/>
      <c r="L99" s="23"/>
      <c r="M99" s="25"/>
      <c r="N99" s="23"/>
      <c r="O99" s="26"/>
      <c r="P99" s="27"/>
      <c r="Q99" s="28"/>
      <c r="R99" s="29"/>
      <c r="S99" s="24"/>
      <c r="T99" s="25"/>
      <c r="U99" s="23"/>
      <c r="V99" s="25"/>
      <c r="W99" s="23"/>
      <c r="X99" s="26"/>
      <c r="Y99" s="24"/>
      <c r="Z99" s="25"/>
      <c r="AA99" s="23"/>
      <c r="AB99" s="25"/>
      <c r="AC99" s="23"/>
      <c r="AD99" s="26"/>
    </row>
    <row r="100">
      <c r="A100" s="30" t="s">
        <v>58</v>
      </c>
      <c r="B100" s="22" t="s">
        <v>63</v>
      </c>
      <c r="C100" s="22" t="s">
        <v>64</v>
      </c>
      <c r="D100" s="24"/>
      <c r="E100" s="25"/>
      <c r="F100" s="23"/>
      <c r="G100" s="25"/>
      <c r="H100" s="23"/>
      <c r="I100" s="26"/>
      <c r="J100" s="24"/>
      <c r="K100" s="25"/>
      <c r="L100" s="23"/>
      <c r="M100" s="25"/>
      <c r="N100" s="23"/>
      <c r="O100" s="26"/>
      <c r="P100" s="27"/>
      <c r="Q100" s="28"/>
      <c r="R100" s="29"/>
      <c r="S100" s="24"/>
      <c r="T100" s="25"/>
      <c r="U100" s="23"/>
      <c r="V100" s="25"/>
      <c r="W100" s="23"/>
      <c r="X100" s="26"/>
      <c r="Y100" s="24"/>
      <c r="Z100" s="25"/>
      <c r="AA100" s="23"/>
      <c r="AB100" s="25"/>
      <c r="AC100" s="23"/>
      <c r="AD100" s="26"/>
    </row>
    <row r="101">
      <c r="A101" s="30" t="s">
        <v>59</v>
      </c>
      <c r="B101" s="22" t="s">
        <v>63</v>
      </c>
      <c r="C101" s="22" t="s">
        <v>64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n">
        <f>85236</f>
        <v>85236.0</v>
      </c>
      <c r="AA101" s="23"/>
      <c r="AB101" s="25" t="n">
        <f>13821</f>
        <v>13821.0</v>
      </c>
      <c r="AC101" s="23"/>
      <c r="AD101" s="26" t="n">
        <f>99057</f>
        <v>99057.0</v>
      </c>
    </row>
    <row r="102">
      <c r="A102" s="30" t="s">
        <v>60</v>
      </c>
      <c r="B102" s="22" t="s">
        <v>63</v>
      </c>
      <c r="C102" s="22" t="s">
        <v>64</v>
      </c>
      <c r="D102" s="24"/>
      <c r="E102" s="25" t="str">
        <f>"－"</f>
        <v>－</v>
      </c>
      <c r="F102" s="23"/>
      <c r="G102" s="25" t="str">
        <f>"－"</f>
        <v>－</v>
      </c>
      <c r="H102" s="23"/>
      <c r="I102" s="26" t="str">
        <f>"－"</f>
        <v>－</v>
      </c>
      <c r="J102" s="24"/>
      <c r="K102" s="25" t="str">
        <f>"－"</f>
        <v>－</v>
      </c>
      <c r="L102" s="23"/>
      <c r="M102" s="25" t="str">
        <f>"－"</f>
        <v>－</v>
      </c>
      <c r="N102" s="23"/>
      <c r="O102" s="26" t="str">
        <f>"－"</f>
        <v>－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str">
        <f>"－"</f>
        <v>－</v>
      </c>
      <c r="U102" s="23"/>
      <c r="V102" s="25" t="str">
        <f>"－"</f>
        <v>－</v>
      </c>
      <c r="W102" s="23"/>
      <c r="X102" s="26" t="str">
        <f>"－"</f>
        <v>－</v>
      </c>
      <c r="Y102" s="24"/>
      <c r="Z102" s="25" t="n">
        <f>85236</f>
        <v>85236.0</v>
      </c>
      <c r="AA102" s="23"/>
      <c r="AB102" s="25" t="n">
        <f>13821</f>
        <v>13821.0</v>
      </c>
      <c r="AC102" s="23"/>
      <c r="AD102" s="26" t="n">
        <f>99057</f>
        <v>99057.0</v>
      </c>
    </row>
    <row r="103">
      <c r="A103" s="30" t="s">
        <v>26</v>
      </c>
      <c r="B103" s="22" t="s">
        <v>65</v>
      </c>
      <c r="C103" s="22" t="s">
        <v>66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29</v>
      </c>
      <c r="B104" s="22" t="s">
        <v>65</v>
      </c>
      <c r="C104" s="22" t="s">
        <v>66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30</v>
      </c>
      <c r="B105" s="22" t="s">
        <v>65</v>
      </c>
      <c r="C105" s="22" t="s">
        <v>66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31</v>
      </c>
      <c r="B106" s="22" t="s">
        <v>65</v>
      </c>
      <c r="C106" s="22" t="s">
        <v>66</v>
      </c>
      <c r="D106" s="24" t="s">
        <v>67</v>
      </c>
      <c r="E106" s="25" t="str">
        <f>"－"</f>
        <v>－</v>
      </c>
      <c r="F106" s="23" t="s">
        <v>67</v>
      </c>
      <c r="G106" s="25" t="str">
        <f>"－"</f>
        <v>－</v>
      </c>
      <c r="H106" s="23" t="s">
        <v>67</v>
      </c>
      <c r="I106" s="26" t="str">
        <f>"－"</f>
        <v>－</v>
      </c>
      <c r="J106" s="24" t="s">
        <v>67</v>
      </c>
      <c r="K106" s="25" t="str">
        <f>"－"</f>
        <v>－</v>
      </c>
      <c r="L106" s="23" t="s">
        <v>67</v>
      </c>
      <c r="M106" s="25" t="str">
        <f>"－"</f>
        <v>－</v>
      </c>
      <c r="N106" s="23" t="s">
        <v>67</v>
      </c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 t="s">
        <v>67</v>
      </c>
      <c r="T106" s="25" t="str">
        <f>"－"</f>
        <v>－</v>
      </c>
      <c r="U106" s="23" t="s">
        <v>67</v>
      </c>
      <c r="V106" s="25" t="str">
        <f>"－"</f>
        <v>－</v>
      </c>
      <c r="W106" s="23" t="s">
        <v>67</v>
      </c>
      <c r="X106" s="26" t="str">
        <f>"－"</f>
        <v>－</v>
      </c>
      <c r="Y106" s="24" t="s">
        <v>67</v>
      </c>
      <c r="Z106" s="25" t="str">
        <f>"－"</f>
        <v>－</v>
      </c>
      <c r="AA106" s="23" t="s">
        <v>67</v>
      </c>
      <c r="AB106" s="25" t="str">
        <f>"－"</f>
        <v>－</v>
      </c>
      <c r="AC106" s="23" t="s">
        <v>67</v>
      </c>
      <c r="AD106" s="26" t="str">
        <f>"－"</f>
        <v>－</v>
      </c>
    </row>
    <row r="107">
      <c r="A107" s="30" t="s">
        <v>33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34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35</v>
      </c>
      <c r="B109" s="22" t="s">
        <v>65</v>
      </c>
      <c r="C109" s="22" t="s">
        <v>66</v>
      </c>
      <c r="D109" s="24"/>
      <c r="E109" s="25"/>
      <c r="F109" s="23"/>
      <c r="G109" s="25"/>
      <c r="H109" s="23"/>
      <c r="I109" s="26"/>
      <c r="J109" s="24"/>
      <c r="K109" s="25"/>
      <c r="L109" s="23"/>
      <c r="M109" s="25"/>
      <c r="N109" s="23"/>
      <c r="O109" s="26"/>
      <c r="P109" s="27"/>
      <c r="Q109" s="28"/>
      <c r="R109" s="29"/>
      <c r="S109" s="24"/>
      <c r="T109" s="25"/>
      <c r="U109" s="23"/>
      <c r="V109" s="25"/>
      <c r="W109" s="23"/>
      <c r="X109" s="26"/>
      <c r="Y109" s="24"/>
      <c r="Z109" s="25"/>
      <c r="AA109" s="23"/>
      <c r="AB109" s="25"/>
      <c r="AC109" s="23"/>
      <c r="AD109" s="26"/>
    </row>
    <row r="110">
      <c r="A110" s="30" t="s">
        <v>36</v>
      </c>
      <c r="B110" s="22" t="s">
        <v>65</v>
      </c>
      <c r="C110" s="22" t="s">
        <v>66</v>
      </c>
      <c r="D110" s="24"/>
      <c r="E110" s="25"/>
      <c r="F110" s="23"/>
      <c r="G110" s="25"/>
      <c r="H110" s="23"/>
      <c r="I110" s="26"/>
      <c r="J110" s="24"/>
      <c r="K110" s="25"/>
      <c r="L110" s="23"/>
      <c r="M110" s="25"/>
      <c r="N110" s="23"/>
      <c r="O110" s="26"/>
      <c r="P110" s="27"/>
      <c r="Q110" s="28"/>
      <c r="R110" s="29"/>
      <c r="S110" s="24"/>
      <c r="T110" s="25"/>
      <c r="U110" s="23"/>
      <c r="V110" s="25"/>
      <c r="W110" s="23"/>
      <c r="X110" s="26"/>
      <c r="Y110" s="24"/>
      <c r="Z110" s="25"/>
      <c r="AA110" s="23"/>
      <c r="AB110" s="25"/>
      <c r="AC110" s="23"/>
      <c r="AD110" s="26"/>
    </row>
    <row r="111">
      <c r="A111" s="30" t="s">
        <v>37</v>
      </c>
      <c r="B111" s="22" t="s">
        <v>65</v>
      </c>
      <c r="C111" s="22" t="s">
        <v>66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38</v>
      </c>
      <c r="B112" s="22" t="s">
        <v>65</v>
      </c>
      <c r="C112" s="22" t="s">
        <v>66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39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40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41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/>
      <c r="F116" s="23"/>
      <c r="G116" s="25"/>
      <c r="H116" s="23"/>
      <c r="I116" s="26"/>
      <c r="J116" s="24"/>
      <c r="K116" s="25"/>
      <c r="L116" s="23"/>
      <c r="M116" s="25"/>
      <c r="N116" s="23"/>
      <c r="O116" s="26"/>
      <c r="P116" s="27"/>
      <c r="Q116" s="28"/>
      <c r="R116" s="29"/>
      <c r="S116" s="24"/>
      <c r="T116" s="25"/>
      <c r="U116" s="23"/>
      <c r="V116" s="25"/>
      <c r="W116" s="23"/>
      <c r="X116" s="26"/>
      <c r="Y116" s="24"/>
      <c r="Z116" s="25"/>
      <c r="AA116" s="23"/>
      <c r="AB116" s="25"/>
      <c r="AC116" s="23"/>
      <c r="AD116" s="26"/>
    </row>
    <row r="117">
      <c r="A117" s="30" t="s">
        <v>44</v>
      </c>
      <c r="B117" s="22" t="s">
        <v>65</v>
      </c>
      <c r="C117" s="22" t="s">
        <v>66</v>
      </c>
      <c r="D117" s="24"/>
      <c r="E117" s="25"/>
      <c r="F117" s="23"/>
      <c r="G117" s="25"/>
      <c r="H117" s="23"/>
      <c r="I117" s="26"/>
      <c r="J117" s="24"/>
      <c r="K117" s="25"/>
      <c r="L117" s="23"/>
      <c r="M117" s="25"/>
      <c r="N117" s="23"/>
      <c r="O117" s="26"/>
      <c r="P117" s="27"/>
      <c r="Q117" s="28"/>
      <c r="R117" s="29"/>
      <c r="S117" s="24"/>
      <c r="T117" s="25"/>
      <c r="U117" s="23"/>
      <c r="V117" s="25"/>
      <c r="W117" s="23"/>
      <c r="X117" s="26"/>
      <c r="Y117" s="24"/>
      <c r="Z117" s="25"/>
      <c r="AA117" s="23"/>
      <c r="AB117" s="25"/>
      <c r="AC117" s="23"/>
      <c r="AD117" s="26"/>
    </row>
    <row r="118">
      <c r="A118" s="30" t="s">
        <v>45</v>
      </c>
      <c r="B118" s="22" t="s">
        <v>65</v>
      </c>
      <c r="C118" s="22" t="s">
        <v>66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46</v>
      </c>
      <c r="B119" s="22" t="s">
        <v>65</v>
      </c>
      <c r="C119" s="22" t="s">
        <v>66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/>
      <c r="F123" s="23"/>
      <c r="G123" s="25"/>
      <c r="H123" s="23"/>
      <c r="I123" s="26"/>
      <c r="J123" s="24"/>
      <c r="K123" s="25"/>
      <c r="L123" s="23"/>
      <c r="M123" s="25"/>
      <c r="N123" s="23"/>
      <c r="O123" s="26"/>
      <c r="P123" s="27"/>
      <c r="Q123" s="28"/>
      <c r="R123" s="29"/>
      <c r="S123" s="24"/>
      <c r="T123" s="25"/>
      <c r="U123" s="23"/>
      <c r="V123" s="25"/>
      <c r="W123" s="23"/>
      <c r="X123" s="26"/>
      <c r="Y123" s="24"/>
      <c r="Z123" s="25"/>
      <c r="AA123" s="23"/>
      <c r="AB123" s="25"/>
      <c r="AC123" s="23"/>
      <c r="AD123" s="26"/>
    </row>
    <row r="124">
      <c r="A124" s="30" t="s">
        <v>51</v>
      </c>
      <c r="B124" s="22" t="s">
        <v>65</v>
      </c>
      <c r="C124" s="22" t="s">
        <v>66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52</v>
      </c>
      <c r="B125" s="22" t="s">
        <v>65</v>
      </c>
      <c r="C125" s="22" t="s">
        <v>66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53</v>
      </c>
      <c r="B126" s="22" t="s">
        <v>65</v>
      </c>
      <c r="C126" s="22" t="s">
        <v>66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58</v>
      </c>
      <c r="B131" s="22" t="s">
        <v>65</v>
      </c>
      <c r="C131" s="22" t="s">
        <v>66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59</v>
      </c>
      <c r="B132" s="22" t="s">
        <v>65</v>
      </c>
      <c r="C132" s="22" t="s">
        <v>66</v>
      </c>
      <c r="D132" s="24"/>
      <c r="E132" s="25" t="str">
        <f>"－"</f>
        <v>－</v>
      </c>
      <c r="F132" s="23"/>
      <c r="G132" s="25" t="str">
        <f>"－"</f>
        <v>－</v>
      </c>
      <c r="H132" s="23"/>
      <c r="I132" s="26" t="str">
        <f>"－"</f>
        <v>－</v>
      </c>
      <c r="J132" s="24"/>
      <c r="K132" s="25" t="str">
        <f>"－"</f>
        <v>－</v>
      </c>
      <c r="L132" s="23"/>
      <c r="M132" s="25" t="str">
        <f>"－"</f>
        <v>－</v>
      </c>
      <c r="N132" s="23"/>
      <c r="O132" s="26" t="str">
        <f>"－"</f>
        <v>－</v>
      </c>
      <c r="P132" s="27" t="str">
        <f>"－"</f>
        <v>－</v>
      </c>
      <c r="Q132" s="28" t="str">
        <f>"－"</f>
        <v>－</v>
      </c>
      <c r="R132" s="29" t="str">
        <f>"－"</f>
        <v>－</v>
      </c>
      <c r="S132" s="24"/>
      <c r="T132" s="25" t="str">
        <f>"－"</f>
        <v>－</v>
      </c>
      <c r="U132" s="23"/>
      <c r="V132" s="25" t="str">
        <f>"－"</f>
        <v>－</v>
      </c>
      <c r="W132" s="23"/>
      <c r="X132" s="26" t="str">
        <f>"－"</f>
        <v>－</v>
      </c>
      <c r="Y132" s="24"/>
      <c r="Z132" s="25" t="str">
        <f>"－"</f>
        <v>－</v>
      </c>
      <c r="AA132" s="23"/>
      <c r="AB132" s="25" t="str">
        <f>"－"</f>
        <v>－</v>
      </c>
      <c r="AC132" s="23"/>
      <c r="AD132" s="26" t="str">
        <f>"－"</f>
        <v>－</v>
      </c>
    </row>
    <row r="133">
      <c r="A133" s="30" t="s">
        <v>60</v>
      </c>
      <c r="B133" s="22" t="s">
        <v>65</v>
      </c>
      <c r="C133" s="22" t="s">
        <v>66</v>
      </c>
      <c r="D133" s="24"/>
      <c r="E133" s="25" t="str">
        <f>"－"</f>
        <v>－</v>
      </c>
      <c r="F133" s="23"/>
      <c r="G133" s="25" t="str">
        <f>"－"</f>
        <v>－</v>
      </c>
      <c r="H133" s="23"/>
      <c r="I133" s="26" t="str">
        <f>"－"</f>
        <v>－</v>
      </c>
      <c r="J133" s="24"/>
      <c r="K133" s="25" t="str">
        <f>"－"</f>
        <v>－</v>
      </c>
      <c r="L133" s="23"/>
      <c r="M133" s="25" t="str">
        <f>"－"</f>
        <v>－</v>
      </c>
      <c r="N133" s="23"/>
      <c r="O133" s="26" t="str">
        <f>"－"</f>
        <v>－</v>
      </c>
      <c r="P133" s="27" t="str">
        <f>"－"</f>
        <v>－</v>
      </c>
      <c r="Q133" s="28" t="str">
        <f>"－"</f>
        <v>－</v>
      </c>
      <c r="R133" s="29" t="str">
        <f>"－"</f>
        <v>－</v>
      </c>
      <c r="S133" s="24"/>
      <c r="T133" s="25" t="str">
        <f>"－"</f>
        <v>－</v>
      </c>
      <c r="U133" s="23"/>
      <c r="V133" s="25" t="str">
        <f>"－"</f>
        <v>－</v>
      </c>
      <c r="W133" s="23"/>
      <c r="X133" s="26" t="str">
        <f>"－"</f>
        <v>－</v>
      </c>
      <c r="Y133" s="24"/>
      <c r="Z133" s="25" t="str">
        <f>"－"</f>
        <v>－</v>
      </c>
      <c r="AA133" s="23"/>
      <c r="AB133" s="25" t="str">
        <f>"－"</f>
        <v>－</v>
      </c>
      <c r="AC133" s="23"/>
      <c r="AD133" s="26" t="str">
        <f>"－"</f>
        <v>－</v>
      </c>
    </row>
    <row r="134">
      <c r="A134" s="30" t="s">
        <v>26</v>
      </c>
      <c r="B134" s="22" t="s">
        <v>68</v>
      </c>
      <c r="C134" s="22" t="s">
        <v>69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29</v>
      </c>
      <c r="B135" s="22" t="s">
        <v>68</v>
      </c>
      <c r="C135" s="22" t="s">
        <v>69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30</v>
      </c>
      <c r="B136" s="22" t="s">
        <v>68</v>
      </c>
      <c r="C136" s="22" t="s">
        <v>69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31</v>
      </c>
      <c r="B137" s="22" t="s">
        <v>68</v>
      </c>
      <c r="C137" s="22" t="s">
        <v>69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33</v>
      </c>
      <c r="B138" s="22" t="s">
        <v>68</v>
      </c>
      <c r="C138" s="22" t="s">
        <v>69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34</v>
      </c>
      <c r="B139" s="22" t="s">
        <v>68</v>
      </c>
      <c r="C139" s="22" t="s">
        <v>69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35</v>
      </c>
      <c r="B140" s="22" t="s">
        <v>68</v>
      </c>
      <c r="C140" s="22" t="s">
        <v>69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36</v>
      </c>
      <c r="B141" s="22" t="s">
        <v>68</v>
      </c>
      <c r="C141" s="22" t="s">
        <v>69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37</v>
      </c>
      <c r="B142" s="22" t="s">
        <v>68</v>
      </c>
      <c r="C142" s="22" t="s">
        <v>69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38</v>
      </c>
      <c r="B143" s="22" t="s">
        <v>68</v>
      </c>
      <c r="C143" s="22" t="s">
        <v>69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39</v>
      </c>
      <c r="B144" s="22" t="s">
        <v>68</v>
      </c>
      <c r="C144" s="22" t="s">
        <v>69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40</v>
      </c>
      <c r="B145" s="22" t="s">
        <v>68</v>
      </c>
      <c r="C145" s="22" t="s">
        <v>69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41</v>
      </c>
      <c r="B146" s="22" t="s">
        <v>68</v>
      </c>
      <c r="C146" s="22" t="s">
        <v>69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43</v>
      </c>
      <c r="B147" s="22" t="s">
        <v>68</v>
      </c>
      <c r="C147" s="22" t="s">
        <v>69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44</v>
      </c>
      <c r="B148" s="22" t="s">
        <v>68</v>
      </c>
      <c r="C148" s="22" t="s">
        <v>69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45</v>
      </c>
      <c r="B149" s="22" t="s">
        <v>68</v>
      </c>
      <c r="C149" s="22" t="s">
        <v>69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46</v>
      </c>
      <c r="B150" s="22" t="s">
        <v>68</v>
      </c>
      <c r="C150" s="22" t="s">
        <v>69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47</v>
      </c>
      <c r="B151" s="22" t="s">
        <v>68</v>
      </c>
      <c r="C151" s="22" t="s">
        <v>69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48</v>
      </c>
      <c r="B152" s="22" t="s">
        <v>68</v>
      </c>
      <c r="C152" s="22" t="s">
        <v>69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49</v>
      </c>
      <c r="B153" s="22" t="s">
        <v>68</v>
      </c>
      <c r="C153" s="22" t="s">
        <v>69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50</v>
      </c>
      <c r="B154" s="22" t="s">
        <v>68</v>
      </c>
      <c r="C154" s="22" t="s">
        <v>69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51</v>
      </c>
      <c r="B155" s="22" t="s">
        <v>68</v>
      </c>
      <c r="C155" s="22" t="s">
        <v>69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52</v>
      </c>
      <c r="B156" s="22" t="s">
        <v>68</v>
      </c>
      <c r="C156" s="22" t="s">
        <v>69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53</v>
      </c>
      <c r="B157" s="22" t="s">
        <v>68</v>
      </c>
      <c r="C157" s="22" t="s">
        <v>69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54</v>
      </c>
      <c r="B158" s="22" t="s">
        <v>68</v>
      </c>
      <c r="C158" s="22" t="s">
        <v>69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55</v>
      </c>
      <c r="B159" s="22" t="s">
        <v>68</v>
      </c>
      <c r="C159" s="22" t="s">
        <v>69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56</v>
      </c>
      <c r="B160" s="22" t="s">
        <v>68</v>
      </c>
      <c r="C160" s="22" t="s">
        <v>69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57</v>
      </c>
      <c r="B161" s="22" t="s">
        <v>68</v>
      </c>
      <c r="C161" s="22" t="s">
        <v>69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58</v>
      </c>
      <c r="B162" s="22" t="s">
        <v>68</v>
      </c>
      <c r="C162" s="22" t="s">
        <v>69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59</v>
      </c>
      <c r="B163" s="22" t="s">
        <v>68</v>
      </c>
      <c r="C163" s="22" t="s">
        <v>69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60</v>
      </c>
      <c r="B164" s="22" t="s">
        <v>68</v>
      </c>
      <c r="C164" s="22" t="s">
        <v>69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26</v>
      </c>
      <c r="B165" s="22" t="s">
        <v>70</v>
      </c>
      <c r="C165" s="22" t="s">
        <v>71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29</v>
      </c>
      <c r="B166" s="22" t="s">
        <v>70</v>
      </c>
      <c r="C166" s="22" t="s">
        <v>71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30</v>
      </c>
      <c r="B167" s="22" t="s">
        <v>70</v>
      </c>
      <c r="C167" s="22" t="s">
        <v>71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31</v>
      </c>
      <c r="B168" s="22" t="s">
        <v>70</v>
      </c>
      <c r="C168" s="22" t="s">
        <v>71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33</v>
      </c>
      <c r="B169" s="22" t="s">
        <v>70</v>
      </c>
      <c r="C169" s="22" t="s">
        <v>71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34</v>
      </c>
      <c r="B170" s="22" t="s">
        <v>70</v>
      </c>
      <c r="C170" s="22" t="s">
        <v>71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35</v>
      </c>
      <c r="B171" s="22" t="s">
        <v>70</v>
      </c>
      <c r="C171" s="22" t="s">
        <v>71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36</v>
      </c>
      <c r="B172" s="22" t="s">
        <v>70</v>
      </c>
      <c r="C172" s="22" t="s">
        <v>71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37</v>
      </c>
      <c r="B173" s="22" t="s">
        <v>70</v>
      </c>
      <c r="C173" s="22" t="s">
        <v>71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38</v>
      </c>
      <c r="B174" s="22" t="s">
        <v>70</v>
      </c>
      <c r="C174" s="22" t="s">
        <v>71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39</v>
      </c>
      <c r="B175" s="22" t="s">
        <v>70</v>
      </c>
      <c r="C175" s="22" t="s">
        <v>71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40</v>
      </c>
      <c r="B176" s="22" t="s">
        <v>70</v>
      </c>
      <c r="C176" s="22" t="s">
        <v>71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41</v>
      </c>
      <c r="B177" s="22" t="s">
        <v>70</v>
      </c>
      <c r="C177" s="22" t="s">
        <v>71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43</v>
      </c>
      <c r="B178" s="22" t="s">
        <v>70</v>
      </c>
      <c r="C178" s="22" t="s">
        <v>71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44</v>
      </c>
      <c r="B179" s="22" t="s">
        <v>70</v>
      </c>
      <c r="C179" s="22" t="s">
        <v>71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45</v>
      </c>
      <c r="B180" s="22" t="s">
        <v>70</v>
      </c>
      <c r="C180" s="22" t="s">
        <v>71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46</v>
      </c>
      <c r="B181" s="22" t="s">
        <v>70</v>
      </c>
      <c r="C181" s="22" t="s">
        <v>71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47</v>
      </c>
      <c r="B182" s="22" t="s">
        <v>70</v>
      </c>
      <c r="C182" s="22" t="s">
        <v>71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48</v>
      </c>
      <c r="B183" s="22" t="s">
        <v>70</v>
      </c>
      <c r="C183" s="22" t="s">
        <v>71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49</v>
      </c>
      <c r="B184" s="22" t="s">
        <v>70</v>
      </c>
      <c r="C184" s="22" t="s">
        <v>71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50</v>
      </c>
      <c r="B185" s="22" t="s">
        <v>70</v>
      </c>
      <c r="C185" s="22" t="s">
        <v>71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51</v>
      </c>
      <c r="B186" s="22" t="s">
        <v>70</v>
      </c>
      <c r="C186" s="22" t="s">
        <v>71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52</v>
      </c>
      <c r="B187" s="22" t="s">
        <v>70</v>
      </c>
      <c r="C187" s="22" t="s">
        <v>71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53</v>
      </c>
      <c r="B188" s="22" t="s">
        <v>70</v>
      </c>
      <c r="C188" s="22" t="s">
        <v>71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54</v>
      </c>
      <c r="B189" s="22" t="s">
        <v>70</v>
      </c>
      <c r="C189" s="22" t="s">
        <v>71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  <row r="190">
      <c r="A190" s="30" t="s">
        <v>55</v>
      </c>
      <c r="B190" s="22" t="s">
        <v>70</v>
      </c>
      <c r="C190" s="22" t="s">
        <v>71</v>
      </c>
      <c r="D190" s="24"/>
      <c r="E190" s="25"/>
      <c r="F190" s="23"/>
      <c r="G190" s="25"/>
      <c r="H190" s="23"/>
      <c r="I190" s="26"/>
      <c r="J190" s="24"/>
      <c r="K190" s="25"/>
      <c r="L190" s="23"/>
      <c r="M190" s="25"/>
      <c r="N190" s="23"/>
      <c r="O190" s="26"/>
      <c r="P190" s="27"/>
      <c r="Q190" s="28"/>
      <c r="R190" s="29"/>
      <c r="S190" s="24"/>
      <c r="T190" s="25"/>
      <c r="U190" s="23"/>
      <c r="V190" s="25"/>
      <c r="W190" s="23"/>
      <c r="X190" s="26"/>
      <c r="Y190" s="24"/>
      <c r="Z190" s="25"/>
      <c r="AA190" s="23"/>
      <c r="AB190" s="25"/>
      <c r="AC190" s="23"/>
      <c r="AD190" s="26"/>
    </row>
    <row r="191">
      <c r="A191" s="30" t="s">
        <v>56</v>
      </c>
      <c r="B191" s="22" t="s">
        <v>70</v>
      </c>
      <c r="C191" s="22" t="s">
        <v>71</v>
      </c>
      <c r="D191" s="24"/>
      <c r="E191" s="25"/>
      <c r="F191" s="23"/>
      <c r="G191" s="25"/>
      <c r="H191" s="23"/>
      <c r="I191" s="26"/>
      <c r="J191" s="24"/>
      <c r="K191" s="25"/>
      <c r="L191" s="23"/>
      <c r="M191" s="25"/>
      <c r="N191" s="23"/>
      <c r="O191" s="26"/>
      <c r="P191" s="27"/>
      <c r="Q191" s="28"/>
      <c r="R191" s="29"/>
      <c r="S191" s="24"/>
      <c r="T191" s="25"/>
      <c r="U191" s="23"/>
      <c r="V191" s="25"/>
      <c r="W191" s="23"/>
      <c r="X191" s="26"/>
      <c r="Y191" s="24"/>
      <c r="Z191" s="25"/>
      <c r="AA191" s="23"/>
      <c r="AB191" s="25"/>
      <c r="AC191" s="23"/>
      <c r="AD191" s="26"/>
    </row>
    <row r="192">
      <c r="A192" s="30" t="s">
        <v>57</v>
      </c>
      <c r="B192" s="22" t="s">
        <v>70</v>
      </c>
      <c r="C192" s="22" t="s">
        <v>71</v>
      </c>
      <c r="D192" s="24"/>
      <c r="E192" s="25"/>
      <c r="F192" s="23"/>
      <c r="G192" s="25"/>
      <c r="H192" s="23"/>
      <c r="I192" s="26"/>
      <c r="J192" s="24"/>
      <c r="K192" s="25"/>
      <c r="L192" s="23"/>
      <c r="M192" s="25"/>
      <c r="N192" s="23"/>
      <c r="O192" s="26"/>
      <c r="P192" s="27"/>
      <c r="Q192" s="28"/>
      <c r="R192" s="29"/>
      <c r="S192" s="24"/>
      <c r="T192" s="25"/>
      <c r="U192" s="23"/>
      <c r="V192" s="25"/>
      <c r="W192" s="23"/>
      <c r="X192" s="26"/>
      <c r="Y192" s="24"/>
      <c r="Z192" s="25"/>
      <c r="AA192" s="23"/>
      <c r="AB192" s="25"/>
      <c r="AC192" s="23"/>
      <c r="AD192" s="26"/>
    </row>
    <row r="193">
      <c r="A193" s="30" t="s">
        <v>58</v>
      </c>
      <c r="B193" s="22" t="s">
        <v>70</v>
      </c>
      <c r="C193" s="22" t="s">
        <v>71</v>
      </c>
      <c r="D193" s="24"/>
      <c r="E193" s="25"/>
      <c r="F193" s="23"/>
      <c r="G193" s="25"/>
      <c r="H193" s="23"/>
      <c r="I193" s="26"/>
      <c r="J193" s="24"/>
      <c r="K193" s="25"/>
      <c r="L193" s="23"/>
      <c r="M193" s="25"/>
      <c r="N193" s="23"/>
      <c r="O193" s="26"/>
      <c r="P193" s="27"/>
      <c r="Q193" s="28"/>
      <c r="R193" s="29"/>
      <c r="S193" s="24"/>
      <c r="T193" s="25"/>
      <c r="U193" s="23"/>
      <c r="V193" s="25"/>
      <c r="W193" s="23"/>
      <c r="X193" s="26"/>
      <c r="Y193" s="24"/>
      <c r="Z193" s="25"/>
      <c r="AA193" s="23"/>
      <c r="AB193" s="25"/>
      <c r="AC193" s="23"/>
      <c r="AD193" s="26"/>
    </row>
    <row r="194">
      <c r="A194" s="30" t="s">
        <v>59</v>
      </c>
      <c r="B194" s="22" t="s">
        <v>70</v>
      </c>
      <c r="C194" s="22" t="s">
        <v>71</v>
      </c>
      <c r="D194" s="24"/>
      <c r="E194" s="25"/>
      <c r="F194" s="23"/>
      <c r="G194" s="25"/>
      <c r="H194" s="23"/>
      <c r="I194" s="26"/>
      <c r="J194" s="24"/>
      <c r="K194" s="25"/>
      <c r="L194" s="23"/>
      <c r="M194" s="25"/>
      <c r="N194" s="23"/>
      <c r="O194" s="26"/>
      <c r="P194" s="27"/>
      <c r="Q194" s="28"/>
      <c r="R194" s="29"/>
      <c r="S194" s="24"/>
      <c r="T194" s="25"/>
      <c r="U194" s="23"/>
      <c r="V194" s="25"/>
      <c r="W194" s="23"/>
      <c r="X194" s="26"/>
      <c r="Y194" s="24"/>
      <c r="Z194" s="25"/>
      <c r="AA194" s="23"/>
      <c r="AB194" s="25"/>
      <c r="AC194" s="23"/>
      <c r="AD194" s="26"/>
    </row>
    <row r="195">
      <c r="A195" s="30" t="s">
        <v>60</v>
      </c>
      <c r="B195" s="22" t="s">
        <v>70</v>
      </c>
      <c r="C195" s="22" t="s">
        <v>71</v>
      </c>
      <c r="D195" s="24"/>
      <c r="E195" s="25"/>
      <c r="F195" s="23"/>
      <c r="G195" s="25"/>
      <c r="H195" s="23"/>
      <c r="I195" s="26"/>
      <c r="J195" s="24"/>
      <c r="K195" s="25"/>
      <c r="L195" s="23"/>
      <c r="M195" s="25"/>
      <c r="N195" s="23"/>
      <c r="O195" s="26"/>
      <c r="P195" s="27"/>
      <c r="Q195" s="28"/>
      <c r="R195" s="29"/>
      <c r="S195" s="24"/>
      <c r="T195" s="25"/>
      <c r="U195" s="23"/>
      <c r="V195" s="25"/>
      <c r="W195" s="23"/>
      <c r="X195" s="26"/>
      <c r="Y195" s="24"/>
      <c r="Z195" s="25"/>
      <c r="AA195" s="23"/>
      <c r="AB195" s="25"/>
      <c r="AC195" s="23"/>
      <c r="AD195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