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<sst xmlns="http://schemas.openxmlformats.org/spreadsheetml/2006/main" count="1713" uniqueCount="84">
  <si>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</si>
  <si>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</si>
  <si>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</si>
  <si>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</si>
  <si>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</si>
  <si>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</si>
  <si>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</si>
  <si>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</si>
  <si>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</si>
  <si>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</si>
  <si>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</si>
  <si>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</si>
  <si>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</si>
  <si>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</si>
  <si>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</si>
  <si>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</si>
  <si>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3.1</t>
  </si>
  <si>
    <t>日経225先物</t>
  </si>
  <si>
    <t>Nikkei 225 Futures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</si>
  <si>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</si>
  <si>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</si>
  <si>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</si>
  <si>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</si>
  <si>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</si>
  <si>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</si>
  <si>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</si>
  <si>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</si>
  <si>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</si>
  <si>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◎</t>
  </si>
  <si>
    <t>11</t>
  </si>
  <si>
    <t>12</t>
  </si>
  <si>
    <t>13</t>
  </si>
  <si>
    <t>14</t>
  </si>
  <si>
    <t>15</t>
  </si>
  <si>
    <t>16</t>
  </si>
  <si>
    <t>●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</si>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</sst>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selection sqref="A1:C1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/>
      <c r="F6" s="10"/>
      <c r="G6" s="2"/>
      <c r="H6" s="10"/>
      <c r="I6" s="2"/>
      <c r="J6" s="10"/>
      <c r="K6" s="2"/>
    </row>
    <row r="7">
      <c r="A7" s="8" t="s">
        <v>19</v>
      </c>
      <c r="B7" s="9" t="s">
        <v>17</v>
      </c>
      <c r="C7" s="9" t="s">
        <v>18</v>
      </c>
      <c r="D7" s="10"/>
      <c r="E7" s="2" t="n">
        <f>380484</f>
        <v>380484.0</v>
      </c>
      <c r="F7" s="10"/>
      <c r="G7" s="2" t="n">
        <f>7990246319869</f>
        <v>7.990246319869E12</v>
      </c>
      <c r="H7" s="10"/>
      <c r="I7" s="2" t="n">
        <f>27831</f>
        <v>27831.0</v>
      </c>
      <c r="J7" s="10"/>
      <c r="K7" s="2" t="n">
        <f>435093</f>
        <v>435093.0</v>
      </c>
    </row>
    <row r="8">
      <c r="A8" s="8" t="s">
        <v>20</v>
      </c>
      <c r="B8" s="9" t="s">
        <v>17</v>
      </c>
      <c r="C8" s="9" t="s">
        <v>18</v>
      </c>
      <c r="D8" s="10"/>
      <c r="E8" s="2" t="n">
        <f>259412</f>
        <v>259412.0</v>
      </c>
      <c r="F8" s="10"/>
      <c r="G8" s="2" t="n">
        <f>5493109278638</f>
        <v>5.493109278638E12</v>
      </c>
      <c r="H8" s="10"/>
      <c r="I8" s="2" t="n">
        <f>21695</f>
        <v>21695.0</v>
      </c>
      <c r="J8" s="10"/>
      <c r="K8" s="2" t="n">
        <f>438989</f>
        <v>438989.0</v>
      </c>
    </row>
    <row r="9">
      <c r="A9" s="8" t="s">
        <v>21</v>
      </c>
      <c r="B9" s="9" t="s">
        <v>17</v>
      </c>
      <c r="C9" s="9" t="s">
        <v>18</v>
      </c>
      <c r="D9" s="10"/>
      <c r="E9" s="2" t="n">
        <f>231006</f>
        <v>231006.0</v>
      </c>
      <c r="F9" s="10"/>
      <c r="G9" s="2" t="n">
        <f>4879881944941</f>
        <v>4.879881944941E12</v>
      </c>
      <c r="H9" s="10"/>
      <c r="I9" s="2" t="n">
        <f>22557</f>
        <v>22557.0</v>
      </c>
      <c r="J9" s="10"/>
      <c r="K9" s="2" t="n">
        <f>438685</f>
        <v>438685.0</v>
      </c>
    </row>
    <row r="10">
      <c r="A10" s="8" t="s">
        <v>22</v>
      </c>
      <c r="B10" s="9" t="s">
        <v>17</v>
      </c>
      <c r="C10" s="9" t="s">
        <v>18</v>
      </c>
      <c r="D10" s="10"/>
      <c r="E10" s="2" t="n">
        <f>176690</f>
        <v>176690.0</v>
      </c>
      <c r="F10" s="10"/>
      <c r="G10" s="2" t="n">
        <f>3751003418110</f>
        <v>3.75100341811E12</v>
      </c>
      <c r="H10" s="10"/>
      <c r="I10" s="2" t="n">
        <f>20413</f>
        <v>20413.0</v>
      </c>
      <c r="J10" s="10"/>
      <c r="K10" s="2" t="n">
        <f>459885</f>
        <v>459885.0</v>
      </c>
    </row>
    <row r="11">
      <c r="A11" s="8" t="s">
        <v>23</v>
      </c>
      <c r="B11" s="9" t="s">
        <v>17</v>
      </c>
      <c r="C11" s="9" t="s">
        <v>18</v>
      </c>
      <c r="D11" s="10"/>
      <c r="E11" s="2" t="n">
        <f>204810</f>
        <v>204810.0</v>
      </c>
      <c r="F11" s="10"/>
      <c r="G11" s="2" t="n">
        <f>4263102139699</f>
        <v>4.263102139699E12</v>
      </c>
      <c r="H11" s="10"/>
      <c r="I11" s="2" t="n">
        <f>16858</f>
        <v>16858.0</v>
      </c>
      <c r="J11" s="10"/>
      <c r="K11" s="2" t="n">
        <f>468619</f>
        <v>468619.0</v>
      </c>
    </row>
    <row r="12">
      <c r="A12" s="8" t="s">
        <v>24</v>
      </c>
      <c r="B12" s="9" t="s">
        <v>17</v>
      </c>
      <c r="C12" s="9" t="s">
        <v>18</v>
      </c>
      <c r="D12" s="10"/>
      <c r="E12" s="2"/>
      <c r="F12" s="10"/>
      <c r="G12" s="2"/>
      <c r="H12" s="10"/>
      <c r="I12" s="2"/>
      <c r="J12" s="10"/>
      <c r="K12" s="2"/>
    </row>
    <row r="13">
      <c r="A13" s="8" t="s">
        <v>25</v>
      </c>
      <c r="B13" s="9" t="s">
        <v>17</v>
      </c>
      <c r="C13" s="9" t="s">
        <v>18</v>
      </c>
      <c r="D13" s="10"/>
      <c r="E13" s="2"/>
      <c r="F13" s="10"/>
      <c r="G13" s="2"/>
      <c r="H13" s="10"/>
      <c r="I13" s="2"/>
      <c r="J13" s="10"/>
      <c r="K13" s="2"/>
    </row>
    <row r="14">
      <c r="A14" s="8" t="s">
        <v>26</v>
      </c>
      <c r="B14" s="9" t="s">
        <v>17</v>
      </c>
      <c r="C14" s="9" t="s">
        <v>18</v>
      </c>
      <c r="D14" s="10"/>
      <c r="E14" s="2" t="n">
        <f>381625</f>
        <v>381625.0</v>
      </c>
      <c r="F14" s="10"/>
      <c r="G14" s="2" t="n">
        <f>7553170490902</f>
        <v>7.553170490902E12</v>
      </c>
      <c r="H14" s="10"/>
      <c r="I14" s="2" t="n">
        <f>30951</f>
        <v>30951.0</v>
      </c>
      <c r="J14" s="10"/>
      <c r="K14" s="2" t="n">
        <f>496666</f>
        <v>496666.0</v>
      </c>
    </row>
    <row r="15">
      <c r="A15" s="8" t="s">
        <v>27</v>
      </c>
      <c r="B15" s="9" t="s">
        <v>17</v>
      </c>
      <c r="C15" s="9" t="s">
        <v>18</v>
      </c>
      <c r="D15" s="10" t="s">
        <v>28</v>
      </c>
      <c r="E15" s="2" t="n">
        <f>623938</f>
        <v>623938.0</v>
      </c>
      <c r="F15" s="10" t="s">
        <v>28</v>
      </c>
      <c r="G15" s="2" t="n">
        <f>12064388567567</f>
        <v>1.2064388567567E13</v>
      </c>
      <c r="H15" s="10" t="s">
        <v>28</v>
      </c>
      <c r="I15" s="2" t="n">
        <f>51386</f>
        <v>51386.0</v>
      </c>
      <c r="J15" s="10"/>
      <c r="K15" s="2" t="n">
        <f>518812</f>
        <v>518812.0</v>
      </c>
    </row>
    <row r="16">
      <c r="A16" s="8" t="s">
        <v>29</v>
      </c>
      <c r="B16" s="9" t="s">
        <v>17</v>
      </c>
      <c r="C16" s="9" t="s">
        <v>18</v>
      </c>
      <c r="D16" s="10"/>
      <c r="E16" s="2" t="n">
        <f>559011</f>
        <v>559011.0</v>
      </c>
      <c r="F16" s="10"/>
      <c r="G16" s="2" t="n">
        <f>10947895341962</f>
        <v>1.0947895341962E13</v>
      </c>
      <c r="H16" s="10"/>
      <c r="I16" s="2" t="n">
        <f>48069</f>
        <v>48069.0</v>
      </c>
      <c r="J16" s="10"/>
      <c r="K16" s="2" t="n">
        <f>610200</f>
        <v>610200.0</v>
      </c>
    </row>
    <row r="17">
      <c r="A17" s="8" t="s">
        <v>30</v>
      </c>
      <c r="B17" s="9" t="s">
        <v>17</v>
      </c>
      <c r="C17" s="9" t="s">
        <v>18</v>
      </c>
      <c r="D17" s="10"/>
      <c r="E17" s="2" t="n">
        <f>340902</f>
        <v>340902.0</v>
      </c>
      <c r="F17" s="10"/>
      <c r="G17" s="2" t="n">
        <f>6385886885647</f>
        <v>6.385886885647E12</v>
      </c>
      <c r="H17" s="10"/>
      <c r="I17" s="2" t="n">
        <f>28676</f>
        <v>28676.0</v>
      </c>
      <c r="J17" s="10"/>
      <c r="K17" s="2" t="n">
        <f>557519</f>
        <v>557519.0</v>
      </c>
    </row>
    <row r="18">
      <c r="A18" s="8" t="s">
        <v>31</v>
      </c>
      <c r="B18" s="9" t="s">
        <v>17</v>
      </c>
      <c r="C18" s="9" t="s">
        <v>18</v>
      </c>
      <c r="D18" s="10"/>
      <c r="E18" s="2" t="n">
        <f>359639</f>
        <v>359639.0</v>
      </c>
      <c r="F18" s="10"/>
      <c r="G18" s="2" t="n">
        <f>6171717106570</f>
        <v>6.17171710657E12</v>
      </c>
      <c r="H18" s="10"/>
      <c r="I18" s="2" t="n">
        <f>30910</f>
        <v>30910.0</v>
      </c>
      <c r="J18" s="10" t="s">
        <v>28</v>
      </c>
      <c r="K18" s="2" t="n">
        <f>616809</f>
        <v>616809.0</v>
      </c>
    </row>
    <row r="19">
      <c r="A19" s="8" t="s">
        <v>32</v>
      </c>
      <c r="B19" s="9" t="s">
        <v>17</v>
      </c>
      <c r="C19" s="9" t="s">
        <v>18</v>
      </c>
      <c r="D19" s="10"/>
      <c r="E19" s="2"/>
      <c r="F19" s="10"/>
      <c r="G19" s="2"/>
      <c r="H19" s="10"/>
      <c r="I19" s="2"/>
      <c r="J19" s="10"/>
      <c r="K19" s="2"/>
    </row>
    <row r="20">
      <c r="A20" s="8" t="s">
        <v>33</v>
      </c>
      <c r="B20" s="9" t="s">
        <v>17</v>
      </c>
      <c r="C20" s="9" t="s">
        <v>18</v>
      </c>
      <c r="D20" s="10"/>
      <c r="E20" s="2"/>
      <c r="F20" s="10"/>
      <c r="G20" s="2"/>
      <c r="H20" s="10"/>
      <c r="I20" s="2"/>
      <c r="J20" s="10"/>
      <c r="K20" s="2"/>
    </row>
    <row r="21">
      <c r="A21" s="8" t="s">
        <v>34</v>
      </c>
      <c r="B21" s="9" t="s">
        <v>17</v>
      </c>
      <c r="C21" s="9" t="s">
        <v>18</v>
      </c>
      <c r="D21" s="10"/>
      <c r="E21" s="2" t="n">
        <f>239228</f>
        <v>239228.0</v>
      </c>
      <c r="F21" s="10"/>
      <c r="G21" s="2" t="n">
        <f>4131152370490</f>
        <v>4.13115237049E12</v>
      </c>
      <c r="H21" s="10"/>
      <c r="I21" s="2" t="n">
        <f>25017</f>
        <v>25017.0</v>
      </c>
      <c r="J21" s="10" t="s">
        <v>35</v>
      </c>
      <c r="K21" s="2" t="n">
        <f>411509</f>
        <v>411509.0</v>
      </c>
    </row>
    <row r="22">
      <c r="A22" s="8" t="s">
        <v>36</v>
      </c>
      <c r="B22" s="9" t="s">
        <v>17</v>
      </c>
      <c r="C22" s="9" t="s">
        <v>18</v>
      </c>
      <c r="D22" s="10"/>
      <c r="E22" s="2" t="n">
        <f>270522</f>
        <v>270522.0</v>
      </c>
      <c r="F22" s="10"/>
      <c r="G22" s="2" t="n">
        <f>4509309716411</f>
        <v>4.509309716411E12</v>
      </c>
      <c r="H22" s="10"/>
      <c r="I22" s="2" t="n">
        <f>20385</f>
        <v>20385.0</v>
      </c>
      <c r="J22" s="10"/>
      <c r="K22" s="2" t="n">
        <f>418835</f>
        <v>418835.0</v>
      </c>
    </row>
    <row r="23">
      <c r="A23" s="8" t="s">
        <v>37</v>
      </c>
      <c r="B23" s="9" t="s">
        <v>17</v>
      </c>
      <c r="C23" s="9" t="s">
        <v>18</v>
      </c>
      <c r="D23" s="10"/>
      <c r="E23" s="2" t="n">
        <f>236863</f>
        <v>236863.0</v>
      </c>
      <c r="F23" s="10"/>
      <c r="G23" s="2" t="n">
        <f>3982505684978</f>
        <v>3.982505684978E12</v>
      </c>
      <c r="H23" s="10"/>
      <c r="I23" s="2" t="n">
        <f>13065</f>
        <v>13065.0</v>
      </c>
      <c r="J23" s="10"/>
      <c r="K23" s="2" t="n">
        <f>431727</f>
        <v>431727.0</v>
      </c>
    </row>
    <row r="24">
      <c r="A24" s="8" t="s">
        <v>38</v>
      </c>
      <c r="B24" s="9" t="s">
        <v>17</v>
      </c>
      <c r="C24" s="9" t="s">
        <v>18</v>
      </c>
      <c r="D24" s="10"/>
      <c r="E24" s="2" t="n">
        <f>207493</f>
        <v>207493.0</v>
      </c>
      <c r="F24" s="10"/>
      <c r="G24" s="2" t="n">
        <f>3404960069530</f>
        <v>3.40496006953E12</v>
      </c>
      <c r="H24" s="10"/>
      <c r="I24" s="2" t="n">
        <f>20939</f>
        <v>20939.0</v>
      </c>
      <c r="J24" s="10"/>
      <c r="K24" s="2" t="n">
        <f>443112</f>
        <v>443112.0</v>
      </c>
    </row>
    <row r="25">
      <c r="A25" s="8" t="s">
        <v>39</v>
      </c>
      <c r="B25" s="9" t="s">
        <v>17</v>
      </c>
      <c r="C25" s="9" t="s">
        <v>18</v>
      </c>
      <c r="D25" s="10"/>
      <c r="E25" s="2"/>
      <c r="F25" s="10"/>
      <c r="G25" s="2"/>
      <c r="H25" s="10"/>
      <c r="I25" s="2"/>
      <c r="J25" s="10"/>
      <c r="K25" s="2"/>
    </row>
    <row r="26">
      <c r="A26" s="8" t="s">
        <v>40</v>
      </c>
      <c r="B26" s="9" t="s">
        <v>17</v>
      </c>
      <c r="C26" s="9" t="s">
        <v>18</v>
      </c>
      <c r="D26" s="10"/>
      <c r="E26" s="2"/>
      <c r="F26" s="10"/>
      <c r="G26" s="2"/>
      <c r="H26" s="10"/>
      <c r="I26" s="2"/>
      <c r="J26" s="10"/>
      <c r="K26" s="2"/>
    </row>
    <row r="27">
      <c r="A27" s="8" t="s">
        <v>41</v>
      </c>
      <c r="B27" s="9" t="s">
        <v>17</v>
      </c>
      <c r="C27" s="9" t="s">
        <v>18</v>
      </c>
      <c r="D27" s="10"/>
      <c r="E27" s="2"/>
      <c r="F27" s="10"/>
      <c r="G27" s="2"/>
      <c r="H27" s="10"/>
      <c r="I27" s="2"/>
      <c r="J27" s="10"/>
      <c r="K27" s="2"/>
    </row>
    <row r="28">
      <c r="A28" s="8" t="s">
        <v>42</v>
      </c>
      <c r="B28" s="9" t="s">
        <v>17</v>
      </c>
      <c r="C28" s="9" t="s">
        <v>18</v>
      </c>
      <c r="D28" s="10"/>
      <c r="E28" s="2" t="n">
        <f>206215</f>
        <v>206215.0</v>
      </c>
      <c r="F28" s="10"/>
      <c r="G28" s="2" t="n">
        <f>3432940840180</f>
        <v>3.43294084018E12</v>
      </c>
      <c r="H28" s="10"/>
      <c r="I28" s="2" t="n">
        <f>16176</f>
        <v>16176.0</v>
      </c>
      <c r="J28" s="10"/>
      <c r="K28" s="2" t="n">
        <f>442098</f>
        <v>442098.0</v>
      </c>
    </row>
    <row r="29">
      <c r="A29" s="8" t="s">
        <v>43</v>
      </c>
      <c r="B29" s="9" t="s">
        <v>17</v>
      </c>
      <c r="C29" s="9" t="s">
        <v>18</v>
      </c>
      <c r="D29" s="10"/>
      <c r="E29" s="2" t="n">
        <f>215337</f>
        <v>215337.0</v>
      </c>
      <c r="F29" s="10"/>
      <c r="G29" s="2" t="n">
        <f>3775175366220</f>
        <v>3.77517536622E12</v>
      </c>
      <c r="H29" s="10"/>
      <c r="I29" s="2" t="n">
        <f>12887</f>
        <v>12887.0</v>
      </c>
      <c r="J29" s="10"/>
      <c r="K29" s="2" t="n">
        <f>426532</f>
        <v>426532.0</v>
      </c>
    </row>
    <row r="30">
      <c r="A30" s="8" t="s">
        <v>44</v>
      </c>
      <c r="B30" s="9" t="s">
        <v>17</v>
      </c>
      <c r="C30" s="9" t="s">
        <v>18</v>
      </c>
      <c r="D30" s="10"/>
      <c r="E30" s="2" t="n">
        <f>204924</f>
        <v>204924.0</v>
      </c>
      <c r="F30" s="10"/>
      <c r="G30" s="2" t="n">
        <f>3873913630050</f>
        <v>3.87391363005E12</v>
      </c>
      <c r="H30" s="10"/>
      <c r="I30" s="2" t="n">
        <f>15707</f>
        <v>15707.0</v>
      </c>
      <c r="J30" s="10"/>
      <c r="K30" s="2" t="n">
        <f>421491</f>
        <v>421491.0</v>
      </c>
    </row>
    <row r="31">
      <c r="A31" s="8" t="s">
        <v>45</v>
      </c>
      <c r="B31" s="9" t="s">
        <v>17</v>
      </c>
      <c r="C31" s="9" t="s">
        <v>18</v>
      </c>
      <c r="D31" s="10"/>
      <c r="E31" s="2" t="n">
        <f>199355</f>
        <v>199355.0</v>
      </c>
      <c r="F31" s="10"/>
      <c r="G31" s="2" t="n">
        <f>3734033764620</f>
        <v>3.73403376462E12</v>
      </c>
      <c r="H31" s="10"/>
      <c r="I31" s="2" t="n">
        <f>16875</f>
        <v>16875.0</v>
      </c>
      <c r="J31" s="10"/>
      <c r="K31" s="2" t="n">
        <f>432979</f>
        <v>432979.0</v>
      </c>
    </row>
    <row r="32">
      <c r="A32" s="8" t="s">
        <v>46</v>
      </c>
      <c r="B32" s="9" t="s">
        <v>17</v>
      </c>
      <c r="C32" s="9" t="s">
        <v>18</v>
      </c>
      <c r="D32" s="10"/>
      <c r="E32" s="2" t="n">
        <f>169008</f>
        <v>169008.0</v>
      </c>
      <c r="F32" s="10"/>
      <c r="G32" s="2" t="n">
        <f>3182301875570</f>
        <v>3.18230187557E12</v>
      </c>
      <c r="H32" s="10"/>
      <c r="I32" s="2" t="n">
        <f>12629</f>
        <v>12629.0</v>
      </c>
      <c r="J32" s="10"/>
      <c r="K32" s="2" t="n">
        <f>431306</f>
        <v>431306.0</v>
      </c>
    </row>
    <row r="33">
      <c r="A33" s="8" t="s">
        <v>47</v>
      </c>
      <c r="B33" s="9" t="s">
        <v>17</v>
      </c>
      <c r="C33" s="9" t="s">
        <v>18</v>
      </c>
      <c r="D33" s="10"/>
      <c r="E33" s="2"/>
      <c r="F33" s="10"/>
      <c r="G33" s="2"/>
      <c r="H33" s="10"/>
      <c r="I33" s="2"/>
      <c r="J33" s="10"/>
      <c r="K33" s="2"/>
    </row>
    <row r="34">
      <c r="A34" s="8" t="s">
        <v>48</v>
      </c>
      <c r="B34" s="9" t="s">
        <v>17</v>
      </c>
      <c r="C34" s="9" t="s">
        <v>18</v>
      </c>
      <c r="D34" s="10"/>
      <c r="E34" s="2"/>
      <c r="F34" s="10"/>
      <c r="G34" s="2"/>
      <c r="H34" s="10"/>
      <c r="I34" s="2"/>
      <c r="J34" s="10"/>
      <c r="K34" s="2"/>
    </row>
    <row r="35">
      <c r="A35" s="8" t="s">
        <v>49</v>
      </c>
      <c r="B35" s="9" t="s">
        <v>17</v>
      </c>
      <c r="C35" s="9" t="s">
        <v>18</v>
      </c>
      <c r="D35" s="10"/>
      <c r="E35" s="2" t="n">
        <f>149790</f>
        <v>149790.0</v>
      </c>
      <c r="F35" s="10"/>
      <c r="G35" s="2" t="n">
        <f>2813652437680</f>
        <v>2.81365243768E12</v>
      </c>
      <c r="H35" s="10"/>
      <c r="I35" s="2" t="n">
        <f>16233</f>
        <v>16233.0</v>
      </c>
      <c r="J35" s="10"/>
      <c r="K35" s="2" t="n">
        <f>439784</f>
        <v>439784.0</v>
      </c>
    </row>
    <row r="36">
      <c r="A36" s="8" t="s">
        <v>50</v>
      </c>
      <c r="B36" s="9" t="s">
        <v>17</v>
      </c>
      <c r="C36" s="9" t="s">
        <v>18</v>
      </c>
      <c r="D36" s="10" t="s">
        <v>35</v>
      </c>
      <c r="E36" s="2" t="n">
        <f>127674</f>
        <v>127674.0</v>
      </c>
      <c r="F36" s="10" t="s">
        <v>35</v>
      </c>
      <c r="G36" s="2" t="n">
        <f>2413206065610</f>
        <v>2.41320606561E12</v>
      </c>
      <c r="H36" s="10" t="s">
        <v>35</v>
      </c>
      <c r="I36" s="2" t="n">
        <f>12016</f>
        <v>12016.0</v>
      </c>
      <c r="J36" s="10"/>
      <c r="K36" s="2" t="n">
        <f>446816</f>
        <v>446816.0</v>
      </c>
    </row>
    <row r="37">
      <c r="A37" s="8" t="s">
        <v>16</v>
      </c>
      <c r="B37" s="9" t="s">
        <v>51</v>
      </c>
      <c r="C37" s="9" t="s">
        <v>52</v>
      </c>
      <c r="D37" s="10"/>
      <c r="E37" s="2"/>
      <c r="F37" s="10"/>
      <c r="G37" s="2"/>
      <c r="H37" s="10"/>
      <c r="I37" s="2"/>
      <c r="J37" s="10"/>
      <c r="K37" s="2"/>
    </row>
    <row r="38">
      <c r="A38" s="8" t="s">
        <v>19</v>
      </c>
      <c r="B38" s="9" t="s">
        <v>51</v>
      </c>
      <c r="C38" s="9" t="s">
        <v>52</v>
      </c>
      <c r="D38" s="10" t="s">
        <v>28</v>
      </c>
      <c r="E38" s="2" t="n">
        <f>5132559</f>
        <v>5132559.0</v>
      </c>
      <c r="F38" s="10" t="s">
        <v>28</v>
      </c>
      <c r="G38" s="2" t="n">
        <f>10739808304500</f>
        <v>1.07398083045E13</v>
      </c>
      <c r="H38" s="10"/>
      <c r="I38" s="2" t="n">
        <f>325189</f>
        <v>325189.0</v>
      </c>
      <c r="J38" s="10"/>
      <c r="K38" s="2" t="n">
        <f>710475</f>
        <v>710475.0</v>
      </c>
    </row>
    <row r="39">
      <c r="A39" s="8" t="s">
        <v>20</v>
      </c>
      <c r="B39" s="9" t="s">
        <v>51</v>
      </c>
      <c r="C39" s="9" t="s">
        <v>52</v>
      </c>
      <c r="D39" s="10"/>
      <c r="E39" s="2" t="n">
        <f>3462321</f>
        <v>3462321.0</v>
      </c>
      <c r="F39" s="10"/>
      <c r="G39" s="2" t="n">
        <f>7317768677700</f>
        <v>7.3177686777E12</v>
      </c>
      <c r="H39" s="10"/>
      <c r="I39" s="2" t="n">
        <f>237521</f>
        <v>237521.0</v>
      </c>
      <c r="J39" s="10"/>
      <c r="K39" s="2" t="n">
        <f>626418</f>
        <v>626418.0</v>
      </c>
    </row>
    <row r="40">
      <c r="A40" s="8" t="s">
        <v>21</v>
      </c>
      <c r="B40" s="9" t="s">
        <v>51</v>
      </c>
      <c r="C40" s="9" t="s">
        <v>52</v>
      </c>
      <c r="D40" s="10"/>
      <c r="E40" s="2" t="n">
        <f>3002493</f>
        <v>3002493.0</v>
      </c>
      <c r="F40" s="10"/>
      <c r="G40" s="2" t="n">
        <f>6345167067350</f>
        <v>6.34516706735E12</v>
      </c>
      <c r="H40" s="10"/>
      <c r="I40" s="2" t="n">
        <f>210472</f>
        <v>210472.0</v>
      </c>
      <c r="J40" s="10"/>
      <c r="K40" s="2" t="n">
        <f>642265</f>
        <v>642265.0</v>
      </c>
    </row>
    <row r="41">
      <c r="A41" s="8" t="s">
        <v>22</v>
      </c>
      <c r="B41" s="9" t="s">
        <v>51</v>
      </c>
      <c r="C41" s="9" t="s">
        <v>52</v>
      </c>
      <c r="D41" s="10"/>
      <c r="E41" s="2" t="n">
        <f>1810251</f>
        <v>1810251.0</v>
      </c>
      <c r="F41" s="10"/>
      <c r="G41" s="2" t="n">
        <f>3841326777200</f>
        <v>3.8413267772E12</v>
      </c>
      <c r="H41" s="10"/>
      <c r="I41" s="2" t="n">
        <f>140207</f>
        <v>140207.0</v>
      </c>
      <c r="J41" s="10"/>
      <c r="K41" s="2" t="n">
        <f>680452</f>
        <v>680452.0</v>
      </c>
    </row>
    <row r="42">
      <c r="A42" s="8" t="s">
        <v>23</v>
      </c>
      <c r="B42" s="9" t="s">
        <v>51</v>
      </c>
      <c r="C42" s="9" t="s">
        <v>52</v>
      </c>
      <c r="D42" s="10"/>
      <c r="E42" s="2" t="n">
        <f>2143627</f>
        <v>2143627.0</v>
      </c>
      <c r="F42" s="10"/>
      <c r="G42" s="2" t="n">
        <f>4471543178550</f>
        <v>4.47154317855E12</v>
      </c>
      <c r="H42" s="10"/>
      <c r="I42" s="2" t="n">
        <f>150514</f>
        <v>150514.0</v>
      </c>
      <c r="J42" s="10"/>
      <c r="K42" s="2" t="n">
        <f>729435</f>
        <v>729435.0</v>
      </c>
    </row>
    <row r="43">
      <c r="A43" s="8" t="s">
        <v>24</v>
      </c>
      <c r="B43" s="9" t="s">
        <v>51</v>
      </c>
      <c r="C43" s="9" t="s">
        <v>52</v>
      </c>
      <c r="D43" s="10"/>
      <c r="E43" s="2"/>
      <c r="F43" s="10"/>
      <c r="G43" s="2"/>
      <c r="H43" s="10"/>
      <c r="I43" s="2"/>
      <c r="J43" s="10"/>
      <c r="K43" s="2"/>
    </row>
    <row r="44">
      <c r="A44" s="8" t="s">
        <v>25</v>
      </c>
      <c r="B44" s="9" t="s">
        <v>51</v>
      </c>
      <c r="C44" s="9" t="s">
        <v>52</v>
      </c>
      <c r="D44" s="10"/>
      <c r="E44" s="2"/>
      <c r="F44" s="10"/>
      <c r="G44" s="2"/>
      <c r="H44" s="10"/>
      <c r="I44" s="2"/>
      <c r="J44" s="10"/>
      <c r="K44" s="2"/>
    </row>
    <row r="45">
      <c r="A45" s="8" t="s">
        <v>26</v>
      </c>
      <c r="B45" s="9" t="s">
        <v>51</v>
      </c>
      <c r="C45" s="9" t="s">
        <v>52</v>
      </c>
      <c r="D45" s="10"/>
      <c r="E45" s="2" t="n">
        <f>3515894</f>
        <v>3515894.0</v>
      </c>
      <c r="F45" s="10"/>
      <c r="G45" s="2" t="n">
        <f>7035329259096</f>
        <v>7.035329259096E12</v>
      </c>
      <c r="H45" s="10"/>
      <c r="I45" s="2" t="n">
        <f>279109</f>
        <v>279109.0</v>
      </c>
      <c r="J45" s="10"/>
      <c r="K45" s="2" t="n">
        <f>848228</f>
        <v>848228.0</v>
      </c>
    </row>
    <row r="46">
      <c r="A46" s="8" t="s">
        <v>27</v>
      </c>
      <c r="B46" s="9" t="s">
        <v>51</v>
      </c>
      <c r="C46" s="9" t="s">
        <v>52</v>
      </c>
      <c r="D46" s="10"/>
      <c r="E46" s="2" t="n">
        <f>3815084</f>
        <v>3815084.0</v>
      </c>
      <c r="F46" s="10"/>
      <c r="G46" s="2" t="n">
        <f>7321749580126</f>
        <v>7.321749580126E12</v>
      </c>
      <c r="H46" s="10" t="s">
        <v>28</v>
      </c>
      <c r="I46" s="2" t="n">
        <f>362592</f>
        <v>362592.0</v>
      </c>
      <c r="J46" s="10"/>
      <c r="K46" s="2" t="n">
        <f>937060</f>
        <v>937060.0</v>
      </c>
    </row>
    <row r="47">
      <c r="A47" s="8" t="s">
        <v>29</v>
      </c>
      <c r="B47" s="9" t="s">
        <v>51</v>
      </c>
      <c r="C47" s="9" t="s">
        <v>52</v>
      </c>
      <c r="D47" s="10"/>
      <c r="E47" s="2" t="n">
        <f>3486186</f>
        <v>3486186.0</v>
      </c>
      <c r="F47" s="10"/>
      <c r="G47" s="2" t="n">
        <f>6824607275956</f>
        <v>6.824607275956E12</v>
      </c>
      <c r="H47" s="10"/>
      <c r="I47" s="2" t="n">
        <f>216412</f>
        <v>216412.0</v>
      </c>
      <c r="J47" s="10"/>
      <c r="K47" s="2" t="n">
        <f>1580318</f>
        <v>1580318.0</v>
      </c>
    </row>
    <row r="48">
      <c r="A48" s="8" t="s">
        <v>30</v>
      </c>
      <c r="B48" s="9" t="s">
        <v>51</v>
      </c>
      <c r="C48" s="9" t="s">
        <v>52</v>
      </c>
      <c r="D48" s="10"/>
      <c r="E48" s="2" t="n">
        <f>3357628</f>
        <v>3357628.0</v>
      </c>
      <c r="F48" s="10"/>
      <c r="G48" s="2" t="n">
        <f>6335458865405</f>
        <v>6.335458865405E12</v>
      </c>
      <c r="H48" s="10"/>
      <c r="I48" s="2" t="n">
        <f>156142</f>
        <v>156142.0</v>
      </c>
      <c r="J48" s="10"/>
      <c r="K48" s="2" t="n">
        <f>1235917</f>
        <v>1235917.0</v>
      </c>
    </row>
    <row r="49">
      <c r="A49" s="8" t="s">
        <v>31</v>
      </c>
      <c r="B49" s="9" t="s">
        <v>51</v>
      </c>
      <c r="C49" s="9" t="s">
        <v>52</v>
      </c>
      <c r="D49" s="10"/>
      <c r="E49" s="2" t="n">
        <f>4464748</f>
        <v>4464748.0</v>
      </c>
      <c r="F49" s="10"/>
      <c r="G49" s="2" t="n">
        <f>7682406343529</f>
        <v>7.682406343529E12</v>
      </c>
      <c r="H49" s="10"/>
      <c r="I49" s="2" t="n">
        <f>266863</f>
        <v>266863.0</v>
      </c>
      <c r="J49" s="10" t="s">
        <v>28</v>
      </c>
      <c r="K49" s="2" t="n">
        <f>2031915</f>
        <v>2031915.0</v>
      </c>
    </row>
    <row r="50">
      <c r="A50" s="8" t="s">
        <v>32</v>
      </c>
      <c r="B50" s="9" t="s">
        <v>51</v>
      </c>
      <c r="C50" s="9" t="s">
        <v>52</v>
      </c>
      <c r="D50" s="10"/>
      <c r="E50" s="2"/>
      <c r="F50" s="10"/>
      <c r="G50" s="2"/>
      <c r="H50" s="10"/>
      <c r="I50" s="2"/>
      <c r="J50" s="10"/>
      <c r="K50" s="2"/>
    </row>
    <row r="51">
      <c r="A51" s="8" t="s">
        <v>33</v>
      </c>
      <c r="B51" s="9" t="s">
        <v>51</v>
      </c>
      <c r="C51" s="9" t="s">
        <v>52</v>
      </c>
      <c r="D51" s="10"/>
      <c r="E51" s="2"/>
      <c r="F51" s="10"/>
      <c r="G51" s="2"/>
      <c r="H51" s="10"/>
      <c r="I51" s="2"/>
      <c r="J51" s="10"/>
      <c r="K51" s="2"/>
    </row>
    <row r="52">
      <c r="A52" s="8" t="s">
        <v>34</v>
      </c>
      <c r="B52" s="9" t="s">
        <v>51</v>
      </c>
      <c r="C52" s="9" t="s">
        <v>52</v>
      </c>
      <c r="D52" s="10"/>
      <c r="E52" s="2" t="n">
        <f>3399839</f>
        <v>3399839.0</v>
      </c>
      <c r="F52" s="10"/>
      <c r="G52" s="2" t="n">
        <f>5909081016450</f>
        <v>5.90908101645E12</v>
      </c>
      <c r="H52" s="10"/>
      <c r="I52" s="2" t="n">
        <f>182296</f>
        <v>182296.0</v>
      </c>
      <c r="J52" s="10"/>
      <c r="K52" s="2" t="n">
        <f>744732</f>
        <v>744732.0</v>
      </c>
    </row>
    <row r="53">
      <c r="A53" s="8" t="s">
        <v>36</v>
      </c>
      <c r="B53" s="9" t="s">
        <v>51</v>
      </c>
      <c r="C53" s="9" t="s">
        <v>52</v>
      </c>
      <c r="D53" s="10"/>
      <c r="E53" s="2" t="n">
        <f>3371967</f>
        <v>3371967.0</v>
      </c>
      <c r="F53" s="10"/>
      <c r="G53" s="2" t="n">
        <f>5600646689150</f>
        <v>5.60064668915E12</v>
      </c>
      <c r="H53" s="10"/>
      <c r="I53" s="2" t="n">
        <f>161671</f>
        <v>161671.0</v>
      </c>
      <c r="J53" s="10"/>
      <c r="K53" s="2" t="n">
        <f>1469924</f>
        <v>1469924.0</v>
      </c>
    </row>
    <row r="54">
      <c r="A54" s="8" t="s">
        <v>37</v>
      </c>
      <c r="B54" s="9" t="s">
        <v>51</v>
      </c>
      <c r="C54" s="9" t="s">
        <v>52</v>
      </c>
      <c r="D54" s="10"/>
      <c r="E54" s="2" t="n">
        <f>3223071</f>
        <v>3223071.0</v>
      </c>
      <c r="F54" s="10"/>
      <c r="G54" s="2" t="n">
        <f>5417288647900</f>
        <v>5.4172886479E12</v>
      </c>
      <c r="H54" s="10"/>
      <c r="I54" s="2" t="n">
        <f>159553</f>
        <v>159553.0</v>
      </c>
      <c r="J54" s="10"/>
      <c r="K54" s="2" t="n">
        <f>602237</f>
        <v>602237.0</v>
      </c>
    </row>
    <row r="55">
      <c r="A55" s="8" t="s">
        <v>38</v>
      </c>
      <c r="B55" s="9" t="s">
        <v>51</v>
      </c>
      <c r="C55" s="9" t="s">
        <v>52</v>
      </c>
      <c r="D55" s="10"/>
      <c r="E55" s="2" t="n">
        <f>3032724</f>
        <v>3032724.0</v>
      </c>
      <c r="F55" s="10"/>
      <c r="G55" s="2" t="n">
        <f>4969386184700</f>
        <v>4.9693861847E12</v>
      </c>
      <c r="H55" s="10"/>
      <c r="I55" s="2" t="n">
        <f>256427</f>
        <v>256427.0</v>
      </c>
      <c r="J55" s="10"/>
      <c r="K55" s="2" t="n">
        <f>593185</f>
        <v>593185.0</v>
      </c>
    </row>
    <row r="56">
      <c r="A56" s="8" t="s">
        <v>39</v>
      </c>
      <c r="B56" s="9" t="s">
        <v>51</v>
      </c>
      <c r="C56" s="9" t="s">
        <v>52</v>
      </c>
      <c r="D56" s="10"/>
      <c r="E56" s="2"/>
      <c r="F56" s="10"/>
      <c r="G56" s="2"/>
      <c r="H56" s="10"/>
      <c r="I56" s="2"/>
      <c r="J56" s="10"/>
      <c r="K56" s="2"/>
    </row>
    <row r="57">
      <c r="A57" s="8" t="s">
        <v>40</v>
      </c>
      <c r="B57" s="9" t="s">
        <v>51</v>
      </c>
      <c r="C57" s="9" t="s">
        <v>52</v>
      </c>
      <c r="D57" s="10"/>
      <c r="E57" s="2"/>
      <c r="F57" s="10"/>
      <c r="G57" s="2"/>
      <c r="H57" s="10"/>
      <c r="I57" s="2"/>
      <c r="J57" s="10"/>
      <c r="K57" s="2"/>
    </row>
    <row r="58">
      <c r="A58" s="8" t="s">
        <v>41</v>
      </c>
      <c r="B58" s="9" t="s">
        <v>51</v>
      </c>
      <c r="C58" s="9" t="s">
        <v>52</v>
      </c>
      <c r="D58" s="10"/>
      <c r="E58" s="2"/>
      <c r="F58" s="10"/>
      <c r="G58" s="2"/>
      <c r="H58" s="10"/>
      <c r="I58" s="2"/>
      <c r="J58" s="10"/>
      <c r="K58" s="2"/>
    </row>
    <row r="59">
      <c r="A59" s="8" t="s">
        <v>42</v>
      </c>
      <c r="B59" s="9" t="s">
        <v>51</v>
      </c>
      <c r="C59" s="9" t="s">
        <v>52</v>
      </c>
      <c r="D59" s="10"/>
      <c r="E59" s="2" t="n">
        <f>2758987</f>
        <v>2758987.0</v>
      </c>
      <c r="F59" s="10"/>
      <c r="G59" s="2" t="n">
        <f>4598978547500</f>
        <v>4.5989785475E12</v>
      </c>
      <c r="H59" s="10"/>
      <c r="I59" s="2" t="n">
        <f>195345</f>
        <v>195345.0</v>
      </c>
      <c r="J59" s="10"/>
      <c r="K59" s="2" t="n">
        <f>601942</f>
        <v>601942.0</v>
      </c>
    </row>
    <row r="60">
      <c r="A60" s="8" t="s">
        <v>43</v>
      </c>
      <c r="B60" s="9" t="s">
        <v>51</v>
      </c>
      <c r="C60" s="9" t="s">
        <v>52</v>
      </c>
      <c r="D60" s="10"/>
      <c r="E60" s="2" t="n">
        <f>2695195</f>
        <v>2695195.0</v>
      </c>
      <c r="F60" s="10"/>
      <c r="G60" s="2" t="n">
        <f>4688338945850</f>
        <v>4.68833894585E12</v>
      </c>
      <c r="H60" s="10"/>
      <c r="I60" s="2" t="n">
        <f>208716</f>
        <v>208716.0</v>
      </c>
      <c r="J60" s="10" t="s">
        <v>35</v>
      </c>
      <c r="K60" s="2" t="n">
        <f>588297</f>
        <v>588297.0</v>
      </c>
    </row>
    <row r="61">
      <c r="A61" s="8" t="s">
        <v>44</v>
      </c>
      <c r="B61" s="9" t="s">
        <v>51</v>
      </c>
      <c r="C61" s="9" t="s">
        <v>52</v>
      </c>
      <c r="D61" s="10"/>
      <c r="E61" s="2" t="n">
        <f>2384579</f>
        <v>2384579.0</v>
      </c>
      <c r="F61" s="10"/>
      <c r="G61" s="2" t="n">
        <f>4490085609700</f>
        <v>4.4900856097E12</v>
      </c>
      <c r="H61" s="10"/>
      <c r="I61" s="2" t="n">
        <f>191265</f>
        <v>191265.0</v>
      </c>
      <c r="J61" s="10"/>
      <c r="K61" s="2" t="n">
        <f>625522</f>
        <v>625522.0</v>
      </c>
    </row>
    <row r="62">
      <c r="A62" s="8" t="s">
        <v>45</v>
      </c>
      <c r="B62" s="9" t="s">
        <v>51</v>
      </c>
      <c r="C62" s="9" t="s">
        <v>52</v>
      </c>
      <c r="D62" s="10"/>
      <c r="E62" s="2" t="n">
        <f>2478366</f>
        <v>2478366.0</v>
      </c>
      <c r="F62" s="10"/>
      <c r="G62" s="2" t="n">
        <f>4659573628850</f>
        <v>4.65957362885E12</v>
      </c>
      <c r="H62" s="10"/>
      <c r="I62" s="2" t="n">
        <f>219650</f>
        <v>219650.0</v>
      </c>
      <c r="J62" s="10"/>
      <c r="K62" s="2" t="n">
        <f>636456</f>
        <v>636456.0</v>
      </c>
    </row>
    <row r="63">
      <c r="A63" s="8" t="s">
        <v>46</v>
      </c>
      <c r="B63" s="9" t="s">
        <v>51</v>
      </c>
      <c r="C63" s="9" t="s">
        <v>52</v>
      </c>
      <c r="D63" s="10"/>
      <c r="E63" s="2" t="n">
        <f>2234074</f>
        <v>2234074.0</v>
      </c>
      <c r="F63" s="10"/>
      <c r="G63" s="2" t="n">
        <f>4197267028700</f>
        <v>4.1972670287E12</v>
      </c>
      <c r="H63" s="10"/>
      <c r="I63" s="2" t="n">
        <f>184915</f>
        <v>184915.0</v>
      </c>
      <c r="J63" s="10"/>
      <c r="K63" s="2" t="n">
        <f>669835</f>
        <v>669835.0</v>
      </c>
    </row>
    <row r="64">
      <c r="A64" s="8" t="s">
        <v>47</v>
      </c>
      <c r="B64" s="9" t="s">
        <v>51</v>
      </c>
      <c r="C64" s="9" t="s">
        <v>52</v>
      </c>
      <c r="D64" s="10"/>
      <c r="E64" s="2"/>
      <c r="F64" s="10"/>
      <c r="G64" s="2"/>
      <c r="H64" s="10"/>
      <c r="I64" s="2"/>
      <c r="J64" s="10"/>
      <c r="K64" s="2"/>
    </row>
    <row r="65">
      <c r="A65" s="8" t="s">
        <v>48</v>
      </c>
      <c r="B65" s="9" t="s">
        <v>51</v>
      </c>
      <c r="C65" s="9" t="s">
        <v>52</v>
      </c>
      <c r="D65" s="10"/>
      <c r="E65" s="2"/>
      <c r="F65" s="10"/>
      <c r="G65" s="2"/>
      <c r="H65" s="10"/>
      <c r="I65" s="2"/>
      <c r="J65" s="10"/>
      <c r="K65" s="2"/>
    </row>
    <row r="66">
      <c r="A66" s="8" t="s">
        <v>49</v>
      </c>
      <c r="B66" s="9" t="s">
        <v>51</v>
      </c>
      <c r="C66" s="9" t="s">
        <v>52</v>
      </c>
      <c r="D66" s="10"/>
      <c r="E66" s="2" t="n">
        <f>1820314</f>
        <v>1820314.0</v>
      </c>
      <c r="F66" s="10"/>
      <c r="G66" s="2" t="n">
        <f>3412468102000</f>
        <v>3.412468102E12</v>
      </c>
      <c r="H66" s="10"/>
      <c r="I66" s="2" t="n">
        <f>148669</f>
        <v>148669.0</v>
      </c>
      <c r="J66" s="10"/>
      <c r="K66" s="2" t="n">
        <f>706216</f>
        <v>706216.0</v>
      </c>
    </row>
    <row r="67">
      <c r="A67" s="8" t="s">
        <v>50</v>
      </c>
      <c r="B67" s="9" t="s">
        <v>51</v>
      </c>
      <c r="C67" s="9" t="s">
        <v>52</v>
      </c>
      <c r="D67" s="10" t="s">
        <v>35</v>
      </c>
      <c r="E67" s="2" t="n">
        <f>1590041</f>
        <v>1590041.0</v>
      </c>
      <c r="F67" s="10" t="s">
        <v>35</v>
      </c>
      <c r="G67" s="2" t="n">
        <f>3003142555954</f>
        <v>3.003142555954E12</v>
      </c>
      <c r="H67" s="10" t="s">
        <v>35</v>
      </c>
      <c r="I67" s="2" t="n">
        <f>133850</f>
        <v>133850.0</v>
      </c>
      <c r="J67" s="10"/>
      <c r="K67" s="2" t="n">
        <f>665463</f>
        <v>665463.0</v>
      </c>
    </row>
    <row r="68">
      <c r="A68" s="8" t="s">
        <v>16</v>
      </c>
      <c r="B68" s="9" t="s">
        <v>53</v>
      </c>
      <c r="C68" s="9" t="s">
        <v>54</v>
      </c>
      <c r="D68" s="10"/>
      <c r="E68" s="2"/>
      <c r="F68" s="10"/>
      <c r="G68" s="2"/>
      <c r="H68" s="10"/>
      <c r="I68" s="2"/>
      <c r="J68" s="10"/>
      <c r="K68" s="2"/>
    </row>
    <row r="69">
      <c r="A69" s="8" t="s">
        <v>19</v>
      </c>
      <c r="B69" s="9" t="s">
        <v>53</v>
      </c>
      <c r="C69" s="9" t="s">
        <v>54</v>
      </c>
      <c r="D69" s="10"/>
      <c r="E69" s="2" t="n">
        <f>256433</f>
        <v>256433.0</v>
      </c>
      <c r="F69" s="10"/>
      <c r="G69" s="2" t="n">
        <f>3850947204800</f>
        <v>3.8509472048E12</v>
      </c>
      <c r="H69" s="10"/>
      <c r="I69" s="2" t="n">
        <f>43303</f>
        <v>43303.0</v>
      </c>
      <c r="J69" s="10"/>
      <c r="K69" s="2" t="n">
        <f>620665</f>
        <v>620665.0</v>
      </c>
    </row>
    <row r="70">
      <c r="A70" s="8" t="s">
        <v>20</v>
      </c>
      <c r="B70" s="9" t="s">
        <v>53</v>
      </c>
      <c r="C70" s="9" t="s">
        <v>54</v>
      </c>
      <c r="D70" s="10"/>
      <c r="E70" s="2" t="n">
        <f>186595</f>
        <v>186595.0</v>
      </c>
      <c r="F70" s="10"/>
      <c r="G70" s="2" t="n">
        <f>2820519407800</f>
        <v>2.8205194078E12</v>
      </c>
      <c r="H70" s="10"/>
      <c r="I70" s="2" t="n">
        <f>44571</f>
        <v>44571.0</v>
      </c>
      <c r="J70" s="10"/>
      <c r="K70" s="2" t="n">
        <f>624735</f>
        <v>624735.0</v>
      </c>
    </row>
    <row r="71">
      <c r="A71" s="8" t="s">
        <v>21</v>
      </c>
      <c r="B71" s="9" t="s">
        <v>53</v>
      </c>
      <c r="C71" s="9" t="s">
        <v>54</v>
      </c>
      <c r="D71" s="10"/>
      <c r="E71" s="2" t="n">
        <f>165231</f>
        <v>165231.0</v>
      </c>
      <c r="F71" s="10"/>
      <c r="G71" s="2" t="n">
        <f>2480953240577</f>
        <v>2.480953240577E12</v>
      </c>
      <c r="H71" s="10"/>
      <c r="I71" s="2" t="n">
        <f>31423</f>
        <v>31423.0</v>
      </c>
      <c r="J71" s="10"/>
      <c r="K71" s="2" t="n">
        <f>628649</f>
        <v>628649.0</v>
      </c>
    </row>
    <row r="72">
      <c r="A72" s="8" t="s">
        <v>22</v>
      </c>
      <c r="B72" s="9" t="s">
        <v>53</v>
      </c>
      <c r="C72" s="9" t="s">
        <v>54</v>
      </c>
      <c r="D72" s="10"/>
      <c r="E72" s="2" t="n">
        <f>165042</f>
        <v>165042.0</v>
      </c>
      <c r="F72" s="10"/>
      <c r="G72" s="2" t="n">
        <f>2491241766150</f>
        <v>2.49124176615E12</v>
      </c>
      <c r="H72" s="10"/>
      <c r="I72" s="2" t="n">
        <f>38366</f>
        <v>38366.0</v>
      </c>
      <c r="J72" s="10"/>
      <c r="K72" s="2" t="n">
        <f>644822</f>
        <v>644822.0</v>
      </c>
    </row>
    <row r="73">
      <c r="A73" s="8" t="s">
        <v>23</v>
      </c>
      <c r="B73" s="9" t="s">
        <v>53</v>
      </c>
      <c r="C73" s="9" t="s">
        <v>54</v>
      </c>
      <c r="D73" s="10"/>
      <c r="E73" s="2" t="n">
        <f>246294</f>
        <v>246294.0</v>
      </c>
      <c r="F73" s="10"/>
      <c r="G73" s="2" t="n">
        <f>3627992449285</f>
        <v>3.627992449285E12</v>
      </c>
      <c r="H73" s="10"/>
      <c r="I73" s="2" t="n">
        <f>47594</f>
        <v>47594.0</v>
      </c>
      <c r="J73" s="10"/>
      <c r="K73" s="2" t="n">
        <f>672276</f>
        <v>672276.0</v>
      </c>
    </row>
    <row r="74">
      <c r="A74" s="8" t="s">
        <v>24</v>
      </c>
      <c r="B74" s="9" t="s">
        <v>53</v>
      </c>
      <c r="C74" s="9" t="s">
        <v>54</v>
      </c>
      <c r="D74" s="10"/>
      <c r="E74" s="2"/>
      <c r="F74" s="10"/>
      <c r="G74" s="2"/>
      <c r="H74" s="10"/>
      <c r="I74" s="2"/>
      <c r="J74" s="10"/>
      <c r="K74" s="2"/>
    </row>
    <row r="75">
      <c r="A75" s="8" t="s">
        <v>25</v>
      </c>
      <c r="B75" s="9" t="s">
        <v>53</v>
      </c>
      <c r="C75" s="9" t="s">
        <v>54</v>
      </c>
      <c r="D75" s="10"/>
      <c r="E75" s="2"/>
      <c r="F75" s="10"/>
      <c r="G75" s="2"/>
      <c r="H75" s="10"/>
      <c r="I75" s="2"/>
      <c r="J75" s="10"/>
      <c r="K75" s="2"/>
    </row>
    <row r="76">
      <c r="A76" s="8" t="s">
        <v>26</v>
      </c>
      <c r="B76" s="9" t="s">
        <v>53</v>
      </c>
      <c r="C76" s="9" t="s">
        <v>54</v>
      </c>
      <c r="D76" s="10"/>
      <c r="E76" s="2" t="n">
        <f>584958</f>
        <v>584958.0</v>
      </c>
      <c r="F76" s="10"/>
      <c r="G76" s="2" t="n">
        <f>8159687514414</f>
        <v>8.159687514414E12</v>
      </c>
      <c r="H76" s="10"/>
      <c r="I76" s="2" t="n">
        <f>117652</f>
        <v>117652.0</v>
      </c>
      <c r="J76" s="10"/>
      <c r="K76" s="2" t="n">
        <f>715264</f>
        <v>715264.0</v>
      </c>
    </row>
    <row r="77">
      <c r="A77" s="8" t="s">
        <v>27</v>
      </c>
      <c r="B77" s="9" t="s">
        <v>53</v>
      </c>
      <c r="C77" s="9" t="s">
        <v>54</v>
      </c>
      <c r="D77" s="10" t="s">
        <v>28</v>
      </c>
      <c r="E77" s="2" t="n">
        <f>1146277</f>
        <v>1146277.0</v>
      </c>
      <c r="F77" s="10" t="s">
        <v>28</v>
      </c>
      <c r="G77" s="2" t="n">
        <f>15713116036320</f>
        <v>1.571311603632E13</v>
      </c>
      <c r="H77" s="10" t="s">
        <v>28</v>
      </c>
      <c r="I77" s="2" t="n">
        <f>295522</f>
        <v>295522.0</v>
      </c>
      <c r="J77" s="10"/>
      <c r="K77" s="2" t="n">
        <f>837647</f>
        <v>837647.0</v>
      </c>
    </row>
    <row r="78">
      <c r="A78" s="8" t="s">
        <v>29</v>
      </c>
      <c r="B78" s="9" t="s">
        <v>53</v>
      </c>
      <c r="C78" s="9" t="s">
        <v>54</v>
      </c>
      <c r="D78" s="10"/>
      <c r="E78" s="2" t="n">
        <f>633564</f>
        <v>633564.0</v>
      </c>
      <c r="F78" s="10"/>
      <c r="G78" s="2" t="n">
        <f>8788705825097</f>
        <v>8.788705825097E12</v>
      </c>
      <c r="H78" s="10"/>
      <c r="I78" s="2" t="n">
        <f>143860</f>
        <v>143860.0</v>
      </c>
      <c r="J78" s="10" t="s">
        <v>28</v>
      </c>
      <c r="K78" s="2" t="n">
        <f>872574</f>
        <v>872574.0</v>
      </c>
    </row>
    <row r="79">
      <c r="A79" s="8" t="s">
        <v>30</v>
      </c>
      <c r="B79" s="9" t="s">
        <v>53</v>
      </c>
      <c r="C79" s="9" t="s">
        <v>54</v>
      </c>
      <c r="D79" s="10"/>
      <c r="E79" s="2" t="n">
        <f>304246</f>
        <v>304246.0</v>
      </c>
      <c r="F79" s="10"/>
      <c r="G79" s="2" t="n">
        <f>4056254184202</f>
        <v>4.056254184202E12</v>
      </c>
      <c r="H79" s="10"/>
      <c r="I79" s="2" t="n">
        <f>38453</f>
        <v>38453.0</v>
      </c>
      <c r="J79" s="10"/>
      <c r="K79" s="2" t="n">
        <f>744946</f>
        <v>744946.0</v>
      </c>
    </row>
    <row r="80">
      <c r="A80" s="8" t="s">
        <v>31</v>
      </c>
      <c r="B80" s="9" t="s">
        <v>53</v>
      </c>
      <c r="C80" s="9" t="s">
        <v>54</v>
      </c>
      <c r="D80" s="10"/>
      <c r="E80" s="2" t="n">
        <f>249026</f>
        <v>249026.0</v>
      </c>
      <c r="F80" s="10"/>
      <c r="G80" s="2" t="n">
        <f>3061473234034</f>
        <v>3.061473234034E12</v>
      </c>
      <c r="H80" s="10"/>
      <c r="I80" s="2" t="n">
        <f>41916</f>
        <v>41916.0</v>
      </c>
      <c r="J80" s="10"/>
      <c r="K80" s="2" t="n">
        <f>787771</f>
        <v>787771.0</v>
      </c>
    </row>
    <row r="81">
      <c r="A81" s="8" t="s">
        <v>32</v>
      </c>
      <c r="B81" s="9" t="s">
        <v>53</v>
      </c>
      <c r="C81" s="9" t="s">
        <v>54</v>
      </c>
      <c r="D81" s="10"/>
      <c r="E81" s="2"/>
      <c r="F81" s="10"/>
      <c r="G81" s="2"/>
      <c r="H81" s="10"/>
      <c r="I81" s="2"/>
      <c r="J81" s="10"/>
      <c r="K81" s="2"/>
    </row>
    <row r="82">
      <c r="A82" s="8" t="s">
        <v>33</v>
      </c>
      <c r="B82" s="9" t="s">
        <v>53</v>
      </c>
      <c r="C82" s="9" t="s">
        <v>54</v>
      </c>
      <c r="D82" s="10"/>
      <c r="E82" s="2"/>
      <c r="F82" s="10"/>
      <c r="G82" s="2"/>
      <c r="H82" s="10"/>
      <c r="I82" s="2"/>
      <c r="J82" s="10"/>
      <c r="K82" s="2"/>
    </row>
    <row r="83">
      <c r="A83" s="8" t="s">
        <v>34</v>
      </c>
      <c r="B83" s="9" t="s">
        <v>53</v>
      </c>
      <c r="C83" s="9" t="s">
        <v>54</v>
      </c>
      <c r="D83" s="10"/>
      <c r="E83" s="2" t="n">
        <f>171542</f>
        <v>171542.0</v>
      </c>
      <c r="F83" s="10"/>
      <c r="G83" s="2" t="n">
        <f>2135011828030</f>
        <v>2.13501182803E12</v>
      </c>
      <c r="H83" s="10"/>
      <c r="I83" s="2" t="n">
        <f>34683</f>
        <v>34683.0</v>
      </c>
      <c r="J83" s="10"/>
      <c r="K83" s="2" t="n">
        <f>630843</f>
        <v>630843.0</v>
      </c>
    </row>
    <row r="84">
      <c r="A84" s="8" t="s">
        <v>36</v>
      </c>
      <c r="B84" s="9" t="s">
        <v>53</v>
      </c>
      <c r="C84" s="9" t="s">
        <v>54</v>
      </c>
      <c r="D84" s="10"/>
      <c r="E84" s="2" t="n">
        <f>190497</f>
        <v>190497.0</v>
      </c>
      <c r="F84" s="10"/>
      <c r="G84" s="2" t="n">
        <f>2329186144800</f>
        <v>2.3291861448E12</v>
      </c>
      <c r="H84" s="10"/>
      <c r="I84" s="2" t="n">
        <f>26981</f>
        <v>26981.0</v>
      </c>
      <c r="J84" s="10"/>
      <c r="K84" s="2" t="n">
        <f>623786</f>
        <v>623786.0</v>
      </c>
    </row>
    <row r="85">
      <c r="A85" s="8" t="s">
        <v>37</v>
      </c>
      <c r="B85" s="9" t="s">
        <v>53</v>
      </c>
      <c r="C85" s="9" t="s">
        <v>54</v>
      </c>
      <c r="D85" s="10"/>
      <c r="E85" s="2" t="n">
        <f>169435</f>
        <v>169435.0</v>
      </c>
      <c r="F85" s="10"/>
      <c r="G85" s="2" t="n">
        <f>2136537739826</f>
        <v>2.136537739826E12</v>
      </c>
      <c r="H85" s="10"/>
      <c r="I85" s="2" t="n">
        <f>28782</f>
        <v>28782.0</v>
      </c>
      <c r="J85" s="10"/>
      <c r="K85" s="2" t="n">
        <f>621234</f>
        <v>621234.0</v>
      </c>
    </row>
    <row r="86">
      <c r="A86" s="8" t="s">
        <v>38</v>
      </c>
      <c r="B86" s="9" t="s">
        <v>53</v>
      </c>
      <c r="C86" s="9" t="s">
        <v>54</v>
      </c>
      <c r="D86" s="10"/>
      <c r="E86" s="2" t="n">
        <f>159811</f>
        <v>159811.0</v>
      </c>
      <c r="F86" s="10"/>
      <c r="G86" s="2" t="n">
        <f>2017650543016</f>
        <v>2.017650543016E12</v>
      </c>
      <c r="H86" s="10"/>
      <c r="I86" s="2" t="n">
        <f>26799</f>
        <v>26799.0</v>
      </c>
      <c r="J86" s="10"/>
      <c r="K86" s="2" t="n">
        <f>614791</f>
        <v>614791.0</v>
      </c>
    </row>
    <row r="87">
      <c r="A87" s="8" t="s">
        <v>39</v>
      </c>
      <c r="B87" s="9" t="s">
        <v>53</v>
      </c>
      <c r="C87" s="9" t="s">
        <v>54</v>
      </c>
      <c r="D87" s="10"/>
      <c r="E87" s="2"/>
      <c r="F87" s="10"/>
      <c r="G87" s="2"/>
      <c r="H87" s="10"/>
      <c r="I87" s="2"/>
      <c r="J87" s="10"/>
      <c r="K87" s="2"/>
    </row>
    <row r="88">
      <c r="A88" s="8" t="s">
        <v>40</v>
      </c>
      <c r="B88" s="9" t="s">
        <v>53</v>
      </c>
      <c r="C88" s="9" t="s">
        <v>54</v>
      </c>
      <c r="D88" s="10"/>
      <c r="E88" s="2"/>
      <c r="F88" s="10"/>
      <c r="G88" s="2"/>
      <c r="H88" s="10"/>
      <c r="I88" s="2"/>
      <c r="J88" s="10"/>
      <c r="K88" s="2"/>
    </row>
    <row r="89">
      <c r="A89" s="8" t="s">
        <v>41</v>
      </c>
      <c r="B89" s="9" t="s">
        <v>53</v>
      </c>
      <c r="C89" s="9" t="s">
        <v>54</v>
      </c>
      <c r="D89" s="10"/>
      <c r="E89" s="2"/>
      <c r="F89" s="10"/>
      <c r="G89" s="2"/>
      <c r="H89" s="10"/>
      <c r="I89" s="2"/>
      <c r="J89" s="10"/>
      <c r="K89" s="2"/>
    </row>
    <row r="90">
      <c r="A90" s="8" t="s">
        <v>42</v>
      </c>
      <c r="B90" s="9" t="s">
        <v>53</v>
      </c>
      <c r="C90" s="9" t="s">
        <v>54</v>
      </c>
      <c r="D90" s="10"/>
      <c r="E90" s="2" t="n">
        <f>179860</f>
        <v>179860.0</v>
      </c>
      <c r="F90" s="10"/>
      <c r="G90" s="2" t="n">
        <f>2294566380661</f>
        <v>2.294566380661E12</v>
      </c>
      <c r="H90" s="10"/>
      <c r="I90" s="2" t="n">
        <f>34935</f>
        <v>34935.0</v>
      </c>
      <c r="J90" s="10"/>
      <c r="K90" s="2" t="n">
        <f>612732</f>
        <v>612732.0</v>
      </c>
    </row>
    <row r="91">
      <c r="A91" s="8" t="s">
        <v>43</v>
      </c>
      <c r="B91" s="9" t="s">
        <v>53</v>
      </c>
      <c r="C91" s="9" t="s">
        <v>54</v>
      </c>
      <c r="D91" s="10"/>
      <c r="E91" s="2" t="n">
        <f>128583</f>
        <v>128583.0</v>
      </c>
      <c r="F91" s="10"/>
      <c r="G91" s="2" t="n">
        <f>1681431594500</f>
        <v>1.6814315945E12</v>
      </c>
      <c r="H91" s="10"/>
      <c r="I91" s="2" t="n">
        <f>28426</f>
        <v>28426.0</v>
      </c>
      <c r="J91" s="10"/>
      <c r="K91" s="2" t="n">
        <f>598208</f>
        <v>598208.0</v>
      </c>
    </row>
    <row r="92">
      <c r="A92" s="8" t="s">
        <v>44</v>
      </c>
      <c r="B92" s="9" t="s">
        <v>53</v>
      </c>
      <c r="C92" s="9" t="s">
        <v>54</v>
      </c>
      <c r="D92" s="10" t="s">
        <v>35</v>
      </c>
      <c r="E92" s="2" t="n">
        <f>116395</f>
        <v>116395.0</v>
      </c>
      <c r="F92" s="10" t="s">
        <v>35</v>
      </c>
      <c r="G92" s="2" t="n">
        <f>1616361741000</f>
        <v>1.616361741E12</v>
      </c>
      <c r="H92" s="10" t="s">
        <v>35</v>
      </c>
      <c r="I92" s="2" t="n">
        <f>18351</f>
        <v>18351.0</v>
      </c>
      <c r="J92" s="10" t="s">
        <v>35</v>
      </c>
      <c r="K92" s="2" t="n">
        <f>591620</f>
        <v>591620.0</v>
      </c>
    </row>
    <row r="93">
      <c r="A93" s="8" t="s">
        <v>45</v>
      </c>
      <c r="B93" s="9" t="s">
        <v>53</v>
      </c>
      <c r="C93" s="9" t="s">
        <v>54</v>
      </c>
      <c r="D93" s="10"/>
      <c r="E93" s="2" t="n">
        <f>160426</f>
        <v>160426.0</v>
      </c>
      <c r="F93" s="10"/>
      <c r="G93" s="2" t="n">
        <f>2220340263262</f>
        <v>2.220340263262E12</v>
      </c>
      <c r="H93" s="10"/>
      <c r="I93" s="2" t="n">
        <f>36105</f>
        <v>36105.0</v>
      </c>
      <c r="J93" s="10"/>
      <c r="K93" s="2" t="n">
        <f>592355</f>
        <v>592355.0</v>
      </c>
    </row>
    <row r="94">
      <c r="A94" s="8" t="s">
        <v>46</v>
      </c>
      <c r="B94" s="9" t="s">
        <v>53</v>
      </c>
      <c r="C94" s="9" t="s">
        <v>54</v>
      </c>
      <c r="D94" s="10"/>
      <c r="E94" s="2" t="n">
        <f>203621</f>
        <v>203621.0</v>
      </c>
      <c r="F94" s="10"/>
      <c r="G94" s="2" t="n">
        <f>2902130934600</f>
        <v>2.9021309346E12</v>
      </c>
      <c r="H94" s="10"/>
      <c r="I94" s="2" t="n">
        <f>32222</f>
        <v>32222.0</v>
      </c>
      <c r="J94" s="10"/>
      <c r="K94" s="2" t="n">
        <f>608504</f>
        <v>608504.0</v>
      </c>
    </row>
    <row r="95">
      <c r="A95" s="8" t="s">
        <v>47</v>
      </c>
      <c r="B95" s="9" t="s">
        <v>53</v>
      </c>
      <c r="C95" s="9" t="s">
        <v>54</v>
      </c>
      <c r="D95" s="10"/>
      <c r="E95" s="2"/>
      <c r="F95" s="10"/>
      <c r="G95" s="2"/>
      <c r="H95" s="10"/>
      <c r="I95" s="2"/>
      <c r="J95" s="10"/>
      <c r="K95" s="2"/>
    </row>
    <row r="96">
      <c r="A96" s="8" t="s">
        <v>48</v>
      </c>
      <c r="B96" s="9" t="s">
        <v>53</v>
      </c>
      <c r="C96" s="9" t="s">
        <v>54</v>
      </c>
      <c r="D96" s="10"/>
      <c r="E96" s="2"/>
      <c r="F96" s="10"/>
      <c r="G96" s="2"/>
      <c r="H96" s="10"/>
      <c r="I96" s="2"/>
      <c r="J96" s="10"/>
      <c r="K96" s="2"/>
    </row>
    <row r="97">
      <c r="A97" s="8" t="s">
        <v>49</v>
      </c>
      <c r="B97" s="9" t="s">
        <v>53</v>
      </c>
      <c r="C97" s="9" t="s">
        <v>54</v>
      </c>
      <c r="D97" s="10"/>
      <c r="E97" s="2" t="n">
        <f>215110</f>
        <v>215110.0</v>
      </c>
      <c r="F97" s="10"/>
      <c r="G97" s="2" t="n">
        <f>3065267603730</f>
        <v>3.06526760373E12</v>
      </c>
      <c r="H97" s="10"/>
      <c r="I97" s="2" t="n">
        <f>37659</f>
        <v>37659.0</v>
      </c>
      <c r="J97" s="10"/>
      <c r="K97" s="2" t="n">
        <f>638926</f>
        <v>638926.0</v>
      </c>
    </row>
    <row r="98">
      <c r="A98" s="8" t="s">
        <v>50</v>
      </c>
      <c r="B98" s="9" t="s">
        <v>53</v>
      </c>
      <c r="C98" s="9" t="s">
        <v>54</v>
      </c>
      <c r="D98" s="10"/>
      <c r="E98" s="2" t="n">
        <f>118411</f>
        <v>118411.0</v>
      </c>
      <c r="F98" s="10"/>
      <c r="G98" s="2" t="n">
        <f>1676589351529</f>
        <v>1.676589351529E12</v>
      </c>
      <c r="H98" s="10"/>
      <c r="I98" s="2" t="n">
        <f>27179</f>
        <v>27179.0</v>
      </c>
      <c r="J98" s="10"/>
      <c r="K98" s="2" t="n">
        <f>610147</f>
        <v>610147.0</v>
      </c>
    </row>
    <row r="99">
      <c r="A99" s="8" t="s">
        <v>16</v>
      </c>
      <c r="B99" s="9" t="s">
        <v>55</v>
      </c>
      <c r="C99" s="9" t="s">
        <v>56</v>
      </c>
      <c r="D99" s="10"/>
      <c r="E99" s="2"/>
      <c r="F99" s="10"/>
      <c r="G99" s="2"/>
      <c r="H99" s="10"/>
      <c r="I99" s="2"/>
      <c r="J99" s="10"/>
      <c r="K99" s="2"/>
    </row>
    <row r="100">
      <c r="A100" s="8" t="s">
        <v>19</v>
      </c>
      <c r="B100" s="9" t="s">
        <v>55</v>
      </c>
      <c r="C100" s="9" t="s">
        <v>56</v>
      </c>
      <c r="D100" s="10"/>
      <c r="E100" s="2" t="n">
        <f>73196</f>
        <v>73196.0</v>
      </c>
      <c r="F100" s="10"/>
      <c r="G100" s="2" t="n">
        <f>110147062770</f>
        <v>1.1014706277E11</v>
      </c>
      <c r="H100" s="10"/>
      <c r="I100" s="2" t="n">
        <f>3394</f>
        <v>3394.0</v>
      </c>
      <c r="J100" s="10"/>
      <c r="K100" s="2" t="n">
        <f>63272</f>
        <v>63272.0</v>
      </c>
    </row>
    <row r="101">
      <c r="A101" s="8" t="s">
        <v>20</v>
      </c>
      <c r="B101" s="9" t="s">
        <v>55</v>
      </c>
      <c r="C101" s="9" t="s">
        <v>56</v>
      </c>
      <c r="D101" s="10"/>
      <c r="E101" s="2" t="n">
        <f>63344</f>
        <v>63344.0</v>
      </c>
      <c r="F101" s="10"/>
      <c r="G101" s="2" t="n">
        <f>95859706210</f>
        <v>9.585970621E10</v>
      </c>
      <c r="H101" s="10"/>
      <c r="I101" s="2" t="n">
        <f>1917</f>
        <v>1917.0</v>
      </c>
      <c r="J101" s="10"/>
      <c r="K101" s="2" t="n">
        <f>70016</f>
        <v>70016.0</v>
      </c>
    </row>
    <row r="102">
      <c r="A102" s="8" t="s">
        <v>21</v>
      </c>
      <c r="B102" s="9" t="s">
        <v>55</v>
      </c>
      <c r="C102" s="9" t="s">
        <v>56</v>
      </c>
      <c r="D102" s="10"/>
      <c r="E102" s="2" t="n">
        <f>44131</f>
        <v>44131.0</v>
      </c>
      <c r="F102" s="10"/>
      <c r="G102" s="2" t="n">
        <f>66332533800</f>
        <v>6.63325338E10</v>
      </c>
      <c r="H102" s="10"/>
      <c r="I102" s="2" t="n">
        <f>2562</f>
        <v>2562.0</v>
      </c>
      <c r="J102" s="10"/>
      <c r="K102" s="2" t="n">
        <f>72516</f>
        <v>72516.0</v>
      </c>
    </row>
    <row r="103">
      <c r="A103" s="8" t="s">
        <v>22</v>
      </c>
      <c r="B103" s="9" t="s">
        <v>55</v>
      </c>
      <c r="C103" s="9" t="s">
        <v>56</v>
      </c>
      <c r="D103" s="10"/>
      <c r="E103" s="2" t="n">
        <f>34323</f>
        <v>34323.0</v>
      </c>
      <c r="F103" s="10"/>
      <c r="G103" s="2" t="n">
        <f>51892376695</f>
        <v>5.1892376695E10</v>
      </c>
      <c r="H103" s="10"/>
      <c r="I103" s="2" t="n">
        <f>1511</f>
        <v>1511.0</v>
      </c>
      <c r="J103" s="10"/>
      <c r="K103" s="2" t="n">
        <f>77724</f>
        <v>77724.0</v>
      </c>
    </row>
    <row r="104">
      <c r="A104" s="8" t="s">
        <v>23</v>
      </c>
      <c r="B104" s="9" t="s">
        <v>55</v>
      </c>
      <c r="C104" s="9" t="s">
        <v>56</v>
      </c>
      <c r="D104" s="10"/>
      <c r="E104" s="2" t="n">
        <f>41553</f>
        <v>41553.0</v>
      </c>
      <c r="F104" s="10"/>
      <c r="G104" s="2" t="n">
        <f>61411149413</f>
        <v>6.1411149413E10</v>
      </c>
      <c r="H104" s="10"/>
      <c r="I104" s="2" t="n">
        <f>2302</f>
        <v>2302.0</v>
      </c>
      <c r="J104" s="10"/>
      <c r="K104" s="2" t="n">
        <f>82719</f>
        <v>82719.0</v>
      </c>
    </row>
    <row r="105">
      <c r="A105" s="8" t="s">
        <v>24</v>
      </c>
      <c r="B105" s="9" t="s">
        <v>55</v>
      </c>
      <c r="C105" s="9" t="s">
        <v>56</v>
      </c>
      <c r="D105" s="10"/>
      <c r="E105" s="2"/>
      <c r="F105" s="10"/>
      <c r="G105" s="2"/>
      <c r="H105" s="10"/>
      <c r="I105" s="2"/>
      <c r="J105" s="10"/>
      <c r="K105" s="2"/>
    </row>
    <row r="106">
      <c r="A106" s="8" t="s">
        <v>25</v>
      </c>
      <c r="B106" s="9" t="s">
        <v>55</v>
      </c>
      <c r="C106" s="9" t="s">
        <v>56</v>
      </c>
      <c r="D106" s="10"/>
      <c r="E106" s="2"/>
      <c r="F106" s="10"/>
      <c r="G106" s="2"/>
      <c r="H106" s="10"/>
      <c r="I106" s="2"/>
      <c r="J106" s="10"/>
      <c r="K106" s="2"/>
    </row>
    <row r="107">
      <c r="A107" s="8" t="s">
        <v>26</v>
      </c>
      <c r="B107" s="9" t="s">
        <v>55</v>
      </c>
      <c r="C107" s="9" t="s">
        <v>56</v>
      </c>
      <c r="D107" s="10"/>
      <c r="E107" s="2" t="n">
        <f>83894</f>
        <v>83894.0</v>
      </c>
      <c r="F107" s="10"/>
      <c r="G107" s="2" t="n">
        <f>118144341695</f>
        <v>1.18144341695E11</v>
      </c>
      <c r="H107" s="10"/>
      <c r="I107" s="2" t="n">
        <f>3917</f>
        <v>3917.0</v>
      </c>
      <c r="J107" s="10"/>
      <c r="K107" s="2" t="n">
        <f>81514</f>
        <v>81514.0</v>
      </c>
    </row>
    <row r="108">
      <c r="A108" s="8" t="s">
        <v>27</v>
      </c>
      <c r="B108" s="9" t="s">
        <v>55</v>
      </c>
      <c r="C108" s="9" t="s">
        <v>56</v>
      </c>
      <c r="D108" s="10"/>
      <c r="E108" s="2" t="n">
        <f>118455</f>
        <v>118455.0</v>
      </c>
      <c r="F108" s="10" t="s">
        <v>28</v>
      </c>
      <c r="G108" s="2" t="n">
        <f>161927679470</f>
        <v>1.6192767947E11</v>
      </c>
      <c r="H108" s="10" t="s">
        <v>28</v>
      </c>
      <c r="I108" s="2" t="n">
        <f>10476</f>
        <v>10476.0</v>
      </c>
      <c r="J108" s="10"/>
      <c r="K108" s="2" t="n">
        <f>86396</f>
        <v>86396.0</v>
      </c>
    </row>
    <row r="109">
      <c r="A109" s="8" t="s">
        <v>29</v>
      </c>
      <c r="B109" s="9" t="s">
        <v>55</v>
      </c>
      <c r="C109" s="9" t="s">
        <v>56</v>
      </c>
      <c r="D109" s="10"/>
      <c r="E109" s="2" t="n">
        <f>91773</f>
        <v>91773.0</v>
      </c>
      <c r="F109" s="10"/>
      <c r="G109" s="2" t="n">
        <f>127988352990</f>
        <v>1.2798835299E11</v>
      </c>
      <c r="H109" s="10"/>
      <c r="I109" s="2" t="n">
        <f>7330</f>
        <v>7330.0</v>
      </c>
      <c r="J109" s="10"/>
      <c r="K109" s="2" t="n">
        <f>132046</f>
        <v>132046.0</v>
      </c>
    </row>
    <row r="110">
      <c r="A110" s="8" t="s">
        <v>30</v>
      </c>
      <c r="B110" s="9" t="s">
        <v>55</v>
      </c>
      <c r="C110" s="9" t="s">
        <v>56</v>
      </c>
      <c r="D110" s="10"/>
      <c r="E110" s="2" t="n">
        <f>62366</f>
        <v>62366.0</v>
      </c>
      <c r="F110" s="10"/>
      <c r="G110" s="2" t="n">
        <f>83454920050</f>
        <v>8.345492005E10</v>
      </c>
      <c r="H110" s="10" t="s">
        <v>35</v>
      </c>
      <c r="I110" s="2" t="n">
        <f>511</f>
        <v>511.0</v>
      </c>
      <c r="J110" s="10"/>
      <c r="K110" s="2" t="n">
        <f>105674</f>
        <v>105674.0</v>
      </c>
    </row>
    <row r="111">
      <c r="A111" s="8" t="s">
        <v>31</v>
      </c>
      <c r="B111" s="9" t="s">
        <v>55</v>
      </c>
      <c r="C111" s="9" t="s">
        <v>56</v>
      </c>
      <c r="D111" s="10" t="s">
        <v>28</v>
      </c>
      <c r="E111" s="2" t="n">
        <f>124710</f>
        <v>124710.0</v>
      </c>
      <c r="F111" s="10"/>
      <c r="G111" s="2" t="n">
        <f>153060639550</f>
        <v>1.5306063955E11</v>
      </c>
      <c r="H111" s="10"/>
      <c r="I111" s="2" t="n">
        <f>4626</f>
        <v>4626.0</v>
      </c>
      <c r="J111" s="10" t="s">
        <v>28</v>
      </c>
      <c r="K111" s="2" t="n">
        <f>144791</f>
        <v>144791.0</v>
      </c>
    </row>
    <row r="112">
      <c r="A112" s="8" t="s">
        <v>32</v>
      </c>
      <c r="B112" s="9" t="s">
        <v>55</v>
      </c>
      <c r="C112" s="9" t="s">
        <v>56</v>
      </c>
      <c r="D112" s="10"/>
      <c r="E112" s="2"/>
      <c r="F112" s="10"/>
      <c r="G112" s="2"/>
      <c r="H112" s="10"/>
      <c r="I112" s="2"/>
      <c r="J112" s="10"/>
      <c r="K112" s="2"/>
    </row>
    <row r="113">
      <c r="A113" s="8" t="s">
        <v>33</v>
      </c>
      <c r="B113" s="9" t="s">
        <v>55</v>
      </c>
      <c r="C113" s="9" t="s">
        <v>56</v>
      </c>
      <c r="D113" s="10"/>
      <c r="E113" s="2"/>
      <c r="F113" s="10"/>
      <c r="G113" s="2"/>
      <c r="H113" s="10"/>
      <c r="I113" s="2"/>
      <c r="J113" s="10"/>
      <c r="K113" s="2"/>
    </row>
    <row r="114">
      <c r="A114" s="8" t="s">
        <v>34</v>
      </c>
      <c r="B114" s="9" t="s">
        <v>55</v>
      </c>
      <c r="C114" s="9" t="s">
        <v>56</v>
      </c>
      <c r="D114" s="10"/>
      <c r="E114" s="2" t="n">
        <f>79176</f>
        <v>79176.0</v>
      </c>
      <c r="F114" s="10"/>
      <c r="G114" s="2" t="n">
        <f>98692726050</f>
        <v>9.869272605E10</v>
      </c>
      <c r="H114" s="10"/>
      <c r="I114" s="2" t="n">
        <f>3682</f>
        <v>3682.0</v>
      </c>
      <c r="J114" s="10"/>
      <c r="K114" s="2" t="n">
        <f>39013</f>
        <v>39013.0</v>
      </c>
    </row>
    <row r="115">
      <c r="A115" s="8" t="s">
        <v>36</v>
      </c>
      <c r="B115" s="9" t="s">
        <v>55</v>
      </c>
      <c r="C115" s="9" t="s">
        <v>56</v>
      </c>
      <c r="D115" s="10"/>
      <c r="E115" s="2" t="n">
        <f>57268</f>
        <v>57268.0</v>
      </c>
      <c r="F115" s="10"/>
      <c r="G115" s="2" t="n">
        <f>69507063490</f>
        <v>6.950706349E10</v>
      </c>
      <c r="H115" s="10"/>
      <c r="I115" s="2" t="n">
        <f>3126</f>
        <v>3126.0</v>
      </c>
      <c r="J115" s="10" t="s">
        <v>35</v>
      </c>
      <c r="K115" s="2" t="n">
        <f>28684</f>
        <v>28684.0</v>
      </c>
    </row>
    <row r="116">
      <c r="A116" s="8" t="s">
        <v>37</v>
      </c>
      <c r="B116" s="9" t="s">
        <v>55</v>
      </c>
      <c r="C116" s="9" t="s">
        <v>56</v>
      </c>
      <c r="D116" s="10"/>
      <c r="E116" s="2" t="n">
        <f>51843</f>
        <v>51843.0</v>
      </c>
      <c r="F116" s="10"/>
      <c r="G116" s="2" t="n">
        <f>65175112400</f>
        <v>6.51751124E10</v>
      </c>
      <c r="H116" s="10"/>
      <c r="I116" s="2" t="n">
        <f>2367</f>
        <v>2367.0</v>
      </c>
      <c r="J116" s="10"/>
      <c r="K116" s="2" t="n">
        <f>30060</f>
        <v>30060.0</v>
      </c>
    </row>
    <row r="117">
      <c r="A117" s="8" t="s">
        <v>38</v>
      </c>
      <c r="B117" s="9" t="s">
        <v>55</v>
      </c>
      <c r="C117" s="9" t="s">
        <v>56</v>
      </c>
      <c r="D117" s="10"/>
      <c r="E117" s="2" t="n">
        <f>44800</f>
        <v>44800.0</v>
      </c>
      <c r="F117" s="10"/>
      <c r="G117" s="2" t="n">
        <f>56485081350</f>
        <v>5.648508135E10</v>
      </c>
      <c r="H117" s="10"/>
      <c r="I117" s="2" t="n">
        <f>2039</f>
        <v>2039.0</v>
      </c>
      <c r="J117" s="10"/>
      <c r="K117" s="2" t="n">
        <f>30769</f>
        <v>30769.0</v>
      </c>
    </row>
    <row r="118">
      <c r="A118" s="8" t="s">
        <v>39</v>
      </c>
      <c r="B118" s="9" t="s">
        <v>55</v>
      </c>
      <c r="C118" s="9" t="s">
        <v>56</v>
      </c>
      <c r="D118" s="10"/>
      <c r="E118" s="2"/>
      <c r="F118" s="10"/>
      <c r="G118" s="2"/>
      <c r="H118" s="10"/>
      <c r="I118" s="2"/>
      <c r="J118" s="10"/>
      <c r="K118" s="2"/>
    </row>
    <row r="119">
      <c r="A119" s="8" t="s">
        <v>40</v>
      </c>
      <c r="B119" s="9" t="s">
        <v>55</v>
      </c>
      <c r="C119" s="9" t="s">
        <v>56</v>
      </c>
      <c r="D119" s="10"/>
      <c r="E119" s="2"/>
      <c r="F119" s="10"/>
      <c r="G119" s="2"/>
      <c r="H119" s="10"/>
      <c r="I119" s="2"/>
      <c r="J119" s="10"/>
      <c r="K119" s="2"/>
    </row>
    <row r="120">
      <c r="A120" s="8" t="s">
        <v>41</v>
      </c>
      <c r="B120" s="9" t="s">
        <v>55</v>
      </c>
      <c r="C120" s="9" t="s">
        <v>56</v>
      </c>
      <c r="D120" s="10"/>
      <c r="E120" s="2"/>
      <c r="F120" s="10"/>
      <c r="G120" s="2"/>
      <c r="H120" s="10"/>
      <c r="I120" s="2"/>
      <c r="J120" s="10"/>
      <c r="K120" s="2"/>
    </row>
    <row r="121">
      <c r="A121" s="8" t="s">
        <v>42</v>
      </c>
      <c r="B121" s="9" t="s">
        <v>55</v>
      </c>
      <c r="C121" s="9" t="s">
        <v>56</v>
      </c>
      <c r="D121" s="10"/>
      <c r="E121" s="2" t="n">
        <f>48686</f>
        <v>48686.0</v>
      </c>
      <c r="F121" s="10"/>
      <c r="G121" s="2" t="n">
        <f>62310839340</f>
        <v>6.231083934E10</v>
      </c>
      <c r="H121" s="10"/>
      <c r="I121" s="2" t="n">
        <f>1989</f>
        <v>1989.0</v>
      </c>
      <c r="J121" s="10"/>
      <c r="K121" s="2" t="n">
        <f>33996</f>
        <v>33996.0</v>
      </c>
    </row>
    <row r="122">
      <c r="A122" s="8" t="s">
        <v>43</v>
      </c>
      <c r="B122" s="9" t="s">
        <v>55</v>
      </c>
      <c r="C122" s="9" t="s">
        <v>56</v>
      </c>
      <c r="D122" s="10"/>
      <c r="E122" s="2" t="n">
        <f>38122</f>
        <v>38122.0</v>
      </c>
      <c r="F122" s="10"/>
      <c r="G122" s="2" t="n">
        <f>49791780550</f>
        <v>4.979178055E10</v>
      </c>
      <c r="H122" s="10"/>
      <c r="I122" s="2" t="n">
        <f>2036</f>
        <v>2036.0</v>
      </c>
      <c r="J122" s="10"/>
      <c r="K122" s="2" t="n">
        <f>35316</f>
        <v>35316.0</v>
      </c>
    </row>
    <row r="123">
      <c r="A123" s="8" t="s">
        <v>44</v>
      </c>
      <c r="B123" s="9" t="s">
        <v>55</v>
      </c>
      <c r="C123" s="9" t="s">
        <v>56</v>
      </c>
      <c r="D123" s="10"/>
      <c r="E123" s="2" t="n">
        <f>32339</f>
        <v>32339.0</v>
      </c>
      <c r="F123" s="10"/>
      <c r="G123" s="2" t="n">
        <f>44781432250</f>
        <v>4.478143225E10</v>
      </c>
      <c r="H123" s="10"/>
      <c r="I123" s="2" t="n">
        <f>2112</f>
        <v>2112.0</v>
      </c>
      <c r="J123" s="10"/>
      <c r="K123" s="2" t="n">
        <f>34043</f>
        <v>34043.0</v>
      </c>
    </row>
    <row r="124">
      <c r="A124" s="8" t="s">
        <v>45</v>
      </c>
      <c r="B124" s="9" t="s">
        <v>55</v>
      </c>
      <c r="C124" s="9" t="s">
        <v>56</v>
      </c>
      <c r="D124" s="10"/>
      <c r="E124" s="2" t="n">
        <f>26392</f>
        <v>26392.0</v>
      </c>
      <c r="F124" s="10"/>
      <c r="G124" s="2" t="n">
        <f>36519021400</f>
        <v>3.65190214E10</v>
      </c>
      <c r="H124" s="10"/>
      <c r="I124" s="2" t="n">
        <f>2164</f>
        <v>2164.0</v>
      </c>
      <c r="J124" s="10"/>
      <c r="K124" s="2" t="n">
        <f>34696</f>
        <v>34696.0</v>
      </c>
    </row>
    <row r="125">
      <c r="A125" s="8" t="s">
        <v>46</v>
      </c>
      <c r="B125" s="9" t="s">
        <v>55</v>
      </c>
      <c r="C125" s="9" t="s">
        <v>56</v>
      </c>
      <c r="D125" s="10" t="s">
        <v>35</v>
      </c>
      <c r="E125" s="2" t="n">
        <f>25002</f>
        <v>25002.0</v>
      </c>
      <c r="F125" s="10" t="s">
        <v>35</v>
      </c>
      <c r="G125" s="2" t="n">
        <f>35548999130</f>
        <v>3.554899913E10</v>
      </c>
      <c r="H125" s="10"/>
      <c r="I125" s="2" t="n">
        <f>1618</f>
        <v>1618.0</v>
      </c>
      <c r="J125" s="10"/>
      <c r="K125" s="2" t="n">
        <f>36064</f>
        <v>36064.0</v>
      </c>
    </row>
    <row r="126">
      <c r="A126" s="8" t="s">
        <v>47</v>
      </c>
      <c r="B126" s="9" t="s">
        <v>55</v>
      </c>
      <c r="C126" s="9" t="s">
        <v>56</v>
      </c>
      <c r="D126" s="10"/>
      <c r="E126" s="2"/>
      <c r="F126" s="10"/>
      <c r="G126" s="2"/>
      <c r="H126" s="10"/>
      <c r="I126" s="2"/>
      <c r="J126" s="10"/>
      <c r="K126" s="2"/>
    </row>
    <row r="127">
      <c r="A127" s="8" t="s">
        <v>48</v>
      </c>
      <c r="B127" s="9" t="s">
        <v>55</v>
      </c>
      <c r="C127" s="9" t="s">
        <v>56</v>
      </c>
      <c r="D127" s="10"/>
      <c r="E127" s="2"/>
      <c r="F127" s="10"/>
      <c r="G127" s="2"/>
      <c r="H127" s="10"/>
      <c r="I127" s="2"/>
      <c r="J127" s="10"/>
      <c r="K127" s="2"/>
    </row>
    <row r="128">
      <c r="A128" s="8" t="s">
        <v>49</v>
      </c>
      <c r="B128" s="9" t="s">
        <v>55</v>
      </c>
      <c r="C128" s="9" t="s">
        <v>56</v>
      </c>
      <c r="D128" s="10"/>
      <c r="E128" s="2" t="n">
        <f>32668</f>
        <v>32668.0</v>
      </c>
      <c r="F128" s="10"/>
      <c r="G128" s="2" t="n">
        <f>46558027100</f>
        <v>4.65580271E10</v>
      </c>
      <c r="H128" s="10"/>
      <c r="I128" s="2" t="n">
        <f>3049</f>
        <v>3049.0</v>
      </c>
      <c r="J128" s="10"/>
      <c r="K128" s="2" t="n">
        <f>39984</f>
        <v>39984.0</v>
      </c>
    </row>
    <row r="129">
      <c r="A129" s="8" t="s">
        <v>50</v>
      </c>
      <c r="B129" s="9" t="s">
        <v>55</v>
      </c>
      <c r="C129" s="9" t="s">
        <v>56</v>
      </c>
      <c r="D129" s="10"/>
      <c r="E129" s="2" t="n">
        <f>26147</f>
        <v>26147.0</v>
      </c>
      <c r="F129" s="10"/>
      <c r="G129" s="2" t="n">
        <f>36955075120</f>
        <v>3.695507512E10</v>
      </c>
      <c r="H129" s="10"/>
      <c r="I129" s="2" t="n">
        <f>4235</f>
        <v>4235.0</v>
      </c>
      <c r="J129" s="10"/>
      <c r="K129" s="2" t="n">
        <f>39601</f>
        <v>39601.0</v>
      </c>
    </row>
    <row r="130">
      <c r="A130" s="8" t="s">
        <v>16</v>
      </c>
      <c r="B130" s="9" t="s">
        <v>57</v>
      </c>
      <c r="C130" s="9" t="s">
        <v>58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19</v>
      </c>
      <c r="B131" s="9" t="s">
        <v>57</v>
      </c>
      <c r="C131" s="9" t="s">
        <v>58</v>
      </c>
      <c r="D131" s="10"/>
      <c r="E131" s="2" t="n">
        <f>61925</f>
        <v>61925.0</v>
      </c>
      <c r="F131" s="10"/>
      <c r="G131" s="2" t="n">
        <f>83657744372</f>
        <v>8.3657744372E10</v>
      </c>
      <c r="H131" s="10"/>
      <c r="I131" s="2" t="n">
        <f>2651</f>
        <v>2651.0</v>
      </c>
      <c r="J131" s="10"/>
      <c r="K131" s="2" t="n">
        <f>152008</f>
        <v>152008.0</v>
      </c>
    </row>
    <row r="132">
      <c r="A132" s="8" t="s">
        <v>20</v>
      </c>
      <c r="B132" s="9" t="s">
        <v>57</v>
      </c>
      <c r="C132" s="9" t="s">
        <v>58</v>
      </c>
      <c r="D132" s="10"/>
      <c r="E132" s="2" t="n">
        <f>40524</f>
        <v>40524.0</v>
      </c>
      <c r="F132" s="10"/>
      <c r="G132" s="2" t="n">
        <f>54910503313</f>
        <v>5.4910503313E10</v>
      </c>
      <c r="H132" s="10"/>
      <c r="I132" s="2" t="n">
        <f>3217</f>
        <v>3217.0</v>
      </c>
      <c r="J132" s="10"/>
      <c r="K132" s="2" t="n">
        <f>154695</f>
        <v>154695.0</v>
      </c>
    </row>
    <row r="133">
      <c r="A133" s="8" t="s">
        <v>21</v>
      </c>
      <c r="B133" s="9" t="s">
        <v>57</v>
      </c>
      <c r="C133" s="9" t="s">
        <v>58</v>
      </c>
      <c r="D133" s="10"/>
      <c r="E133" s="2" t="n">
        <f>33771</f>
        <v>33771.0</v>
      </c>
      <c r="F133" s="10"/>
      <c r="G133" s="2" t="n">
        <f>45627256622</f>
        <v>4.5627256622E10</v>
      </c>
      <c r="H133" s="10"/>
      <c r="I133" s="2" t="n">
        <f>1165</f>
        <v>1165.0</v>
      </c>
      <c r="J133" s="10"/>
      <c r="K133" s="2" t="n">
        <f>156135</f>
        <v>156135.0</v>
      </c>
    </row>
    <row r="134">
      <c r="A134" s="8" t="s">
        <v>22</v>
      </c>
      <c r="B134" s="9" t="s">
        <v>57</v>
      </c>
      <c r="C134" s="9" t="s">
        <v>58</v>
      </c>
      <c r="D134" s="10" t="s">
        <v>35</v>
      </c>
      <c r="E134" s="2" t="n">
        <f>22416</f>
        <v>22416.0</v>
      </c>
      <c r="F134" s="10" t="s">
        <v>35</v>
      </c>
      <c r="G134" s="2" t="n">
        <f>30458299542</f>
        <v>3.0458299542E10</v>
      </c>
      <c r="H134" s="10"/>
      <c r="I134" s="2" t="n">
        <f>965</f>
        <v>965.0</v>
      </c>
      <c r="J134" s="10"/>
      <c r="K134" s="2" t="n">
        <f>156228</f>
        <v>156228.0</v>
      </c>
    </row>
    <row r="135">
      <c r="A135" s="8" t="s">
        <v>23</v>
      </c>
      <c r="B135" s="9" t="s">
        <v>57</v>
      </c>
      <c r="C135" s="9" t="s">
        <v>58</v>
      </c>
      <c r="D135" s="10"/>
      <c r="E135" s="2" t="n">
        <f>30732</f>
        <v>30732.0</v>
      </c>
      <c r="F135" s="10"/>
      <c r="G135" s="2" t="n">
        <f>40867629500</f>
        <v>4.08676295E10</v>
      </c>
      <c r="H135" s="10"/>
      <c r="I135" s="2" t="n">
        <f>899</f>
        <v>899.0</v>
      </c>
      <c r="J135" s="10"/>
      <c r="K135" s="2" t="n">
        <f>159358</f>
        <v>159358.0</v>
      </c>
    </row>
    <row r="136">
      <c r="A136" s="8" t="s">
        <v>24</v>
      </c>
      <c r="B136" s="9" t="s">
        <v>57</v>
      </c>
      <c r="C136" s="9" t="s">
        <v>58</v>
      </c>
      <c r="D136" s="10"/>
      <c r="E136" s="2"/>
      <c r="F136" s="10"/>
      <c r="G136" s="2"/>
      <c r="H136" s="10"/>
      <c r="I136" s="2"/>
      <c r="J136" s="10"/>
      <c r="K136" s="2"/>
    </row>
    <row r="137">
      <c r="A137" s="8" t="s">
        <v>25</v>
      </c>
      <c r="B137" s="9" t="s">
        <v>57</v>
      </c>
      <c r="C137" s="9" t="s">
        <v>58</v>
      </c>
      <c r="D137" s="10"/>
      <c r="E137" s="2"/>
      <c r="F137" s="10"/>
      <c r="G137" s="2"/>
      <c r="H137" s="10"/>
      <c r="I137" s="2"/>
      <c r="J137" s="10"/>
      <c r="K137" s="2"/>
    </row>
    <row r="138">
      <c r="A138" s="8" t="s">
        <v>26</v>
      </c>
      <c r="B138" s="9" t="s">
        <v>57</v>
      </c>
      <c r="C138" s="9" t="s">
        <v>58</v>
      </c>
      <c r="D138" s="10"/>
      <c r="E138" s="2" t="n">
        <f>64078</f>
        <v>64078.0</v>
      </c>
      <c r="F138" s="10"/>
      <c r="G138" s="2" t="n">
        <f>80795616190</f>
        <v>8.079561619E10</v>
      </c>
      <c r="H138" s="10"/>
      <c r="I138" s="2" t="n">
        <f>1313</f>
        <v>1313.0</v>
      </c>
      <c r="J138" s="10"/>
      <c r="K138" s="2" t="n">
        <f>167280</f>
        <v>167280.0</v>
      </c>
    </row>
    <row r="139">
      <c r="A139" s="8" t="s">
        <v>27</v>
      </c>
      <c r="B139" s="9" t="s">
        <v>57</v>
      </c>
      <c r="C139" s="9" t="s">
        <v>58</v>
      </c>
      <c r="D139" s="10" t="s">
        <v>28</v>
      </c>
      <c r="E139" s="2" t="n">
        <f>155492</f>
        <v>155492.0</v>
      </c>
      <c r="F139" s="10" t="s">
        <v>28</v>
      </c>
      <c r="G139" s="2" t="n">
        <f>191782688236</f>
        <v>1.91782688236E11</v>
      </c>
      <c r="H139" s="10" t="s">
        <v>28</v>
      </c>
      <c r="I139" s="2" t="n">
        <f>37550</f>
        <v>37550.0</v>
      </c>
      <c r="J139" s="10" t="s">
        <v>28</v>
      </c>
      <c r="K139" s="2" t="n">
        <f>199917</f>
        <v>199917.0</v>
      </c>
    </row>
    <row r="140">
      <c r="A140" s="8" t="s">
        <v>29</v>
      </c>
      <c r="B140" s="9" t="s">
        <v>57</v>
      </c>
      <c r="C140" s="9" t="s">
        <v>58</v>
      </c>
      <c r="D140" s="10"/>
      <c r="E140" s="2" t="n">
        <f>104703</f>
        <v>104703.0</v>
      </c>
      <c r="F140" s="10"/>
      <c r="G140" s="2" t="n">
        <f>131572648348</f>
        <v>1.31572648348E11</v>
      </c>
      <c r="H140" s="10"/>
      <c r="I140" s="2" t="n">
        <f>7520</f>
        <v>7520.0</v>
      </c>
      <c r="J140" s="10"/>
      <c r="K140" s="2" t="n">
        <f>193051</f>
        <v>193051.0</v>
      </c>
    </row>
    <row r="141">
      <c r="A141" s="8" t="s">
        <v>30</v>
      </c>
      <c r="B141" s="9" t="s">
        <v>57</v>
      </c>
      <c r="C141" s="9" t="s">
        <v>58</v>
      </c>
      <c r="D141" s="10"/>
      <c r="E141" s="2" t="n">
        <f>153938</f>
        <v>153938.0</v>
      </c>
      <c r="F141" s="10"/>
      <c r="G141" s="2" t="n">
        <f>185554757498</f>
        <v>1.85554757498E11</v>
      </c>
      <c r="H141" s="10"/>
      <c r="I141" s="2" t="n">
        <f>8179</f>
        <v>8179.0</v>
      </c>
      <c r="J141" s="10"/>
      <c r="K141" s="2" t="n">
        <f>176896</f>
        <v>176896.0</v>
      </c>
    </row>
    <row r="142">
      <c r="A142" s="8" t="s">
        <v>31</v>
      </c>
      <c r="B142" s="9" t="s">
        <v>57</v>
      </c>
      <c r="C142" s="9" t="s">
        <v>58</v>
      </c>
      <c r="D142" s="10"/>
      <c r="E142" s="2" t="n">
        <f>80000</f>
        <v>80000.0</v>
      </c>
      <c r="F142" s="10"/>
      <c r="G142" s="2" t="n">
        <f>88487435121</f>
        <v>8.8487435121E10</v>
      </c>
      <c r="H142" s="10"/>
      <c r="I142" s="2" t="n">
        <f>3120</f>
        <v>3120.0</v>
      </c>
      <c r="J142" s="10"/>
      <c r="K142" s="2" t="n">
        <f>192571</f>
        <v>192571.0</v>
      </c>
    </row>
    <row r="143">
      <c r="A143" s="8" t="s">
        <v>32</v>
      </c>
      <c r="B143" s="9" t="s">
        <v>57</v>
      </c>
      <c r="C143" s="9" t="s">
        <v>58</v>
      </c>
      <c r="D143" s="10"/>
      <c r="E143" s="2"/>
      <c r="F143" s="10"/>
      <c r="G143" s="2"/>
      <c r="H143" s="10"/>
      <c r="I143" s="2"/>
      <c r="J143" s="10"/>
      <c r="K143" s="2"/>
    </row>
    <row r="144">
      <c r="A144" s="8" t="s">
        <v>33</v>
      </c>
      <c r="B144" s="9" t="s">
        <v>57</v>
      </c>
      <c r="C144" s="9" t="s">
        <v>58</v>
      </c>
      <c r="D144" s="10"/>
      <c r="E144" s="2"/>
      <c r="F144" s="10"/>
      <c r="G144" s="2"/>
      <c r="H144" s="10"/>
      <c r="I144" s="2"/>
      <c r="J144" s="10"/>
      <c r="K144" s="2"/>
    </row>
    <row r="145">
      <c r="A145" s="8" t="s">
        <v>34</v>
      </c>
      <c r="B145" s="9" t="s">
        <v>57</v>
      </c>
      <c r="C145" s="9" t="s">
        <v>58</v>
      </c>
      <c r="D145" s="10"/>
      <c r="E145" s="2" t="n">
        <f>53696</f>
        <v>53696.0</v>
      </c>
      <c r="F145" s="10"/>
      <c r="G145" s="2" t="n">
        <f>60237333141</f>
        <v>6.0237333141E10</v>
      </c>
      <c r="H145" s="10"/>
      <c r="I145" s="2" t="n">
        <f>3192</f>
        <v>3192.0</v>
      </c>
      <c r="J145" s="10"/>
      <c r="K145" s="2" t="n">
        <f>113368</f>
        <v>113368.0</v>
      </c>
    </row>
    <row r="146">
      <c r="A146" s="8" t="s">
        <v>36</v>
      </c>
      <c r="B146" s="9" t="s">
        <v>57</v>
      </c>
      <c r="C146" s="9" t="s">
        <v>58</v>
      </c>
      <c r="D146" s="10"/>
      <c r="E146" s="2" t="n">
        <f>32206</f>
        <v>32206.0</v>
      </c>
      <c r="F146" s="10"/>
      <c r="G146" s="2" t="n">
        <f>35346228225</f>
        <v>3.5346228225E10</v>
      </c>
      <c r="H146" s="10" t="s">
        <v>35</v>
      </c>
      <c r="I146" s="2" t="n">
        <f>401</f>
        <v>401.0</v>
      </c>
      <c r="J146" s="10"/>
      <c r="K146" s="2" t="n">
        <f>109422</f>
        <v>109422.0</v>
      </c>
    </row>
    <row r="147">
      <c r="A147" s="8" t="s">
        <v>37</v>
      </c>
      <c r="B147" s="9" t="s">
        <v>57</v>
      </c>
      <c r="C147" s="9" t="s">
        <v>58</v>
      </c>
      <c r="D147" s="10"/>
      <c r="E147" s="2" t="n">
        <f>28501</f>
        <v>28501.0</v>
      </c>
      <c r="F147" s="10"/>
      <c r="G147" s="2" t="n">
        <f>32155189824</f>
        <v>3.2155189824E10</v>
      </c>
      <c r="H147" s="10"/>
      <c r="I147" s="2" t="n">
        <f>2793</f>
        <v>2793.0</v>
      </c>
      <c r="J147" s="10"/>
      <c r="K147" s="2" t="n">
        <f>107408</f>
        <v>107408.0</v>
      </c>
    </row>
    <row r="148">
      <c r="A148" s="8" t="s">
        <v>38</v>
      </c>
      <c r="B148" s="9" t="s">
        <v>57</v>
      </c>
      <c r="C148" s="9" t="s">
        <v>58</v>
      </c>
      <c r="D148" s="10"/>
      <c r="E148" s="2" t="n">
        <f>36214</f>
        <v>36214.0</v>
      </c>
      <c r="F148" s="10"/>
      <c r="G148" s="2" t="n">
        <f>41090672568</f>
        <v>4.1090672568E10</v>
      </c>
      <c r="H148" s="10"/>
      <c r="I148" s="2" t="n">
        <f>2377</f>
        <v>2377.0</v>
      </c>
      <c r="J148" s="10"/>
      <c r="K148" s="2" t="n">
        <f>109662</f>
        <v>109662.0</v>
      </c>
    </row>
    <row r="149">
      <c r="A149" s="8" t="s">
        <v>39</v>
      </c>
      <c r="B149" s="9" t="s">
        <v>57</v>
      </c>
      <c r="C149" s="9" t="s">
        <v>58</v>
      </c>
      <c r="D149" s="10"/>
      <c r="E149" s="2"/>
      <c r="F149" s="10"/>
      <c r="G149" s="2"/>
      <c r="H149" s="10"/>
      <c r="I149" s="2"/>
      <c r="J149" s="10"/>
      <c r="K149" s="2"/>
    </row>
    <row r="150">
      <c r="A150" s="8" t="s">
        <v>40</v>
      </c>
      <c r="B150" s="9" t="s">
        <v>57</v>
      </c>
      <c r="C150" s="9" t="s">
        <v>58</v>
      </c>
      <c r="D150" s="10"/>
      <c r="E150" s="2"/>
      <c r="F150" s="10"/>
      <c r="G150" s="2"/>
      <c r="H150" s="10"/>
      <c r="I150" s="2"/>
      <c r="J150" s="10"/>
      <c r="K150" s="2"/>
    </row>
    <row r="151">
      <c r="A151" s="8" t="s">
        <v>41</v>
      </c>
      <c r="B151" s="9" t="s">
        <v>57</v>
      </c>
      <c r="C151" s="9" t="s">
        <v>58</v>
      </c>
      <c r="D151" s="10"/>
      <c r="E151" s="2"/>
      <c r="F151" s="10"/>
      <c r="G151" s="2"/>
      <c r="H151" s="10"/>
      <c r="I151" s="2"/>
      <c r="J151" s="10"/>
      <c r="K151" s="2"/>
    </row>
    <row r="152">
      <c r="A152" s="8" t="s">
        <v>42</v>
      </c>
      <c r="B152" s="9" t="s">
        <v>57</v>
      </c>
      <c r="C152" s="9" t="s">
        <v>58</v>
      </c>
      <c r="D152" s="10"/>
      <c r="E152" s="2" t="n">
        <f>35432</f>
        <v>35432.0</v>
      </c>
      <c r="F152" s="10"/>
      <c r="G152" s="2" t="n">
        <f>40590115842</f>
        <v>4.0590115842E10</v>
      </c>
      <c r="H152" s="10"/>
      <c r="I152" s="2" t="n">
        <f>2329</f>
        <v>2329.0</v>
      </c>
      <c r="J152" s="10"/>
      <c r="K152" s="2" t="n">
        <f>111422</f>
        <v>111422.0</v>
      </c>
    </row>
    <row r="153">
      <c r="A153" s="8" t="s">
        <v>43</v>
      </c>
      <c r="B153" s="9" t="s">
        <v>57</v>
      </c>
      <c r="C153" s="9" t="s">
        <v>58</v>
      </c>
      <c r="D153" s="10"/>
      <c r="E153" s="2" t="n">
        <f>42714</f>
        <v>42714.0</v>
      </c>
      <c r="F153" s="10"/>
      <c r="G153" s="2" t="n">
        <f>50204826000</f>
        <v>5.0204826E10</v>
      </c>
      <c r="H153" s="10"/>
      <c r="I153" s="2" t="n">
        <f>1813</f>
        <v>1813.0</v>
      </c>
      <c r="J153" s="10" t="s">
        <v>35</v>
      </c>
      <c r="K153" s="2" t="n">
        <f>104907</f>
        <v>104907.0</v>
      </c>
    </row>
    <row r="154">
      <c r="A154" s="8" t="s">
        <v>44</v>
      </c>
      <c r="B154" s="9" t="s">
        <v>57</v>
      </c>
      <c r="C154" s="9" t="s">
        <v>58</v>
      </c>
      <c r="D154" s="10"/>
      <c r="E154" s="2" t="n">
        <f>28024</f>
        <v>28024.0</v>
      </c>
      <c r="F154" s="10"/>
      <c r="G154" s="2" t="n">
        <f>34960209070</f>
        <v>3.496020907E10</v>
      </c>
      <c r="H154" s="10"/>
      <c r="I154" s="2" t="n">
        <f>3761</f>
        <v>3761.0</v>
      </c>
      <c r="J154" s="10"/>
      <c r="K154" s="2" t="n">
        <f>104946</f>
        <v>104946.0</v>
      </c>
    </row>
    <row r="155">
      <c r="A155" s="8" t="s">
        <v>45</v>
      </c>
      <c r="B155" s="9" t="s">
        <v>57</v>
      </c>
      <c r="C155" s="9" t="s">
        <v>58</v>
      </c>
      <c r="D155" s="10"/>
      <c r="E155" s="2" t="n">
        <f>29943</f>
        <v>29943.0</v>
      </c>
      <c r="F155" s="10"/>
      <c r="G155" s="2" t="n">
        <f>37139760879</f>
        <v>3.7139760879E10</v>
      </c>
      <c r="H155" s="10"/>
      <c r="I155" s="2" t="n">
        <f>2137</f>
        <v>2137.0</v>
      </c>
      <c r="J155" s="10"/>
      <c r="K155" s="2" t="n">
        <f>109372</f>
        <v>109372.0</v>
      </c>
    </row>
    <row r="156">
      <c r="A156" s="8" t="s">
        <v>46</v>
      </c>
      <c r="B156" s="9" t="s">
        <v>57</v>
      </c>
      <c r="C156" s="9" t="s">
        <v>58</v>
      </c>
      <c r="D156" s="10"/>
      <c r="E156" s="2" t="n">
        <f>35759</f>
        <v>35759.0</v>
      </c>
      <c r="F156" s="10"/>
      <c r="G156" s="2" t="n">
        <f>45720044007</f>
        <v>4.5720044007E10</v>
      </c>
      <c r="H156" s="10"/>
      <c r="I156" s="2" t="n">
        <f>1339</f>
        <v>1339.0</v>
      </c>
      <c r="J156" s="10"/>
      <c r="K156" s="2" t="n">
        <f>109493</f>
        <v>109493.0</v>
      </c>
    </row>
    <row r="157">
      <c r="A157" s="8" t="s">
        <v>47</v>
      </c>
      <c r="B157" s="9" t="s">
        <v>57</v>
      </c>
      <c r="C157" s="9" t="s">
        <v>58</v>
      </c>
      <c r="D157" s="10"/>
      <c r="E157" s="2"/>
      <c r="F157" s="10"/>
      <c r="G157" s="2"/>
      <c r="H157" s="10"/>
      <c r="I157" s="2"/>
      <c r="J157" s="10"/>
      <c r="K157" s="2"/>
    </row>
    <row r="158">
      <c r="A158" s="8" t="s">
        <v>48</v>
      </c>
      <c r="B158" s="9" t="s">
        <v>57</v>
      </c>
      <c r="C158" s="9" t="s">
        <v>58</v>
      </c>
      <c r="D158" s="10"/>
      <c r="E158" s="2"/>
      <c r="F158" s="10"/>
      <c r="G158" s="2"/>
      <c r="H158" s="10"/>
      <c r="I158" s="2"/>
      <c r="J158" s="10"/>
      <c r="K158" s="2"/>
    </row>
    <row r="159">
      <c r="A159" s="8" t="s">
        <v>49</v>
      </c>
      <c r="B159" s="9" t="s">
        <v>57</v>
      </c>
      <c r="C159" s="9" t="s">
        <v>58</v>
      </c>
      <c r="D159" s="10"/>
      <c r="E159" s="2" t="n">
        <f>68364</f>
        <v>68364.0</v>
      </c>
      <c r="F159" s="10"/>
      <c r="G159" s="2" t="n">
        <f>87161051340</f>
        <v>8.716105134E10</v>
      </c>
      <c r="H159" s="10"/>
      <c r="I159" s="2" t="n">
        <f>1056</f>
        <v>1056.0</v>
      </c>
      <c r="J159" s="10"/>
      <c r="K159" s="2" t="n">
        <f>133080</f>
        <v>133080.0</v>
      </c>
    </row>
    <row r="160">
      <c r="A160" s="8" t="s">
        <v>50</v>
      </c>
      <c r="B160" s="9" t="s">
        <v>57</v>
      </c>
      <c r="C160" s="9" t="s">
        <v>58</v>
      </c>
      <c r="D160" s="10"/>
      <c r="E160" s="2" t="n">
        <f>27327</f>
        <v>27327.0</v>
      </c>
      <c r="F160" s="10"/>
      <c r="G160" s="2" t="n">
        <f>34693060666</f>
        <v>3.4693060666E10</v>
      </c>
      <c r="H160" s="10"/>
      <c r="I160" s="2" t="n">
        <f>461</f>
        <v>461.0</v>
      </c>
      <c r="J160" s="10"/>
      <c r="K160" s="2" t="n">
        <f>134398</f>
        <v>134398.0</v>
      </c>
    </row>
    <row r="161">
      <c r="A161" s="8" t="s">
        <v>16</v>
      </c>
      <c r="B161" s="9" t="s">
        <v>59</v>
      </c>
      <c r="C161" s="9" t="s">
        <v>60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19</v>
      </c>
      <c r="B162" s="9" t="s">
        <v>59</v>
      </c>
      <c r="C162" s="9" t="s">
        <v>60</v>
      </c>
      <c r="D162" s="10"/>
      <c r="E162" s="2" t="n">
        <f>4</f>
        <v>4.0</v>
      </c>
      <c r="F162" s="10"/>
      <c r="G162" s="2" t="n">
        <f>2883500</f>
        <v>2883500.0</v>
      </c>
      <c r="H162" s="10" t="s">
        <v>61</v>
      </c>
      <c r="I162" s="2" t="str">
        <f>"－"</f>
        <v>－</v>
      </c>
      <c r="J162" s="10" t="s">
        <v>35</v>
      </c>
      <c r="K162" s="2" t="n">
        <f>112</f>
        <v>112.0</v>
      </c>
    </row>
    <row r="163">
      <c r="A163" s="8" t="s">
        <v>20</v>
      </c>
      <c r="B163" s="9" t="s">
        <v>59</v>
      </c>
      <c r="C163" s="9" t="s">
        <v>60</v>
      </c>
      <c r="D163" s="10"/>
      <c r="E163" s="2" t="n">
        <f>3</f>
        <v>3.0</v>
      </c>
      <c r="F163" s="10"/>
      <c r="G163" s="2" t="n">
        <f>2191000</f>
        <v>2191000.0</v>
      </c>
      <c r="H163" s="10"/>
      <c r="I163" s="2" t="str">
        <f>"－"</f>
        <v>－</v>
      </c>
      <c r="J163" s="10"/>
      <c r="K163" s="2" t="n">
        <f>112</f>
        <v>112.0</v>
      </c>
    </row>
    <row r="164">
      <c r="A164" s="8" t="s">
        <v>21</v>
      </c>
      <c r="B164" s="9" t="s">
        <v>59</v>
      </c>
      <c r="C164" s="9" t="s">
        <v>60</v>
      </c>
      <c r="D164" s="10"/>
      <c r="E164" s="2" t="n">
        <f>4</f>
        <v>4.0</v>
      </c>
      <c r="F164" s="10"/>
      <c r="G164" s="2" t="n">
        <f>2851000</f>
        <v>2851000.0</v>
      </c>
      <c r="H164" s="10"/>
      <c r="I164" s="2" t="str">
        <f>"－"</f>
        <v>－</v>
      </c>
      <c r="J164" s="10"/>
      <c r="K164" s="2" t="n">
        <f>115</f>
        <v>115.0</v>
      </c>
    </row>
    <row r="165">
      <c r="A165" s="8" t="s">
        <v>22</v>
      </c>
      <c r="B165" s="9" t="s">
        <v>59</v>
      </c>
      <c r="C165" s="9" t="s">
        <v>60</v>
      </c>
      <c r="D165" s="10" t="s">
        <v>35</v>
      </c>
      <c r="E165" s="2" t="str">
        <f>"－"</f>
        <v>－</v>
      </c>
      <c r="F165" s="10" t="s">
        <v>35</v>
      </c>
      <c r="G165" s="2" t="str">
        <f>"－"</f>
        <v>－</v>
      </c>
      <c r="H165" s="10"/>
      <c r="I165" s="2" t="str">
        <f>"－"</f>
        <v>－</v>
      </c>
      <c r="J165" s="10"/>
      <c r="K165" s="2" t="n">
        <f>115</f>
        <v>115.0</v>
      </c>
    </row>
    <row r="166">
      <c r="A166" s="8" t="s">
        <v>23</v>
      </c>
      <c r="B166" s="9" t="s">
        <v>59</v>
      </c>
      <c r="C166" s="9" t="s">
        <v>60</v>
      </c>
      <c r="D166" s="10"/>
      <c r="E166" s="2" t="str">
        <f>"－"</f>
        <v>－</v>
      </c>
      <c r="F166" s="10"/>
      <c r="G166" s="2" t="str">
        <f>"－"</f>
        <v>－</v>
      </c>
      <c r="H166" s="10"/>
      <c r="I166" s="2" t="str">
        <f>"－"</f>
        <v>－</v>
      </c>
      <c r="J166" s="10"/>
      <c r="K166" s="2" t="n">
        <f>115</f>
        <v>115.0</v>
      </c>
    </row>
    <row r="167">
      <c r="A167" s="8" t="s">
        <v>24</v>
      </c>
      <c r="B167" s="9" t="s">
        <v>59</v>
      </c>
      <c r="C167" s="9" t="s">
        <v>60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25</v>
      </c>
      <c r="B168" s="9" t="s">
        <v>59</v>
      </c>
      <c r="C168" s="9" t="s">
        <v>60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26</v>
      </c>
      <c r="B169" s="9" t="s">
        <v>59</v>
      </c>
      <c r="C169" s="9" t="s">
        <v>60</v>
      </c>
      <c r="D169" s="10"/>
      <c r="E169" s="2" t="n">
        <f>1</f>
        <v>1.0</v>
      </c>
      <c r="F169" s="10"/>
      <c r="G169" s="2" t="n">
        <f>676000</f>
        <v>676000.0</v>
      </c>
      <c r="H169" s="10"/>
      <c r="I169" s="2" t="str">
        <f>"－"</f>
        <v>－</v>
      </c>
      <c r="J169" s="10"/>
      <c r="K169" s="2" t="n">
        <f>115</f>
        <v>115.0</v>
      </c>
    </row>
    <row r="170">
      <c r="A170" s="8" t="s">
        <v>27</v>
      </c>
      <c r="B170" s="9" t="s">
        <v>59</v>
      </c>
      <c r="C170" s="9" t="s">
        <v>60</v>
      </c>
      <c r="D170" s="10" t="s">
        <v>28</v>
      </c>
      <c r="E170" s="2" t="n">
        <f>223</f>
        <v>223.0</v>
      </c>
      <c r="F170" s="10" t="s">
        <v>28</v>
      </c>
      <c r="G170" s="2" t="n">
        <f>144644500</f>
        <v>1.446445E8</v>
      </c>
      <c r="H170" s="10"/>
      <c r="I170" s="2" t="str">
        <f>"－"</f>
        <v>－</v>
      </c>
      <c r="J170" s="10"/>
      <c r="K170" s="2" t="n">
        <f>117</f>
        <v>117.0</v>
      </c>
    </row>
    <row r="171">
      <c r="A171" s="8" t="s">
        <v>29</v>
      </c>
      <c r="B171" s="9" t="s">
        <v>59</v>
      </c>
      <c r="C171" s="9" t="s">
        <v>60</v>
      </c>
      <c r="D171" s="10"/>
      <c r="E171" s="2" t="n">
        <f>1</f>
        <v>1.0</v>
      </c>
      <c r="F171" s="10"/>
      <c r="G171" s="2" t="n">
        <f>673500</f>
        <v>673500.0</v>
      </c>
      <c r="H171" s="10"/>
      <c r="I171" s="2" t="str">
        <f>"－"</f>
        <v>－</v>
      </c>
      <c r="J171" s="10"/>
      <c r="K171" s="2" t="n">
        <f>117</f>
        <v>117.0</v>
      </c>
    </row>
    <row r="172">
      <c r="A172" s="8" t="s">
        <v>30</v>
      </c>
      <c r="B172" s="9" t="s">
        <v>59</v>
      </c>
      <c r="C172" s="9" t="s">
        <v>60</v>
      </c>
      <c r="D172" s="10"/>
      <c r="E172" s="2" t="n">
        <f>1</f>
        <v>1.0</v>
      </c>
      <c r="F172" s="10"/>
      <c r="G172" s="2" t="n">
        <f>619000</f>
        <v>619000.0</v>
      </c>
      <c r="H172" s="10"/>
      <c r="I172" s="2" t="str">
        <f>"－"</f>
        <v>－</v>
      </c>
      <c r="J172" s="10"/>
      <c r="K172" s="2" t="n">
        <f>117</f>
        <v>117.0</v>
      </c>
    </row>
    <row r="173">
      <c r="A173" s="8" t="s">
        <v>31</v>
      </c>
      <c r="B173" s="9" t="s">
        <v>59</v>
      </c>
      <c r="C173" s="9" t="s">
        <v>60</v>
      </c>
      <c r="D173" s="10"/>
      <c r="E173" s="2" t="n">
        <f>3</f>
        <v>3.0</v>
      </c>
      <c r="F173" s="10"/>
      <c r="G173" s="2" t="n">
        <f>1798000</f>
        <v>1798000.0</v>
      </c>
      <c r="H173" s="10"/>
      <c r="I173" s="2" t="str">
        <f>"－"</f>
        <v>－</v>
      </c>
      <c r="J173" s="10"/>
      <c r="K173" s="2" t="n">
        <f>119</f>
        <v>119.0</v>
      </c>
    </row>
    <row r="174">
      <c r="A174" s="8" t="s">
        <v>32</v>
      </c>
      <c r="B174" s="9" t="s">
        <v>59</v>
      </c>
      <c r="C174" s="9" t="s">
        <v>60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33</v>
      </c>
      <c r="B175" s="9" t="s">
        <v>59</v>
      </c>
      <c r="C175" s="9" t="s">
        <v>60</v>
      </c>
      <c r="D175" s="10"/>
      <c r="E175" s="2"/>
      <c r="F175" s="10"/>
      <c r="G175" s="2"/>
      <c r="H175" s="10"/>
      <c r="I175" s="2"/>
      <c r="J175" s="10"/>
      <c r="K175" s="2"/>
    </row>
    <row r="176">
      <c r="A176" s="8" t="s">
        <v>34</v>
      </c>
      <c r="B176" s="9" t="s">
        <v>59</v>
      </c>
      <c r="C176" s="9" t="s">
        <v>60</v>
      </c>
      <c r="D176" s="10"/>
      <c r="E176" s="2" t="n">
        <f>5</f>
        <v>5.0</v>
      </c>
      <c r="F176" s="10"/>
      <c r="G176" s="2" t="n">
        <f>3020000</f>
        <v>3020000.0</v>
      </c>
      <c r="H176" s="10"/>
      <c r="I176" s="2" t="str">
        <f>"－"</f>
        <v>－</v>
      </c>
      <c r="J176" s="10"/>
      <c r="K176" s="2" t="n">
        <f>117</f>
        <v>117.0</v>
      </c>
    </row>
    <row r="177">
      <c r="A177" s="8" t="s">
        <v>36</v>
      </c>
      <c r="B177" s="9" t="s">
        <v>59</v>
      </c>
      <c r="C177" s="9" t="s">
        <v>60</v>
      </c>
      <c r="D177" s="10"/>
      <c r="E177" s="2" t="n">
        <f>1</f>
        <v>1.0</v>
      </c>
      <c r="F177" s="10"/>
      <c r="G177" s="2" t="n">
        <f>573000</f>
        <v>573000.0</v>
      </c>
      <c r="H177" s="10"/>
      <c r="I177" s="2" t="str">
        <f>"－"</f>
        <v>－</v>
      </c>
      <c r="J177" s="10"/>
      <c r="K177" s="2" t="n">
        <f>115</f>
        <v>115.0</v>
      </c>
    </row>
    <row r="178">
      <c r="A178" s="8" t="s">
        <v>37</v>
      </c>
      <c r="B178" s="9" t="s">
        <v>59</v>
      </c>
      <c r="C178" s="9" t="s">
        <v>60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116</f>
        <v>116.0</v>
      </c>
    </row>
    <row r="179">
      <c r="A179" s="8" t="s">
        <v>38</v>
      </c>
      <c r="B179" s="9" t="s">
        <v>59</v>
      </c>
      <c r="C179" s="9" t="s">
        <v>60</v>
      </c>
      <c r="D179" s="10"/>
      <c r="E179" s="2" t="n">
        <f>6</f>
        <v>6.0</v>
      </c>
      <c r="F179" s="10"/>
      <c r="G179" s="2" t="n">
        <f>3641500</f>
        <v>3641500.0</v>
      </c>
      <c r="H179" s="10"/>
      <c r="I179" s="2" t="str">
        <f>"－"</f>
        <v>－</v>
      </c>
      <c r="J179" s="10"/>
      <c r="K179" s="2" t="n">
        <f>115</f>
        <v>115.0</v>
      </c>
    </row>
    <row r="180">
      <c r="A180" s="8" t="s">
        <v>39</v>
      </c>
      <c r="B180" s="9" t="s">
        <v>59</v>
      </c>
      <c r="C180" s="9" t="s">
        <v>60</v>
      </c>
      <c r="D180" s="10"/>
      <c r="E180" s="2"/>
      <c r="F180" s="10"/>
      <c r="G180" s="2"/>
      <c r="H180" s="10"/>
      <c r="I180" s="2"/>
      <c r="J180" s="10"/>
      <c r="K180" s="2"/>
    </row>
    <row r="181">
      <c r="A181" s="8" t="s">
        <v>40</v>
      </c>
      <c r="B181" s="9" t="s">
        <v>59</v>
      </c>
      <c r="C181" s="9" t="s">
        <v>60</v>
      </c>
      <c r="D181" s="10"/>
      <c r="E181" s="2"/>
      <c r="F181" s="10"/>
      <c r="G181" s="2"/>
      <c r="H181" s="10"/>
      <c r="I181" s="2"/>
      <c r="J181" s="10"/>
      <c r="K181" s="2"/>
    </row>
    <row r="182">
      <c r="A182" s="8" t="s">
        <v>41</v>
      </c>
      <c r="B182" s="9" t="s">
        <v>59</v>
      </c>
      <c r="C182" s="9" t="s">
        <v>60</v>
      </c>
      <c r="D182" s="10"/>
      <c r="E182" s="2"/>
      <c r="F182" s="10"/>
      <c r="G182" s="2"/>
      <c r="H182" s="10"/>
      <c r="I182" s="2"/>
      <c r="J182" s="10"/>
      <c r="K182" s="2"/>
    </row>
    <row r="183">
      <c r="A183" s="8" t="s">
        <v>42</v>
      </c>
      <c r="B183" s="9" t="s">
        <v>59</v>
      </c>
      <c r="C183" s="9" t="s">
        <v>60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115</f>
        <v>115.0</v>
      </c>
    </row>
    <row r="184">
      <c r="A184" s="8" t="s">
        <v>43</v>
      </c>
      <c r="B184" s="9" t="s">
        <v>59</v>
      </c>
      <c r="C184" s="9" t="s">
        <v>60</v>
      </c>
      <c r="D184" s="10"/>
      <c r="E184" s="2" t="n">
        <f>1</f>
        <v>1.0</v>
      </c>
      <c r="F184" s="10"/>
      <c r="G184" s="2" t="n">
        <f>616500</f>
        <v>616500.0</v>
      </c>
      <c r="H184" s="10"/>
      <c r="I184" s="2" t="str">
        <f>"－"</f>
        <v>－</v>
      </c>
      <c r="J184" s="10"/>
      <c r="K184" s="2" t="n">
        <f>115</f>
        <v>115.0</v>
      </c>
    </row>
    <row r="185">
      <c r="A185" s="8" t="s">
        <v>44</v>
      </c>
      <c r="B185" s="9" t="s">
        <v>59</v>
      </c>
      <c r="C185" s="9" t="s">
        <v>60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115</f>
        <v>115.0</v>
      </c>
    </row>
    <row r="186">
      <c r="A186" s="8" t="s">
        <v>45</v>
      </c>
      <c r="B186" s="9" t="s">
        <v>59</v>
      </c>
      <c r="C186" s="9" t="s">
        <v>60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115</f>
        <v>115.0</v>
      </c>
    </row>
    <row r="187">
      <c r="A187" s="8" t="s">
        <v>46</v>
      </c>
      <c r="B187" s="9" t="s">
        <v>59</v>
      </c>
      <c r="C187" s="9" t="s">
        <v>60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115</f>
        <v>115.0</v>
      </c>
    </row>
    <row r="188">
      <c r="A188" s="8" t="s">
        <v>47</v>
      </c>
      <c r="B188" s="9" t="s">
        <v>59</v>
      </c>
      <c r="C188" s="9" t="s">
        <v>60</v>
      </c>
      <c r="D188" s="10"/>
      <c r="E188" s="2"/>
      <c r="F188" s="10"/>
      <c r="G188" s="2"/>
      <c r="H188" s="10"/>
      <c r="I188" s="2"/>
      <c r="J188" s="10"/>
      <c r="K188" s="2"/>
    </row>
    <row r="189">
      <c r="A189" s="8" t="s">
        <v>48</v>
      </c>
      <c r="B189" s="9" t="s">
        <v>59</v>
      </c>
      <c r="C189" s="9" t="s">
        <v>60</v>
      </c>
      <c r="D189" s="10"/>
      <c r="E189" s="2"/>
      <c r="F189" s="10"/>
      <c r="G189" s="2"/>
      <c r="H189" s="10"/>
      <c r="I189" s="2"/>
      <c r="J189" s="10"/>
      <c r="K189" s="2"/>
    </row>
    <row r="190">
      <c r="A190" s="8" t="s">
        <v>49</v>
      </c>
      <c r="B190" s="9" t="s">
        <v>59</v>
      </c>
      <c r="C190" s="9" t="s">
        <v>60</v>
      </c>
      <c r="D190" s="10"/>
      <c r="E190" s="2" t="n">
        <f>65</f>
        <v>65.0</v>
      </c>
      <c r="F190" s="10"/>
      <c r="G190" s="2" t="n">
        <f>43266880</f>
        <v>4.326688E7</v>
      </c>
      <c r="H190" s="10"/>
      <c r="I190" s="2" t="str">
        <f>"－"</f>
        <v>－</v>
      </c>
      <c r="J190" s="10" t="s">
        <v>28</v>
      </c>
      <c r="K190" s="2" t="n">
        <f>179</f>
        <v>179.0</v>
      </c>
    </row>
    <row r="191">
      <c r="A191" s="8" t="s">
        <v>50</v>
      </c>
      <c r="B191" s="9" t="s">
        <v>59</v>
      </c>
      <c r="C191" s="9" t="s">
        <v>60</v>
      </c>
      <c r="D191" s="10"/>
      <c r="E191" s="2" t="str">
        <f>"－"</f>
        <v>－</v>
      </c>
      <c r="F191" s="10"/>
      <c r="G191" s="2" t="str">
        <f>"－"</f>
        <v>－</v>
      </c>
      <c r="H191" s="10"/>
      <c r="I191" s="2" t="str">
        <f>"－"</f>
        <v>－</v>
      </c>
      <c r="J191" s="10"/>
      <c r="K191" s="2" t="n">
        <f>179</f>
        <v>179.0</v>
      </c>
    </row>
    <row r="192">
      <c r="A192" s="8" t="s">
        <v>16</v>
      </c>
      <c r="B192" s="9" t="s">
        <v>62</v>
      </c>
      <c r="C192" s="9" t="s">
        <v>63</v>
      </c>
      <c r="D192" s="10"/>
      <c r="E192" s="2"/>
      <c r="F192" s="10"/>
      <c r="G192" s="2"/>
      <c r="H192" s="10"/>
      <c r="I192" s="2"/>
      <c r="J192" s="10"/>
      <c r="K192" s="2"/>
    </row>
    <row r="193">
      <c r="A193" s="8" t="s">
        <v>19</v>
      </c>
      <c r="B193" s="9" t="s">
        <v>62</v>
      </c>
      <c r="C193" s="9" t="s">
        <v>63</v>
      </c>
      <c r="D193" s="10" t="s">
        <v>35</v>
      </c>
      <c r="E193" s="2" t="str">
        <f>"－"</f>
        <v>－</v>
      </c>
      <c r="F193" s="10" t="s">
        <v>35</v>
      </c>
      <c r="G193" s="2" t="str">
        <f>"－"</f>
        <v>－</v>
      </c>
      <c r="H193" s="10" t="s">
        <v>35</v>
      </c>
      <c r="I193" s="2" t="str">
        <f>"－"</f>
        <v>－</v>
      </c>
      <c r="J193" s="10"/>
      <c r="K193" s="2" t="n">
        <f>40217</f>
        <v>40217.0</v>
      </c>
    </row>
    <row r="194">
      <c r="A194" s="8" t="s">
        <v>20</v>
      </c>
      <c r="B194" s="9" t="s">
        <v>62</v>
      </c>
      <c r="C194" s="9" t="s">
        <v>63</v>
      </c>
      <c r="D194" s="10"/>
      <c r="E194" s="2" t="str">
        <f>"－"</f>
        <v>－</v>
      </c>
      <c r="F194" s="10"/>
      <c r="G194" s="2" t="str">
        <f>"－"</f>
        <v>－</v>
      </c>
      <c r="H194" s="10"/>
      <c r="I194" s="2" t="str">
        <f>"－"</f>
        <v>－</v>
      </c>
      <c r="J194" s="10"/>
      <c r="K194" s="2" t="n">
        <f>40217</f>
        <v>40217.0</v>
      </c>
    </row>
    <row r="195">
      <c r="A195" s="8" t="s">
        <v>21</v>
      </c>
      <c r="B195" s="9" t="s">
        <v>62</v>
      </c>
      <c r="C195" s="9" t="s">
        <v>63</v>
      </c>
      <c r="D195" s="10"/>
      <c r="E195" s="2" t="str">
        <f>"－"</f>
        <v>－</v>
      </c>
      <c r="F195" s="10"/>
      <c r="G195" s="2" t="str">
        <f>"－"</f>
        <v>－</v>
      </c>
      <c r="H195" s="10"/>
      <c r="I195" s="2" t="str">
        <f>"－"</f>
        <v>－</v>
      </c>
      <c r="J195" s="10"/>
      <c r="K195" s="2" t="n">
        <f>40217</f>
        <v>40217.0</v>
      </c>
    </row>
    <row r="196">
      <c r="A196" s="8" t="s">
        <v>22</v>
      </c>
      <c r="B196" s="9" t="s">
        <v>62</v>
      </c>
      <c r="C196" s="9" t="s">
        <v>63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40217</f>
        <v>40217.0</v>
      </c>
    </row>
    <row r="197">
      <c r="A197" s="8" t="s">
        <v>23</v>
      </c>
      <c r="B197" s="9" t="s">
        <v>62</v>
      </c>
      <c r="C197" s="9" t="s">
        <v>63</v>
      </c>
      <c r="D197" s="10" t="s">
        <v>28</v>
      </c>
      <c r="E197" s="2" t="n">
        <f>39300</f>
        <v>39300.0</v>
      </c>
      <c r="F197" s="10" t="s">
        <v>28</v>
      </c>
      <c r="G197" s="2" t="n">
        <f>48244025000</f>
        <v>4.8244025E10</v>
      </c>
      <c r="H197" s="10" t="s">
        <v>28</v>
      </c>
      <c r="I197" s="2" t="n">
        <f>8700</f>
        <v>8700.0</v>
      </c>
      <c r="J197" s="10"/>
      <c r="K197" s="2" t="n">
        <f>58167</f>
        <v>58167.0</v>
      </c>
    </row>
    <row r="198">
      <c r="A198" s="8" t="s">
        <v>24</v>
      </c>
      <c r="B198" s="9" t="s">
        <v>62</v>
      </c>
      <c r="C198" s="9" t="s">
        <v>63</v>
      </c>
      <c r="D198" s="10"/>
      <c r="E198" s="2"/>
      <c r="F198" s="10"/>
      <c r="G198" s="2"/>
      <c r="H198" s="10"/>
      <c r="I198" s="2"/>
      <c r="J198" s="10"/>
      <c r="K198" s="2"/>
    </row>
    <row r="199">
      <c r="A199" s="8" t="s">
        <v>25</v>
      </c>
      <c r="B199" s="9" t="s">
        <v>62</v>
      </c>
      <c r="C199" s="9" t="s">
        <v>63</v>
      </c>
      <c r="D199" s="10"/>
      <c r="E199" s="2"/>
      <c r="F199" s="10"/>
      <c r="G199" s="2"/>
      <c r="H199" s="10"/>
      <c r="I199" s="2"/>
      <c r="J199" s="10"/>
      <c r="K199" s="2"/>
    </row>
    <row r="200">
      <c r="A200" s="8" t="s">
        <v>26</v>
      </c>
      <c r="B200" s="9" t="s">
        <v>62</v>
      </c>
      <c r="C200" s="9" t="s">
        <v>63</v>
      </c>
      <c r="D200" s="10"/>
      <c r="E200" s="2" t="n">
        <f>6001</f>
        <v>6001.0</v>
      </c>
      <c r="F200" s="10"/>
      <c r="G200" s="2" t="n">
        <f>7463618000</f>
        <v>7.463618E9</v>
      </c>
      <c r="H200" s="10"/>
      <c r="I200" s="2" t="str">
        <f>"－"</f>
        <v>－</v>
      </c>
      <c r="J200" s="10"/>
      <c r="K200" s="2" t="n">
        <f>51817</f>
        <v>51817.0</v>
      </c>
    </row>
    <row r="201">
      <c r="A201" s="8" t="s">
        <v>27</v>
      </c>
      <c r="B201" s="9" t="s">
        <v>62</v>
      </c>
      <c r="C201" s="9" t="s">
        <v>63</v>
      </c>
      <c r="D201" s="10"/>
      <c r="E201" s="2" t="n">
        <f>35000</f>
        <v>35000.0</v>
      </c>
      <c r="F201" s="10"/>
      <c r="G201" s="2" t="n">
        <f>37686250000</f>
        <v>3.768625E10</v>
      </c>
      <c r="H201" s="10"/>
      <c r="I201" s="2" t="str">
        <f>"－"</f>
        <v>－</v>
      </c>
      <c r="J201" s="10" t="s">
        <v>28</v>
      </c>
      <c r="K201" s="2" t="n">
        <f>60317</f>
        <v>60317.0</v>
      </c>
    </row>
    <row r="202">
      <c r="A202" s="8" t="s">
        <v>29</v>
      </c>
      <c r="B202" s="9" t="s">
        <v>62</v>
      </c>
      <c r="C202" s="9" t="s">
        <v>63</v>
      </c>
      <c r="D202" s="10"/>
      <c r="E202" s="2" t="n">
        <f>17486</f>
        <v>17486.0</v>
      </c>
      <c r="F202" s="10"/>
      <c r="G202" s="2" t="n">
        <f>19286045800</f>
        <v>1.92860458E10</v>
      </c>
      <c r="H202" s="10"/>
      <c r="I202" s="2" t="str">
        <f>"－"</f>
        <v>－</v>
      </c>
      <c r="J202" s="10"/>
      <c r="K202" s="2" t="n">
        <f>57760</f>
        <v>57760.0</v>
      </c>
    </row>
    <row r="203">
      <c r="A203" s="8" t="s">
        <v>30</v>
      </c>
      <c r="B203" s="9" t="s">
        <v>62</v>
      </c>
      <c r="C203" s="9" t="s">
        <v>63</v>
      </c>
      <c r="D203" s="10"/>
      <c r="E203" s="2" t="n">
        <f>12000</f>
        <v>12000.0</v>
      </c>
      <c r="F203" s="10"/>
      <c r="G203" s="2" t="n">
        <f>12663000000</f>
        <v>1.2663E10</v>
      </c>
      <c r="H203" s="10"/>
      <c r="I203" s="2" t="str">
        <f>"－"</f>
        <v>－</v>
      </c>
      <c r="J203" s="10"/>
      <c r="K203" s="2" t="n">
        <f>51760</f>
        <v>51760.0</v>
      </c>
    </row>
    <row r="204">
      <c r="A204" s="8" t="s">
        <v>31</v>
      </c>
      <c r="B204" s="9" t="s">
        <v>62</v>
      </c>
      <c r="C204" s="9" t="s">
        <v>63</v>
      </c>
      <c r="D204" s="10"/>
      <c r="E204" s="2" t="n">
        <f>6</f>
        <v>6.0</v>
      </c>
      <c r="F204" s="10"/>
      <c r="G204" s="2" t="n">
        <f>5749000</f>
        <v>5749000.0</v>
      </c>
      <c r="H204" s="10"/>
      <c r="I204" s="2" t="str">
        <f>"－"</f>
        <v>－</v>
      </c>
      <c r="J204" s="10"/>
      <c r="K204" s="2" t="n">
        <f>51766</f>
        <v>51766.0</v>
      </c>
    </row>
    <row r="205">
      <c r="A205" s="8" t="s">
        <v>32</v>
      </c>
      <c r="B205" s="9" t="s">
        <v>62</v>
      </c>
      <c r="C205" s="9" t="s">
        <v>63</v>
      </c>
      <c r="D205" s="10"/>
      <c r="E205" s="2"/>
      <c r="F205" s="10"/>
      <c r="G205" s="2"/>
      <c r="H205" s="10"/>
      <c r="I205" s="2"/>
      <c r="J205" s="10"/>
      <c r="K205" s="2"/>
    </row>
    <row r="206">
      <c r="A206" s="8" t="s">
        <v>33</v>
      </c>
      <c r="B206" s="9" t="s">
        <v>62</v>
      </c>
      <c r="C206" s="9" t="s">
        <v>63</v>
      </c>
      <c r="D206" s="10"/>
      <c r="E206" s="2"/>
      <c r="F206" s="10"/>
      <c r="G206" s="2"/>
      <c r="H206" s="10"/>
      <c r="I206" s="2"/>
      <c r="J206" s="10"/>
      <c r="K206" s="2"/>
    </row>
    <row r="207">
      <c r="A207" s="8" t="s">
        <v>34</v>
      </c>
      <c r="B207" s="9" t="s">
        <v>62</v>
      </c>
      <c r="C207" s="9" t="s">
        <v>63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 t="s">
        <v>35</v>
      </c>
      <c r="K207" s="2" t="n">
        <f>39299</f>
        <v>39299.0</v>
      </c>
    </row>
    <row r="208">
      <c r="A208" s="8" t="s">
        <v>36</v>
      </c>
      <c r="B208" s="9" t="s">
        <v>62</v>
      </c>
      <c r="C208" s="9" t="s">
        <v>63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39299</f>
        <v>39299.0</v>
      </c>
    </row>
    <row r="209">
      <c r="A209" s="8" t="s">
        <v>37</v>
      </c>
      <c r="B209" s="9" t="s">
        <v>62</v>
      </c>
      <c r="C209" s="9" t="s">
        <v>63</v>
      </c>
      <c r="D209" s="10"/>
      <c r="E209" s="2" t="str">
        <f>"－"</f>
        <v>－</v>
      </c>
      <c r="F209" s="10"/>
      <c r="G209" s="2" t="str">
        <f>"－"</f>
        <v>－</v>
      </c>
      <c r="H209" s="10"/>
      <c r="I209" s="2" t="str">
        <f>"－"</f>
        <v>－</v>
      </c>
      <c r="J209" s="10"/>
      <c r="K209" s="2" t="n">
        <f>39299</f>
        <v>39299.0</v>
      </c>
    </row>
    <row r="210">
      <c r="A210" s="8" t="s">
        <v>38</v>
      </c>
      <c r="B210" s="9" t="s">
        <v>62</v>
      </c>
      <c r="C210" s="9" t="s">
        <v>63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39299</f>
        <v>39299.0</v>
      </c>
    </row>
    <row r="211">
      <c r="A211" s="8" t="s">
        <v>39</v>
      </c>
      <c r="B211" s="9" t="s">
        <v>62</v>
      </c>
      <c r="C211" s="9" t="s">
        <v>63</v>
      </c>
      <c r="D211" s="10"/>
      <c r="E211" s="2"/>
      <c r="F211" s="10"/>
      <c r="G211" s="2"/>
      <c r="H211" s="10"/>
      <c r="I211" s="2"/>
      <c r="J211" s="10"/>
      <c r="K211" s="2"/>
    </row>
    <row r="212">
      <c r="A212" s="8" t="s">
        <v>40</v>
      </c>
      <c r="B212" s="9" t="s">
        <v>62</v>
      </c>
      <c r="C212" s="9" t="s">
        <v>63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41</v>
      </c>
      <c r="B213" s="9" t="s">
        <v>62</v>
      </c>
      <c r="C213" s="9" t="s">
        <v>63</v>
      </c>
      <c r="D213" s="10"/>
      <c r="E213" s="2"/>
      <c r="F213" s="10"/>
      <c r="G213" s="2"/>
      <c r="H213" s="10"/>
      <c r="I213" s="2"/>
      <c r="J213" s="10"/>
      <c r="K213" s="2"/>
    </row>
    <row r="214">
      <c r="A214" s="8" t="s">
        <v>42</v>
      </c>
      <c r="B214" s="9" t="s">
        <v>62</v>
      </c>
      <c r="C214" s="9" t="s">
        <v>63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39299</f>
        <v>39299.0</v>
      </c>
    </row>
    <row r="215">
      <c r="A215" s="8" t="s">
        <v>43</v>
      </c>
      <c r="B215" s="9" t="s">
        <v>62</v>
      </c>
      <c r="C215" s="9" t="s">
        <v>63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39299</f>
        <v>39299.0</v>
      </c>
    </row>
    <row r="216">
      <c r="A216" s="8" t="s">
        <v>44</v>
      </c>
      <c r="B216" s="9" t="s">
        <v>62</v>
      </c>
      <c r="C216" s="9" t="s">
        <v>63</v>
      </c>
      <c r="D216" s="10"/>
      <c r="E216" s="2" t="str">
        <f>"－"</f>
        <v>－</v>
      </c>
      <c r="F216" s="10"/>
      <c r="G216" s="2" t="str">
        <f>"－"</f>
        <v>－</v>
      </c>
      <c r="H216" s="10"/>
      <c r="I216" s="2" t="str">
        <f>"－"</f>
        <v>－</v>
      </c>
      <c r="J216" s="10"/>
      <c r="K216" s="2" t="n">
        <f>39299</f>
        <v>39299.0</v>
      </c>
    </row>
    <row r="217">
      <c r="A217" s="8" t="s">
        <v>45</v>
      </c>
      <c r="B217" s="9" t="s">
        <v>62</v>
      </c>
      <c r="C217" s="9" t="s">
        <v>63</v>
      </c>
      <c r="D217" s="10"/>
      <c r="E217" s="2" t="str">
        <f>"－"</f>
        <v>－</v>
      </c>
      <c r="F217" s="10"/>
      <c r="G217" s="2" t="str">
        <f>"－"</f>
        <v>－</v>
      </c>
      <c r="H217" s="10"/>
      <c r="I217" s="2" t="str">
        <f>"－"</f>
        <v>－</v>
      </c>
      <c r="J217" s="10"/>
      <c r="K217" s="2" t="n">
        <f>39299</f>
        <v>39299.0</v>
      </c>
    </row>
    <row r="218">
      <c r="A218" s="8" t="s">
        <v>46</v>
      </c>
      <c r="B218" s="9" t="s">
        <v>62</v>
      </c>
      <c r="C218" s="9" t="s">
        <v>63</v>
      </c>
      <c r="D218" s="10"/>
      <c r="E218" s="2" t="str">
        <f>"－"</f>
        <v>－</v>
      </c>
      <c r="F218" s="10"/>
      <c r="G218" s="2" t="str">
        <f>"－"</f>
        <v>－</v>
      </c>
      <c r="H218" s="10"/>
      <c r="I218" s="2" t="str">
        <f>"－"</f>
        <v>－</v>
      </c>
      <c r="J218" s="10"/>
      <c r="K218" s="2" t="n">
        <f>39299</f>
        <v>39299.0</v>
      </c>
    </row>
    <row r="219">
      <c r="A219" s="8" t="s">
        <v>47</v>
      </c>
      <c r="B219" s="9" t="s">
        <v>62</v>
      </c>
      <c r="C219" s="9" t="s">
        <v>63</v>
      </c>
      <c r="D219" s="10"/>
      <c r="E219" s="2"/>
      <c r="F219" s="10"/>
      <c r="G219" s="2"/>
      <c r="H219" s="10"/>
      <c r="I219" s="2"/>
      <c r="J219" s="10"/>
      <c r="K219" s="2"/>
    </row>
    <row r="220">
      <c r="A220" s="8" t="s">
        <v>48</v>
      </c>
      <c r="B220" s="9" t="s">
        <v>62</v>
      </c>
      <c r="C220" s="9" t="s">
        <v>63</v>
      </c>
      <c r="D220" s="10"/>
      <c r="E220" s="2"/>
      <c r="F220" s="10"/>
      <c r="G220" s="2"/>
      <c r="H220" s="10"/>
      <c r="I220" s="2"/>
      <c r="J220" s="10"/>
      <c r="K220" s="2"/>
    </row>
    <row r="221">
      <c r="A221" s="8" t="s">
        <v>49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39299</f>
        <v>39299.0</v>
      </c>
    </row>
    <row r="222">
      <c r="A222" s="8" t="s">
        <v>50</v>
      </c>
      <c r="B222" s="9" t="s">
        <v>62</v>
      </c>
      <c r="C222" s="9" t="s">
        <v>63</v>
      </c>
      <c r="D222" s="10"/>
      <c r="E222" s="2" t="str">
        <f>"－"</f>
        <v>－</v>
      </c>
      <c r="F222" s="10"/>
      <c r="G222" s="2" t="str">
        <f>"－"</f>
        <v>－</v>
      </c>
      <c r="H222" s="10"/>
      <c r="I222" s="2" t="str">
        <f>"－"</f>
        <v>－</v>
      </c>
      <c r="J222" s="10"/>
      <c r="K222" s="2" t="n">
        <f>39299</f>
        <v>39299.0</v>
      </c>
    </row>
    <row r="223">
      <c r="A223" s="8" t="s">
        <v>16</v>
      </c>
      <c r="B223" s="9" t="s">
        <v>64</v>
      </c>
      <c r="C223" s="9" t="s">
        <v>65</v>
      </c>
      <c r="D223" s="10"/>
      <c r="E223" s="2"/>
      <c r="F223" s="10"/>
      <c r="G223" s="2"/>
      <c r="H223" s="10"/>
      <c r="I223" s="2"/>
      <c r="J223" s="10"/>
      <c r="K223" s="2"/>
    </row>
    <row r="224">
      <c r="A224" s="8" t="s">
        <v>19</v>
      </c>
      <c r="B224" s="9" t="s">
        <v>64</v>
      </c>
      <c r="C224" s="9" t="s">
        <v>65</v>
      </c>
      <c r="D224" s="10"/>
      <c r="E224" s="2" t="n">
        <f>3663</f>
        <v>3663.0</v>
      </c>
      <c r="F224" s="10"/>
      <c r="G224" s="2" t="n">
        <f>7384557530</f>
        <v>7.38455753E9</v>
      </c>
      <c r="H224" s="10"/>
      <c r="I224" s="2" t="n">
        <f>327</f>
        <v>327.0</v>
      </c>
      <c r="J224" s="10"/>
      <c r="K224" s="2" t="n">
        <f>84187</f>
        <v>84187.0</v>
      </c>
    </row>
    <row r="225">
      <c r="A225" s="8" t="s">
        <v>20</v>
      </c>
      <c r="B225" s="9" t="s">
        <v>64</v>
      </c>
      <c r="C225" s="9" t="s">
        <v>65</v>
      </c>
      <c r="D225" s="10"/>
      <c r="E225" s="2" t="n">
        <f>6783</f>
        <v>6783.0</v>
      </c>
      <c r="F225" s="10"/>
      <c r="G225" s="2" t="n">
        <f>13929671950</f>
        <v>1.392967195E10</v>
      </c>
      <c r="H225" s="10"/>
      <c r="I225" s="2" t="n">
        <f>134</f>
        <v>134.0</v>
      </c>
      <c r="J225" s="10"/>
      <c r="K225" s="2" t="n">
        <f>84557</f>
        <v>84557.0</v>
      </c>
    </row>
    <row r="226">
      <c r="A226" s="8" t="s">
        <v>21</v>
      </c>
      <c r="B226" s="9" t="s">
        <v>64</v>
      </c>
      <c r="C226" s="9" t="s">
        <v>65</v>
      </c>
      <c r="D226" s="10"/>
      <c r="E226" s="2" t="n">
        <f>4626</f>
        <v>4626.0</v>
      </c>
      <c r="F226" s="10"/>
      <c r="G226" s="2" t="n">
        <f>9484524860</f>
        <v>9.48452486E9</v>
      </c>
      <c r="H226" s="10"/>
      <c r="I226" s="2" t="n">
        <f>52</f>
        <v>52.0</v>
      </c>
      <c r="J226" s="10"/>
      <c r="K226" s="2" t="n">
        <f>85108</f>
        <v>85108.0</v>
      </c>
    </row>
    <row r="227">
      <c r="A227" s="8" t="s">
        <v>22</v>
      </c>
      <c r="B227" s="9" t="s">
        <v>64</v>
      </c>
      <c r="C227" s="9" t="s">
        <v>65</v>
      </c>
      <c r="D227" s="10"/>
      <c r="E227" s="2" t="n">
        <f>4370</f>
        <v>4370.0</v>
      </c>
      <c r="F227" s="10"/>
      <c r="G227" s="2" t="n">
        <f>9167511900</f>
        <v>9.1675119E9</v>
      </c>
      <c r="H227" s="10"/>
      <c r="I227" s="2" t="n">
        <f>135</f>
        <v>135.0</v>
      </c>
      <c r="J227" s="10"/>
      <c r="K227" s="2" t="n">
        <f>85241</f>
        <v>85241.0</v>
      </c>
    </row>
    <row r="228">
      <c r="A228" s="8" t="s">
        <v>23</v>
      </c>
      <c r="B228" s="9" t="s">
        <v>64</v>
      </c>
      <c r="C228" s="9" t="s">
        <v>65</v>
      </c>
      <c r="D228" s="10"/>
      <c r="E228" s="2" t="n">
        <f>9127</f>
        <v>9127.0</v>
      </c>
      <c r="F228" s="10"/>
      <c r="G228" s="2" t="n">
        <f>18901409200</f>
        <v>1.89014092E10</v>
      </c>
      <c r="H228" s="10"/>
      <c r="I228" s="2" t="n">
        <f>30</f>
        <v>30.0</v>
      </c>
      <c r="J228" s="10"/>
      <c r="K228" s="2" t="n">
        <f>87942</f>
        <v>87942.0</v>
      </c>
    </row>
    <row r="229">
      <c r="A229" s="8" t="s">
        <v>24</v>
      </c>
      <c r="B229" s="9" t="s">
        <v>64</v>
      </c>
      <c r="C229" s="9" t="s">
        <v>65</v>
      </c>
      <c r="D229" s="10"/>
      <c r="E229" s="2"/>
      <c r="F229" s="10"/>
      <c r="G229" s="2"/>
      <c r="H229" s="10"/>
      <c r="I229" s="2"/>
      <c r="J229" s="10"/>
      <c r="K229" s="2"/>
    </row>
    <row r="230">
      <c r="A230" s="8" t="s">
        <v>25</v>
      </c>
      <c r="B230" s="9" t="s">
        <v>64</v>
      </c>
      <c r="C230" s="9" t="s">
        <v>65</v>
      </c>
      <c r="D230" s="10"/>
      <c r="E230" s="2"/>
      <c r="F230" s="10"/>
      <c r="G230" s="2"/>
      <c r="H230" s="10"/>
      <c r="I230" s="2"/>
      <c r="J230" s="10"/>
      <c r="K230" s="2"/>
    </row>
    <row r="231">
      <c r="A231" s="8" t="s">
        <v>26</v>
      </c>
      <c r="B231" s="9" t="s">
        <v>64</v>
      </c>
      <c r="C231" s="9" t="s">
        <v>65</v>
      </c>
      <c r="D231" s="10"/>
      <c r="E231" s="2" t="n">
        <f>46100</f>
        <v>46100.0</v>
      </c>
      <c r="F231" s="10"/>
      <c r="G231" s="2" t="n">
        <f>89154578140</f>
        <v>8.915457814E10</v>
      </c>
      <c r="H231" s="10"/>
      <c r="I231" s="2" t="n">
        <f>62</f>
        <v>62.0</v>
      </c>
      <c r="J231" s="10"/>
      <c r="K231" s="2" t="n">
        <f>98384</f>
        <v>98384.0</v>
      </c>
    </row>
    <row r="232">
      <c r="A232" s="8" t="s">
        <v>27</v>
      </c>
      <c r="B232" s="9" t="s">
        <v>64</v>
      </c>
      <c r="C232" s="9" t="s">
        <v>65</v>
      </c>
      <c r="D232" s="10" t="s">
        <v>28</v>
      </c>
      <c r="E232" s="2" t="n">
        <f>61450</f>
        <v>61450.0</v>
      </c>
      <c r="F232" s="10" t="s">
        <v>28</v>
      </c>
      <c r="G232" s="2" t="n">
        <f>112479136650</f>
        <v>1.1247913665E11</v>
      </c>
      <c r="H232" s="10"/>
      <c r="I232" s="2" t="n">
        <f>130</f>
        <v>130.0</v>
      </c>
      <c r="J232" s="10"/>
      <c r="K232" s="2" t="n">
        <f>113537</f>
        <v>113537.0</v>
      </c>
    </row>
    <row r="233">
      <c r="A233" s="8" t="s">
        <v>29</v>
      </c>
      <c r="B233" s="9" t="s">
        <v>64</v>
      </c>
      <c r="C233" s="9" t="s">
        <v>65</v>
      </c>
      <c r="D233" s="10"/>
      <c r="E233" s="2" t="n">
        <f>37013</f>
        <v>37013.0</v>
      </c>
      <c r="F233" s="10"/>
      <c r="G233" s="2" t="n">
        <f>70905935500</f>
        <v>7.09059355E10</v>
      </c>
      <c r="H233" s="10"/>
      <c r="I233" s="2" t="n">
        <f>362</f>
        <v>362.0</v>
      </c>
      <c r="J233" s="10"/>
      <c r="K233" s="2" t="n">
        <f>119204</f>
        <v>119204.0</v>
      </c>
    </row>
    <row r="234">
      <c r="A234" s="8" t="s">
        <v>30</v>
      </c>
      <c r="B234" s="9" t="s">
        <v>64</v>
      </c>
      <c r="C234" s="9" t="s">
        <v>65</v>
      </c>
      <c r="D234" s="10"/>
      <c r="E234" s="2" t="n">
        <f>11294</f>
        <v>11294.0</v>
      </c>
      <c r="F234" s="10"/>
      <c r="G234" s="2" t="n">
        <f>20112180214</f>
        <v>2.0112180214E10</v>
      </c>
      <c r="H234" s="10" t="s">
        <v>28</v>
      </c>
      <c r="I234" s="2" t="n">
        <f>464</f>
        <v>464.0</v>
      </c>
      <c r="J234" s="10"/>
      <c r="K234" s="2" t="n">
        <f>117756</f>
        <v>117756.0</v>
      </c>
    </row>
    <row r="235">
      <c r="A235" s="8" t="s">
        <v>31</v>
      </c>
      <c r="B235" s="9" t="s">
        <v>64</v>
      </c>
      <c r="C235" s="9" t="s">
        <v>65</v>
      </c>
      <c r="D235" s="10"/>
      <c r="E235" s="2" t="n">
        <f>3131</f>
        <v>3131.0</v>
      </c>
      <c r="F235" s="10"/>
      <c r="G235" s="2" t="n">
        <f>4746658800</f>
        <v>4.7466588E9</v>
      </c>
      <c r="H235" s="10"/>
      <c r="I235" s="2" t="n">
        <f>70</f>
        <v>70.0</v>
      </c>
      <c r="J235" s="10" t="s">
        <v>28</v>
      </c>
      <c r="K235" s="2" t="n">
        <f>120536</f>
        <v>120536.0</v>
      </c>
    </row>
    <row r="236">
      <c r="A236" s="8" t="s">
        <v>32</v>
      </c>
      <c r="B236" s="9" t="s">
        <v>64</v>
      </c>
      <c r="C236" s="9" t="s">
        <v>65</v>
      </c>
      <c r="D236" s="10"/>
      <c r="E236" s="2"/>
      <c r="F236" s="10"/>
      <c r="G236" s="2"/>
      <c r="H236" s="10"/>
      <c r="I236" s="2"/>
      <c r="J236" s="10"/>
      <c r="K236" s="2"/>
    </row>
    <row r="237">
      <c r="A237" s="8" t="s">
        <v>33</v>
      </c>
      <c r="B237" s="9" t="s">
        <v>64</v>
      </c>
      <c r="C237" s="9" t="s">
        <v>65</v>
      </c>
      <c r="D237" s="10"/>
      <c r="E237" s="2"/>
      <c r="F237" s="10"/>
      <c r="G237" s="2"/>
      <c r="H237" s="10"/>
      <c r="I237" s="2"/>
      <c r="J237" s="10"/>
      <c r="K237" s="2"/>
    </row>
    <row r="238">
      <c r="A238" s="8" t="s">
        <v>34</v>
      </c>
      <c r="B238" s="9" t="s">
        <v>64</v>
      </c>
      <c r="C238" s="9" t="s">
        <v>65</v>
      </c>
      <c r="D238" s="10"/>
      <c r="E238" s="2" t="n">
        <f>3902</f>
        <v>3902.0</v>
      </c>
      <c r="F238" s="10"/>
      <c r="G238" s="2" t="n">
        <f>6026700430</f>
        <v>6.02670043E9</v>
      </c>
      <c r="H238" s="10"/>
      <c r="I238" s="2" t="n">
        <f>154</f>
        <v>154.0</v>
      </c>
      <c r="J238" s="10" t="s">
        <v>35</v>
      </c>
      <c r="K238" s="2" t="n">
        <f>65739</f>
        <v>65739.0</v>
      </c>
    </row>
    <row r="239">
      <c r="A239" s="8" t="s">
        <v>36</v>
      </c>
      <c r="B239" s="9" t="s">
        <v>64</v>
      </c>
      <c r="C239" s="9" t="s">
        <v>65</v>
      </c>
      <c r="D239" s="10"/>
      <c r="E239" s="2" t="n">
        <f>1735</f>
        <v>1735.0</v>
      </c>
      <c r="F239" s="10"/>
      <c r="G239" s="2" t="n">
        <f>2587024900</f>
        <v>2.5870249E9</v>
      </c>
      <c r="H239" s="10"/>
      <c r="I239" s="2" t="n">
        <f>54</f>
        <v>54.0</v>
      </c>
      <c r="J239" s="10"/>
      <c r="K239" s="2" t="n">
        <f>66219</f>
        <v>66219.0</v>
      </c>
    </row>
    <row r="240">
      <c r="A240" s="8" t="s">
        <v>37</v>
      </c>
      <c r="B240" s="9" t="s">
        <v>64</v>
      </c>
      <c r="C240" s="9" t="s">
        <v>65</v>
      </c>
      <c r="D240" s="10"/>
      <c r="E240" s="2" t="n">
        <f>1413</f>
        <v>1413.0</v>
      </c>
      <c r="F240" s="10"/>
      <c r="G240" s="2" t="n">
        <f>2076524620</f>
        <v>2.07652462E9</v>
      </c>
      <c r="H240" s="10"/>
      <c r="I240" s="2" t="n">
        <f>27</f>
        <v>27.0</v>
      </c>
      <c r="J240" s="10"/>
      <c r="K240" s="2" t="n">
        <f>66040</f>
        <v>66040.0</v>
      </c>
    </row>
    <row r="241">
      <c r="A241" s="8" t="s">
        <v>38</v>
      </c>
      <c r="B241" s="9" t="s">
        <v>64</v>
      </c>
      <c r="C241" s="9" t="s">
        <v>65</v>
      </c>
      <c r="D241" s="10"/>
      <c r="E241" s="2" t="n">
        <f>5229</f>
        <v>5229.0</v>
      </c>
      <c r="F241" s="10"/>
      <c r="G241" s="2" t="n">
        <f>6969322630</f>
        <v>6.96932263E9</v>
      </c>
      <c r="H241" s="10"/>
      <c r="I241" s="2" t="n">
        <f>22</f>
        <v>22.0</v>
      </c>
      <c r="J241" s="10"/>
      <c r="K241" s="2" t="n">
        <f>67419</f>
        <v>67419.0</v>
      </c>
    </row>
    <row r="242">
      <c r="A242" s="8" t="s">
        <v>39</v>
      </c>
      <c r="B242" s="9" t="s">
        <v>64</v>
      </c>
      <c r="C242" s="9" t="s">
        <v>65</v>
      </c>
      <c r="D242" s="10"/>
      <c r="E242" s="2"/>
      <c r="F242" s="10"/>
      <c r="G242" s="2"/>
      <c r="H242" s="10"/>
      <c r="I242" s="2"/>
      <c r="J242" s="10"/>
      <c r="K242" s="2"/>
    </row>
    <row r="243">
      <c r="A243" s="8" t="s">
        <v>40</v>
      </c>
      <c r="B243" s="9" t="s">
        <v>64</v>
      </c>
      <c r="C243" s="9" t="s">
        <v>65</v>
      </c>
      <c r="D243" s="10"/>
      <c r="E243" s="2"/>
      <c r="F243" s="10"/>
      <c r="G243" s="2"/>
      <c r="H243" s="10"/>
      <c r="I243" s="2"/>
      <c r="J243" s="10"/>
      <c r="K243" s="2"/>
    </row>
    <row r="244">
      <c r="A244" s="8" t="s">
        <v>41</v>
      </c>
      <c r="B244" s="9" t="s">
        <v>64</v>
      </c>
      <c r="C244" s="9" t="s">
        <v>65</v>
      </c>
      <c r="D244" s="10"/>
      <c r="E244" s="2"/>
      <c r="F244" s="10"/>
      <c r="G244" s="2"/>
      <c r="H244" s="10"/>
      <c r="I244" s="2"/>
      <c r="J244" s="10"/>
      <c r="K244" s="2"/>
    </row>
    <row r="245">
      <c r="A245" s="8" t="s">
        <v>42</v>
      </c>
      <c r="B245" s="9" t="s">
        <v>64</v>
      </c>
      <c r="C245" s="9" t="s">
        <v>65</v>
      </c>
      <c r="D245" s="10"/>
      <c r="E245" s="2" t="n">
        <f>8384</f>
        <v>8384.0</v>
      </c>
      <c r="F245" s="10"/>
      <c r="G245" s="2" t="n">
        <f>10595673500</f>
        <v>1.05956735E10</v>
      </c>
      <c r="H245" s="10" t="s">
        <v>35</v>
      </c>
      <c r="I245" s="2" t="str">
        <f>"－"</f>
        <v>－</v>
      </c>
      <c r="J245" s="10"/>
      <c r="K245" s="2" t="n">
        <f>71597</f>
        <v>71597.0</v>
      </c>
    </row>
    <row r="246">
      <c r="A246" s="8" t="s">
        <v>43</v>
      </c>
      <c r="B246" s="9" t="s">
        <v>64</v>
      </c>
      <c r="C246" s="9" t="s">
        <v>65</v>
      </c>
      <c r="D246" s="10"/>
      <c r="E246" s="2" t="n">
        <f>4509</f>
        <v>4509.0</v>
      </c>
      <c r="F246" s="10"/>
      <c r="G246" s="2" t="n">
        <f>6501283650</f>
        <v>6.50128365E9</v>
      </c>
      <c r="H246" s="10"/>
      <c r="I246" s="2" t="str">
        <f>"－"</f>
        <v>－</v>
      </c>
      <c r="J246" s="10"/>
      <c r="K246" s="2" t="n">
        <f>73556</f>
        <v>73556.0</v>
      </c>
    </row>
    <row r="247">
      <c r="A247" s="8" t="s">
        <v>44</v>
      </c>
      <c r="B247" s="9" t="s">
        <v>64</v>
      </c>
      <c r="C247" s="9" t="s">
        <v>65</v>
      </c>
      <c r="D247" s="10"/>
      <c r="E247" s="2" t="n">
        <f>4261</f>
        <v>4261.0</v>
      </c>
      <c r="F247" s="10"/>
      <c r="G247" s="2" t="n">
        <f>6884486100</f>
        <v>6.8844861E9</v>
      </c>
      <c r="H247" s="10"/>
      <c r="I247" s="2" t="str">
        <f>"－"</f>
        <v>－</v>
      </c>
      <c r="J247" s="10"/>
      <c r="K247" s="2" t="n">
        <f>73080</f>
        <v>73080.0</v>
      </c>
    </row>
    <row r="248">
      <c r="A248" s="8" t="s">
        <v>45</v>
      </c>
      <c r="B248" s="9" t="s">
        <v>64</v>
      </c>
      <c r="C248" s="9" t="s">
        <v>65</v>
      </c>
      <c r="D248" s="10"/>
      <c r="E248" s="2" t="n">
        <f>4767</f>
        <v>4767.0</v>
      </c>
      <c r="F248" s="10"/>
      <c r="G248" s="2" t="n">
        <f>7571437520</f>
        <v>7.57143752E9</v>
      </c>
      <c r="H248" s="10"/>
      <c r="I248" s="2" t="str">
        <f>"－"</f>
        <v>－</v>
      </c>
      <c r="J248" s="10"/>
      <c r="K248" s="2" t="n">
        <f>70741</f>
        <v>70741.0</v>
      </c>
    </row>
    <row r="249">
      <c r="A249" s="8" t="s">
        <v>46</v>
      </c>
      <c r="B249" s="9" t="s">
        <v>64</v>
      </c>
      <c r="C249" s="9" t="s">
        <v>65</v>
      </c>
      <c r="D249" s="10" t="s">
        <v>35</v>
      </c>
      <c r="E249" s="2" t="n">
        <f>885</f>
        <v>885.0</v>
      </c>
      <c r="F249" s="10" t="s">
        <v>35</v>
      </c>
      <c r="G249" s="2" t="n">
        <f>1368824060</f>
        <v>1.36882406E9</v>
      </c>
      <c r="H249" s="10"/>
      <c r="I249" s="2" t="str">
        <f>"－"</f>
        <v>－</v>
      </c>
      <c r="J249" s="10"/>
      <c r="K249" s="2" t="n">
        <f>70771</f>
        <v>70771.0</v>
      </c>
    </row>
    <row r="250">
      <c r="A250" s="8" t="s">
        <v>47</v>
      </c>
      <c r="B250" s="9" t="s">
        <v>64</v>
      </c>
      <c r="C250" s="9" t="s">
        <v>65</v>
      </c>
      <c r="D250" s="10"/>
      <c r="E250" s="2"/>
      <c r="F250" s="10"/>
      <c r="G250" s="2"/>
      <c r="H250" s="10"/>
      <c r="I250" s="2"/>
      <c r="J250" s="10"/>
      <c r="K250" s="2"/>
    </row>
    <row r="251">
      <c r="A251" s="8" t="s">
        <v>48</v>
      </c>
      <c r="B251" s="9" t="s">
        <v>64</v>
      </c>
      <c r="C251" s="9" t="s">
        <v>65</v>
      </c>
      <c r="D251" s="10"/>
      <c r="E251" s="2"/>
      <c r="F251" s="10"/>
      <c r="G251" s="2"/>
      <c r="H251" s="10"/>
      <c r="I251" s="2"/>
      <c r="J251" s="10"/>
      <c r="K251" s="2"/>
    </row>
    <row r="252">
      <c r="A252" s="8" t="s">
        <v>49</v>
      </c>
      <c r="B252" s="9" t="s">
        <v>64</v>
      </c>
      <c r="C252" s="9" t="s">
        <v>65</v>
      </c>
      <c r="D252" s="10"/>
      <c r="E252" s="2" t="n">
        <f>1430</f>
        <v>1430.0</v>
      </c>
      <c r="F252" s="10"/>
      <c r="G252" s="2" t="n">
        <f>2199244300</f>
        <v>2.1992443E9</v>
      </c>
      <c r="H252" s="10"/>
      <c r="I252" s="2" t="str">
        <f>"－"</f>
        <v>－</v>
      </c>
      <c r="J252" s="10"/>
      <c r="K252" s="2" t="n">
        <f>72101</f>
        <v>72101.0</v>
      </c>
    </row>
    <row r="253">
      <c r="A253" s="8" t="s">
        <v>50</v>
      </c>
      <c r="B253" s="9" t="s">
        <v>64</v>
      </c>
      <c r="C253" s="9" t="s">
        <v>65</v>
      </c>
      <c r="D253" s="10"/>
      <c r="E253" s="2" t="n">
        <f>1353</f>
        <v>1353.0</v>
      </c>
      <c r="F253" s="10"/>
      <c r="G253" s="2" t="n">
        <f>2105184480</f>
        <v>2.10518448E9</v>
      </c>
      <c r="H253" s="10"/>
      <c r="I253" s="2" t="str">
        <f>"－"</f>
        <v>－</v>
      </c>
      <c r="J253" s="10"/>
      <c r="K253" s="2" t="n">
        <f>71398</f>
        <v>71398.0</v>
      </c>
    </row>
    <row r="254">
      <c r="A254" s="8" t="s">
        <v>16</v>
      </c>
      <c r="B254" s="9" t="s">
        <v>66</v>
      </c>
      <c r="C254" s="9" t="s">
        <v>67</v>
      </c>
      <c r="D254" s="10"/>
      <c r="E254" s="2"/>
      <c r="F254" s="10"/>
      <c r="G254" s="2"/>
      <c r="H254" s="10"/>
      <c r="I254" s="2"/>
      <c r="J254" s="10"/>
      <c r="K254" s="2"/>
    </row>
    <row r="255">
      <c r="A255" s="8" t="s">
        <v>19</v>
      </c>
      <c r="B255" s="9" t="s">
        <v>66</v>
      </c>
      <c r="C255" s="9" t="s">
        <v>67</v>
      </c>
      <c r="D255" s="10" t="s">
        <v>61</v>
      </c>
      <c r="E255" s="2" t="str">
        <f>"－"</f>
        <v>－</v>
      </c>
      <c r="F255" s="10" t="s">
        <v>61</v>
      </c>
      <c r="G255" s="2" t="str">
        <f>"－"</f>
        <v>－</v>
      </c>
      <c r="H255" s="10" t="s">
        <v>61</v>
      </c>
      <c r="I255" s="2" t="str">
        <f>"－"</f>
        <v>－</v>
      </c>
      <c r="J255" s="10" t="s">
        <v>61</v>
      </c>
      <c r="K255" s="2" t="str">
        <f>"－"</f>
        <v>－</v>
      </c>
    </row>
    <row r="256">
      <c r="A256" s="8" t="s">
        <v>20</v>
      </c>
      <c r="B256" s="9" t="s">
        <v>66</v>
      </c>
      <c r="C256" s="9" t="s">
        <v>67</v>
      </c>
      <c r="D256" s="10"/>
      <c r="E256" s="2" t="str">
        <f>"－"</f>
        <v>－</v>
      </c>
      <c r="F256" s="10"/>
      <c r="G256" s="2" t="str">
        <f>"－"</f>
        <v>－</v>
      </c>
      <c r="H256" s="10"/>
      <c r="I256" s="2" t="str">
        <f>"－"</f>
        <v>－</v>
      </c>
      <c r="J256" s="10"/>
      <c r="K256" s="2" t="str">
        <f>"－"</f>
        <v>－</v>
      </c>
    </row>
    <row r="257">
      <c r="A257" s="8" t="s">
        <v>21</v>
      </c>
      <c r="B257" s="9" t="s">
        <v>66</v>
      </c>
      <c r="C257" s="9" t="s">
        <v>67</v>
      </c>
      <c r="D257" s="10"/>
      <c r="E257" s="2" t="str">
        <f>"－"</f>
        <v>－</v>
      </c>
      <c r="F257" s="10"/>
      <c r="G257" s="2" t="str">
        <f>"－"</f>
        <v>－</v>
      </c>
      <c r="H257" s="10"/>
      <c r="I257" s="2" t="str">
        <f>"－"</f>
        <v>－</v>
      </c>
      <c r="J257" s="10"/>
      <c r="K257" s="2" t="str">
        <f>"－"</f>
        <v>－</v>
      </c>
    </row>
    <row r="258">
      <c r="A258" s="8" t="s">
        <v>22</v>
      </c>
      <c r="B258" s="9" t="s">
        <v>66</v>
      </c>
      <c r="C258" s="9" t="s">
        <v>67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23</v>
      </c>
      <c r="B259" s="9" t="s">
        <v>66</v>
      </c>
      <c r="C259" s="9" t="s">
        <v>67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24</v>
      </c>
      <c r="B260" s="9" t="s">
        <v>66</v>
      </c>
      <c r="C260" s="9" t="s">
        <v>67</v>
      </c>
      <c r="D260" s="10"/>
      <c r="E260" s="2"/>
      <c r="F260" s="10"/>
      <c r="G260" s="2"/>
      <c r="H260" s="10"/>
      <c r="I260" s="2"/>
      <c r="J260" s="10"/>
      <c r="K260" s="2"/>
    </row>
    <row r="261">
      <c r="A261" s="8" t="s">
        <v>25</v>
      </c>
      <c r="B261" s="9" t="s">
        <v>66</v>
      </c>
      <c r="C261" s="9" t="s">
        <v>67</v>
      </c>
      <c r="D261" s="10"/>
      <c r="E261" s="2"/>
      <c r="F261" s="10"/>
      <c r="G261" s="2"/>
      <c r="H261" s="10"/>
      <c r="I261" s="2"/>
      <c r="J261" s="10"/>
      <c r="K261" s="2"/>
    </row>
    <row r="262">
      <c r="A262" s="8" t="s">
        <v>26</v>
      </c>
      <c r="B262" s="9" t="s">
        <v>66</v>
      </c>
      <c r="C262" s="9" t="s">
        <v>67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27</v>
      </c>
      <c r="B263" s="9" t="s">
        <v>66</v>
      </c>
      <c r="C263" s="9" t="s">
        <v>67</v>
      </c>
      <c r="D263" s="10"/>
      <c r="E263" s="2" t="str">
        <f>"－"</f>
        <v>－</v>
      </c>
      <c r="F263" s="10"/>
      <c r="G263" s="2" t="str">
        <f>"－"</f>
        <v>－</v>
      </c>
      <c r="H263" s="10"/>
      <c r="I263" s="2" t="str">
        <f>"－"</f>
        <v>－</v>
      </c>
      <c r="J263" s="10"/>
      <c r="K263" s="2" t="str">
        <f>"－"</f>
        <v>－</v>
      </c>
    </row>
    <row r="264">
      <c r="A264" s="8" t="s">
        <v>29</v>
      </c>
      <c r="B264" s="9" t="s">
        <v>66</v>
      </c>
      <c r="C264" s="9" t="s">
        <v>67</v>
      </c>
      <c r="D264" s="10"/>
      <c r="E264" s="2" t="str">
        <f>"－"</f>
        <v>－</v>
      </c>
      <c r="F264" s="10"/>
      <c r="G264" s="2" t="str">
        <f>"－"</f>
        <v>－</v>
      </c>
      <c r="H264" s="10"/>
      <c r="I264" s="2" t="str">
        <f>"－"</f>
        <v>－</v>
      </c>
      <c r="J264" s="10"/>
      <c r="K264" s="2" t="str">
        <f>"－"</f>
        <v>－</v>
      </c>
    </row>
    <row r="265">
      <c r="A265" s="8" t="s">
        <v>30</v>
      </c>
      <c r="B265" s="9" t="s">
        <v>66</v>
      </c>
      <c r="C265" s="9" t="s">
        <v>67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31</v>
      </c>
      <c r="B266" s="9" t="s">
        <v>66</v>
      </c>
      <c r="C266" s="9" t="s">
        <v>67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32</v>
      </c>
      <c r="B267" s="9" t="s">
        <v>66</v>
      </c>
      <c r="C267" s="9" t="s">
        <v>67</v>
      </c>
      <c r="D267" s="10"/>
      <c r="E267" s="2"/>
      <c r="F267" s="10"/>
      <c r="G267" s="2"/>
      <c r="H267" s="10"/>
      <c r="I267" s="2"/>
      <c r="J267" s="10"/>
      <c r="K267" s="2"/>
    </row>
    <row r="268">
      <c r="A268" s="8" t="s">
        <v>33</v>
      </c>
      <c r="B268" s="9" t="s">
        <v>66</v>
      </c>
      <c r="C268" s="9" t="s">
        <v>67</v>
      </c>
      <c r="D268" s="10"/>
      <c r="E268" s="2"/>
      <c r="F268" s="10"/>
      <c r="G268" s="2"/>
      <c r="H268" s="10"/>
      <c r="I268" s="2"/>
      <c r="J268" s="10"/>
      <c r="K268" s="2"/>
    </row>
    <row r="269">
      <c r="A269" s="8" t="s">
        <v>34</v>
      </c>
      <c r="B269" s="9" t="s">
        <v>66</v>
      </c>
      <c r="C269" s="9" t="s">
        <v>67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36</v>
      </c>
      <c r="B270" s="9" t="s">
        <v>66</v>
      </c>
      <c r="C270" s="9" t="s">
        <v>67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37</v>
      </c>
      <c r="B271" s="9" t="s">
        <v>66</v>
      </c>
      <c r="C271" s="9" t="s">
        <v>67</v>
      </c>
      <c r="D271" s="10"/>
      <c r="E271" s="2" t="str">
        <f>"－"</f>
        <v>－</v>
      </c>
      <c r="F271" s="10"/>
      <c r="G271" s="2" t="str">
        <f>"－"</f>
        <v>－</v>
      </c>
      <c r="H271" s="10"/>
      <c r="I271" s="2" t="str">
        <f>"－"</f>
        <v>－</v>
      </c>
      <c r="J271" s="10"/>
      <c r="K271" s="2" t="str">
        <f>"－"</f>
        <v>－</v>
      </c>
    </row>
    <row r="272">
      <c r="A272" s="8" t="s">
        <v>38</v>
      </c>
      <c r="B272" s="9" t="s">
        <v>66</v>
      </c>
      <c r="C272" s="9" t="s">
        <v>67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39</v>
      </c>
      <c r="B273" s="9" t="s">
        <v>66</v>
      </c>
      <c r="C273" s="9" t="s">
        <v>67</v>
      </c>
      <c r="D273" s="10"/>
      <c r="E273" s="2"/>
      <c r="F273" s="10"/>
      <c r="G273" s="2"/>
      <c r="H273" s="10"/>
      <c r="I273" s="2"/>
      <c r="J273" s="10"/>
      <c r="K273" s="2"/>
    </row>
    <row r="274">
      <c r="A274" s="8" t="s">
        <v>40</v>
      </c>
      <c r="B274" s="9" t="s">
        <v>66</v>
      </c>
      <c r="C274" s="9" t="s">
        <v>67</v>
      </c>
      <c r="D274" s="10"/>
      <c r="E274" s="2"/>
      <c r="F274" s="10"/>
      <c r="G274" s="2"/>
      <c r="H274" s="10"/>
      <c r="I274" s="2"/>
      <c r="J274" s="10"/>
      <c r="K274" s="2"/>
    </row>
    <row r="275">
      <c r="A275" s="8" t="s">
        <v>41</v>
      </c>
      <c r="B275" s="9" t="s">
        <v>66</v>
      </c>
      <c r="C275" s="9" t="s">
        <v>67</v>
      </c>
      <c r="D275" s="10"/>
      <c r="E275" s="2"/>
      <c r="F275" s="10"/>
      <c r="G275" s="2"/>
      <c r="H275" s="10"/>
      <c r="I275" s="2"/>
      <c r="J275" s="10"/>
      <c r="K275" s="2"/>
    </row>
    <row r="276">
      <c r="A276" s="8" t="s">
        <v>42</v>
      </c>
      <c r="B276" s="9" t="s">
        <v>66</v>
      </c>
      <c r="C276" s="9" t="s">
        <v>67</v>
      </c>
      <c r="D276" s="10"/>
      <c r="E276" s="2" t="str">
        <f>"－"</f>
        <v>－</v>
      </c>
      <c r="F276" s="10"/>
      <c r="G276" s="2" t="str">
        <f>"－"</f>
        <v>－</v>
      </c>
      <c r="H276" s="10"/>
      <c r="I276" s="2" t="str">
        <f>"－"</f>
        <v>－</v>
      </c>
      <c r="J276" s="10"/>
      <c r="K276" s="2" t="str">
        <f>"－"</f>
        <v>－</v>
      </c>
    </row>
    <row r="277">
      <c r="A277" s="8" t="s">
        <v>43</v>
      </c>
      <c r="B277" s="9" t="s">
        <v>66</v>
      </c>
      <c r="C277" s="9" t="s">
        <v>67</v>
      </c>
      <c r="D277" s="10"/>
      <c r="E277" s="2" t="str">
        <f>"－"</f>
        <v>－</v>
      </c>
      <c r="F277" s="10"/>
      <c r="G277" s="2" t="str">
        <f>"－"</f>
        <v>－</v>
      </c>
      <c r="H277" s="10"/>
      <c r="I277" s="2" t="str">
        <f>"－"</f>
        <v>－</v>
      </c>
      <c r="J277" s="10"/>
      <c r="K277" s="2" t="str">
        <f>"－"</f>
        <v>－</v>
      </c>
    </row>
    <row r="278">
      <c r="A278" s="8" t="s">
        <v>44</v>
      </c>
      <c r="B278" s="9" t="s">
        <v>66</v>
      </c>
      <c r="C278" s="9" t="s">
        <v>67</v>
      </c>
      <c r="D278" s="10"/>
      <c r="E278" s="2" t="str">
        <f>"－"</f>
        <v>－</v>
      </c>
      <c r="F278" s="10"/>
      <c r="G278" s="2" t="str">
        <f>"－"</f>
        <v>－</v>
      </c>
      <c r="H278" s="10"/>
      <c r="I278" s="2" t="str">
        <f>"－"</f>
        <v>－</v>
      </c>
      <c r="J278" s="10"/>
      <c r="K278" s="2" t="str">
        <f>"－"</f>
        <v>－</v>
      </c>
    </row>
    <row r="279">
      <c r="A279" s="8" t="s">
        <v>45</v>
      </c>
      <c r="B279" s="9" t="s">
        <v>66</v>
      </c>
      <c r="C279" s="9" t="s">
        <v>67</v>
      </c>
      <c r="D279" s="10"/>
      <c r="E279" s="2" t="str">
        <f>"－"</f>
        <v>－</v>
      </c>
      <c r="F279" s="10"/>
      <c r="G279" s="2" t="str">
        <f>"－"</f>
        <v>－</v>
      </c>
      <c r="H279" s="10"/>
      <c r="I279" s="2" t="str">
        <f>"－"</f>
        <v>－</v>
      </c>
      <c r="J279" s="10"/>
      <c r="K279" s="2" t="str">
        <f>"－"</f>
        <v>－</v>
      </c>
    </row>
    <row r="280">
      <c r="A280" s="8" t="s">
        <v>46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47</v>
      </c>
      <c r="B281" s="9" t="s">
        <v>66</v>
      </c>
      <c r="C281" s="9" t="s">
        <v>67</v>
      </c>
      <c r="D281" s="10"/>
      <c r="E281" s="2"/>
      <c r="F281" s="10"/>
      <c r="G281" s="2"/>
      <c r="H281" s="10"/>
      <c r="I281" s="2"/>
      <c r="J281" s="10"/>
      <c r="K281" s="2"/>
    </row>
    <row r="282">
      <c r="A282" s="8" t="s">
        <v>48</v>
      </c>
      <c r="B282" s="9" t="s">
        <v>66</v>
      </c>
      <c r="C282" s="9" t="s">
        <v>67</v>
      </c>
      <c r="D282" s="10"/>
      <c r="E282" s="2"/>
      <c r="F282" s="10"/>
      <c r="G282" s="2"/>
      <c r="H282" s="10"/>
      <c r="I282" s="2"/>
      <c r="J282" s="10"/>
      <c r="K282" s="2"/>
    </row>
    <row r="283">
      <c r="A283" s="8" t="s">
        <v>49</v>
      </c>
      <c r="B283" s="9" t="s">
        <v>66</v>
      </c>
      <c r="C283" s="9" t="s">
        <v>67</v>
      </c>
      <c r="D283" s="10"/>
      <c r="E283" s="2" t="str">
        <f>"－"</f>
        <v>－</v>
      </c>
      <c r="F283" s="10"/>
      <c r="G283" s="2" t="str">
        <f>"－"</f>
        <v>－</v>
      </c>
      <c r="H283" s="10"/>
      <c r="I283" s="2" t="str">
        <f>"－"</f>
        <v>－</v>
      </c>
      <c r="J283" s="10"/>
      <c r="K283" s="2" t="str">
        <f>"－"</f>
        <v>－</v>
      </c>
    </row>
    <row r="284">
      <c r="A284" s="8" t="s">
        <v>50</v>
      </c>
      <c r="B284" s="9" t="s">
        <v>66</v>
      </c>
      <c r="C284" s="9" t="s">
        <v>67</v>
      </c>
      <c r="D284" s="10"/>
      <c r="E284" s="2" t="str">
        <f>"－"</f>
        <v>－</v>
      </c>
      <c r="F284" s="10"/>
      <c r="G284" s="2" t="str">
        <f>"－"</f>
        <v>－</v>
      </c>
      <c r="H284" s="10"/>
      <c r="I284" s="2" t="str">
        <f>"－"</f>
        <v>－</v>
      </c>
      <c r="J284" s="10"/>
      <c r="K284" s="2" t="str">
        <f>"－"</f>
        <v>－</v>
      </c>
    </row>
    <row r="285">
      <c r="A285" s="8" t="s">
        <v>16</v>
      </c>
      <c r="B285" s="9" t="s">
        <v>68</v>
      </c>
      <c r="C285" s="9" t="s">
        <v>69</v>
      </c>
      <c r="D285" s="10"/>
      <c r="E285" s="2"/>
      <c r="F285" s="10"/>
      <c r="G285" s="2"/>
      <c r="H285" s="10"/>
      <c r="I285" s="2"/>
      <c r="J285" s="10"/>
      <c r="K285" s="2"/>
    </row>
    <row r="286">
      <c r="A286" s="8" t="s">
        <v>19</v>
      </c>
      <c r="B286" s="9" t="s">
        <v>68</v>
      </c>
      <c r="C286" s="9" t="s">
        <v>69</v>
      </c>
      <c r="D286" s="10"/>
      <c r="E286" s="2" t="n">
        <f>10986</f>
        <v>10986.0</v>
      </c>
      <c r="F286" s="10"/>
      <c r="G286" s="2" t="n">
        <f>7959074440</f>
        <v>7.95907444E9</v>
      </c>
      <c r="H286" s="10"/>
      <c r="I286" s="2" t="n">
        <f>467</f>
        <v>467.0</v>
      </c>
      <c r="J286" s="10"/>
      <c r="K286" s="2" t="n">
        <f>17265</f>
        <v>17265.0</v>
      </c>
    </row>
    <row r="287">
      <c r="A287" s="8" t="s">
        <v>20</v>
      </c>
      <c r="B287" s="9" t="s">
        <v>68</v>
      </c>
      <c r="C287" s="9" t="s">
        <v>69</v>
      </c>
      <c r="D287" s="10"/>
      <c r="E287" s="2" t="n">
        <f>6089</f>
        <v>6089.0</v>
      </c>
      <c r="F287" s="10"/>
      <c r="G287" s="2" t="n">
        <f>4467005910</f>
        <v>4.46700591E9</v>
      </c>
      <c r="H287" s="10"/>
      <c r="I287" s="2" t="n">
        <f>201</f>
        <v>201.0</v>
      </c>
      <c r="J287" s="10"/>
      <c r="K287" s="2" t="n">
        <f>16575</f>
        <v>16575.0</v>
      </c>
    </row>
    <row r="288">
      <c r="A288" s="8" t="s">
        <v>21</v>
      </c>
      <c r="B288" s="9" t="s">
        <v>68</v>
      </c>
      <c r="C288" s="9" t="s">
        <v>69</v>
      </c>
      <c r="D288" s="10"/>
      <c r="E288" s="2" t="n">
        <f>6175</f>
        <v>6175.0</v>
      </c>
      <c r="F288" s="10"/>
      <c r="G288" s="2" t="n">
        <f>4465153900</f>
        <v>4.4651539E9</v>
      </c>
      <c r="H288" s="10"/>
      <c r="I288" s="2" t="n">
        <f>377</f>
        <v>377.0</v>
      </c>
      <c r="J288" s="10"/>
      <c r="K288" s="2" t="n">
        <f>16506</f>
        <v>16506.0</v>
      </c>
    </row>
    <row r="289">
      <c r="A289" s="8" t="s">
        <v>22</v>
      </c>
      <c r="B289" s="9" t="s">
        <v>68</v>
      </c>
      <c r="C289" s="9" t="s">
        <v>69</v>
      </c>
      <c r="D289" s="10" t="s">
        <v>35</v>
      </c>
      <c r="E289" s="2" t="n">
        <f>3296</f>
        <v>3296.0</v>
      </c>
      <c r="F289" s="10"/>
      <c r="G289" s="2" t="n">
        <f>2445955440</f>
        <v>2.44595544E9</v>
      </c>
      <c r="H289" s="10" t="s">
        <v>35</v>
      </c>
      <c r="I289" s="2" t="n">
        <f>51</f>
        <v>51.0</v>
      </c>
      <c r="J289" s="10"/>
      <c r="K289" s="2" t="n">
        <f>16533</f>
        <v>16533.0</v>
      </c>
    </row>
    <row r="290">
      <c r="A290" s="8" t="s">
        <v>23</v>
      </c>
      <c r="B290" s="9" t="s">
        <v>68</v>
      </c>
      <c r="C290" s="9" t="s">
        <v>69</v>
      </c>
      <c r="D290" s="10"/>
      <c r="E290" s="2" t="n">
        <f>3819</f>
        <v>3819.0</v>
      </c>
      <c r="F290" s="10"/>
      <c r="G290" s="2" t="n">
        <f>2759693440</f>
        <v>2.75969344E9</v>
      </c>
      <c r="H290" s="10"/>
      <c r="I290" s="2" t="n">
        <f>128</f>
        <v>128.0</v>
      </c>
      <c r="J290" s="10"/>
      <c r="K290" s="2" t="n">
        <f>16483</f>
        <v>16483.0</v>
      </c>
    </row>
    <row r="291">
      <c r="A291" s="8" t="s">
        <v>24</v>
      </c>
      <c r="B291" s="9" t="s">
        <v>68</v>
      </c>
      <c r="C291" s="9" t="s">
        <v>69</v>
      </c>
      <c r="D291" s="10"/>
      <c r="E291" s="2"/>
      <c r="F291" s="10"/>
      <c r="G291" s="2"/>
      <c r="H291" s="10"/>
      <c r="I291" s="2"/>
      <c r="J291" s="10"/>
      <c r="K291" s="2"/>
    </row>
    <row r="292">
      <c r="A292" s="8" t="s">
        <v>25</v>
      </c>
      <c r="B292" s="9" t="s">
        <v>68</v>
      </c>
      <c r="C292" s="9" t="s">
        <v>69</v>
      </c>
      <c r="D292" s="10"/>
      <c r="E292" s="2"/>
      <c r="F292" s="10"/>
      <c r="G292" s="2"/>
      <c r="H292" s="10"/>
      <c r="I292" s="2"/>
      <c r="J292" s="10"/>
      <c r="K292" s="2"/>
    </row>
    <row r="293">
      <c r="A293" s="8" t="s">
        <v>26</v>
      </c>
      <c r="B293" s="9" t="s">
        <v>68</v>
      </c>
      <c r="C293" s="9" t="s">
        <v>69</v>
      </c>
      <c r="D293" s="10"/>
      <c r="E293" s="2" t="n">
        <f>9073</f>
        <v>9073.0</v>
      </c>
      <c r="F293" s="10"/>
      <c r="G293" s="2" t="n">
        <f>6067543370</f>
        <v>6.06754337E9</v>
      </c>
      <c r="H293" s="10"/>
      <c r="I293" s="2" t="n">
        <f>522</f>
        <v>522.0</v>
      </c>
      <c r="J293" s="10"/>
      <c r="K293" s="2" t="n">
        <f>17344</f>
        <v>17344.0</v>
      </c>
    </row>
    <row r="294">
      <c r="A294" s="8" t="s">
        <v>27</v>
      </c>
      <c r="B294" s="9" t="s">
        <v>68</v>
      </c>
      <c r="C294" s="9" t="s">
        <v>69</v>
      </c>
      <c r="D294" s="10"/>
      <c r="E294" s="2" t="n">
        <f>21011</f>
        <v>21011.0</v>
      </c>
      <c r="F294" s="10"/>
      <c r="G294" s="2" t="n">
        <f>13584715370</f>
        <v>1.358471537E10</v>
      </c>
      <c r="H294" s="10" t="s">
        <v>28</v>
      </c>
      <c r="I294" s="2" t="n">
        <f>1101</f>
        <v>1101.0</v>
      </c>
      <c r="J294" s="10" t="s">
        <v>28</v>
      </c>
      <c r="K294" s="2" t="n">
        <f>20216</f>
        <v>20216.0</v>
      </c>
    </row>
    <row r="295">
      <c r="A295" s="8" t="s">
        <v>29</v>
      </c>
      <c r="B295" s="9" t="s">
        <v>68</v>
      </c>
      <c r="C295" s="9" t="s">
        <v>69</v>
      </c>
      <c r="D295" s="10" t="s">
        <v>28</v>
      </c>
      <c r="E295" s="2" t="n">
        <f>28391</f>
        <v>28391.0</v>
      </c>
      <c r="F295" s="10" t="s">
        <v>28</v>
      </c>
      <c r="G295" s="2" t="n">
        <f>18656690750</f>
        <v>1.865669075E10</v>
      </c>
      <c r="H295" s="10"/>
      <c r="I295" s="2" t="n">
        <f>1077</f>
        <v>1077.0</v>
      </c>
      <c r="J295" s="10"/>
      <c r="K295" s="2" t="n">
        <f>18857</f>
        <v>18857.0</v>
      </c>
    </row>
    <row r="296">
      <c r="A296" s="8" t="s">
        <v>30</v>
      </c>
      <c r="B296" s="9" t="s">
        <v>68</v>
      </c>
      <c r="C296" s="9" t="s">
        <v>69</v>
      </c>
      <c r="D296" s="10"/>
      <c r="E296" s="2" t="n">
        <f>9958</f>
        <v>9958.0</v>
      </c>
      <c r="F296" s="10"/>
      <c r="G296" s="2" t="n">
        <f>6034525900</f>
        <v>6.0345259E9</v>
      </c>
      <c r="H296" s="10"/>
      <c r="I296" s="2" t="n">
        <f>639</f>
        <v>639.0</v>
      </c>
      <c r="J296" s="10"/>
      <c r="K296" s="2" t="n">
        <f>18413</f>
        <v>18413.0</v>
      </c>
    </row>
    <row r="297">
      <c r="A297" s="8" t="s">
        <v>31</v>
      </c>
      <c r="B297" s="9" t="s">
        <v>68</v>
      </c>
      <c r="C297" s="9" t="s">
        <v>69</v>
      </c>
      <c r="D297" s="10"/>
      <c r="E297" s="2" t="n">
        <f>9341</f>
        <v>9341.0</v>
      </c>
      <c r="F297" s="10"/>
      <c r="G297" s="2" t="n">
        <f>5092018150</f>
        <v>5.09201815E9</v>
      </c>
      <c r="H297" s="10"/>
      <c r="I297" s="2" t="n">
        <f>322</f>
        <v>322.0</v>
      </c>
      <c r="J297" s="10"/>
      <c r="K297" s="2" t="n">
        <f>19296</f>
        <v>19296.0</v>
      </c>
    </row>
    <row r="298">
      <c r="A298" s="8" t="s">
        <v>32</v>
      </c>
      <c r="B298" s="9" t="s">
        <v>68</v>
      </c>
      <c r="C298" s="9" t="s">
        <v>69</v>
      </c>
      <c r="D298" s="10"/>
      <c r="E298" s="2"/>
      <c r="F298" s="10"/>
      <c r="G298" s="2"/>
      <c r="H298" s="10"/>
      <c r="I298" s="2"/>
      <c r="J298" s="10"/>
      <c r="K298" s="2"/>
    </row>
    <row r="299">
      <c r="A299" s="8" t="s">
        <v>33</v>
      </c>
      <c r="B299" s="9" t="s">
        <v>68</v>
      </c>
      <c r="C299" s="9" t="s">
        <v>69</v>
      </c>
      <c r="D299" s="10"/>
      <c r="E299" s="2"/>
      <c r="F299" s="10"/>
      <c r="G299" s="2"/>
      <c r="H299" s="10"/>
      <c r="I299" s="2"/>
      <c r="J299" s="10"/>
      <c r="K299" s="2"/>
    </row>
    <row r="300">
      <c r="A300" s="8" t="s">
        <v>34</v>
      </c>
      <c r="B300" s="9" t="s">
        <v>68</v>
      </c>
      <c r="C300" s="9" t="s">
        <v>69</v>
      </c>
      <c r="D300" s="10"/>
      <c r="E300" s="2" t="n">
        <f>10400</f>
        <v>10400.0</v>
      </c>
      <c r="F300" s="10"/>
      <c r="G300" s="2" t="n">
        <f>5864327440</f>
        <v>5.86432744E9</v>
      </c>
      <c r="H300" s="10"/>
      <c r="I300" s="2" t="n">
        <f>610</f>
        <v>610.0</v>
      </c>
      <c r="J300" s="10"/>
      <c r="K300" s="2" t="n">
        <f>15151</f>
        <v>15151.0</v>
      </c>
    </row>
    <row r="301">
      <c r="A301" s="8" t="s">
        <v>36</v>
      </c>
      <c r="B301" s="9" t="s">
        <v>68</v>
      </c>
      <c r="C301" s="9" t="s">
        <v>69</v>
      </c>
      <c r="D301" s="10"/>
      <c r="E301" s="2" t="n">
        <f>10235</f>
        <v>10235.0</v>
      </c>
      <c r="F301" s="10"/>
      <c r="G301" s="2" t="n">
        <f>5705374530</f>
        <v>5.70537453E9</v>
      </c>
      <c r="H301" s="10"/>
      <c r="I301" s="2" t="n">
        <f>185</f>
        <v>185.0</v>
      </c>
      <c r="J301" s="10"/>
      <c r="K301" s="2" t="n">
        <f>13875</f>
        <v>13875.0</v>
      </c>
    </row>
    <row r="302">
      <c r="A302" s="8" t="s">
        <v>37</v>
      </c>
      <c r="B302" s="9" t="s">
        <v>68</v>
      </c>
      <c r="C302" s="9" t="s">
        <v>69</v>
      </c>
      <c r="D302" s="10"/>
      <c r="E302" s="2" t="n">
        <f>8944</f>
        <v>8944.0</v>
      </c>
      <c r="F302" s="10"/>
      <c r="G302" s="2" t="n">
        <f>5187493920</f>
        <v>5.18749392E9</v>
      </c>
      <c r="H302" s="10"/>
      <c r="I302" s="2" t="n">
        <f>453</f>
        <v>453.0</v>
      </c>
      <c r="J302" s="10"/>
      <c r="K302" s="2" t="n">
        <f>14783</f>
        <v>14783.0</v>
      </c>
    </row>
    <row r="303">
      <c r="A303" s="8" t="s">
        <v>38</v>
      </c>
      <c r="B303" s="9" t="s">
        <v>68</v>
      </c>
      <c r="C303" s="9" t="s">
        <v>69</v>
      </c>
      <c r="D303" s="10"/>
      <c r="E303" s="2" t="n">
        <f>7765</f>
        <v>7765.0</v>
      </c>
      <c r="F303" s="10"/>
      <c r="G303" s="2" t="n">
        <f>4232297200</f>
        <v>4.2322972E9</v>
      </c>
      <c r="H303" s="10"/>
      <c r="I303" s="2" t="n">
        <f>658</f>
        <v>658.0</v>
      </c>
      <c r="J303" s="10"/>
      <c r="K303" s="2" t="n">
        <f>14624</f>
        <v>14624.0</v>
      </c>
    </row>
    <row r="304">
      <c r="A304" s="8" t="s">
        <v>39</v>
      </c>
      <c r="B304" s="9" t="s">
        <v>68</v>
      </c>
      <c r="C304" s="9" t="s">
        <v>69</v>
      </c>
      <c r="D304" s="10"/>
      <c r="E304" s="2"/>
      <c r="F304" s="10"/>
      <c r="G304" s="2"/>
      <c r="H304" s="10"/>
      <c r="I304" s="2"/>
      <c r="J304" s="10"/>
      <c r="K304" s="2"/>
    </row>
    <row r="305">
      <c r="A305" s="8" t="s">
        <v>40</v>
      </c>
      <c r="B305" s="9" t="s">
        <v>68</v>
      </c>
      <c r="C305" s="9" t="s">
        <v>69</v>
      </c>
      <c r="D305" s="10"/>
      <c r="E305" s="2"/>
      <c r="F305" s="10"/>
      <c r="G305" s="2"/>
      <c r="H305" s="10"/>
      <c r="I305" s="2"/>
      <c r="J305" s="10"/>
      <c r="K305" s="2"/>
    </row>
    <row r="306">
      <c r="A306" s="8" t="s">
        <v>41</v>
      </c>
      <c r="B306" s="9" t="s">
        <v>68</v>
      </c>
      <c r="C306" s="9" t="s">
        <v>69</v>
      </c>
      <c r="D306" s="10"/>
      <c r="E306" s="2"/>
      <c r="F306" s="10"/>
      <c r="G306" s="2"/>
      <c r="H306" s="10"/>
      <c r="I306" s="2"/>
      <c r="J306" s="10"/>
      <c r="K306" s="2"/>
    </row>
    <row r="307">
      <c r="A307" s="8" t="s">
        <v>42</v>
      </c>
      <c r="B307" s="9" t="s">
        <v>68</v>
      </c>
      <c r="C307" s="9" t="s">
        <v>69</v>
      </c>
      <c r="D307" s="10"/>
      <c r="E307" s="2" t="n">
        <f>5750</f>
        <v>5750.0</v>
      </c>
      <c r="F307" s="10"/>
      <c r="G307" s="2" t="n">
        <f>3118667720</f>
        <v>3.11866772E9</v>
      </c>
      <c r="H307" s="10"/>
      <c r="I307" s="2" t="n">
        <f>297</f>
        <v>297.0</v>
      </c>
      <c r="J307" s="10"/>
      <c r="K307" s="2" t="n">
        <f>14335</f>
        <v>14335.0</v>
      </c>
    </row>
    <row r="308">
      <c r="A308" s="8" t="s">
        <v>43</v>
      </c>
      <c r="B308" s="9" t="s">
        <v>68</v>
      </c>
      <c r="C308" s="9" t="s">
        <v>69</v>
      </c>
      <c r="D308" s="10"/>
      <c r="E308" s="2" t="n">
        <f>5469</f>
        <v>5469.0</v>
      </c>
      <c r="F308" s="10"/>
      <c r="G308" s="2" t="n">
        <f>3087676290</f>
        <v>3.08767629E9</v>
      </c>
      <c r="H308" s="10"/>
      <c r="I308" s="2" t="n">
        <f>172</f>
        <v>172.0</v>
      </c>
      <c r="J308" s="10"/>
      <c r="K308" s="2" t="n">
        <f>14510</f>
        <v>14510.0</v>
      </c>
    </row>
    <row r="309">
      <c r="A309" s="8" t="s">
        <v>44</v>
      </c>
      <c r="B309" s="9" t="s">
        <v>68</v>
      </c>
      <c r="C309" s="9" t="s">
        <v>69</v>
      </c>
      <c r="D309" s="10"/>
      <c r="E309" s="2" t="n">
        <f>6004</f>
        <v>6004.0</v>
      </c>
      <c r="F309" s="10"/>
      <c r="G309" s="2" t="n">
        <f>3664076560</f>
        <v>3.66407656E9</v>
      </c>
      <c r="H309" s="10"/>
      <c r="I309" s="2" t="n">
        <f>477</f>
        <v>477.0</v>
      </c>
      <c r="J309" s="10"/>
      <c r="K309" s="2" t="n">
        <f>13861</f>
        <v>13861.0</v>
      </c>
    </row>
    <row r="310">
      <c r="A310" s="8" t="s">
        <v>45</v>
      </c>
      <c r="B310" s="9" t="s">
        <v>68</v>
      </c>
      <c r="C310" s="9" t="s">
        <v>69</v>
      </c>
      <c r="D310" s="10"/>
      <c r="E310" s="2" t="n">
        <f>4660</f>
        <v>4660.0</v>
      </c>
      <c r="F310" s="10"/>
      <c r="G310" s="2" t="n">
        <f>2754380800</f>
        <v>2.7543808E9</v>
      </c>
      <c r="H310" s="10"/>
      <c r="I310" s="2" t="n">
        <f>170</f>
        <v>170.0</v>
      </c>
      <c r="J310" s="10"/>
      <c r="K310" s="2" t="n">
        <f>14057</f>
        <v>14057.0</v>
      </c>
    </row>
    <row r="311">
      <c r="A311" s="8" t="s">
        <v>46</v>
      </c>
      <c r="B311" s="9" t="s">
        <v>68</v>
      </c>
      <c r="C311" s="9" t="s">
        <v>69</v>
      </c>
      <c r="D311" s="10"/>
      <c r="E311" s="2" t="n">
        <f>3341</f>
        <v>3341.0</v>
      </c>
      <c r="F311" s="10" t="s">
        <v>35</v>
      </c>
      <c r="G311" s="2" t="n">
        <f>1972246210</f>
        <v>1.97224621E9</v>
      </c>
      <c r="H311" s="10"/>
      <c r="I311" s="2" t="n">
        <f>185</f>
        <v>185.0</v>
      </c>
      <c r="J311" s="10" t="s">
        <v>35</v>
      </c>
      <c r="K311" s="2" t="n">
        <f>13845</f>
        <v>13845.0</v>
      </c>
    </row>
    <row r="312">
      <c r="A312" s="8" t="s">
        <v>47</v>
      </c>
      <c r="B312" s="9" t="s">
        <v>68</v>
      </c>
      <c r="C312" s="9" t="s">
        <v>69</v>
      </c>
      <c r="D312" s="10"/>
      <c r="E312" s="2"/>
      <c r="F312" s="10"/>
      <c r="G312" s="2"/>
      <c r="H312" s="10"/>
      <c r="I312" s="2"/>
      <c r="J312" s="10"/>
      <c r="K312" s="2"/>
    </row>
    <row r="313">
      <c r="A313" s="8" t="s">
        <v>48</v>
      </c>
      <c r="B313" s="9" t="s">
        <v>68</v>
      </c>
      <c r="C313" s="9" t="s">
        <v>69</v>
      </c>
      <c r="D313" s="10"/>
      <c r="E313" s="2"/>
      <c r="F313" s="10"/>
      <c r="G313" s="2"/>
      <c r="H313" s="10"/>
      <c r="I313" s="2"/>
      <c r="J313" s="10"/>
      <c r="K313" s="2"/>
    </row>
    <row r="314">
      <c r="A314" s="8" t="s">
        <v>49</v>
      </c>
      <c r="B314" s="9" t="s">
        <v>68</v>
      </c>
      <c r="C314" s="9" t="s">
        <v>69</v>
      </c>
      <c r="D314" s="10"/>
      <c r="E314" s="2" t="n">
        <f>4436</f>
        <v>4436.0</v>
      </c>
      <c r="F314" s="10"/>
      <c r="G314" s="2" t="n">
        <f>2571882400</f>
        <v>2.5718824E9</v>
      </c>
      <c r="H314" s="10"/>
      <c r="I314" s="2" t="n">
        <f>159</f>
        <v>159.0</v>
      </c>
      <c r="J314" s="10"/>
      <c r="K314" s="2" t="n">
        <f>14347</f>
        <v>14347.0</v>
      </c>
    </row>
    <row r="315">
      <c r="A315" s="8" t="s">
        <v>50</v>
      </c>
      <c r="B315" s="9" t="s">
        <v>68</v>
      </c>
      <c r="C315" s="9" t="s">
        <v>69</v>
      </c>
      <c r="D315" s="10"/>
      <c r="E315" s="2" t="n">
        <f>3781</f>
        <v>3781.0</v>
      </c>
      <c r="F315" s="10"/>
      <c r="G315" s="2" t="n">
        <f>2225050510</f>
        <v>2.22505051E9</v>
      </c>
      <c r="H315" s="10"/>
      <c r="I315" s="2" t="n">
        <f>164</f>
        <v>164.0</v>
      </c>
      <c r="J315" s="10"/>
      <c r="K315" s="2" t="n">
        <f>14473</f>
        <v>14473.0</v>
      </c>
    </row>
    <row r="316">
      <c r="A316" s="8" t="s">
        <v>16</v>
      </c>
      <c r="B316" s="9" t="s">
        <v>70</v>
      </c>
      <c r="C316" s="9" t="s">
        <v>71</v>
      </c>
      <c r="D316" s="10"/>
      <c r="E316" s="2"/>
      <c r="F316" s="10"/>
      <c r="G316" s="2"/>
      <c r="H316" s="10"/>
      <c r="I316" s="2"/>
      <c r="J316" s="10"/>
      <c r="K316" s="2"/>
    </row>
    <row r="317">
      <c r="A317" s="8" t="s">
        <v>19</v>
      </c>
      <c r="B317" s="9" t="s">
        <v>70</v>
      </c>
      <c r="C317" s="9" t="s">
        <v>71</v>
      </c>
      <c r="D317" s="10" t="s">
        <v>28</v>
      </c>
      <c r="E317" s="2" t="n">
        <f>9104</f>
        <v>9104.0</v>
      </c>
      <c r="F317" s="10" t="s">
        <v>28</v>
      </c>
      <c r="G317" s="2" t="n">
        <f>22897733300</f>
        <v>2.28977333E10</v>
      </c>
      <c r="H317" s="10" t="s">
        <v>28</v>
      </c>
      <c r="I317" s="2" t="n">
        <f>517</f>
        <v>517.0</v>
      </c>
      <c r="J317" s="10"/>
      <c r="K317" s="2" t="n">
        <f>2993</f>
        <v>2993.0</v>
      </c>
    </row>
    <row r="318">
      <c r="A318" s="8" t="s">
        <v>20</v>
      </c>
      <c r="B318" s="9" t="s">
        <v>70</v>
      </c>
      <c r="C318" s="9" t="s">
        <v>71</v>
      </c>
      <c r="D318" s="10"/>
      <c r="E318" s="2" t="n">
        <f>7121</f>
        <v>7121.0</v>
      </c>
      <c r="F318" s="10"/>
      <c r="G318" s="2" t="n">
        <f>18516421000</f>
        <v>1.8516421E10</v>
      </c>
      <c r="H318" s="10"/>
      <c r="I318" s="2" t="n">
        <f>319</f>
        <v>319.0</v>
      </c>
      <c r="J318" s="10"/>
      <c r="K318" s="2" t="n">
        <f>2341</f>
        <v>2341.0</v>
      </c>
    </row>
    <row r="319">
      <c r="A319" s="8" t="s">
        <v>21</v>
      </c>
      <c r="B319" s="9" t="s">
        <v>70</v>
      </c>
      <c r="C319" s="9" t="s">
        <v>71</v>
      </c>
      <c r="D319" s="10"/>
      <c r="E319" s="2" t="n">
        <f>7560</f>
        <v>7560.0</v>
      </c>
      <c r="F319" s="10"/>
      <c r="G319" s="2" t="n">
        <f>19977476000</f>
        <v>1.9977476E10</v>
      </c>
      <c r="H319" s="10"/>
      <c r="I319" s="2" t="n">
        <f>263</f>
        <v>263.0</v>
      </c>
      <c r="J319" s="10"/>
      <c r="K319" s="2" t="n">
        <f>1994</f>
        <v>1994.0</v>
      </c>
    </row>
    <row r="320">
      <c r="A320" s="8" t="s">
        <v>22</v>
      </c>
      <c r="B320" s="9" t="s">
        <v>70</v>
      </c>
      <c r="C320" s="9" t="s">
        <v>71</v>
      </c>
      <c r="D320" s="10"/>
      <c r="E320" s="2" t="n">
        <f>5428</f>
        <v>5428.0</v>
      </c>
      <c r="F320" s="10"/>
      <c r="G320" s="2" t="n">
        <f>14396046800</f>
        <v>1.43960468E10</v>
      </c>
      <c r="H320" s="10"/>
      <c r="I320" s="2" t="n">
        <f>325</f>
        <v>325.0</v>
      </c>
      <c r="J320" s="10" t="s">
        <v>35</v>
      </c>
      <c r="K320" s="2" t="n">
        <f>1957</f>
        <v>1957.0</v>
      </c>
    </row>
    <row r="321">
      <c r="A321" s="8" t="s">
        <v>23</v>
      </c>
      <c r="B321" s="9" t="s">
        <v>70</v>
      </c>
      <c r="C321" s="9" t="s">
        <v>71</v>
      </c>
      <c r="D321" s="10"/>
      <c r="E321" s="2" t="n">
        <f>5667</f>
        <v>5667.0</v>
      </c>
      <c r="F321" s="10"/>
      <c r="G321" s="2" t="n">
        <f>14885231300</f>
        <v>1.48852313E10</v>
      </c>
      <c r="H321" s="10"/>
      <c r="I321" s="2" t="n">
        <f>461</f>
        <v>461.0</v>
      </c>
      <c r="J321" s="10"/>
      <c r="K321" s="2" t="n">
        <f>2319</f>
        <v>2319.0</v>
      </c>
    </row>
    <row r="322">
      <c r="A322" s="8" t="s">
        <v>24</v>
      </c>
      <c r="B322" s="9" t="s">
        <v>70</v>
      </c>
      <c r="C322" s="9" t="s">
        <v>71</v>
      </c>
      <c r="D322" s="10"/>
      <c r="E322" s="2"/>
      <c r="F322" s="10"/>
      <c r="G322" s="2"/>
      <c r="H322" s="10"/>
      <c r="I322" s="2"/>
      <c r="J322" s="10"/>
      <c r="K322" s="2"/>
    </row>
    <row r="323">
      <c r="A323" s="8" t="s">
        <v>25</v>
      </c>
      <c r="B323" s="9" t="s">
        <v>70</v>
      </c>
      <c r="C323" s="9" t="s">
        <v>71</v>
      </c>
      <c r="D323" s="10"/>
      <c r="E323" s="2"/>
      <c r="F323" s="10"/>
      <c r="G323" s="2"/>
      <c r="H323" s="10"/>
      <c r="I323" s="2"/>
      <c r="J323" s="10"/>
      <c r="K323" s="2"/>
    </row>
    <row r="324">
      <c r="A324" s="8" t="s">
        <v>26</v>
      </c>
      <c r="B324" s="9" t="s">
        <v>70</v>
      </c>
      <c r="C324" s="9" t="s">
        <v>71</v>
      </c>
      <c r="D324" s="10"/>
      <c r="E324" s="2" t="n">
        <f>7474</f>
        <v>7474.0</v>
      </c>
      <c r="F324" s="10"/>
      <c r="G324" s="2" t="n">
        <f>18912531000</f>
        <v>1.8912531E10</v>
      </c>
      <c r="H324" s="10"/>
      <c r="I324" s="2" t="n">
        <f>424</f>
        <v>424.0</v>
      </c>
      <c r="J324" s="10"/>
      <c r="K324" s="2" t="n">
        <f>2478</f>
        <v>2478.0</v>
      </c>
    </row>
    <row r="325">
      <c r="A325" s="8" t="s">
        <v>27</v>
      </c>
      <c r="B325" s="9" t="s">
        <v>70</v>
      </c>
      <c r="C325" s="9" t="s">
        <v>71</v>
      </c>
      <c r="D325" s="10"/>
      <c r="E325" s="2" t="n">
        <f>6904</f>
        <v>6904.0</v>
      </c>
      <c r="F325" s="10"/>
      <c r="G325" s="2" t="n">
        <f>16878288500</f>
        <v>1.68782885E10</v>
      </c>
      <c r="H325" s="10"/>
      <c r="I325" s="2" t="n">
        <f>76</f>
        <v>76.0</v>
      </c>
      <c r="J325" s="10"/>
      <c r="K325" s="2" t="n">
        <f>5559</f>
        <v>5559.0</v>
      </c>
    </row>
    <row r="326">
      <c r="A326" s="8" t="s">
        <v>29</v>
      </c>
      <c r="B326" s="9" t="s">
        <v>70</v>
      </c>
      <c r="C326" s="9" t="s">
        <v>71</v>
      </c>
      <c r="D326" s="10"/>
      <c r="E326" s="2" t="n">
        <f>5341</f>
        <v>5341.0</v>
      </c>
      <c r="F326" s="10"/>
      <c r="G326" s="2" t="n">
        <f>13028291100</f>
        <v>1.30282911E10</v>
      </c>
      <c r="H326" s="10"/>
      <c r="I326" s="2" t="n">
        <f>67</f>
        <v>67.0</v>
      </c>
      <c r="J326" s="10"/>
      <c r="K326" s="2" t="n">
        <f>6893</f>
        <v>6893.0</v>
      </c>
    </row>
    <row r="327">
      <c r="A327" s="8" t="s">
        <v>30</v>
      </c>
      <c r="B327" s="9" t="s">
        <v>70</v>
      </c>
      <c r="C327" s="9" t="s">
        <v>71</v>
      </c>
      <c r="D327" s="10"/>
      <c r="E327" s="2" t="n">
        <f>4042</f>
        <v>4042.0</v>
      </c>
      <c r="F327" s="10"/>
      <c r="G327" s="2" t="n">
        <f>9496371900</f>
        <v>9.4963719E9</v>
      </c>
      <c r="H327" s="10"/>
      <c r="I327" s="2" t="n">
        <f>31</f>
        <v>31.0</v>
      </c>
      <c r="J327" s="10" t="s">
        <v>28</v>
      </c>
      <c r="K327" s="2" t="n">
        <f>7675</f>
        <v>7675.0</v>
      </c>
    </row>
    <row r="328">
      <c r="A328" s="8" t="s">
        <v>31</v>
      </c>
      <c r="B328" s="9" t="s">
        <v>70</v>
      </c>
      <c r="C328" s="9" t="s">
        <v>71</v>
      </c>
      <c r="D328" s="10"/>
      <c r="E328" s="2" t="n">
        <f>7450</f>
        <v>7450.0</v>
      </c>
      <c r="F328" s="10"/>
      <c r="G328" s="2" t="n">
        <f>15898914400</f>
        <v>1.58989144E10</v>
      </c>
      <c r="H328" s="10"/>
      <c r="I328" s="2" t="n">
        <f>30</f>
        <v>30.0</v>
      </c>
      <c r="J328" s="10"/>
      <c r="K328" s="2" t="n">
        <f>7490</f>
        <v>7490.0</v>
      </c>
    </row>
    <row r="329">
      <c r="A329" s="8" t="s">
        <v>32</v>
      </c>
      <c r="B329" s="9" t="s">
        <v>70</v>
      </c>
      <c r="C329" s="9" t="s">
        <v>71</v>
      </c>
      <c r="D329" s="10"/>
      <c r="E329" s="2"/>
      <c r="F329" s="10"/>
      <c r="G329" s="2"/>
      <c r="H329" s="10"/>
      <c r="I329" s="2"/>
      <c r="J329" s="10"/>
      <c r="K329" s="2"/>
    </row>
    <row r="330">
      <c r="A330" s="8" t="s">
        <v>33</v>
      </c>
      <c r="B330" s="9" t="s">
        <v>70</v>
      </c>
      <c r="C330" s="9" t="s">
        <v>71</v>
      </c>
      <c r="D330" s="10"/>
      <c r="E330" s="2"/>
      <c r="F330" s="10"/>
      <c r="G330" s="2"/>
      <c r="H330" s="10"/>
      <c r="I330" s="2"/>
      <c r="J330" s="10"/>
      <c r="K330" s="2"/>
    </row>
    <row r="331">
      <c r="A331" s="8" t="s">
        <v>34</v>
      </c>
      <c r="B331" s="9" t="s">
        <v>70</v>
      </c>
      <c r="C331" s="9" t="s">
        <v>71</v>
      </c>
      <c r="D331" s="10"/>
      <c r="E331" s="2" t="n">
        <f>2763</f>
        <v>2763.0</v>
      </c>
      <c r="F331" s="10"/>
      <c r="G331" s="2" t="n">
        <f>6059249400</f>
        <v>6.0592494E9</v>
      </c>
      <c r="H331" s="10"/>
      <c r="I331" s="2" t="n">
        <f>29</f>
        <v>29.0</v>
      </c>
      <c r="J331" s="10"/>
      <c r="K331" s="2" t="n">
        <f>4750</f>
        <v>4750.0</v>
      </c>
    </row>
    <row r="332">
      <c r="A332" s="8" t="s">
        <v>36</v>
      </c>
      <c r="B332" s="9" t="s">
        <v>70</v>
      </c>
      <c r="C332" s="9" t="s">
        <v>71</v>
      </c>
      <c r="D332" s="10"/>
      <c r="E332" s="2" t="n">
        <f>1723</f>
        <v>1723.0</v>
      </c>
      <c r="F332" s="10"/>
      <c r="G332" s="2" t="n">
        <f>3576271600</f>
        <v>3.5762716E9</v>
      </c>
      <c r="H332" s="10"/>
      <c r="I332" s="2" t="n">
        <f>80</f>
        <v>80.0</v>
      </c>
      <c r="J332" s="10"/>
      <c r="K332" s="2" t="n">
        <f>4197</f>
        <v>4197.0</v>
      </c>
    </row>
    <row r="333">
      <c r="A333" s="8" t="s">
        <v>37</v>
      </c>
      <c r="B333" s="9" t="s">
        <v>70</v>
      </c>
      <c r="C333" s="9" t="s">
        <v>71</v>
      </c>
      <c r="D333" s="10"/>
      <c r="E333" s="2" t="n">
        <f>2219</f>
        <v>2219.0</v>
      </c>
      <c r="F333" s="10"/>
      <c r="G333" s="2" t="n">
        <f>4524968420</f>
        <v>4.52496842E9</v>
      </c>
      <c r="H333" s="10"/>
      <c r="I333" s="2" t="n">
        <f>62</f>
        <v>62.0</v>
      </c>
      <c r="J333" s="10"/>
      <c r="K333" s="2" t="n">
        <f>4195</f>
        <v>4195.0</v>
      </c>
    </row>
    <row r="334">
      <c r="A334" s="8" t="s">
        <v>38</v>
      </c>
      <c r="B334" s="9" t="s">
        <v>70</v>
      </c>
      <c r="C334" s="9" t="s">
        <v>71</v>
      </c>
      <c r="D334" s="10"/>
      <c r="E334" s="2" t="n">
        <f>2880</f>
        <v>2880.0</v>
      </c>
      <c r="F334" s="10"/>
      <c r="G334" s="2" t="n">
        <f>5648402680</f>
        <v>5.64840268E9</v>
      </c>
      <c r="H334" s="10"/>
      <c r="I334" s="2" t="n">
        <f>74</f>
        <v>74.0</v>
      </c>
      <c r="J334" s="10"/>
      <c r="K334" s="2" t="n">
        <f>4065</f>
        <v>4065.0</v>
      </c>
    </row>
    <row r="335">
      <c r="A335" s="8" t="s">
        <v>39</v>
      </c>
      <c r="B335" s="9" t="s">
        <v>70</v>
      </c>
      <c r="C335" s="9" t="s">
        <v>71</v>
      </c>
      <c r="D335" s="10"/>
      <c r="E335" s="2"/>
      <c r="F335" s="10"/>
      <c r="G335" s="2"/>
      <c r="H335" s="10"/>
      <c r="I335" s="2"/>
      <c r="J335" s="10"/>
      <c r="K335" s="2"/>
    </row>
    <row r="336">
      <c r="A336" s="8" t="s">
        <v>40</v>
      </c>
      <c r="B336" s="9" t="s">
        <v>70</v>
      </c>
      <c r="C336" s="9" t="s">
        <v>71</v>
      </c>
      <c r="D336" s="10"/>
      <c r="E336" s="2"/>
      <c r="F336" s="10"/>
      <c r="G336" s="2"/>
      <c r="H336" s="10"/>
      <c r="I336" s="2"/>
      <c r="J336" s="10"/>
      <c r="K336" s="2"/>
    </row>
    <row r="337">
      <c r="A337" s="8" t="s">
        <v>41</v>
      </c>
      <c r="B337" s="9" t="s">
        <v>70</v>
      </c>
      <c r="C337" s="9" t="s">
        <v>71</v>
      </c>
      <c r="D337" s="10"/>
      <c r="E337" s="2"/>
      <c r="F337" s="10"/>
      <c r="G337" s="2"/>
      <c r="H337" s="10"/>
      <c r="I337" s="2"/>
      <c r="J337" s="10"/>
      <c r="K337" s="2"/>
    </row>
    <row r="338">
      <c r="A338" s="8" t="s">
        <v>42</v>
      </c>
      <c r="B338" s="9" t="s">
        <v>70</v>
      </c>
      <c r="C338" s="9" t="s">
        <v>71</v>
      </c>
      <c r="D338" s="10"/>
      <c r="E338" s="2" t="n">
        <f>3413</f>
        <v>3413.0</v>
      </c>
      <c r="F338" s="10"/>
      <c r="G338" s="2" t="n">
        <f>6287351300</f>
        <v>6.2873513E9</v>
      </c>
      <c r="H338" s="10"/>
      <c r="I338" s="2" t="n">
        <f>62</f>
        <v>62.0</v>
      </c>
      <c r="J338" s="10"/>
      <c r="K338" s="2" t="n">
        <f>6264</f>
        <v>6264.0</v>
      </c>
    </row>
    <row r="339">
      <c r="A339" s="8" t="s">
        <v>43</v>
      </c>
      <c r="B339" s="9" t="s">
        <v>70</v>
      </c>
      <c r="C339" s="9" t="s">
        <v>71</v>
      </c>
      <c r="D339" s="10"/>
      <c r="E339" s="2" t="n">
        <f>2058</f>
        <v>2058.0</v>
      </c>
      <c r="F339" s="10"/>
      <c r="G339" s="2" t="n">
        <f>3812859000</f>
        <v>3.812859E9</v>
      </c>
      <c r="H339" s="10"/>
      <c r="I339" s="2" t="n">
        <f>26</f>
        <v>26.0</v>
      </c>
      <c r="J339" s="10"/>
      <c r="K339" s="2" t="n">
        <f>3507</f>
        <v>3507.0</v>
      </c>
    </row>
    <row r="340">
      <c r="A340" s="8" t="s">
        <v>44</v>
      </c>
      <c r="B340" s="9" t="s">
        <v>70</v>
      </c>
      <c r="C340" s="9" t="s">
        <v>71</v>
      </c>
      <c r="D340" s="10"/>
      <c r="E340" s="2" t="n">
        <f>1162</f>
        <v>1162.0</v>
      </c>
      <c r="F340" s="10"/>
      <c r="G340" s="2" t="n">
        <f>2273570200</f>
        <v>2.2735702E9</v>
      </c>
      <c r="H340" s="10"/>
      <c r="I340" s="2" t="n">
        <f>31</f>
        <v>31.0</v>
      </c>
      <c r="J340" s="10"/>
      <c r="K340" s="2" t="n">
        <f>3482</f>
        <v>3482.0</v>
      </c>
    </row>
    <row r="341">
      <c r="A341" s="8" t="s">
        <v>45</v>
      </c>
      <c r="B341" s="9" t="s">
        <v>70</v>
      </c>
      <c r="C341" s="9" t="s">
        <v>71</v>
      </c>
      <c r="D341" s="10"/>
      <c r="E341" s="2" t="n">
        <f>1119</f>
        <v>1119.0</v>
      </c>
      <c r="F341" s="10"/>
      <c r="G341" s="2" t="n">
        <f>2304937800</f>
        <v>2.3049378E9</v>
      </c>
      <c r="H341" s="10"/>
      <c r="I341" s="2" t="n">
        <f>49</f>
        <v>49.0</v>
      </c>
      <c r="J341" s="10"/>
      <c r="K341" s="2" t="n">
        <f>3324</f>
        <v>3324.0</v>
      </c>
    </row>
    <row r="342">
      <c r="A342" s="8" t="s">
        <v>46</v>
      </c>
      <c r="B342" s="9" t="s">
        <v>70</v>
      </c>
      <c r="C342" s="9" t="s">
        <v>71</v>
      </c>
      <c r="D342" s="10"/>
      <c r="E342" s="2" t="n">
        <f>844</f>
        <v>844.0</v>
      </c>
      <c r="F342" s="10"/>
      <c r="G342" s="2" t="n">
        <f>1795845800</f>
        <v>1.7958458E9</v>
      </c>
      <c r="H342" s="10"/>
      <c r="I342" s="2" t="n">
        <f>6</f>
        <v>6.0</v>
      </c>
      <c r="J342" s="10"/>
      <c r="K342" s="2" t="n">
        <f>3171</f>
        <v>3171.0</v>
      </c>
    </row>
    <row r="343">
      <c r="A343" s="8" t="s">
        <v>47</v>
      </c>
      <c r="B343" s="9" t="s">
        <v>70</v>
      </c>
      <c r="C343" s="9" t="s">
        <v>71</v>
      </c>
      <c r="D343" s="10"/>
      <c r="E343" s="2"/>
      <c r="F343" s="10"/>
      <c r="G343" s="2"/>
      <c r="H343" s="10"/>
      <c r="I343" s="2"/>
      <c r="J343" s="10"/>
      <c r="K343" s="2"/>
    </row>
    <row r="344">
      <c r="A344" s="8" t="s">
        <v>48</v>
      </c>
      <c r="B344" s="9" t="s">
        <v>70</v>
      </c>
      <c r="C344" s="9" t="s">
        <v>71</v>
      </c>
      <c r="D344" s="10"/>
      <c r="E344" s="2"/>
      <c r="F344" s="10"/>
      <c r="G344" s="2"/>
      <c r="H344" s="10"/>
      <c r="I344" s="2"/>
      <c r="J344" s="10"/>
      <c r="K344" s="2"/>
    </row>
    <row r="345">
      <c r="A345" s="8" t="s">
        <v>49</v>
      </c>
      <c r="B345" s="9" t="s">
        <v>70</v>
      </c>
      <c r="C345" s="9" t="s">
        <v>71</v>
      </c>
      <c r="D345" s="10"/>
      <c r="E345" s="2" t="n">
        <f>648</f>
        <v>648.0</v>
      </c>
      <c r="F345" s="10"/>
      <c r="G345" s="2" t="n">
        <f>1374973400</f>
        <v>1.3749734E9</v>
      </c>
      <c r="H345" s="10"/>
      <c r="I345" s="2" t="n">
        <f>6</f>
        <v>6.0</v>
      </c>
      <c r="J345" s="10"/>
      <c r="K345" s="2" t="n">
        <f>3157</f>
        <v>3157.0</v>
      </c>
    </row>
    <row r="346">
      <c r="A346" s="8" t="s">
        <v>50</v>
      </c>
      <c r="B346" s="9" t="s">
        <v>70</v>
      </c>
      <c r="C346" s="9" t="s">
        <v>71</v>
      </c>
      <c r="D346" s="10" t="s">
        <v>35</v>
      </c>
      <c r="E346" s="2" t="n">
        <f>257</f>
        <v>257.0</v>
      </c>
      <c r="F346" s="10" t="s">
        <v>35</v>
      </c>
      <c r="G346" s="2" t="n">
        <f>554939200</f>
        <v>5.549392E8</v>
      </c>
      <c r="H346" s="10" t="s">
        <v>35</v>
      </c>
      <c r="I346" s="2" t="n">
        <f>4</f>
        <v>4.0</v>
      </c>
      <c r="J346" s="10"/>
      <c r="K346" s="2" t="n">
        <f>3131</f>
        <v>3131.0</v>
      </c>
    </row>
    <row r="347">
      <c r="A347" s="8" t="s">
        <v>16</v>
      </c>
      <c r="B347" s="9" t="s">
        <v>72</v>
      </c>
      <c r="C347" s="9" t="s">
        <v>73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19</v>
      </c>
      <c r="B348" s="9" t="s">
        <v>72</v>
      </c>
      <c r="C348" s="9" t="s">
        <v>73</v>
      </c>
      <c r="D348" s="10" t="s">
        <v>35</v>
      </c>
      <c r="E348" s="2" t="str">
        <f>"－"</f>
        <v>－</v>
      </c>
      <c r="F348" s="10" t="s">
        <v>35</v>
      </c>
      <c r="G348" s="2" t="str">
        <f>"－"</f>
        <v>－</v>
      </c>
      <c r="H348" s="10" t="s">
        <v>61</v>
      </c>
      <c r="I348" s="2" t="str">
        <f>"－"</f>
        <v>－</v>
      </c>
      <c r="J348" s="10"/>
      <c r="K348" s="2" t="n">
        <f>5</f>
        <v>5.0</v>
      </c>
    </row>
    <row r="349">
      <c r="A349" s="8" t="s">
        <v>20</v>
      </c>
      <c r="B349" s="9" t="s">
        <v>72</v>
      </c>
      <c r="C349" s="9" t="s">
        <v>73</v>
      </c>
      <c r="D349" s="10"/>
      <c r="E349" s="2" t="str">
        <f>"－"</f>
        <v>－</v>
      </c>
      <c r="F349" s="10"/>
      <c r="G349" s="2" t="str">
        <f>"－"</f>
        <v>－</v>
      </c>
      <c r="H349" s="10"/>
      <c r="I349" s="2" t="str">
        <f>"－"</f>
        <v>－</v>
      </c>
      <c r="J349" s="10"/>
      <c r="K349" s="2" t="n">
        <f>5</f>
        <v>5.0</v>
      </c>
    </row>
    <row r="350">
      <c r="A350" s="8" t="s">
        <v>21</v>
      </c>
      <c r="B350" s="9" t="s">
        <v>72</v>
      </c>
      <c r="C350" s="9" t="s">
        <v>73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n">
        <f>5</f>
        <v>5.0</v>
      </c>
    </row>
    <row r="351">
      <c r="A351" s="8" t="s">
        <v>22</v>
      </c>
      <c r="B351" s="9" t="s">
        <v>72</v>
      </c>
      <c r="C351" s="9" t="s">
        <v>73</v>
      </c>
      <c r="D351" s="10"/>
      <c r="E351" s="2" t="n">
        <f>12</f>
        <v>12.0</v>
      </c>
      <c r="F351" s="10"/>
      <c r="G351" s="2" t="n">
        <f>13748800</f>
        <v>1.37488E7</v>
      </c>
      <c r="H351" s="10"/>
      <c r="I351" s="2" t="str">
        <f>"－"</f>
        <v>－</v>
      </c>
      <c r="J351" s="10"/>
      <c r="K351" s="2" t="n">
        <f>5</f>
        <v>5.0</v>
      </c>
    </row>
    <row r="352">
      <c r="A352" s="8" t="s">
        <v>23</v>
      </c>
      <c r="B352" s="9" t="s">
        <v>72</v>
      </c>
      <c r="C352" s="9" t="s">
        <v>73</v>
      </c>
      <c r="D352" s="10"/>
      <c r="E352" s="2" t="n">
        <f>3</f>
        <v>3.0</v>
      </c>
      <c r="F352" s="10"/>
      <c r="G352" s="2" t="n">
        <f>3384600</f>
        <v>3384600.0</v>
      </c>
      <c r="H352" s="10"/>
      <c r="I352" s="2" t="str">
        <f>"－"</f>
        <v>－</v>
      </c>
      <c r="J352" s="10"/>
      <c r="K352" s="2" t="n">
        <f>6</f>
        <v>6.0</v>
      </c>
    </row>
    <row r="353">
      <c r="A353" s="8" t="s">
        <v>24</v>
      </c>
      <c r="B353" s="9" t="s">
        <v>72</v>
      </c>
      <c r="C353" s="9" t="s">
        <v>73</v>
      </c>
      <c r="D353" s="10"/>
      <c r="E353" s="2"/>
      <c r="F353" s="10"/>
      <c r="G353" s="2"/>
      <c r="H353" s="10"/>
      <c r="I353" s="2"/>
      <c r="J353" s="10"/>
      <c r="K353" s="2"/>
    </row>
    <row r="354">
      <c r="A354" s="8" t="s">
        <v>25</v>
      </c>
      <c r="B354" s="9" t="s">
        <v>72</v>
      </c>
      <c r="C354" s="9" t="s">
        <v>73</v>
      </c>
      <c r="D354" s="10"/>
      <c r="E354" s="2"/>
      <c r="F354" s="10"/>
      <c r="G354" s="2"/>
      <c r="H354" s="10"/>
      <c r="I354" s="2"/>
      <c r="J354" s="10"/>
      <c r="K354" s="2"/>
    </row>
    <row r="355">
      <c r="A355" s="8" t="s">
        <v>26</v>
      </c>
      <c r="B355" s="9" t="s">
        <v>72</v>
      </c>
      <c r="C355" s="9" t="s">
        <v>73</v>
      </c>
      <c r="D355" s="10"/>
      <c r="E355" s="2" t="n">
        <f>30</f>
        <v>30.0</v>
      </c>
      <c r="F355" s="10"/>
      <c r="G355" s="2" t="n">
        <f>33050000</f>
        <v>3.305E7</v>
      </c>
      <c r="H355" s="10"/>
      <c r="I355" s="2" t="str">
        <f>"－"</f>
        <v>－</v>
      </c>
      <c r="J355" s="10"/>
      <c r="K355" s="2" t="n">
        <f>6</f>
        <v>6.0</v>
      </c>
    </row>
    <row r="356">
      <c r="A356" s="8" t="s">
        <v>27</v>
      </c>
      <c r="B356" s="9" t="s">
        <v>72</v>
      </c>
      <c r="C356" s="9" t="s">
        <v>73</v>
      </c>
      <c r="D356" s="10"/>
      <c r="E356" s="2" t="str">
        <f>"－"</f>
        <v>－</v>
      </c>
      <c r="F356" s="10"/>
      <c r="G356" s="2" t="str">
        <f>"－"</f>
        <v>－</v>
      </c>
      <c r="H356" s="10"/>
      <c r="I356" s="2" t="str">
        <f>"－"</f>
        <v>－</v>
      </c>
      <c r="J356" s="10"/>
      <c r="K356" s="2" t="n">
        <f>6</f>
        <v>6.0</v>
      </c>
    </row>
    <row r="357">
      <c r="A357" s="8" t="s">
        <v>29</v>
      </c>
      <c r="B357" s="9" t="s">
        <v>72</v>
      </c>
      <c r="C357" s="9" t="s">
        <v>73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n">
        <f>6</f>
        <v>6.0</v>
      </c>
    </row>
    <row r="358">
      <c r="A358" s="8" t="s">
        <v>30</v>
      </c>
      <c r="B358" s="9" t="s">
        <v>72</v>
      </c>
      <c r="C358" s="9" t="s">
        <v>73</v>
      </c>
      <c r="D358" s="10"/>
      <c r="E358" s="2" t="n">
        <f>15</f>
        <v>15.0</v>
      </c>
      <c r="F358" s="10"/>
      <c r="G358" s="2" t="n">
        <f>15497000</f>
        <v>1.5497E7</v>
      </c>
      <c r="H358" s="10"/>
      <c r="I358" s="2" t="str">
        <f>"－"</f>
        <v>－</v>
      </c>
      <c r="J358" s="10" t="s">
        <v>28</v>
      </c>
      <c r="K358" s="2" t="n">
        <f>16</f>
        <v>16.0</v>
      </c>
    </row>
    <row r="359">
      <c r="A359" s="8" t="s">
        <v>31</v>
      </c>
      <c r="B359" s="9" t="s">
        <v>72</v>
      </c>
      <c r="C359" s="9" t="s">
        <v>73</v>
      </c>
      <c r="D359" s="10"/>
      <c r="E359" s="2" t="n">
        <f>10</f>
        <v>10.0</v>
      </c>
      <c r="F359" s="10"/>
      <c r="G359" s="2" t="n">
        <f>9489500</f>
        <v>9489500.0</v>
      </c>
      <c r="H359" s="10"/>
      <c r="I359" s="2" t="str">
        <f>"－"</f>
        <v>－</v>
      </c>
      <c r="J359" s="10"/>
      <c r="K359" s="2" t="n">
        <f>15</f>
        <v>15.0</v>
      </c>
    </row>
    <row r="360">
      <c r="A360" s="8" t="s">
        <v>32</v>
      </c>
      <c r="B360" s="9" t="s">
        <v>72</v>
      </c>
      <c r="C360" s="9" t="s">
        <v>73</v>
      </c>
      <c r="D360" s="10"/>
      <c r="E360" s="2"/>
      <c r="F360" s="10"/>
      <c r="G360" s="2"/>
      <c r="H360" s="10"/>
      <c r="I360" s="2"/>
      <c r="J360" s="10"/>
      <c r="K360" s="2"/>
    </row>
    <row r="361">
      <c r="A361" s="8" t="s">
        <v>33</v>
      </c>
      <c r="B361" s="9" t="s">
        <v>72</v>
      </c>
      <c r="C361" s="9" t="s">
        <v>73</v>
      </c>
      <c r="D361" s="10"/>
      <c r="E361" s="2"/>
      <c r="F361" s="10"/>
      <c r="G361" s="2"/>
      <c r="H361" s="10"/>
      <c r="I361" s="2"/>
      <c r="J361" s="10"/>
      <c r="K361" s="2"/>
    </row>
    <row r="362">
      <c r="A362" s="8" t="s">
        <v>34</v>
      </c>
      <c r="B362" s="9" t="s">
        <v>72</v>
      </c>
      <c r="C362" s="9" t="s">
        <v>73</v>
      </c>
      <c r="D362" s="10"/>
      <c r="E362" s="2" t="n">
        <f>10</f>
        <v>10.0</v>
      </c>
      <c r="F362" s="10"/>
      <c r="G362" s="2" t="n">
        <f>9884500</f>
        <v>9884500.0</v>
      </c>
      <c r="H362" s="10"/>
      <c r="I362" s="2" t="str">
        <f>"－"</f>
        <v>－</v>
      </c>
      <c r="J362" s="10"/>
      <c r="K362" s="2" t="n">
        <f>5</f>
        <v>5.0</v>
      </c>
    </row>
    <row r="363">
      <c r="A363" s="8" t="s">
        <v>36</v>
      </c>
      <c r="B363" s="9" t="s">
        <v>72</v>
      </c>
      <c r="C363" s="9" t="s">
        <v>73</v>
      </c>
      <c r="D363" s="10"/>
      <c r="E363" s="2" t="n">
        <f>27</f>
        <v>27.0</v>
      </c>
      <c r="F363" s="10"/>
      <c r="G363" s="2" t="n">
        <f>25493400</f>
        <v>2.54934E7</v>
      </c>
      <c r="H363" s="10"/>
      <c r="I363" s="2" t="str">
        <f>"－"</f>
        <v>－</v>
      </c>
      <c r="J363" s="10"/>
      <c r="K363" s="2" t="n">
        <f>5</f>
        <v>5.0</v>
      </c>
    </row>
    <row r="364">
      <c r="A364" s="8" t="s">
        <v>37</v>
      </c>
      <c r="B364" s="9" t="s">
        <v>72</v>
      </c>
      <c r="C364" s="9" t="s">
        <v>73</v>
      </c>
      <c r="D364" s="10"/>
      <c r="E364" s="2" t="n">
        <f>5</f>
        <v>5.0</v>
      </c>
      <c r="F364" s="10"/>
      <c r="G364" s="2" t="n">
        <f>4561500</f>
        <v>4561500.0</v>
      </c>
      <c r="H364" s="10"/>
      <c r="I364" s="2" t="str">
        <f>"－"</f>
        <v>－</v>
      </c>
      <c r="J364" s="10"/>
      <c r="K364" s="2" t="n">
        <f>10</f>
        <v>10.0</v>
      </c>
    </row>
    <row r="365">
      <c r="A365" s="8" t="s">
        <v>38</v>
      </c>
      <c r="B365" s="9" t="s">
        <v>72</v>
      </c>
      <c r="C365" s="9" t="s">
        <v>73</v>
      </c>
      <c r="D365" s="10"/>
      <c r="E365" s="2" t="n">
        <f>20</f>
        <v>20.0</v>
      </c>
      <c r="F365" s="10"/>
      <c r="G365" s="2" t="n">
        <f>17083000</f>
        <v>1.7083E7</v>
      </c>
      <c r="H365" s="10"/>
      <c r="I365" s="2" t="str">
        <f>"－"</f>
        <v>－</v>
      </c>
      <c r="J365" s="10" t="s">
        <v>35</v>
      </c>
      <c r="K365" s="2" t="str">
        <f>"－"</f>
        <v>－</v>
      </c>
    </row>
    <row r="366">
      <c r="A366" s="8" t="s">
        <v>39</v>
      </c>
      <c r="B366" s="9" t="s">
        <v>72</v>
      </c>
      <c r="C366" s="9" t="s">
        <v>73</v>
      </c>
      <c r="D366" s="10"/>
      <c r="E366" s="2"/>
      <c r="F366" s="10"/>
      <c r="G366" s="2"/>
      <c r="H366" s="10"/>
      <c r="I366" s="2"/>
      <c r="J366" s="10"/>
      <c r="K366" s="2"/>
    </row>
    <row r="367">
      <c r="A367" s="8" t="s">
        <v>40</v>
      </c>
      <c r="B367" s="9" t="s">
        <v>72</v>
      </c>
      <c r="C367" s="9" t="s">
        <v>73</v>
      </c>
      <c r="D367" s="10"/>
      <c r="E367" s="2"/>
      <c r="F367" s="10"/>
      <c r="G367" s="2"/>
      <c r="H367" s="10"/>
      <c r="I367" s="2"/>
      <c r="J367" s="10"/>
      <c r="K367" s="2"/>
    </row>
    <row r="368">
      <c r="A368" s="8" t="s">
        <v>41</v>
      </c>
      <c r="B368" s="9" t="s">
        <v>72</v>
      </c>
      <c r="C368" s="9" t="s">
        <v>73</v>
      </c>
      <c r="D368" s="10"/>
      <c r="E368" s="2"/>
      <c r="F368" s="10"/>
      <c r="G368" s="2"/>
      <c r="H368" s="10"/>
      <c r="I368" s="2"/>
      <c r="J368" s="10"/>
      <c r="K368" s="2"/>
    </row>
    <row r="369">
      <c r="A369" s="8" t="s">
        <v>42</v>
      </c>
      <c r="B369" s="9" t="s">
        <v>72</v>
      </c>
      <c r="C369" s="9" t="s">
        <v>73</v>
      </c>
      <c r="D369" s="10"/>
      <c r="E369" s="2" t="n">
        <f>15</f>
        <v>15.0</v>
      </c>
      <c r="F369" s="10"/>
      <c r="G369" s="2" t="n">
        <f>13151000</f>
        <v>1.3151E7</v>
      </c>
      <c r="H369" s="10"/>
      <c r="I369" s="2" t="str">
        <f>"－"</f>
        <v>－</v>
      </c>
      <c r="J369" s="10"/>
      <c r="K369" s="2" t="n">
        <f>5</f>
        <v>5.0</v>
      </c>
    </row>
    <row r="370">
      <c r="A370" s="8" t="s">
        <v>43</v>
      </c>
      <c r="B370" s="9" t="s">
        <v>72</v>
      </c>
      <c r="C370" s="9" t="s">
        <v>73</v>
      </c>
      <c r="D370" s="10"/>
      <c r="E370" s="2" t="n">
        <f>40</f>
        <v>40.0</v>
      </c>
      <c r="F370" s="10"/>
      <c r="G370" s="2" t="n">
        <f>36608500</f>
        <v>3.66085E7</v>
      </c>
      <c r="H370" s="10"/>
      <c r="I370" s="2" t="str">
        <f>"－"</f>
        <v>－</v>
      </c>
      <c r="J370" s="10"/>
      <c r="K370" s="2" t="n">
        <f>5</f>
        <v>5.0</v>
      </c>
    </row>
    <row r="371">
      <c r="A371" s="8" t="s">
        <v>44</v>
      </c>
      <c r="B371" s="9" t="s">
        <v>72</v>
      </c>
      <c r="C371" s="9" t="s">
        <v>73</v>
      </c>
      <c r="D371" s="10" t="s">
        <v>28</v>
      </c>
      <c r="E371" s="2" t="n">
        <f>61</f>
        <v>61.0</v>
      </c>
      <c r="F371" s="10" t="s">
        <v>28</v>
      </c>
      <c r="G371" s="2" t="n">
        <f>57902200</f>
        <v>5.79022E7</v>
      </c>
      <c r="H371" s="10"/>
      <c r="I371" s="2" t="str">
        <f>"－"</f>
        <v>－</v>
      </c>
      <c r="J371" s="10"/>
      <c r="K371" s="2" t="n">
        <f>5</f>
        <v>5.0</v>
      </c>
    </row>
    <row r="372">
      <c r="A372" s="8" t="s">
        <v>45</v>
      </c>
      <c r="B372" s="9" t="s">
        <v>72</v>
      </c>
      <c r="C372" s="9" t="s">
        <v>73</v>
      </c>
      <c r="D372" s="10"/>
      <c r="E372" s="2" t="n">
        <f>16</f>
        <v>16.0</v>
      </c>
      <c r="F372" s="10"/>
      <c r="G372" s="2" t="n">
        <f>15278400</f>
        <v>1.52784E7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46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47</v>
      </c>
      <c r="B374" s="9" t="s">
        <v>72</v>
      </c>
      <c r="C374" s="9" t="s">
        <v>73</v>
      </c>
      <c r="D374" s="10"/>
      <c r="E374" s="2"/>
      <c r="F374" s="10"/>
      <c r="G374" s="2"/>
      <c r="H374" s="10"/>
      <c r="I374" s="2"/>
      <c r="J374" s="10"/>
      <c r="K374" s="2"/>
    </row>
    <row r="375">
      <c r="A375" s="8" t="s">
        <v>48</v>
      </c>
      <c r="B375" s="9" t="s">
        <v>72</v>
      </c>
      <c r="C375" s="9" t="s">
        <v>73</v>
      </c>
      <c r="D375" s="10"/>
      <c r="E375" s="2"/>
      <c r="F375" s="10"/>
      <c r="G375" s="2"/>
      <c r="H375" s="10"/>
      <c r="I375" s="2"/>
      <c r="J375" s="10"/>
      <c r="K375" s="2"/>
    </row>
    <row r="376">
      <c r="A376" s="8" t="s">
        <v>49</v>
      </c>
      <c r="B376" s="9" t="s">
        <v>72</v>
      </c>
      <c r="C376" s="9" t="s">
        <v>73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19</v>
      </c>
      <c r="B379" s="9" t="s">
        <v>74</v>
      </c>
      <c r="C379" s="9" t="s">
        <v>75</v>
      </c>
      <c r="D379" s="10" t="s">
        <v>61</v>
      </c>
      <c r="E379" s="2" t="str">
        <f>"－"</f>
        <v>－</v>
      </c>
      <c r="F379" s="10" t="s">
        <v>61</v>
      </c>
      <c r="G379" s="2" t="str">
        <f>"－"</f>
        <v>－</v>
      </c>
      <c r="H379" s="10" t="s">
        <v>61</v>
      </c>
      <c r="I379" s="2" t="str">
        <f>"－"</f>
        <v>－</v>
      </c>
      <c r="J379" s="10" t="s">
        <v>61</v>
      </c>
      <c r="K379" s="2" t="str">
        <f>"－"</f>
        <v>－</v>
      </c>
    </row>
    <row r="380">
      <c r="A380" s="8" t="s">
        <v>20</v>
      </c>
      <c r="B380" s="9" t="s">
        <v>74</v>
      </c>
      <c r="C380" s="9" t="s">
        <v>75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21</v>
      </c>
      <c r="B381" s="9" t="s">
        <v>74</v>
      </c>
      <c r="C381" s="9" t="s">
        <v>75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22</v>
      </c>
      <c r="B382" s="9" t="s">
        <v>74</v>
      </c>
      <c r="C382" s="9" t="s">
        <v>75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23</v>
      </c>
      <c r="B383" s="9" t="s">
        <v>74</v>
      </c>
      <c r="C383" s="9" t="s">
        <v>75</v>
      </c>
      <c r="D383" s="10"/>
      <c r="E383" s="2" t="str">
        <f>"－"</f>
        <v>－</v>
      </c>
      <c r="F383" s="10"/>
      <c r="G383" s="2" t="str">
        <f>"－"</f>
        <v>－</v>
      </c>
      <c r="H383" s="10"/>
      <c r="I383" s="2" t="str">
        <f>"－"</f>
        <v>－</v>
      </c>
      <c r="J383" s="10"/>
      <c r="K383" s="2" t="str">
        <f>"－"</f>
        <v>－</v>
      </c>
    </row>
    <row r="384">
      <c r="A384" s="8" t="s">
        <v>24</v>
      </c>
      <c r="B384" s="9" t="s">
        <v>74</v>
      </c>
      <c r="C384" s="9" t="s">
        <v>75</v>
      </c>
      <c r="D384" s="10"/>
      <c r="E384" s="2"/>
      <c r="F384" s="10"/>
      <c r="G384" s="2"/>
      <c r="H384" s="10"/>
      <c r="I384" s="2"/>
      <c r="J384" s="10"/>
      <c r="K384" s="2"/>
    </row>
    <row r="385">
      <c r="A385" s="8" t="s">
        <v>25</v>
      </c>
      <c r="B385" s="9" t="s">
        <v>74</v>
      </c>
      <c r="C385" s="9" t="s">
        <v>75</v>
      </c>
      <c r="D385" s="10"/>
      <c r="E385" s="2"/>
      <c r="F385" s="10"/>
      <c r="G385" s="2"/>
      <c r="H385" s="10"/>
      <c r="I385" s="2"/>
      <c r="J385" s="10"/>
      <c r="K385" s="2"/>
    </row>
    <row r="386">
      <c r="A386" s="8" t="s">
        <v>26</v>
      </c>
      <c r="B386" s="9" t="s">
        <v>74</v>
      </c>
      <c r="C386" s="9" t="s">
        <v>75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27</v>
      </c>
      <c r="B387" s="9" t="s">
        <v>74</v>
      </c>
      <c r="C387" s="9" t="s">
        <v>75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29</v>
      </c>
      <c r="B388" s="9" t="s">
        <v>74</v>
      </c>
      <c r="C388" s="9" t="s">
        <v>75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30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31</v>
      </c>
      <c r="B390" s="9" t="s">
        <v>74</v>
      </c>
      <c r="C390" s="9" t="s">
        <v>75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str">
        <f>"－"</f>
        <v>－</v>
      </c>
    </row>
    <row r="391">
      <c r="A391" s="8" t="s">
        <v>32</v>
      </c>
      <c r="B391" s="9" t="s">
        <v>74</v>
      </c>
      <c r="C391" s="9" t="s">
        <v>75</v>
      </c>
      <c r="D391" s="10"/>
      <c r="E391" s="2"/>
      <c r="F391" s="10"/>
      <c r="G391" s="2"/>
      <c r="H391" s="10"/>
      <c r="I391" s="2"/>
      <c r="J391" s="10"/>
      <c r="K391" s="2"/>
    </row>
    <row r="392">
      <c r="A392" s="8" t="s">
        <v>33</v>
      </c>
      <c r="B392" s="9" t="s">
        <v>74</v>
      </c>
      <c r="C392" s="9" t="s">
        <v>75</v>
      </c>
      <c r="D392" s="10"/>
      <c r="E392" s="2"/>
      <c r="F392" s="10"/>
      <c r="G392" s="2"/>
      <c r="H392" s="10"/>
      <c r="I392" s="2"/>
      <c r="J392" s="10"/>
      <c r="K392" s="2"/>
    </row>
    <row r="393">
      <c r="A393" s="8" t="s">
        <v>34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36</v>
      </c>
      <c r="B394" s="9" t="s">
        <v>74</v>
      </c>
      <c r="C394" s="9" t="s">
        <v>75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str">
        <f>"－"</f>
        <v>－</v>
      </c>
    </row>
    <row r="395">
      <c r="A395" s="8" t="s">
        <v>37</v>
      </c>
      <c r="B395" s="9" t="s">
        <v>74</v>
      </c>
      <c r="C395" s="9" t="s">
        <v>75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38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39</v>
      </c>
      <c r="B397" s="9" t="s">
        <v>74</v>
      </c>
      <c r="C397" s="9" t="s">
        <v>75</v>
      </c>
      <c r="D397" s="10"/>
      <c r="E397" s="2"/>
      <c r="F397" s="10"/>
      <c r="G397" s="2"/>
      <c r="H397" s="10"/>
      <c r="I397" s="2"/>
      <c r="J397" s="10"/>
      <c r="K397" s="2"/>
    </row>
    <row r="398">
      <c r="A398" s="8" t="s">
        <v>40</v>
      </c>
      <c r="B398" s="9" t="s">
        <v>74</v>
      </c>
      <c r="C398" s="9" t="s">
        <v>75</v>
      </c>
      <c r="D398" s="10"/>
      <c r="E398" s="2"/>
      <c r="F398" s="10"/>
      <c r="G398" s="2"/>
      <c r="H398" s="10"/>
      <c r="I398" s="2"/>
      <c r="J398" s="10"/>
      <c r="K398" s="2"/>
    </row>
    <row r="399">
      <c r="A399" s="8" t="s">
        <v>41</v>
      </c>
      <c r="B399" s="9" t="s">
        <v>74</v>
      </c>
      <c r="C399" s="9" t="s">
        <v>75</v>
      </c>
      <c r="D399" s="10"/>
      <c r="E399" s="2"/>
      <c r="F399" s="10"/>
      <c r="G399" s="2"/>
      <c r="H399" s="10"/>
      <c r="I399" s="2"/>
      <c r="J399" s="10"/>
      <c r="K399" s="2"/>
    </row>
    <row r="400">
      <c r="A400" s="8" t="s">
        <v>42</v>
      </c>
      <c r="B400" s="9" t="s">
        <v>74</v>
      </c>
      <c r="C400" s="9" t="s">
        <v>75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str">
        <f>"－"</f>
        <v>－</v>
      </c>
    </row>
    <row r="401">
      <c r="A401" s="8" t="s">
        <v>43</v>
      </c>
      <c r="B401" s="9" t="s">
        <v>74</v>
      </c>
      <c r="C401" s="9" t="s">
        <v>75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44</v>
      </c>
      <c r="B402" s="9" t="s">
        <v>74</v>
      </c>
      <c r="C402" s="9" t="s">
        <v>75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str">
        <f>"－"</f>
        <v>－</v>
      </c>
    </row>
    <row r="403">
      <c r="A403" s="8" t="s">
        <v>45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str">
        <f>"－"</f>
        <v>－</v>
      </c>
    </row>
    <row r="405">
      <c r="A405" s="8" t="s">
        <v>47</v>
      </c>
      <c r="B405" s="9" t="s">
        <v>74</v>
      </c>
      <c r="C405" s="9" t="s">
        <v>75</v>
      </c>
      <c r="D405" s="10"/>
      <c r="E405" s="2"/>
      <c r="F405" s="10"/>
      <c r="G405" s="2"/>
      <c r="H405" s="10"/>
      <c r="I405" s="2"/>
      <c r="J405" s="10"/>
      <c r="K405" s="2"/>
    </row>
    <row r="406">
      <c r="A406" s="8" t="s">
        <v>48</v>
      </c>
      <c r="B406" s="9" t="s">
        <v>74</v>
      </c>
      <c r="C406" s="9" t="s">
        <v>75</v>
      </c>
      <c r="D406" s="10"/>
      <c r="E406" s="2"/>
      <c r="F406" s="10"/>
      <c r="G406" s="2"/>
      <c r="H406" s="10"/>
      <c r="I406" s="2"/>
      <c r="J406" s="10"/>
      <c r="K406" s="2"/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str">
        <f>"－"</f>
        <v>－</v>
      </c>
    </row>
    <row r="409">
      <c r="A409" s="8" t="s">
        <v>16</v>
      </c>
      <c r="B409" s="9" t="s">
        <v>76</v>
      </c>
      <c r="C409" s="9" t="s">
        <v>77</v>
      </c>
      <c r="D409" s="10"/>
      <c r="E409" s="2"/>
      <c r="F409" s="10"/>
      <c r="G409" s="2"/>
      <c r="H409" s="10"/>
      <c r="I409" s="2"/>
      <c r="J409" s="10"/>
      <c r="K409" s="2"/>
    </row>
    <row r="410">
      <c r="A410" s="8" t="s">
        <v>19</v>
      </c>
      <c r="B410" s="9" t="s">
        <v>76</v>
      </c>
      <c r="C410" s="9" t="s">
        <v>77</v>
      </c>
      <c r="D410" s="10" t="s">
        <v>35</v>
      </c>
      <c r="E410" s="2" t="str">
        <f>"－"</f>
        <v>－</v>
      </c>
      <c r="F410" s="10" t="s">
        <v>35</v>
      </c>
      <c r="G410" s="2" t="str">
        <f>"－"</f>
        <v>－</v>
      </c>
      <c r="H410" s="10" t="s">
        <v>61</v>
      </c>
      <c r="I410" s="2" t="str">
        <f>"－"</f>
        <v>－</v>
      </c>
      <c r="J410" s="10" t="s">
        <v>35</v>
      </c>
      <c r="K410" s="2" t="n">
        <f>27757</f>
        <v>27757.0</v>
      </c>
    </row>
    <row r="411">
      <c r="A411" s="8" t="s">
        <v>20</v>
      </c>
      <c r="B411" s="9" t="s">
        <v>76</v>
      </c>
      <c r="C411" s="9" t="s">
        <v>77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n">
        <f>27757</f>
        <v>27757.0</v>
      </c>
    </row>
    <row r="412">
      <c r="A412" s="8" t="s">
        <v>21</v>
      </c>
      <c r="B412" s="9" t="s">
        <v>76</v>
      </c>
      <c r="C412" s="9" t="s">
        <v>77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n">
        <f>27757</f>
        <v>27757.0</v>
      </c>
    </row>
    <row r="413">
      <c r="A413" s="8" t="s">
        <v>22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27757</f>
        <v>27757.0</v>
      </c>
    </row>
    <row r="414">
      <c r="A414" s="8" t="s">
        <v>23</v>
      </c>
      <c r="B414" s="9" t="s">
        <v>76</v>
      </c>
      <c r="C414" s="9" t="s">
        <v>77</v>
      </c>
      <c r="D414" s="10" t="s">
        <v>28</v>
      </c>
      <c r="E414" s="2" t="n">
        <f>8680</f>
        <v>8680.0</v>
      </c>
      <c r="F414" s="10" t="s">
        <v>28</v>
      </c>
      <c r="G414" s="2" t="n">
        <f>3966760000</f>
        <v>3.96676E9</v>
      </c>
      <c r="H414" s="10"/>
      <c r="I414" s="2" t="str">
        <f>"－"</f>
        <v>－</v>
      </c>
      <c r="J414" s="10" t="s">
        <v>28</v>
      </c>
      <c r="K414" s="2" t="n">
        <f>36437</f>
        <v>36437.0</v>
      </c>
    </row>
    <row r="415">
      <c r="A415" s="8" t="s">
        <v>24</v>
      </c>
      <c r="B415" s="9" t="s">
        <v>76</v>
      </c>
      <c r="C415" s="9" t="s">
        <v>77</v>
      </c>
      <c r="D415" s="10"/>
      <c r="E415" s="2"/>
      <c r="F415" s="10"/>
      <c r="G415" s="2"/>
      <c r="H415" s="10"/>
      <c r="I415" s="2"/>
      <c r="J415" s="10"/>
      <c r="K415" s="2"/>
    </row>
    <row r="416">
      <c r="A416" s="8" t="s">
        <v>25</v>
      </c>
      <c r="B416" s="9" t="s">
        <v>76</v>
      </c>
      <c r="C416" s="9" t="s">
        <v>77</v>
      </c>
      <c r="D416" s="10"/>
      <c r="E416" s="2"/>
      <c r="F416" s="10"/>
      <c r="G416" s="2"/>
      <c r="H416" s="10"/>
      <c r="I416" s="2"/>
      <c r="J416" s="10"/>
      <c r="K416" s="2"/>
    </row>
    <row r="417">
      <c r="A417" s="8" t="s">
        <v>26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36437</f>
        <v>36437.0</v>
      </c>
    </row>
    <row r="418">
      <c r="A418" s="8" t="s">
        <v>27</v>
      </c>
      <c r="B418" s="9" t="s">
        <v>76</v>
      </c>
      <c r="C418" s="9" t="s">
        <v>77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36437</f>
        <v>36437.0</v>
      </c>
    </row>
    <row r="419">
      <c r="A419" s="8" t="s">
        <v>29</v>
      </c>
      <c r="B419" s="9" t="s">
        <v>76</v>
      </c>
      <c r="C419" s="9" t="s">
        <v>77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36437</f>
        <v>36437.0</v>
      </c>
    </row>
    <row r="420">
      <c r="A420" s="8" t="s">
        <v>30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36437</f>
        <v>36437.0</v>
      </c>
    </row>
    <row r="421">
      <c r="A421" s="8" t="s">
        <v>31</v>
      </c>
      <c r="B421" s="9" t="s">
        <v>76</v>
      </c>
      <c r="C421" s="9" t="s">
        <v>77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n">
        <f>36437</f>
        <v>36437.0</v>
      </c>
    </row>
    <row r="422">
      <c r="A422" s="8" t="s">
        <v>32</v>
      </c>
      <c r="B422" s="9" t="s">
        <v>76</v>
      </c>
      <c r="C422" s="9" t="s">
        <v>77</v>
      </c>
      <c r="D422" s="10"/>
      <c r="E422" s="2"/>
      <c r="F422" s="10"/>
      <c r="G422" s="2"/>
      <c r="H422" s="10"/>
      <c r="I422" s="2"/>
      <c r="J422" s="10"/>
      <c r="K422" s="2"/>
    </row>
    <row r="423">
      <c r="A423" s="8" t="s">
        <v>33</v>
      </c>
      <c r="B423" s="9" t="s">
        <v>76</v>
      </c>
      <c r="C423" s="9" t="s">
        <v>77</v>
      </c>
      <c r="D423" s="10"/>
      <c r="E423" s="2"/>
      <c r="F423" s="10"/>
      <c r="G423" s="2"/>
      <c r="H423" s="10"/>
      <c r="I423" s="2"/>
      <c r="J423" s="10"/>
      <c r="K423" s="2"/>
    </row>
    <row r="424">
      <c r="A424" s="8" t="s">
        <v>34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36437</f>
        <v>36437.0</v>
      </c>
    </row>
    <row r="425">
      <c r="A425" s="8" t="s">
        <v>36</v>
      </c>
      <c r="B425" s="9" t="s">
        <v>76</v>
      </c>
      <c r="C425" s="9" t="s">
        <v>77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36437</f>
        <v>36437.0</v>
      </c>
    </row>
    <row r="426">
      <c r="A426" s="8" t="s">
        <v>37</v>
      </c>
      <c r="B426" s="9" t="s">
        <v>76</v>
      </c>
      <c r="C426" s="9" t="s">
        <v>77</v>
      </c>
      <c r="D426" s="10"/>
      <c r="E426" s="2" t="str">
        <f>"－"</f>
        <v>－</v>
      </c>
      <c r="F426" s="10"/>
      <c r="G426" s="2" t="str">
        <f>"－"</f>
        <v>－</v>
      </c>
      <c r="H426" s="10"/>
      <c r="I426" s="2" t="str">
        <f>"－"</f>
        <v>－</v>
      </c>
      <c r="J426" s="10"/>
      <c r="K426" s="2" t="n">
        <f>36437</f>
        <v>36437.0</v>
      </c>
    </row>
    <row r="427">
      <c r="A427" s="8" t="s">
        <v>38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n">
        <f>36437</f>
        <v>36437.0</v>
      </c>
    </row>
    <row r="428">
      <c r="A428" s="8" t="s">
        <v>39</v>
      </c>
      <c r="B428" s="9" t="s">
        <v>76</v>
      </c>
      <c r="C428" s="9" t="s">
        <v>77</v>
      </c>
      <c r="D428" s="10"/>
      <c r="E428" s="2"/>
      <c r="F428" s="10"/>
      <c r="G428" s="2"/>
      <c r="H428" s="10"/>
      <c r="I428" s="2"/>
      <c r="J428" s="10"/>
      <c r="K428" s="2"/>
    </row>
    <row r="429">
      <c r="A429" s="8" t="s">
        <v>40</v>
      </c>
      <c r="B429" s="9" t="s">
        <v>76</v>
      </c>
      <c r="C429" s="9" t="s">
        <v>77</v>
      </c>
      <c r="D429" s="10"/>
      <c r="E429" s="2"/>
      <c r="F429" s="10"/>
      <c r="G429" s="2"/>
      <c r="H429" s="10"/>
      <c r="I429" s="2"/>
      <c r="J429" s="10"/>
      <c r="K429" s="2"/>
    </row>
    <row r="430">
      <c r="A430" s="8" t="s">
        <v>41</v>
      </c>
      <c r="B430" s="9" t="s">
        <v>76</v>
      </c>
      <c r="C430" s="9" t="s">
        <v>77</v>
      </c>
      <c r="D430" s="10"/>
      <c r="E430" s="2"/>
      <c r="F430" s="10"/>
      <c r="G430" s="2"/>
      <c r="H430" s="10"/>
      <c r="I430" s="2"/>
      <c r="J430" s="10"/>
      <c r="K430" s="2"/>
    </row>
    <row r="431">
      <c r="A431" s="8" t="s">
        <v>42</v>
      </c>
      <c r="B431" s="9" t="s">
        <v>76</v>
      </c>
      <c r="C431" s="9" t="s">
        <v>77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n">
        <f>36437</f>
        <v>36437.0</v>
      </c>
    </row>
    <row r="432">
      <c r="A432" s="8" t="s">
        <v>43</v>
      </c>
      <c r="B432" s="9" t="s">
        <v>76</v>
      </c>
      <c r="C432" s="9" t="s">
        <v>77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n">
        <f>36437</f>
        <v>36437.0</v>
      </c>
    </row>
    <row r="433">
      <c r="A433" s="8" t="s">
        <v>44</v>
      </c>
      <c r="B433" s="9" t="s">
        <v>76</v>
      </c>
      <c r="C433" s="9" t="s">
        <v>77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n">
        <f>36437</f>
        <v>36437.0</v>
      </c>
    </row>
    <row r="434">
      <c r="A434" s="8" t="s">
        <v>45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n">
        <f>36437</f>
        <v>36437.0</v>
      </c>
    </row>
    <row r="435">
      <c r="A435" s="8" t="s">
        <v>46</v>
      </c>
      <c r="B435" s="9" t="s">
        <v>76</v>
      </c>
      <c r="C435" s="9" t="s">
        <v>77</v>
      </c>
      <c r="D435" s="10"/>
      <c r="E435" s="2" t="n">
        <f>620</f>
        <v>620.0</v>
      </c>
      <c r="F435" s="10"/>
      <c r="G435" s="2" t="n">
        <f>179800000</f>
        <v>1.798E8</v>
      </c>
      <c r="H435" s="10"/>
      <c r="I435" s="2" t="str">
        <f>"－"</f>
        <v>－</v>
      </c>
      <c r="J435" s="10"/>
      <c r="K435" s="2" t="n">
        <f>35817</f>
        <v>35817.0</v>
      </c>
    </row>
    <row r="436">
      <c r="A436" s="8" t="s">
        <v>47</v>
      </c>
      <c r="B436" s="9" t="s">
        <v>76</v>
      </c>
      <c r="C436" s="9" t="s">
        <v>77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48</v>
      </c>
      <c r="B437" s="9" t="s">
        <v>76</v>
      </c>
      <c r="C437" s="9" t="s">
        <v>77</v>
      </c>
      <c r="D437" s="10"/>
      <c r="E437" s="2"/>
      <c r="F437" s="10"/>
      <c r="G437" s="2"/>
      <c r="H437" s="10"/>
      <c r="I437" s="2"/>
      <c r="J437" s="10"/>
      <c r="K437" s="2"/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35817</f>
        <v>35817.0</v>
      </c>
    </row>
    <row r="439">
      <c r="A439" s="8" t="s">
        <v>50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n">
        <f>35817</f>
        <v>35817.0</v>
      </c>
    </row>
    <row r="440">
      <c r="A440" s="8" t="s">
        <v>16</v>
      </c>
      <c r="B440" s="9" t="s">
        <v>78</v>
      </c>
      <c r="C440" s="9" t="s">
        <v>79</v>
      </c>
      <c r="D440" s="10"/>
      <c r="E440" s="2"/>
      <c r="F440" s="10"/>
      <c r="G440" s="2"/>
      <c r="H440" s="10"/>
      <c r="I440" s="2"/>
      <c r="J440" s="10"/>
      <c r="K440" s="2"/>
    </row>
    <row r="441">
      <c r="A441" s="8" t="s">
        <v>19</v>
      </c>
      <c r="B441" s="9" t="s">
        <v>78</v>
      </c>
      <c r="C441" s="9" t="s">
        <v>79</v>
      </c>
      <c r="D441" s="10" t="s">
        <v>61</v>
      </c>
      <c r="E441" s="2" t="str">
        <f>"－"</f>
        <v>－</v>
      </c>
      <c r="F441" s="10" t="s">
        <v>61</v>
      </c>
      <c r="G441" s="2" t="str">
        <f>"－"</f>
        <v>－</v>
      </c>
      <c r="H441" s="10" t="s">
        <v>61</v>
      </c>
      <c r="I441" s="2" t="str">
        <f>"－"</f>
        <v>－</v>
      </c>
      <c r="J441" s="10" t="s">
        <v>61</v>
      </c>
      <c r="K441" s="2" t="str">
        <f>"－"</f>
        <v>－</v>
      </c>
    </row>
    <row r="442">
      <c r="A442" s="8" t="s">
        <v>20</v>
      </c>
      <c r="B442" s="9" t="s">
        <v>78</v>
      </c>
      <c r="C442" s="9" t="s">
        <v>79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21</v>
      </c>
      <c r="B443" s="9" t="s">
        <v>78</v>
      </c>
      <c r="C443" s="9" t="s">
        <v>79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22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23</v>
      </c>
      <c r="B445" s="9" t="s">
        <v>78</v>
      </c>
      <c r="C445" s="9" t="s">
        <v>79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24</v>
      </c>
      <c r="B446" s="9" t="s">
        <v>78</v>
      </c>
      <c r="C446" s="9" t="s">
        <v>79</v>
      </c>
      <c r="D446" s="10"/>
      <c r="E446" s="2"/>
      <c r="F446" s="10"/>
      <c r="G446" s="2"/>
      <c r="H446" s="10"/>
      <c r="I446" s="2"/>
      <c r="J446" s="10"/>
      <c r="K446" s="2"/>
    </row>
    <row r="447">
      <c r="A447" s="8" t="s">
        <v>25</v>
      </c>
      <c r="B447" s="9" t="s">
        <v>78</v>
      </c>
      <c r="C447" s="9" t="s">
        <v>79</v>
      </c>
      <c r="D447" s="10"/>
      <c r="E447" s="2"/>
      <c r="F447" s="10"/>
      <c r="G447" s="2"/>
      <c r="H447" s="10"/>
      <c r="I447" s="2"/>
      <c r="J447" s="10"/>
      <c r="K447" s="2"/>
    </row>
    <row r="448">
      <c r="A448" s="8" t="s">
        <v>26</v>
      </c>
      <c r="B448" s="9" t="s">
        <v>78</v>
      </c>
      <c r="C448" s="9" t="s">
        <v>79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27</v>
      </c>
      <c r="B449" s="9" t="s">
        <v>78</v>
      </c>
      <c r="C449" s="9" t="s">
        <v>79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29</v>
      </c>
      <c r="B450" s="9" t="s">
        <v>78</v>
      </c>
      <c r="C450" s="9" t="s">
        <v>79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30</v>
      </c>
      <c r="B451" s="9" t="s">
        <v>78</v>
      </c>
      <c r="C451" s="9" t="s">
        <v>79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31</v>
      </c>
      <c r="B452" s="9" t="s">
        <v>78</v>
      </c>
      <c r="C452" s="9" t="s">
        <v>79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32</v>
      </c>
      <c r="B453" s="9" t="s">
        <v>78</v>
      </c>
      <c r="C453" s="9" t="s">
        <v>79</v>
      </c>
      <c r="D453" s="10"/>
      <c r="E453" s="2"/>
      <c r="F453" s="10"/>
      <c r="G453" s="2"/>
      <c r="H453" s="10"/>
      <c r="I453" s="2"/>
      <c r="J453" s="10"/>
      <c r="K453" s="2"/>
    </row>
    <row r="454">
      <c r="A454" s="8" t="s">
        <v>33</v>
      </c>
      <c r="B454" s="9" t="s">
        <v>78</v>
      </c>
      <c r="C454" s="9" t="s">
        <v>79</v>
      </c>
      <c r="D454" s="10"/>
      <c r="E454" s="2"/>
      <c r="F454" s="10"/>
      <c r="G454" s="2"/>
      <c r="H454" s="10"/>
      <c r="I454" s="2"/>
      <c r="J454" s="10"/>
      <c r="K454" s="2"/>
    </row>
    <row r="455">
      <c r="A455" s="8" t="s">
        <v>34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36</v>
      </c>
      <c r="B456" s="9" t="s">
        <v>78</v>
      </c>
      <c r="C456" s="9" t="s">
        <v>79</v>
      </c>
      <c r="D456" s="10"/>
      <c r="E456" s="2" t="str">
        <f>"－"</f>
        <v>－</v>
      </c>
      <c r="F456" s="10"/>
      <c r="G456" s="2" t="str">
        <f>"－"</f>
        <v>－</v>
      </c>
      <c r="H456" s="10"/>
      <c r="I456" s="2" t="str">
        <f>"－"</f>
        <v>－</v>
      </c>
      <c r="J456" s="10"/>
      <c r="K456" s="2" t="str">
        <f>"－"</f>
        <v>－</v>
      </c>
    </row>
    <row r="457">
      <c r="A457" s="8" t="s">
        <v>37</v>
      </c>
      <c r="B457" s="9" t="s">
        <v>78</v>
      </c>
      <c r="C457" s="9" t="s">
        <v>79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38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39</v>
      </c>
      <c r="B459" s="9" t="s">
        <v>78</v>
      </c>
      <c r="C459" s="9" t="s">
        <v>79</v>
      </c>
      <c r="D459" s="10"/>
      <c r="E459" s="2"/>
      <c r="F459" s="10"/>
      <c r="G459" s="2"/>
      <c r="H459" s="10"/>
      <c r="I459" s="2"/>
      <c r="J459" s="10"/>
      <c r="K459" s="2"/>
    </row>
    <row r="460">
      <c r="A460" s="8" t="s">
        <v>40</v>
      </c>
      <c r="B460" s="9" t="s">
        <v>78</v>
      </c>
      <c r="C460" s="9" t="s">
        <v>79</v>
      </c>
      <c r="D460" s="10"/>
      <c r="E460" s="2"/>
      <c r="F460" s="10"/>
      <c r="G460" s="2"/>
      <c r="H460" s="10"/>
      <c r="I460" s="2"/>
      <c r="J460" s="10"/>
      <c r="K460" s="2"/>
    </row>
    <row r="461">
      <c r="A461" s="8" t="s">
        <v>41</v>
      </c>
      <c r="B461" s="9" t="s">
        <v>78</v>
      </c>
      <c r="C461" s="9" t="s">
        <v>79</v>
      </c>
      <c r="D461" s="10"/>
      <c r="E461" s="2"/>
      <c r="F461" s="10"/>
      <c r="G461" s="2"/>
      <c r="H461" s="10"/>
      <c r="I461" s="2"/>
      <c r="J461" s="10"/>
      <c r="K461" s="2"/>
    </row>
    <row r="462">
      <c r="A462" s="8" t="s">
        <v>42</v>
      </c>
      <c r="B462" s="9" t="s">
        <v>78</v>
      </c>
      <c r="C462" s="9" t="s">
        <v>79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43</v>
      </c>
      <c r="B463" s="9" t="s">
        <v>78</v>
      </c>
      <c r="C463" s="9" t="s">
        <v>79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44</v>
      </c>
      <c r="B464" s="9" t="s">
        <v>78</v>
      </c>
      <c r="C464" s="9" t="s">
        <v>79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45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2"/>
      <c r="F467" s="10"/>
      <c r="G467" s="2"/>
      <c r="H467" s="10"/>
      <c r="I467" s="2"/>
      <c r="J467" s="10"/>
      <c r="K467" s="2"/>
    </row>
    <row r="468">
      <c r="A468" s="8" t="s">
        <v>48</v>
      </c>
      <c r="B468" s="9" t="s">
        <v>78</v>
      </c>
      <c r="C468" s="9" t="s">
        <v>79</v>
      </c>
      <c r="D468" s="10"/>
      <c r="E468" s="2"/>
      <c r="F468" s="10"/>
      <c r="G468" s="2"/>
      <c r="H468" s="10"/>
      <c r="I468" s="2"/>
      <c r="J468" s="10"/>
      <c r="K468" s="2"/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16</v>
      </c>
      <c r="B471" s="9" t="s">
        <v>80</v>
      </c>
      <c r="C471" s="9" t="s">
        <v>81</v>
      </c>
      <c r="D471" s="10"/>
      <c r="E471" s="2"/>
      <c r="F471" s="10"/>
      <c r="G471" s="2"/>
      <c r="H471" s="10"/>
      <c r="I471" s="2"/>
      <c r="J471" s="10"/>
      <c r="K471" s="2"/>
    </row>
    <row r="472">
      <c r="A472" s="8" t="s">
        <v>19</v>
      </c>
      <c r="B472" s="9" t="s">
        <v>80</v>
      </c>
      <c r="C472" s="9" t="s">
        <v>81</v>
      </c>
      <c r="D472" s="10" t="s">
        <v>61</v>
      </c>
      <c r="E472" s="2" t="str">
        <f>"－"</f>
        <v>－</v>
      </c>
      <c r="F472" s="10" t="s">
        <v>61</v>
      </c>
      <c r="G472" s="2" t="str">
        <f>"－"</f>
        <v>－</v>
      </c>
      <c r="H472" s="10" t="s">
        <v>61</v>
      </c>
      <c r="I472" s="2" t="str">
        <f>"－"</f>
        <v>－</v>
      </c>
      <c r="J472" s="10" t="s">
        <v>61</v>
      </c>
      <c r="K472" s="2" t="str">
        <f>"－"</f>
        <v>－</v>
      </c>
    </row>
    <row r="473">
      <c r="A473" s="8" t="s">
        <v>20</v>
      </c>
      <c r="B473" s="9" t="s">
        <v>80</v>
      </c>
      <c r="C473" s="9" t="s">
        <v>81</v>
      </c>
      <c r="D473" s="10"/>
      <c r="E473" s="2" t="str">
        <f>"－"</f>
        <v>－</v>
      </c>
      <c r="F473" s="10"/>
      <c r="G473" s="2" t="str">
        <f>"－"</f>
        <v>－</v>
      </c>
      <c r="H473" s="10"/>
      <c r="I473" s="2" t="str">
        <f>"－"</f>
        <v>－</v>
      </c>
      <c r="J473" s="10"/>
      <c r="K473" s="2" t="str">
        <f>"－"</f>
        <v>－</v>
      </c>
    </row>
    <row r="474">
      <c r="A474" s="8" t="s">
        <v>21</v>
      </c>
      <c r="B474" s="9" t="s">
        <v>80</v>
      </c>
      <c r="C474" s="9" t="s">
        <v>81</v>
      </c>
      <c r="D474" s="10"/>
      <c r="E474" s="2" t="str">
        <f>"－"</f>
        <v>－</v>
      </c>
      <c r="F474" s="10"/>
      <c r="G474" s="2" t="str">
        <f>"－"</f>
        <v>－</v>
      </c>
      <c r="H474" s="10"/>
      <c r="I474" s="2" t="str">
        <f>"－"</f>
        <v>－</v>
      </c>
      <c r="J474" s="10"/>
      <c r="K474" s="2" t="str">
        <f>"－"</f>
        <v>－</v>
      </c>
    </row>
    <row r="475">
      <c r="A475" s="8" t="s">
        <v>22</v>
      </c>
      <c r="B475" s="9" t="s">
        <v>80</v>
      </c>
      <c r="C475" s="9" t="s">
        <v>81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23</v>
      </c>
      <c r="B476" s="9" t="s">
        <v>80</v>
      </c>
      <c r="C476" s="9" t="s">
        <v>81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24</v>
      </c>
      <c r="B477" s="9" t="s">
        <v>80</v>
      </c>
      <c r="C477" s="9" t="s">
        <v>81</v>
      </c>
      <c r="D477" s="10"/>
      <c r="E477" s="2"/>
      <c r="F477" s="10"/>
      <c r="G477" s="2"/>
      <c r="H477" s="10"/>
      <c r="I477" s="2"/>
      <c r="J477" s="10"/>
      <c r="K477" s="2"/>
    </row>
    <row r="478">
      <c r="A478" s="8" t="s">
        <v>25</v>
      </c>
      <c r="B478" s="9" t="s">
        <v>80</v>
      </c>
      <c r="C478" s="9" t="s">
        <v>81</v>
      </c>
      <c r="D478" s="10"/>
      <c r="E478" s="2"/>
      <c r="F478" s="10"/>
      <c r="G478" s="2"/>
      <c r="H478" s="10"/>
      <c r="I478" s="2"/>
      <c r="J478" s="10"/>
      <c r="K478" s="2"/>
    </row>
    <row r="479">
      <c r="A479" s="8" t="s">
        <v>26</v>
      </c>
      <c r="B479" s="9" t="s">
        <v>80</v>
      </c>
      <c r="C479" s="9" t="s">
        <v>81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27</v>
      </c>
      <c r="B480" s="9" t="s">
        <v>80</v>
      </c>
      <c r="C480" s="9" t="s">
        <v>81</v>
      </c>
      <c r="D480" s="10"/>
      <c r="E480" s="2" t="str">
        <f>"－"</f>
        <v>－</v>
      </c>
      <c r="F480" s="10"/>
      <c r="G480" s="2" t="str">
        <f>"－"</f>
        <v>－</v>
      </c>
      <c r="H480" s="10"/>
      <c r="I480" s="2" t="str">
        <f>"－"</f>
        <v>－</v>
      </c>
      <c r="J480" s="10"/>
      <c r="K480" s="2" t="str">
        <f>"－"</f>
        <v>－</v>
      </c>
    </row>
    <row r="481">
      <c r="A481" s="8" t="s">
        <v>29</v>
      </c>
      <c r="B481" s="9" t="s">
        <v>80</v>
      </c>
      <c r="C481" s="9" t="s">
        <v>81</v>
      </c>
      <c r="D481" s="10"/>
      <c r="E481" s="2" t="str">
        <f>"－"</f>
        <v>－</v>
      </c>
      <c r="F481" s="10"/>
      <c r="G481" s="2" t="str">
        <f>"－"</f>
        <v>－</v>
      </c>
      <c r="H481" s="10"/>
      <c r="I481" s="2" t="str">
        <f>"－"</f>
        <v>－</v>
      </c>
      <c r="J481" s="10"/>
      <c r="K481" s="2" t="str">
        <f>"－"</f>
        <v>－</v>
      </c>
    </row>
    <row r="482">
      <c r="A482" s="8" t="s">
        <v>30</v>
      </c>
      <c r="B482" s="9" t="s">
        <v>80</v>
      </c>
      <c r="C482" s="9" t="s">
        <v>81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31</v>
      </c>
      <c r="B483" s="9" t="s">
        <v>80</v>
      </c>
      <c r="C483" s="9" t="s">
        <v>81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32</v>
      </c>
      <c r="B484" s="9" t="s">
        <v>80</v>
      </c>
      <c r="C484" s="9" t="s">
        <v>81</v>
      </c>
      <c r="D484" s="10"/>
      <c r="E484" s="2"/>
      <c r="F484" s="10"/>
      <c r="G484" s="2"/>
      <c r="H484" s="10"/>
      <c r="I484" s="2"/>
      <c r="J484" s="10"/>
      <c r="K484" s="2"/>
    </row>
    <row r="485">
      <c r="A485" s="8" t="s">
        <v>33</v>
      </c>
      <c r="B485" s="9" t="s">
        <v>80</v>
      </c>
      <c r="C485" s="9" t="s">
        <v>81</v>
      </c>
      <c r="D485" s="10"/>
      <c r="E485" s="2"/>
      <c r="F485" s="10"/>
      <c r="G485" s="2"/>
      <c r="H485" s="10"/>
      <c r="I485" s="2"/>
      <c r="J485" s="10"/>
      <c r="K485" s="2"/>
    </row>
    <row r="486">
      <c r="A486" s="8" t="s">
        <v>34</v>
      </c>
      <c r="B486" s="9" t="s">
        <v>80</v>
      </c>
      <c r="C486" s="9" t="s">
        <v>81</v>
      </c>
      <c r="D486" s="10"/>
      <c r="E486" s="2" t="str">
        <f>"－"</f>
        <v>－</v>
      </c>
      <c r="F486" s="10"/>
      <c r="G486" s="2" t="str">
        <f>"－"</f>
        <v>－</v>
      </c>
      <c r="H486" s="10"/>
      <c r="I486" s="2" t="str">
        <f>"－"</f>
        <v>－</v>
      </c>
      <c r="J486" s="10"/>
      <c r="K486" s="2" t="str">
        <f>"－"</f>
        <v>－</v>
      </c>
    </row>
    <row r="487">
      <c r="A487" s="8" t="s">
        <v>36</v>
      </c>
      <c r="B487" s="9" t="s">
        <v>80</v>
      </c>
      <c r="C487" s="9" t="s">
        <v>81</v>
      </c>
      <c r="D487" s="10"/>
      <c r="E487" s="2" t="str">
        <f>"－"</f>
        <v>－</v>
      </c>
      <c r="F487" s="10"/>
      <c r="G487" s="2" t="str">
        <f>"－"</f>
        <v>－</v>
      </c>
      <c r="H487" s="10"/>
      <c r="I487" s="2" t="str">
        <f>"－"</f>
        <v>－</v>
      </c>
      <c r="J487" s="10"/>
      <c r="K487" s="2" t="str">
        <f>"－"</f>
        <v>－</v>
      </c>
    </row>
    <row r="488">
      <c r="A488" s="8" t="s">
        <v>37</v>
      </c>
      <c r="B488" s="9" t="s">
        <v>80</v>
      </c>
      <c r="C488" s="9" t="s">
        <v>81</v>
      </c>
      <c r="D488" s="10"/>
      <c r="E488" s="2" t="str">
        <f>"－"</f>
        <v>－</v>
      </c>
      <c r="F488" s="10"/>
      <c r="G488" s="2" t="str">
        <f>"－"</f>
        <v>－</v>
      </c>
      <c r="H488" s="10"/>
      <c r="I488" s="2" t="str">
        <f>"－"</f>
        <v>－</v>
      </c>
      <c r="J488" s="10"/>
      <c r="K488" s="2" t="str">
        <f>"－"</f>
        <v>－</v>
      </c>
    </row>
    <row r="489">
      <c r="A489" s="8" t="s">
        <v>38</v>
      </c>
      <c r="B489" s="9" t="s">
        <v>80</v>
      </c>
      <c r="C489" s="9" t="s">
        <v>81</v>
      </c>
      <c r="D489" s="10"/>
      <c r="E489" s="2" t="str">
        <f>"－"</f>
        <v>－</v>
      </c>
      <c r="F489" s="10"/>
      <c r="G489" s="2" t="str">
        <f>"－"</f>
        <v>－</v>
      </c>
      <c r="H489" s="10"/>
      <c r="I489" s="2" t="str">
        <f>"－"</f>
        <v>－</v>
      </c>
      <c r="J489" s="10"/>
      <c r="K489" s="2" t="str">
        <f>"－"</f>
        <v>－</v>
      </c>
    </row>
    <row r="490">
      <c r="A490" s="8" t="s">
        <v>39</v>
      </c>
      <c r="B490" s="9" t="s">
        <v>80</v>
      </c>
      <c r="C490" s="9" t="s">
        <v>81</v>
      </c>
      <c r="D490" s="10"/>
      <c r="E490" s="2"/>
      <c r="F490" s="10"/>
      <c r="G490" s="2"/>
      <c r="H490" s="10"/>
      <c r="I490" s="2"/>
      <c r="J490" s="10"/>
      <c r="K490" s="2"/>
    </row>
    <row r="491">
      <c r="A491" s="8" t="s">
        <v>40</v>
      </c>
      <c r="B491" s="9" t="s">
        <v>80</v>
      </c>
      <c r="C491" s="9" t="s">
        <v>81</v>
      </c>
      <c r="D491" s="10"/>
      <c r="E491" s="2"/>
      <c r="F491" s="10"/>
      <c r="G491" s="2"/>
      <c r="H491" s="10"/>
      <c r="I491" s="2"/>
      <c r="J491" s="10"/>
      <c r="K491" s="2"/>
    </row>
    <row r="492">
      <c r="A492" s="8" t="s">
        <v>41</v>
      </c>
      <c r="B492" s="9" t="s">
        <v>80</v>
      </c>
      <c r="C492" s="9" t="s">
        <v>81</v>
      </c>
      <c r="D492" s="10"/>
      <c r="E492" s="2"/>
      <c r="F492" s="10"/>
      <c r="G492" s="2"/>
      <c r="H492" s="10"/>
      <c r="I492" s="2"/>
      <c r="J492" s="10"/>
      <c r="K492" s="2"/>
    </row>
    <row r="493">
      <c r="A493" s="8" t="s">
        <v>42</v>
      </c>
      <c r="B493" s="9" t="s">
        <v>80</v>
      </c>
      <c r="C493" s="9" t="s">
        <v>81</v>
      </c>
      <c r="D493" s="10"/>
      <c r="E493" s="2" t="str">
        <f>"－"</f>
        <v>－</v>
      </c>
      <c r="F493" s="10"/>
      <c r="G493" s="2" t="str">
        <f>"－"</f>
        <v>－</v>
      </c>
      <c r="H493" s="10"/>
      <c r="I493" s="2" t="str">
        <f>"－"</f>
        <v>－</v>
      </c>
      <c r="J493" s="10"/>
      <c r="K493" s="2" t="str">
        <f>"－"</f>
        <v>－</v>
      </c>
    </row>
    <row r="494">
      <c r="A494" s="8" t="s">
        <v>43</v>
      </c>
      <c r="B494" s="9" t="s">
        <v>80</v>
      </c>
      <c r="C494" s="9" t="s">
        <v>81</v>
      </c>
      <c r="D494" s="10"/>
      <c r="E494" s="2" t="str">
        <f>"－"</f>
        <v>－</v>
      </c>
      <c r="F494" s="10"/>
      <c r="G494" s="2" t="str">
        <f>"－"</f>
        <v>－</v>
      </c>
      <c r="H494" s="10"/>
      <c r="I494" s="2" t="str">
        <f>"－"</f>
        <v>－</v>
      </c>
      <c r="J494" s="10"/>
      <c r="K494" s="2" t="str">
        <f>"－"</f>
        <v>－</v>
      </c>
    </row>
    <row r="495">
      <c r="A495" s="8" t="s">
        <v>44</v>
      </c>
      <c r="B495" s="9" t="s">
        <v>80</v>
      </c>
      <c r="C495" s="9" t="s">
        <v>81</v>
      </c>
      <c r="D495" s="10"/>
      <c r="E495" s="2" t="str">
        <f>"－"</f>
        <v>－</v>
      </c>
      <c r="F495" s="10"/>
      <c r="G495" s="2" t="str">
        <f>"－"</f>
        <v>－</v>
      </c>
      <c r="H495" s="10"/>
      <c r="I495" s="2" t="str">
        <f>"－"</f>
        <v>－</v>
      </c>
      <c r="J495" s="10"/>
      <c r="K495" s="2" t="str">
        <f>"－"</f>
        <v>－</v>
      </c>
    </row>
    <row r="496">
      <c r="A496" s="8" t="s">
        <v>45</v>
      </c>
      <c r="B496" s="9" t="s">
        <v>80</v>
      </c>
      <c r="C496" s="9" t="s">
        <v>81</v>
      </c>
      <c r="D496" s="10"/>
      <c r="E496" s="2" t="str">
        <f>"－"</f>
        <v>－</v>
      </c>
      <c r="F496" s="10"/>
      <c r="G496" s="2" t="str">
        <f>"－"</f>
        <v>－</v>
      </c>
      <c r="H496" s="10"/>
      <c r="I496" s="2" t="str">
        <f>"－"</f>
        <v>－</v>
      </c>
      <c r="J496" s="10"/>
      <c r="K496" s="2" t="str">
        <f>"－"</f>
        <v>－</v>
      </c>
    </row>
    <row r="497">
      <c r="A497" s="8" t="s">
        <v>46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str">
        <f>"－"</f>
        <v>－</v>
      </c>
    </row>
    <row r="498">
      <c r="A498" s="8" t="s">
        <v>47</v>
      </c>
      <c r="B498" s="9" t="s">
        <v>80</v>
      </c>
      <c r="C498" s="9" t="s">
        <v>81</v>
      </c>
      <c r="D498" s="10"/>
      <c r="E498" s="2"/>
      <c r="F498" s="10"/>
      <c r="G498" s="2"/>
      <c r="H498" s="10"/>
      <c r="I498" s="2"/>
      <c r="J498" s="10"/>
      <c r="K498" s="2"/>
    </row>
    <row r="499">
      <c r="A499" s="8" t="s">
        <v>48</v>
      </c>
      <c r="B499" s="9" t="s">
        <v>80</v>
      </c>
      <c r="C499" s="9" t="s">
        <v>81</v>
      </c>
      <c r="D499" s="10"/>
      <c r="E499" s="2"/>
      <c r="F499" s="10"/>
      <c r="G499" s="2"/>
      <c r="H499" s="10"/>
      <c r="I499" s="2"/>
      <c r="J499" s="10"/>
      <c r="K499" s="2"/>
    </row>
    <row r="500">
      <c r="A500" s="8" t="s">
        <v>49</v>
      </c>
      <c r="B500" s="9" t="s">
        <v>80</v>
      </c>
      <c r="C500" s="9" t="s">
        <v>81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2" t="str">
        <f>"－"</f>
        <v>－</v>
      </c>
      <c r="F501" s="10"/>
      <c r="G501" s="2" t="str">
        <f>"－"</f>
        <v>－</v>
      </c>
      <c r="H501" s="10"/>
      <c r="I501" s="2" t="str">
        <f>"－"</f>
        <v>－</v>
      </c>
      <c r="J501" s="10"/>
      <c r="K501" s="2" t="str">
        <f>"－"</f>
        <v>－</v>
      </c>
    </row>
    <row r="502">
      <c r="A502" s="8" t="s">
        <v>16</v>
      </c>
      <c r="B502" s="9" t="s">
        <v>82</v>
      </c>
      <c r="C502" s="9" t="s">
        <v>83</v>
      </c>
      <c r="D502" s="10"/>
      <c r="E502" s="2"/>
      <c r="F502" s="10"/>
      <c r="G502" s="2"/>
      <c r="H502" s="10"/>
      <c r="I502" s="2"/>
      <c r="J502" s="10"/>
      <c r="K502" s="2"/>
    </row>
    <row r="503">
      <c r="A503" s="8" t="s">
        <v>19</v>
      </c>
      <c r="B503" s="9" t="s">
        <v>82</v>
      </c>
      <c r="C503" s="9" t="s">
        <v>83</v>
      </c>
      <c r="D503" s="10"/>
      <c r="E503" s="2" t="n">
        <f>385</f>
        <v>385.0</v>
      </c>
      <c r="F503" s="10"/>
      <c r="G503" s="2" t="n">
        <f>100098000</f>
        <v>1.00098E8</v>
      </c>
      <c r="H503" s="10" t="s">
        <v>61</v>
      </c>
      <c r="I503" s="2" t="str">
        <f>"－"</f>
        <v>－</v>
      </c>
      <c r="J503" s="10"/>
      <c r="K503" s="2" t="n">
        <f>1496</f>
        <v>1496.0</v>
      </c>
    </row>
    <row r="504">
      <c r="A504" s="8" t="s">
        <v>20</v>
      </c>
      <c r="B504" s="9" t="s">
        <v>82</v>
      </c>
      <c r="C504" s="9" t="s">
        <v>83</v>
      </c>
      <c r="D504" s="10"/>
      <c r="E504" s="2" t="n">
        <f>214</f>
        <v>214.0</v>
      </c>
      <c r="F504" s="10"/>
      <c r="G504" s="2" t="n">
        <f>53721000</f>
        <v>5.3721E7</v>
      </c>
      <c r="H504" s="10"/>
      <c r="I504" s="2" t="str">
        <f>"－"</f>
        <v>－</v>
      </c>
      <c r="J504" s="10"/>
      <c r="K504" s="2" t="n">
        <f>1493</f>
        <v>1493.0</v>
      </c>
    </row>
    <row r="505">
      <c r="A505" s="8" t="s">
        <v>21</v>
      </c>
      <c r="B505" s="9" t="s">
        <v>82</v>
      </c>
      <c r="C505" s="9" t="s">
        <v>83</v>
      </c>
      <c r="D505" s="10"/>
      <c r="E505" s="2" t="n">
        <f>411</f>
        <v>411.0</v>
      </c>
      <c r="F505" s="10"/>
      <c r="G505" s="2" t="n">
        <f>106612000</f>
        <v>1.06612E8</v>
      </c>
      <c r="H505" s="10"/>
      <c r="I505" s="2" t="str">
        <f>"－"</f>
        <v>－</v>
      </c>
      <c r="J505" s="10"/>
      <c r="K505" s="2" t="n">
        <f>1247</f>
        <v>1247.0</v>
      </c>
    </row>
    <row r="506">
      <c r="A506" s="8" t="s">
        <v>22</v>
      </c>
      <c r="B506" s="9" t="s">
        <v>82</v>
      </c>
      <c r="C506" s="9" t="s">
        <v>83</v>
      </c>
      <c r="D506" s="10"/>
      <c r="E506" s="2" t="n">
        <f>180</f>
        <v>180.0</v>
      </c>
      <c r="F506" s="10"/>
      <c r="G506" s="2" t="n">
        <f>45359500</f>
        <v>4.53595E7</v>
      </c>
      <c r="H506" s="10"/>
      <c r="I506" s="2" t="str">
        <f>"－"</f>
        <v>－</v>
      </c>
      <c r="J506" s="10"/>
      <c r="K506" s="2" t="n">
        <f>1206</f>
        <v>1206.0</v>
      </c>
    </row>
    <row r="507">
      <c r="A507" s="8" t="s">
        <v>23</v>
      </c>
      <c r="B507" s="9" t="s">
        <v>82</v>
      </c>
      <c r="C507" s="9" t="s">
        <v>83</v>
      </c>
      <c r="D507" s="10"/>
      <c r="E507" s="2" t="n">
        <f>415</f>
        <v>415.0</v>
      </c>
      <c r="F507" s="10"/>
      <c r="G507" s="2" t="n">
        <f>114463000</f>
        <v>1.14463E8</v>
      </c>
      <c r="H507" s="10"/>
      <c r="I507" s="2" t="str">
        <f>"－"</f>
        <v>－</v>
      </c>
      <c r="J507" s="10"/>
      <c r="K507" s="2" t="n">
        <f>1349</f>
        <v>1349.0</v>
      </c>
    </row>
    <row r="508">
      <c r="A508" s="8" t="s">
        <v>24</v>
      </c>
      <c r="B508" s="9" t="s">
        <v>82</v>
      </c>
      <c r="C508" s="9" t="s">
        <v>83</v>
      </c>
      <c r="D508" s="10"/>
      <c r="E508" s="2"/>
      <c r="F508" s="10"/>
      <c r="G508" s="2"/>
      <c r="H508" s="10"/>
      <c r="I508" s="2"/>
      <c r="J508" s="10"/>
      <c r="K508" s="2"/>
    </row>
    <row r="509">
      <c r="A509" s="8" t="s">
        <v>25</v>
      </c>
      <c r="B509" s="9" t="s">
        <v>82</v>
      </c>
      <c r="C509" s="9" t="s">
        <v>83</v>
      </c>
      <c r="D509" s="10"/>
      <c r="E509" s="2"/>
      <c r="F509" s="10"/>
      <c r="G509" s="2"/>
      <c r="H509" s="10"/>
      <c r="I509" s="2"/>
      <c r="J509" s="10"/>
      <c r="K509" s="2"/>
    </row>
    <row r="510">
      <c r="A510" s="8" t="s">
        <v>26</v>
      </c>
      <c r="B510" s="9" t="s">
        <v>82</v>
      </c>
      <c r="C510" s="9" t="s">
        <v>83</v>
      </c>
      <c r="D510" s="10" t="s">
        <v>28</v>
      </c>
      <c r="E510" s="2" t="n">
        <f>777</f>
        <v>777.0</v>
      </c>
      <c r="F510" s="10" t="s">
        <v>28</v>
      </c>
      <c r="G510" s="2" t="n">
        <f>335720500</f>
        <v>3.357205E8</v>
      </c>
      <c r="H510" s="10"/>
      <c r="I510" s="2" t="str">
        <f>"－"</f>
        <v>－</v>
      </c>
      <c r="J510" s="10"/>
      <c r="K510" s="2" t="n">
        <f>806</f>
        <v>806.0</v>
      </c>
    </row>
    <row r="511">
      <c r="A511" s="8" t="s">
        <v>27</v>
      </c>
      <c r="B511" s="9" t="s">
        <v>82</v>
      </c>
      <c r="C511" s="9" t="s">
        <v>83</v>
      </c>
      <c r="D511" s="10"/>
      <c r="E511" s="2" t="n">
        <f>511</f>
        <v>511.0</v>
      </c>
      <c r="F511" s="10"/>
      <c r="G511" s="2" t="n">
        <f>178016500</f>
        <v>1.780165E8</v>
      </c>
      <c r="H511" s="10"/>
      <c r="I511" s="2" t="str">
        <f>"－"</f>
        <v>－</v>
      </c>
      <c r="J511" s="10"/>
      <c r="K511" s="2" t="n">
        <f>1075</f>
        <v>1075.0</v>
      </c>
    </row>
    <row r="512">
      <c r="A512" s="8" t="s">
        <v>29</v>
      </c>
      <c r="B512" s="9" t="s">
        <v>82</v>
      </c>
      <c r="C512" s="9" t="s">
        <v>83</v>
      </c>
      <c r="D512" s="10"/>
      <c r="E512" s="2" t="n">
        <f>520</f>
        <v>520.0</v>
      </c>
      <c r="F512" s="10"/>
      <c r="G512" s="2" t="n">
        <f>167749500</f>
        <v>1.677495E8</v>
      </c>
      <c r="H512" s="10"/>
      <c r="I512" s="2" t="str">
        <f>"－"</f>
        <v>－</v>
      </c>
      <c r="J512" s="10"/>
      <c r="K512" s="2" t="n">
        <f>956</f>
        <v>956.0</v>
      </c>
    </row>
    <row r="513">
      <c r="A513" s="8" t="s">
        <v>30</v>
      </c>
      <c r="B513" s="9" t="s">
        <v>82</v>
      </c>
      <c r="C513" s="9" t="s">
        <v>83</v>
      </c>
      <c r="D513" s="10"/>
      <c r="E513" s="2" t="n">
        <f>444</f>
        <v>444.0</v>
      </c>
      <c r="F513" s="10"/>
      <c r="G513" s="2" t="n">
        <f>162678500</f>
        <v>1.626785E8</v>
      </c>
      <c r="H513" s="10"/>
      <c r="I513" s="2" t="str">
        <f>"－"</f>
        <v>－</v>
      </c>
      <c r="J513" s="10" t="s">
        <v>35</v>
      </c>
      <c r="K513" s="2" t="n">
        <f>715</f>
        <v>715.0</v>
      </c>
    </row>
    <row r="514">
      <c r="A514" s="8" t="s">
        <v>31</v>
      </c>
      <c r="B514" s="9" t="s">
        <v>82</v>
      </c>
      <c r="C514" s="9" t="s">
        <v>83</v>
      </c>
      <c r="D514" s="10"/>
      <c r="E514" s="2" t="n">
        <f>424</f>
        <v>424.0</v>
      </c>
      <c r="F514" s="10"/>
      <c r="G514" s="2" t="n">
        <f>183710500</f>
        <v>1.837105E8</v>
      </c>
      <c r="H514" s="10"/>
      <c r="I514" s="2" t="str">
        <f>"－"</f>
        <v>－</v>
      </c>
      <c r="J514" s="10"/>
      <c r="K514" s="2" t="n">
        <f>860</f>
        <v>860.0</v>
      </c>
    </row>
    <row r="515">
      <c r="A515" s="8" t="s">
        <v>32</v>
      </c>
      <c r="B515" s="9" t="s">
        <v>82</v>
      </c>
      <c r="C515" s="9" t="s">
        <v>83</v>
      </c>
      <c r="D515" s="10"/>
      <c r="E515" s="2"/>
      <c r="F515" s="10"/>
      <c r="G515" s="2"/>
      <c r="H515" s="10"/>
      <c r="I515" s="2"/>
      <c r="J515" s="10"/>
      <c r="K515" s="2"/>
    </row>
    <row r="516">
      <c r="A516" s="8" t="s">
        <v>33</v>
      </c>
      <c r="B516" s="9" t="s">
        <v>82</v>
      </c>
      <c r="C516" s="9" t="s">
        <v>83</v>
      </c>
      <c r="D516" s="10"/>
      <c r="E516" s="2"/>
      <c r="F516" s="10"/>
      <c r="G516" s="2"/>
      <c r="H516" s="10"/>
      <c r="I516" s="2"/>
      <c r="J516" s="10"/>
      <c r="K516" s="2"/>
    </row>
    <row r="517">
      <c r="A517" s="8" t="s">
        <v>34</v>
      </c>
      <c r="B517" s="9" t="s">
        <v>82</v>
      </c>
      <c r="C517" s="9" t="s">
        <v>83</v>
      </c>
      <c r="D517" s="10"/>
      <c r="E517" s="2" t="n">
        <f>632</f>
        <v>632.0</v>
      </c>
      <c r="F517" s="10"/>
      <c r="G517" s="2" t="n">
        <f>314269500</f>
        <v>3.142695E8</v>
      </c>
      <c r="H517" s="10"/>
      <c r="I517" s="2" t="str">
        <f>"－"</f>
        <v>－</v>
      </c>
      <c r="J517" s="10"/>
      <c r="K517" s="2" t="n">
        <f>1399</f>
        <v>1399.0</v>
      </c>
    </row>
    <row r="518">
      <c r="A518" s="8" t="s">
        <v>36</v>
      </c>
      <c r="B518" s="9" t="s">
        <v>82</v>
      </c>
      <c r="C518" s="9" t="s">
        <v>83</v>
      </c>
      <c r="D518" s="10"/>
      <c r="E518" s="2" t="n">
        <f>445</f>
        <v>445.0</v>
      </c>
      <c r="F518" s="10"/>
      <c r="G518" s="2" t="n">
        <f>276414000</f>
        <v>2.76414E8</v>
      </c>
      <c r="H518" s="10"/>
      <c r="I518" s="2" t="str">
        <f>"－"</f>
        <v>－</v>
      </c>
      <c r="J518" s="10"/>
      <c r="K518" s="2" t="n">
        <f>1609</f>
        <v>1609.0</v>
      </c>
    </row>
    <row r="519">
      <c r="A519" s="8" t="s">
        <v>37</v>
      </c>
      <c r="B519" s="9" t="s">
        <v>82</v>
      </c>
      <c r="C519" s="9" t="s">
        <v>83</v>
      </c>
      <c r="D519" s="10"/>
      <c r="E519" s="2" t="n">
        <f>270</f>
        <v>270.0</v>
      </c>
      <c r="F519" s="10"/>
      <c r="G519" s="2" t="n">
        <f>175035500</f>
        <v>1.750355E8</v>
      </c>
      <c r="H519" s="10"/>
      <c r="I519" s="2" t="str">
        <f>"－"</f>
        <v>－</v>
      </c>
      <c r="J519" s="10" t="s">
        <v>28</v>
      </c>
      <c r="K519" s="2" t="n">
        <f>1693</f>
        <v>1693.0</v>
      </c>
    </row>
    <row r="520">
      <c r="A520" s="8" t="s">
        <v>38</v>
      </c>
      <c r="B520" s="9" t="s">
        <v>82</v>
      </c>
      <c r="C520" s="9" t="s">
        <v>83</v>
      </c>
      <c r="D520" s="10"/>
      <c r="E520" s="2" t="n">
        <f>277</f>
        <v>277.0</v>
      </c>
      <c r="F520" s="10"/>
      <c r="G520" s="2" t="n">
        <f>203044500</f>
        <v>2.030445E8</v>
      </c>
      <c r="H520" s="10"/>
      <c r="I520" s="2" t="str">
        <f>"－"</f>
        <v>－</v>
      </c>
      <c r="J520" s="10"/>
      <c r="K520" s="2" t="n">
        <f>1571</f>
        <v>1571.0</v>
      </c>
    </row>
    <row r="521">
      <c r="A521" s="8" t="s">
        <v>39</v>
      </c>
      <c r="B521" s="9" t="s">
        <v>82</v>
      </c>
      <c r="C521" s="9" t="s">
        <v>83</v>
      </c>
      <c r="D521" s="10"/>
      <c r="E521" s="2"/>
      <c r="F521" s="10"/>
      <c r="G521" s="2"/>
      <c r="H521" s="10"/>
      <c r="I521" s="2"/>
      <c r="J521" s="10"/>
      <c r="K521" s="2"/>
    </row>
    <row r="522">
      <c r="A522" s="8" t="s">
        <v>40</v>
      </c>
      <c r="B522" s="9" t="s">
        <v>82</v>
      </c>
      <c r="C522" s="9" t="s">
        <v>83</v>
      </c>
      <c r="D522" s="10"/>
      <c r="E522" s="2"/>
      <c r="F522" s="10"/>
      <c r="G522" s="2"/>
      <c r="H522" s="10"/>
      <c r="I522" s="2"/>
      <c r="J522" s="10"/>
      <c r="K522" s="2"/>
    </row>
    <row r="523">
      <c r="A523" s="8" t="s">
        <v>41</v>
      </c>
      <c r="B523" s="9" t="s">
        <v>82</v>
      </c>
      <c r="C523" s="9" t="s">
        <v>83</v>
      </c>
      <c r="D523" s="10"/>
      <c r="E523" s="2"/>
      <c r="F523" s="10"/>
      <c r="G523" s="2"/>
      <c r="H523" s="10"/>
      <c r="I523" s="2"/>
      <c r="J523" s="10"/>
      <c r="K523" s="2"/>
    </row>
    <row r="524">
      <c r="A524" s="8" t="s">
        <v>42</v>
      </c>
      <c r="B524" s="9" t="s">
        <v>82</v>
      </c>
      <c r="C524" s="9" t="s">
        <v>83</v>
      </c>
      <c r="D524" s="10"/>
      <c r="E524" s="2" t="n">
        <f>327</f>
        <v>327.0</v>
      </c>
      <c r="F524" s="10"/>
      <c r="G524" s="2" t="n">
        <f>211113000</f>
        <v>2.11113E8</v>
      </c>
      <c r="H524" s="10"/>
      <c r="I524" s="2" t="str">
        <f>"－"</f>
        <v>－</v>
      </c>
      <c r="J524" s="10"/>
      <c r="K524" s="2" t="n">
        <f>1386</f>
        <v>1386.0</v>
      </c>
    </row>
    <row r="525">
      <c r="A525" s="8" t="s">
        <v>43</v>
      </c>
      <c r="B525" s="9" t="s">
        <v>82</v>
      </c>
      <c r="C525" s="9" t="s">
        <v>83</v>
      </c>
      <c r="D525" s="10"/>
      <c r="E525" s="2" t="n">
        <f>316</f>
        <v>316.0</v>
      </c>
      <c r="F525" s="10"/>
      <c r="G525" s="2" t="n">
        <f>147425500</f>
        <v>1.474255E8</v>
      </c>
      <c r="H525" s="10"/>
      <c r="I525" s="2" t="str">
        <f>"－"</f>
        <v>－</v>
      </c>
      <c r="J525" s="10"/>
      <c r="K525" s="2" t="n">
        <f>1204</f>
        <v>1204.0</v>
      </c>
    </row>
    <row r="526">
      <c r="A526" s="8" t="s">
        <v>44</v>
      </c>
      <c r="B526" s="9" t="s">
        <v>82</v>
      </c>
      <c r="C526" s="9" t="s">
        <v>83</v>
      </c>
      <c r="D526" s="10"/>
      <c r="E526" s="2" t="n">
        <f>322</f>
        <v>322.0</v>
      </c>
      <c r="F526" s="10"/>
      <c r="G526" s="2" t="n">
        <f>126945500</f>
        <v>1.269455E8</v>
      </c>
      <c r="H526" s="10"/>
      <c r="I526" s="2" t="str">
        <f>"－"</f>
        <v>－</v>
      </c>
      <c r="J526" s="10"/>
      <c r="K526" s="2" t="n">
        <f>1072</f>
        <v>1072.0</v>
      </c>
    </row>
    <row r="527">
      <c r="A527" s="8" t="s">
        <v>45</v>
      </c>
      <c r="B527" s="9" t="s">
        <v>82</v>
      </c>
      <c r="C527" s="9" t="s">
        <v>83</v>
      </c>
      <c r="D527" s="10"/>
      <c r="E527" s="2" t="n">
        <f>154</f>
        <v>154.0</v>
      </c>
      <c r="F527" s="10"/>
      <c r="G527" s="2" t="n">
        <f>73178000</f>
        <v>7.3178E7</v>
      </c>
      <c r="H527" s="10"/>
      <c r="I527" s="2" t="str">
        <f>"－"</f>
        <v>－</v>
      </c>
      <c r="J527" s="10"/>
      <c r="K527" s="2" t="n">
        <f>950</f>
        <v>950.0</v>
      </c>
    </row>
    <row r="528">
      <c r="A528" s="8" t="s">
        <v>46</v>
      </c>
      <c r="B528" s="9" t="s">
        <v>82</v>
      </c>
      <c r="C528" s="9" t="s">
        <v>83</v>
      </c>
      <c r="D528" s="10" t="s">
        <v>35</v>
      </c>
      <c r="E528" s="2" t="n">
        <f>86</f>
        <v>86.0</v>
      </c>
      <c r="F528" s="10" t="s">
        <v>35</v>
      </c>
      <c r="G528" s="2" t="n">
        <f>39981500</f>
        <v>3.99815E7</v>
      </c>
      <c r="H528" s="10"/>
      <c r="I528" s="2" t="str">
        <f>"－"</f>
        <v>－</v>
      </c>
      <c r="J528" s="10"/>
      <c r="K528" s="2" t="n">
        <f>898</f>
        <v>898.0</v>
      </c>
    </row>
    <row r="529">
      <c r="A529" s="8" t="s">
        <v>47</v>
      </c>
      <c r="B529" s="9" t="s">
        <v>82</v>
      </c>
      <c r="C529" s="9" t="s">
        <v>83</v>
      </c>
      <c r="D529" s="10"/>
      <c r="E529" s="2"/>
      <c r="F529" s="10"/>
      <c r="G529" s="2"/>
      <c r="H529" s="10"/>
      <c r="I529" s="2"/>
      <c r="J529" s="10"/>
      <c r="K529" s="2"/>
    </row>
    <row r="530">
      <c r="A530" s="8" t="s">
        <v>48</v>
      </c>
      <c r="B530" s="9" t="s">
        <v>82</v>
      </c>
      <c r="C530" s="9" t="s">
        <v>83</v>
      </c>
      <c r="D530" s="10"/>
      <c r="E530" s="2"/>
      <c r="F530" s="10"/>
      <c r="G530" s="2"/>
      <c r="H530" s="10"/>
      <c r="I530" s="2"/>
      <c r="J530" s="10"/>
      <c r="K530" s="2"/>
    </row>
    <row r="531">
      <c r="A531" s="8" t="s">
        <v>49</v>
      </c>
      <c r="B531" s="9" t="s">
        <v>82</v>
      </c>
      <c r="C531" s="9" t="s">
        <v>83</v>
      </c>
      <c r="D531" s="10"/>
      <c r="E531" s="2" t="n">
        <f>151</f>
        <v>151.0</v>
      </c>
      <c r="F531" s="10"/>
      <c r="G531" s="2" t="n">
        <f>91790000</f>
        <v>9.179E7</v>
      </c>
      <c r="H531" s="10"/>
      <c r="I531" s="2" t="str">
        <f>"－"</f>
        <v>－</v>
      </c>
      <c r="J531" s="10"/>
      <c r="K531" s="2" t="n">
        <f>829</f>
        <v>829.0</v>
      </c>
    </row>
    <row r="532">
      <c r="A532" s="8" t="s">
        <v>50</v>
      </c>
      <c r="B532" s="9" t="s">
        <v>82</v>
      </c>
      <c r="C532" s="9" t="s">
        <v>83</v>
      </c>
      <c r="D532" s="10"/>
      <c r="E532" s="2" t="n">
        <f>129</f>
        <v>129.0</v>
      </c>
      <c r="F532" s="10"/>
      <c r="G532" s="2" t="n">
        <f>68571500</f>
        <v>6.85715E7</v>
      </c>
      <c r="H532" s="10"/>
      <c r="I532" s="2" t="str">
        <f>"－"</f>
        <v>－</v>
      </c>
      <c r="J532" s="10"/>
      <c r="K532" s="2" t="n">
        <f>785</f>
        <v>785.0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2019-03-19T11:56:29Z</dcterms:modified>
</cp:coreProperties>
</file>