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<sst xmlns="http://schemas.openxmlformats.org/spreadsheetml/2006/main" count="1664" uniqueCount="83">
  <si>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</si>
  <si>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</si>
  <si>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</si>
  <si>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</si>
  <si>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</si>
  <si>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</si>
  <si>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</si>
  <si>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</si>
  <si>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</si>
  <si>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</si>
  <si>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</si>
  <si>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</si>
  <si>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</si>
  <si>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</si>
  <si>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</si>
  <si>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</si>
  <si>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9.1</t>
  </si>
  <si>
    <t>日経225先物</t>
  </si>
  <si>
    <t>Nikkei 225 Futures</t>
  </si>
  <si>
    <t>2</t>
  </si>
  <si>
    <t>3</t>
  </si>
  <si>
    <t>4</t>
  </si>
  <si>
    <t>5</t>
  </si>
  <si>
    <t>6</t>
  </si>
  <si>
    <t>7</t>
  </si>
  <si>
    <t>8</t>
  </si>
  <si>
    <t>◎</t>
  </si>
  <si>
    <t>9</t>
  </si>
  <si>
    <t>10</t>
  </si>
  <si>
    <t>11</t>
  </si>
  <si>
    <t>12</t>
  </si>
  <si>
    <t>13</t>
  </si>
  <si>
    <t>14</t>
  </si>
  <si>
    <t>15</t>
  </si>
  <si>
    <t>16</t>
  </si>
  <si>
    <t>●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</si>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</sst>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15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2" t="s">
        <v>0</v>
      </c>
      <c r="B1" s="12"/>
      <c r="C1" s="12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2" t="s">
        <v>1</v>
      </c>
      <c r="B2" s="12"/>
      <c r="C2" s="12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3" t="s">
        <v>5</v>
      </c>
      <c r="C4" s="13" t="s">
        <v>6</v>
      </c>
      <c r="D4" s="15" t="s">
        <v>7</v>
      </c>
      <c r="E4" s="15"/>
      <c r="F4" s="15" t="s">
        <v>8</v>
      </c>
      <c r="G4" s="15"/>
      <c r="H4" s="15" t="s">
        <v>9</v>
      </c>
      <c r="I4" s="15"/>
      <c r="J4" s="15" t="s">
        <v>10</v>
      </c>
      <c r="K4" s="15"/>
    </row>
    <row customHeight="1" ht="17.100000000000001" r="5" spans="1:11">
      <c r="A5" s="7" t="s">
        <v>11</v>
      </c>
      <c r="B5" s="14"/>
      <c r="C5" s="14"/>
      <c r="D5" s="15" t="s">
        <v>12</v>
      </c>
      <c r="E5" s="15"/>
      <c r="F5" s="15" t="s">
        <v>13</v>
      </c>
      <c r="G5" s="15"/>
      <c r="H5" s="15" t="s">
        <v>14</v>
      </c>
      <c r="I5" s="15"/>
      <c r="J5" s="16" t="s">
        <v>15</v>
      </c>
      <c r="K5" s="17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60583</f>
        <v>60583.0</v>
      </c>
      <c r="F6" s="10"/>
      <c r="G6" s="2" t="n">
        <f>1400469841664</f>
        <v>1.400469841664E12</v>
      </c>
      <c r="H6" s="10"/>
      <c r="I6" s="2" t="n">
        <f>5378</f>
        <v>5378.0</v>
      </c>
      <c r="J6" s="10"/>
      <c r="K6" s="2" t="n">
        <f>447895</f>
        <v>447895.0</v>
      </c>
    </row>
    <row r="7">
      <c r="A7" s="8" t="s">
        <v>19</v>
      </c>
      <c r="B7" s="9" t="s">
        <v>17</v>
      </c>
      <c r="C7" s="9" t="s">
        <v>18</v>
      </c>
      <c r="D7" s="10"/>
      <c r="E7" s="2" t="n">
        <f>55939</f>
        <v>55939.0</v>
      </c>
      <c r="F7" s="10"/>
      <c r="G7" s="2" t="n">
        <f>1296778901950</f>
        <v>1.29677890195E12</v>
      </c>
      <c r="H7" s="10"/>
      <c r="I7" s="2" t="n">
        <f>3559</f>
        <v>3559.0</v>
      </c>
      <c r="J7" s="10"/>
      <c r="K7" s="2" t="n">
        <f>445542</f>
        <v>445542.0</v>
      </c>
    </row>
    <row r="8">
      <c r="A8" s="8" t="s">
        <v>20</v>
      </c>
      <c r="B8" s="9" t="s">
        <v>17</v>
      </c>
      <c r="C8" s="9" t="s">
        <v>18</v>
      </c>
      <c r="D8" s="10"/>
      <c r="E8" s="2" t="n">
        <f>90292</f>
        <v>90292.0</v>
      </c>
      <c r="F8" s="10"/>
      <c r="G8" s="2" t="n">
        <f>2116457257650</f>
        <v>2.11645725765E12</v>
      </c>
      <c r="H8" s="10"/>
      <c r="I8" s="2" t="n">
        <f>5951</f>
        <v>5951.0</v>
      </c>
      <c r="J8" s="10"/>
      <c r="K8" s="2" t="n">
        <f>447341</f>
        <v>447341.0</v>
      </c>
    </row>
    <row r="9">
      <c r="A9" s="8" t="s">
        <v>21</v>
      </c>
      <c r="B9" s="9" t="s">
        <v>17</v>
      </c>
      <c r="C9" s="9" t="s">
        <v>18</v>
      </c>
      <c r="D9" s="10"/>
      <c r="E9" s="2" t="n">
        <f>129936</f>
        <v>129936.0</v>
      </c>
      <c r="F9" s="10"/>
      <c r="G9" s="2" t="n">
        <f>3012815787334</f>
        <v>3.012815787334E12</v>
      </c>
      <c r="H9" s="10"/>
      <c r="I9" s="2" t="n">
        <f>12467</f>
        <v>12467.0</v>
      </c>
      <c r="J9" s="10"/>
      <c r="K9" s="2" t="n">
        <f>453287</f>
        <v>453287.0</v>
      </c>
    </row>
    <row r="10">
      <c r="A10" s="8" t="s">
        <v>22</v>
      </c>
      <c r="B10" s="9" t="s">
        <v>17</v>
      </c>
      <c r="C10" s="9" t="s">
        <v>18</v>
      </c>
      <c r="D10" s="10"/>
      <c r="E10" s="2"/>
      <c r="F10" s="10"/>
      <c r="G10" s="2"/>
      <c r="H10" s="10"/>
      <c r="I10" s="2"/>
      <c r="J10" s="10"/>
      <c r="K10" s="2"/>
    </row>
    <row r="11">
      <c r="A11" s="8" t="s">
        <v>23</v>
      </c>
      <c r="B11" s="9" t="s">
        <v>17</v>
      </c>
      <c r="C11" s="9" t="s">
        <v>18</v>
      </c>
      <c r="D11" s="10"/>
      <c r="E11" s="2"/>
      <c r="F11" s="10"/>
      <c r="G11" s="2"/>
      <c r="H11" s="10"/>
      <c r="I11" s="2"/>
      <c r="J11" s="10"/>
      <c r="K11" s="2"/>
    </row>
    <row r="12">
      <c r="A12" s="8" t="s">
        <v>24</v>
      </c>
      <c r="B12" s="9" t="s">
        <v>17</v>
      </c>
      <c r="C12" s="9" t="s">
        <v>18</v>
      </c>
      <c r="D12" s="10"/>
      <c r="E12" s="2" t="n">
        <f>289207</f>
        <v>289207.0</v>
      </c>
      <c r="F12" s="10"/>
      <c r="G12" s="2" t="n">
        <f>6673551995645</f>
        <v>6.673551995645E12</v>
      </c>
      <c r="H12" s="10"/>
      <c r="I12" s="2" t="n">
        <f>13327</f>
        <v>13327.0</v>
      </c>
      <c r="J12" s="10"/>
      <c r="K12" s="2" t="n">
        <f>446517</f>
        <v>446517.0</v>
      </c>
    </row>
    <row r="13">
      <c r="A13" s="8" t="s">
        <v>25</v>
      </c>
      <c r="B13" s="9" t="s">
        <v>17</v>
      </c>
      <c r="C13" s="9" t="s">
        <v>18</v>
      </c>
      <c r="D13" s="10"/>
      <c r="E13" s="2" t="n">
        <f>312875</f>
        <v>312875.0</v>
      </c>
      <c r="F13" s="10"/>
      <c r="G13" s="2" t="n">
        <f>7235927541666</f>
        <v>7.235927541666E12</v>
      </c>
      <c r="H13" s="10" t="s">
        <v>26</v>
      </c>
      <c r="I13" s="2" t="n">
        <f>39997</f>
        <v>39997.0</v>
      </c>
      <c r="J13" s="10"/>
      <c r="K13" s="2" t="n">
        <f>448054</f>
        <v>448054.0</v>
      </c>
    </row>
    <row r="14">
      <c r="A14" s="8" t="s">
        <v>27</v>
      </c>
      <c r="B14" s="9" t="s">
        <v>17</v>
      </c>
      <c r="C14" s="9" t="s">
        <v>18</v>
      </c>
      <c r="D14" s="10" t="s">
        <v>26</v>
      </c>
      <c r="E14" s="2" t="n">
        <f>364653</f>
        <v>364653.0</v>
      </c>
      <c r="F14" s="10" t="s">
        <v>26</v>
      </c>
      <c r="G14" s="2" t="n">
        <f>8359674001760</f>
        <v>8.35967400176E12</v>
      </c>
      <c r="H14" s="10"/>
      <c r="I14" s="2" t="n">
        <f>35468</f>
        <v>35468.0</v>
      </c>
      <c r="J14" s="10" t="s">
        <v>26</v>
      </c>
      <c r="K14" s="2" t="n">
        <f>535135</f>
        <v>535135.0</v>
      </c>
    </row>
    <row r="15">
      <c r="A15" s="8" t="s">
        <v>28</v>
      </c>
      <c r="B15" s="9" t="s">
        <v>17</v>
      </c>
      <c r="C15" s="9" t="s">
        <v>18</v>
      </c>
      <c r="D15" s="10"/>
      <c r="E15" s="2" t="n">
        <f>146713</f>
        <v>146713.0</v>
      </c>
      <c r="F15" s="10"/>
      <c r="G15" s="2" t="n">
        <f>3387517433386</f>
        <v>3.387517433386E12</v>
      </c>
      <c r="H15" s="10"/>
      <c r="I15" s="2" t="n">
        <f>9054</f>
        <v>9054.0</v>
      </c>
      <c r="J15" s="10"/>
      <c r="K15" s="2" t="n">
        <f>468777</f>
        <v>468777.0</v>
      </c>
    </row>
    <row r="16">
      <c r="A16" s="8" t="s">
        <v>29</v>
      </c>
      <c r="B16" s="9" t="s">
        <v>17</v>
      </c>
      <c r="C16" s="9" t="s">
        <v>18</v>
      </c>
      <c r="D16" s="10"/>
      <c r="E16" s="2" t="n">
        <f>82884</f>
        <v>82884.0</v>
      </c>
      <c r="F16" s="10"/>
      <c r="G16" s="2" t="n">
        <f>1914755278550</f>
        <v>1.91475527855E12</v>
      </c>
      <c r="H16" s="10"/>
      <c r="I16" s="2" t="n">
        <f>5999</f>
        <v>5999.0</v>
      </c>
      <c r="J16" s="10"/>
      <c r="K16" s="2" t="n">
        <f>471968</f>
        <v>471968.0</v>
      </c>
    </row>
    <row r="17">
      <c r="A17" s="8" t="s">
        <v>30</v>
      </c>
      <c r="B17" s="9" t="s">
        <v>17</v>
      </c>
      <c r="C17" s="9" t="s">
        <v>18</v>
      </c>
      <c r="D17" s="10"/>
      <c r="E17" s="2"/>
      <c r="F17" s="10"/>
      <c r="G17" s="2"/>
      <c r="H17" s="10"/>
      <c r="I17" s="2"/>
      <c r="J17" s="10"/>
      <c r="K17" s="2"/>
    </row>
    <row r="18">
      <c r="A18" s="8" t="s">
        <v>31</v>
      </c>
      <c r="B18" s="9" t="s">
        <v>17</v>
      </c>
      <c r="C18" s="9" t="s">
        <v>18</v>
      </c>
      <c r="D18" s="10"/>
      <c r="E18" s="2"/>
      <c r="F18" s="10"/>
      <c r="G18" s="2"/>
      <c r="H18" s="10"/>
      <c r="I18" s="2"/>
      <c r="J18" s="10"/>
      <c r="K18" s="2"/>
    </row>
    <row r="19">
      <c r="A19" s="8" t="s">
        <v>32</v>
      </c>
      <c r="B19" s="9" t="s">
        <v>17</v>
      </c>
      <c r="C19" s="9" t="s">
        <v>18</v>
      </c>
      <c r="D19" s="10"/>
      <c r="E19" s="2" t="n">
        <f>58850</f>
        <v>58850.0</v>
      </c>
      <c r="F19" s="10"/>
      <c r="G19" s="2" t="n">
        <f>1371492926700</f>
        <v>1.3714929267E12</v>
      </c>
      <c r="H19" s="10"/>
      <c r="I19" s="2" t="n">
        <f>3948</f>
        <v>3948.0</v>
      </c>
      <c r="J19" s="10"/>
      <c r="K19" s="2" t="n">
        <f>364621</f>
        <v>364621.0</v>
      </c>
    </row>
    <row r="20">
      <c r="A20" s="8" t="s">
        <v>33</v>
      </c>
      <c r="B20" s="9" t="s">
        <v>17</v>
      </c>
      <c r="C20" s="9" t="s">
        <v>18</v>
      </c>
      <c r="D20" s="10"/>
      <c r="E20" s="2" t="n">
        <f>48789</f>
        <v>48789.0</v>
      </c>
      <c r="F20" s="10"/>
      <c r="G20" s="2" t="n">
        <f>1135394484360</f>
        <v>1.13539448436E12</v>
      </c>
      <c r="H20" s="10"/>
      <c r="I20" s="2" t="n">
        <f>3832</f>
        <v>3832.0</v>
      </c>
      <c r="J20" s="10"/>
      <c r="K20" s="2" t="n">
        <f>364528</f>
        <v>364528.0</v>
      </c>
    </row>
    <row r="21">
      <c r="A21" s="8" t="s">
        <v>34</v>
      </c>
      <c r="B21" s="9" t="s">
        <v>17</v>
      </c>
      <c r="C21" s="9" t="s">
        <v>18</v>
      </c>
      <c r="D21" s="10" t="s">
        <v>35</v>
      </c>
      <c r="E21" s="2" t="n">
        <f>36179</f>
        <v>36179.0</v>
      </c>
      <c r="F21" s="10" t="s">
        <v>35</v>
      </c>
      <c r="G21" s="2" t="n">
        <f>841655109550</f>
        <v>8.4165510955E11</v>
      </c>
      <c r="H21" s="10" t="s">
        <v>35</v>
      </c>
      <c r="I21" s="2" t="n">
        <f>2420</f>
        <v>2420.0</v>
      </c>
      <c r="J21" s="10" t="s">
        <v>35</v>
      </c>
      <c r="K21" s="2" t="n">
        <f>364313</f>
        <v>364313.0</v>
      </c>
    </row>
    <row r="22">
      <c r="A22" s="8" t="s">
        <v>36</v>
      </c>
      <c r="B22" s="9" t="s">
        <v>17</v>
      </c>
      <c r="C22" s="9" t="s">
        <v>18</v>
      </c>
      <c r="D22" s="10"/>
      <c r="E22" s="2" t="n">
        <f>54997</f>
        <v>54997.0</v>
      </c>
      <c r="F22" s="10"/>
      <c r="G22" s="2" t="n">
        <f>1276287891579</f>
        <v>1.276287891579E12</v>
      </c>
      <c r="H22" s="10"/>
      <c r="I22" s="2" t="n">
        <f>3725</f>
        <v>3725.0</v>
      </c>
      <c r="J22" s="10"/>
      <c r="K22" s="2" t="n">
        <f>366666</f>
        <v>366666.0</v>
      </c>
    </row>
    <row r="23">
      <c r="A23" s="8" t="s">
        <v>37</v>
      </c>
      <c r="B23" s="9" t="s">
        <v>17</v>
      </c>
      <c r="C23" s="9" t="s">
        <v>18</v>
      </c>
      <c r="D23" s="10"/>
      <c r="E23" s="2" t="n">
        <f>52719</f>
        <v>52719.0</v>
      </c>
      <c r="F23" s="10"/>
      <c r="G23" s="2" t="n">
        <f>1221606814210</f>
        <v>1.22160681421E12</v>
      </c>
      <c r="H23" s="10"/>
      <c r="I23" s="2" t="n">
        <f>3259</f>
        <v>3259.0</v>
      </c>
      <c r="J23" s="10"/>
      <c r="K23" s="2" t="n">
        <f>367016</f>
        <v>367016.0</v>
      </c>
    </row>
    <row r="24">
      <c r="A24" s="8" t="s">
        <v>38</v>
      </c>
      <c r="B24" s="9" t="s">
        <v>17</v>
      </c>
      <c r="C24" s="9" t="s">
        <v>18</v>
      </c>
      <c r="D24" s="10"/>
      <c r="E24" s="2"/>
      <c r="F24" s="10"/>
      <c r="G24" s="2"/>
      <c r="H24" s="10"/>
      <c r="I24" s="2"/>
      <c r="J24" s="10"/>
      <c r="K24" s="2"/>
    </row>
    <row r="25">
      <c r="A25" s="8" t="s">
        <v>39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40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41</v>
      </c>
      <c r="B27" s="9" t="s">
        <v>17</v>
      </c>
      <c r="C27" s="9" t="s">
        <v>18</v>
      </c>
      <c r="D27" s="10"/>
      <c r="E27" s="2"/>
      <c r="F27" s="10"/>
      <c r="G27" s="2"/>
      <c r="H27" s="10"/>
      <c r="I27" s="2"/>
      <c r="J27" s="10"/>
      <c r="K27" s="2"/>
    </row>
    <row r="28">
      <c r="A28" s="8" t="s">
        <v>42</v>
      </c>
      <c r="B28" s="9" t="s">
        <v>17</v>
      </c>
      <c r="C28" s="9" t="s">
        <v>18</v>
      </c>
      <c r="D28" s="10"/>
      <c r="E28" s="2" t="n">
        <f>67741</f>
        <v>67741.0</v>
      </c>
      <c r="F28" s="10"/>
      <c r="G28" s="2" t="n">
        <f>1565358583070</f>
        <v>1.56535858307E12</v>
      </c>
      <c r="H28" s="10"/>
      <c r="I28" s="2" t="n">
        <f>4992</f>
        <v>4992.0</v>
      </c>
      <c r="J28" s="10"/>
      <c r="K28" s="2" t="n">
        <f>371098</f>
        <v>371098.0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79307</f>
        <v>79307.0</v>
      </c>
      <c r="F29" s="10"/>
      <c r="G29" s="2" t="n">
        <f>1826551096500</f>
        <v>1.8265510965E12</v>
      </c>
      <c r="H29" s="10"/>
      <c r="I29" s="2" t="n">
        <f>7452</f>
        <v>7452.0</v>
      </c>
      <c r="J29" s="10"/>
      <c r="K29" s="2" t="n">
        <f>371092</f>
        <v>371092.0</v>
      </c>
    </row>
    <row r="30">
      <c r="A30" s="8" t="s">
        <v>44</v>
      </c>
      <c r="B30" s="9" t="s">
        <v>17</v>
      </c>
      <c r="C30" s="9" t="s">
        <v>18</v>
      </c>
      <c r="D30" s="10"/>
      <c r="E30" s="2" t="n">
        <f>81546</f>
        <v>81546.0</v>
      </c>
      <c r="F30" s="10"/>
      <c r="G30" s="2" t="n">
        <f>1876529705289</f>
        <v>1.876529705289E12</v>
      </c>
      <c r="H30" s="10"/>
      <c r="I30" s="2" t="n">
        <f>6621</f>
        <v>6621.0</v>
      </c>
      <c r="J30" s="10"/>
      <c r="K30" s="2" t="n">
        <f>374539</f>
        <v>374539.0</v>
      </c>
    </row>
    <row r="31">
      <c r="A31" s="8" t="s">
        <v>45</v>
      </c>
      <c r="B31" s="9" t="s">
        <v>17</v>
      </c>
      <c r="C31" s="9" t="s">
        <v>18</v>
      </c>
      <c r="D31" s="10"/>
      <c r="E31" s="2"/>
      <c r="F31" s="10"/>
      <c r="G31" s="2"/>
      <c r="H31" s="10"/>
      <c r="I31" s="2"/>
      <c r="J31" s="10"/>
      <c r="K31" s="2"/>
    </row>
    <row r="32">
      <c r="A32" s="8" t="s">
        <v>46</v>
      </c>
      <c r="B32" s="9" t="s">
        <v>17</v>
      </c>
      <c r="C32" s="9" t="s">
        <v>18</v>
      </c>
      <c r="D32" s="10"/>
      <c r="E32" s="2"/>
      <c r="F32" s="10"/>
      <c r="G32" s="2"/>
      <c r="H32" s="10"/>
      <c r="I32" s="2"/>
      <c r="J32" s="10"/>
      <c r="K32" s="2"/>
    </row>
    <row r="33">
      <c r="A33" s="8" t="s">
        <v>47</v>
      </c>
      <c r="B33" s="9" t="s">
        <v>17</v>
      </c>
      <c r="C33" s="9" t="s">
        <v>18</v>
      </c>
      <c r="D33" s="10"/>
      <c r="E33" s="2" t="n">
        <f>74374</f>
        <v>74374.0</v>
      </c>
      <c r="F33" s="10"/>
      <c r="G33" s="2" t="n">
        <f>1720418653320</f>
        <v>1.72041865332E12</v>
      </c>
      <c r="H33" s="10"/>
      <c r="I33" s="2" t="n">
        <f>7913</f>
        <v>7913.0</v>
      </c>
      <c r="J33" s="10"/>
      <c r="K33" s="2" t="n">
        <f>376280</f>
        <v>376280.0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77655</f>
        <v>77655.0</v>
      </c>
      <c r="F34" s="10"/>
      <c r="G34" s="2" t="n">
        <f>1820575392080</f>
        <v>1.82057539208E12</v>
      </c>
      <c r="H34" s="10"/>
      <c r="I34" s="2" t="n">
        <f>6566</f>
        <v>6566.0</v>
      </c>
      <c r="J34" s="10"/>
      <c r="K34" s="2" t="n">
        <f>383270</f>
        <v>383270.0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99374</f>
        <v>99374.0</v>
      </c>
      <c r="F35" s="10"/>
      <c r="G35" s="2" t="n">
        <f>2317383751460</f>
        <v>2.31738375146E12</v>
      </c>
      <c r="H35" s="10"/>
      <c r="I35" s="2" t="n">
        <f>8073</f>
        <v>8073.0</v>
      </c>
      <c r="J35" s="10"/>
      <c r="K35" s="2" t="n">
        <f>380877</f>
        <v>380877.0</v>
      </c>
    </row>
    <row r="36">
      <c r="A36" s="8" t="s">
        <v>16</v>
      </c>
      <c r="B36" s="9" t="s">
        <v>50</v>
      </c>
      <c r="C36" s="9" t="s">
        <v>51</v>
      </c>
      <c r="D36" s="10"/>
      <c r="E36" s="2" t="n">
        <f>779794</f>
        <v>779794.0</v>
      </c>
      <c r="F36" s="10"/>
      <c r="G36" s="2" t="n">
        <f>1802409129203</f>
        <v>1.802409129203E12</v>
      </c>
      <c r="H36" s="10"/>
      <c r="I36" s="2" t="n">
        <f>69758</f>
        <v>69758.0</v>
      </c>
      <c r="J36" s="10"/>
      <c r="K36" s="2" t="n">
        <f>654833</f>
        <v>654833.0</v>
      </c>
    </row>
    <row r="37">
      <c r="A37" s="8" t="s">
        <v>19</v>
      </c>
      <c r="B37" s="9" t="s">
        <v>50</v>
      </c>
      <c r="C37" s="9" t="s">
        <v>51</v>
      </c>
      <c r="D37" s="10"/>
      <c r="E37" s="2" t="n">
        <f>780738</f>
        <v>780738.0</v>
      </c>
      <c r="F37" s="10"/>
      <c r="G37" s="2" t="n">
        <f>1809126824360</f>
        <v>1.80912682436E12</v>
      </c>
      <c r="H37" s="10"/>
      <c r="I37" s="2" t="n">
        <f>55214</f>
        <v>55214.0</v>
      </c>
      <c r="J37" s="10"/>
      <c r="K37" s="2" t="n">
        <f>657775</f>
        <v>657775.0</v>
      </c>
    </row>
    <row r="38">
      <c r="A38" s="8" t="s">
        <v>20</v>
      </c>
      <c r="B38" s="9" t="s">
        <v>50</v>
      </c>
      <c r="C38" s="9" t="s">
        <v>51</v>
      </c>
      <c r="D38" s="10"/>
      <c r="E38" s="2" t="n">
        <f>1093329</f>
        <v>1093329.0</v>
      </c>
      <c r="F38" s="10"/>
      <c r="G38" s="2" t="n">
        <f>2562577564250</f>
        <v>2.56257756425E12</v>
      </c>
      <c r="H38" s="10"/>
      <c r="I38" s="2" t="n">
        <f>85892</f>
        <v>85892.0</v>
      </c>
      <c r="J38" s="10"/>
      <c r="K38" s="2" t="n">
        <f>657650</f>
        <v>657650.0</v>
      </c>
    </row>
    <row r="39">
      <c r="A39" s="8" t="s">
        <v>21</v>
      </c>
      <c r="B39" s="9" t="s">
        <v>50</v>
      </c>
      <c r="C39" s="9" t="s">
        <v>51</v>
      </c>
      <c r="D39" s="10"/>
      <c r="E39" s="2" t="n">
        <f>1534020</f>
        <v>1534020.0</v>
      </c>
      <c r="F39" s="10"/>
      <c r="G39" s="2" t="n">
        <f>3557879299736</f>
        <v>3.557879299736E12</v>
      </c>
      <c r="H39" s="10"/>
      <c r="I39" s="2" t="n">
        <f>130081</f>
        <v>130081.0</v>
      </c>
      <c r="J39" s="10"/>
      <c r="K39" s="2" t="n">
        <f>667267</f>
        <v>667267.0</v>
      </c>
    </row>
    <row r="40">
      <c r="A40" s="8" t="s">
        <v>22</v>
      </c>
      <c r="B40" s="9" t="s">
        <v>50</v>
      </c>
      <c r="C40" s="9" t="s">
        <v>51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23</v>
      </c>
      <c r="B41" s="9" t="s">
        <v>50</v>
      </c>
      <c r="C41" s="9" t="s">
        <v>51</v>
      </c>
      <c r="D41" s="10"/>
      <c r="E41" s="2"/>
      <c r="F41" s="10"/>
      <c r="G41" s="2"/>
      <c r="H41" s="10"/>
      <c r="I41" s="2"/>
      <c r="J41" s="10"/>
      <c r="K41" s="2"/>
    </row>
    <row r="42">
      <c r="A42" s="8" t="s">
        <v>24</v>
      </c>
      <c r="B42" s="9" t="s">
        <v>50</v>
      </c>
      <c r="C42" s="9" t="s">
        <v>51</v>
      </c>
      <c r="D42" s="10" t="s">
        <v>26</v>
      </c>
      <c r="E42" s="2" t="n">
        <f>1554110</f>
        <v>1554110.0</v>
      </c>
      <c r="F42" s="10" t="s">
        <v>26</v>
      </c>
      <c r="G42" s="2" t="n">
        <f>3590311771670</f>
        <v>3.59031177167E12</v>
      </c>
      <c r="H42" s="10"/>
      <c r="I42" s="2" t="n">
        <f>131058</f>
        <v>131058.0</v>
      </c>
      <c r="J42" s="10"/>
      <c r="K42" s="2" t="n">
        <f>672940</f>
        <v>672940.0</v>
      </c>
    </row>
    <row r="43">
      <c r="A43" s="8" t="s">
        <v>25</v>
      </c>
      <c r="B43" s="9" t="s">
        <v>50</v>
      </c>
      <c r="C43" s="9" t="s">
        <v>51</v>
      </c>
      <c r="D43" s="10"/>
      <c r="E43" s="2" t="n">
        <f>923564</f>
        <v>923564.0</v>
      </c>
      <c r="F43" s="10"/>
      <c r="G43" s="2" t="n">
        <f>2139779323717</f>
        <v>2.139779323717E12</v>
      </c>
      <c r="H43" s="10" t="s">
        <v>26</v>
      </c>
      <c r="I43" s="2" t="n">
        <f>261219</f>
        <v>261219.0</v>
      </c>
      <c r="J43" s="10"/>
      <c r="K43" s="2" t="n">
        <f>716969</f>
        <v>716969.0</v>
      </c>
    </row>
    <row r="44">
      <c r="A44" s="8" t="s">
        <v>27</v>
      </c>
      <c r="B44" s="9" t="s">
        <v>50</v>
      </c>
      <c r="C44" s="9" t="s">
        <v>51</v>
      </c>
      <c r="D44" s="10"/>
      <c r="E44" s="2" t="n">
        <f>1497046</f>
        <v>1497046.0</v>
      </c>
      <c r="F44" s="10"/>
      <c r="G44" s="2" t="n">
        <f>3439691759110</f>
        <v>3.43969175911E12</v>
      </c>
      <c r="H44" s="10"/>
      <c r="I44" s="2" t="n">
        <f>139900</f>
        <v>139900.0</v>
      </c>
      <c r="J44" s="10"/>
      <c r="K44" s="2" t="n">
        <f>714240</f>
        <v>714240.0</v>
      </c>
    </row>
    <row r="45">
      <c r="A45" s="8" t="s">
        <v>28</v>
      </c>
      <c r="B45" s="9" t="s">
        <v>50</v>
      </c>
      <c r="C45" s="9" t="s">
        <v>51</v>
      </c>
      <c r="D45" s="10"/>
      <c r="E45" s="2" t="n">
        <f>1083273</f>
        <v>1083273.0</v>
      </c>
      <c r="F45" s="10"/>
      <c r="G45" s="2" t="n">
        <f>2500261419232</f>
        <v>2.500261419232E12</v>
      </c>
      <c r="H45" s="10"/>
      <c r="I45" s="2" t="n">
        <f>78052</f>
        <v>78052.0</v>
      </c>
      <c r="J45" s="10"/>
      <c r="K45" s="2" t="n">
        <f>677624</f>
        <v>677624.0</v>
      </c>
    </row>
    <row r="46">
      <c r="A46" s="8" t="s">
        <v>29</v>
      </c>
      <c r="B46" s="9" t="s">
        <v>50</v>
      </c>
      <c r="C46" s="9" t="s">
        <v>51</v>
      </c>
      <c r="D46" s="10"/>
      <c r="E46" s="2" t="n">
        <f>1078449</f>
        <v>1078449.0</v>
      </c>
      <c r="F46" s="10"/>
      <c r="G46" s="2" t="n">
        <f>2489219649727</f>
        <v>2.489219649727E12</v>
      </c>
      <c r="H46" s="10"/>
      <c r="I46" s="2" t="n">
        <f>94298</f>
        <v>94298.0</v>
      </c>
      <c r="J46" s="10" t="s">
        <v>26</v>
      </c>
      <c r="K46" s="2" t="n">
        <f>752413</f>
        <v>752413.0</v>
      </c>
    </row>
    <row r="47">
      <c r="A47" s="8" t="s">
        <v>30</v>
      </c>
      <c r="B47" s="9" t="s">
        <v>50</v>
      </c>
      <c r="C47" s="9" t="s">
        <v>51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31</v>
      </c>
      <c r="B48" s="9" t="s">
        <v>50</v>
      </c>
      <c r="C48" s="9" t="s">
        <v>51</v>
      </c>
      <c r="D48" s="10"/>
      <c r="E48" s="2"/>
      <c r="F48" s="10"/>
      <c r="G48" s="2"/>
      <c r="H48" s="10"/>
      <c r="I48" s="2"/>
      <c r="J48" s="10"/>
      <c r="K48" s="2"/>
    </row>
    <row r="49">
      <c r="A49" s="8" t="s">
        <v>32</v>
      </c>
      <c r="B49" s="9" t="s">
        <v>50</v>
      </c>
      <c r="C49" s="9" t="s">
        <v>51</v>
      </c>
      <c r="D49" s="10"/>
      <c r="E49" s="2" t="n">
        <f>884084</f>
        <v>884084.0</v>
      </c>
      <c r="F49" s="10"/>
      <c r="G49" s="2" t="n">
        <f>2057424068716</f>
        <v>2.057424068716E12</v>
      </c>
      <c r="H49" s="10"/>
      <c r="I49" s="2" t="n">
        <f>66552</f>
        <v>66552.0</v>
      </c>
      <c r="J49" s="10" t="s">
        <v>35</v>
      </c>
      <c r="K49" s="2" t="n">
        <f>370548</f>
        <v>370548.0</v>
      </c>
    </row>
    <row r="50">
      <c r="A50" s="8" t="s">
        <v>33</v>
      </c>
      <c r="B50" s="9" t="s">
        <v>50</v>
      </c>
      <c r="C50" s="9" t="s">
        <v>51</v>
      </c>
      <c r="D50" s="10"/>
      <c r="E50" s="2" t="n">
        <f>636373</f>
        <v>636373.0</v>
      </c>
      <c r="F50" s="10"/>
      <c r="G50" s="2" t="n">
        <f>1481258938320</f>
        <v>1.48125893832E12</v>
      </c>
      <c r="H50" s="10"/>
      <c r="I50" s="2" t="n">
        <f>56871</f>
        <v>56871.0</v>
      </c>
      <c r="J50" s="10"/>
      <c r="K50" s="2" t="n">
        <f>390803</f>
        <v>390803.0</v>
      </c>
    </row>
    <row r="51">
      <c r="A51" s="8" t="s">
        <v>34</v>
      </c>
      <c r="B51" s="9" t="s">
        <v>50</v>
      </c>
      <c r="C51" s="9" t="s">
        <v>51</v>
      </c>
      <c r="D51" s="10" t="s">
        <v>35</v>
      </c>
      <c r="E51" s="2" t="n">
        <f>510067</f>
        <v>510067.0</v>
      </c>
      <c r="F51" s="10" t="s">
        <v>35</v>
      </c>
      <c r="G51" s="2" t="n">
        <f>1188773994646</f>
        <v>1.188773994646E12</v>
      </c>
      <c r="H51" s="10" t="s">
        <v>35</v>
      </c>
      <c r="I51" s="2" t="n">
        <f>49388</f>
        <v>49388.0</v>
      </c>
      <c r="J51" s="10"/>
      <c r="K51" s="2" t="n">
        <f>406994</f>
        <v>406994.0</v>
      </c>
    </row>
    <row r="52">
      <c r="A52" s="8" t="s">
        <v>36</v>
      </c>
      <c r="B52" s="9" t="s">
        <v>50</v>
      </c>
      <c r="C52" s="9" t="s">
        <v>51</v>
      </c>
      <c r="D52" s="10"/>
      <c r="E52" s="2" t="n">
        <f>734467</f>
        <v>734467.0</v>
      </c>
      <c r="F52" s="10"/>
      <c r="G52" s="2" t="n">
        <f>1705775563454</f>
        <v>1.705775563454E12</v>
      </c>
      <c r="H52" s="10"/>
      <c r="I52" s="2" t="n">
        <f>63228</f>
        <v>63228.0</v>
      </c>
      <c r="J52" s="10"/>
      <c r="K52" s="2" t="n">
        <f>414674</f>
        <v>414674.0</v>
      </c>
    </row>
    <row r="53">
      <c r="A53" s="8" t="s">
        <v>37</v>
      </c>
      <c r="B53" s="9" t="s">
        <v>50</v>
      </c>
      <c r="C53" s="9" t="s">
        <v>51</v>
      </c>
      <c r="D53" s="10"/>
      <c r="E53" s="2" t="n">
        <f>712413</f>
        <v>712413.0</v>
      </c>
      <c r="F53" s="10"/>
      <c r="G53" s="2" t="n">
        <f>1650747913850</f>
        <v>1.65074791385E12</v>
      </c>
      <c r="H53" s="10"/>
      <c r="I53" s="2" t="n">
        <f>63026</f>
        <v>63026.0</v>
      </c>
      <c r="J53" s="10"/>
      <c r="K53" s="2" t="n">
        <f>410293</f>
        <v>410293.0</v>
      </c>
    </row>
    <row r="54">
      <c r="A54" s="8" t="s">
        <v>38</v>
      </c>
      <c r="B54" s="9" t="s">
        <v>50</v>
      </c>
      <c r="C54" s="9" t="s">
        <v>51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39</v>
      </c>
      <c r="B55" s="9" t="s">
        <v>50</v>
      </c>
      <c r="C55" s="9" t="s">
        <v>51</v>
      </c>
      <c r="D55" s="10"/>
      <c r="E55" s="2"/>
      <c r="F55" s="10"/>
      <c r="G55" s="2"/>
      <c r="H55" s="10"/>
      <c r="I55" s="2"/>
      <c r="J55" s="10"/>
      <c r="K55" s="2"/>
    </row>
    <row r="56">
      <c r="A56" s="8" t="s">
        <v>40</v>
      </c>
      <c r="B56" s="9" t="s">
        <v>50</v>
      </c>
      <c r="C56" s="9" t="s">
        <v>51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41</v>
      </c>
      <c r="B57" s="9" t="s">
        <v>50</v>
      </c>
      <c r="C57" s="9" t="s">
        <v>51</v>
      </c>
      <c r="D57" s="10"/>
      <c r="E57" s="2"/>
      <c r="F57" s="10"/>
      <c r="G57" s="2"/>
      <c r="H57" s="10"/>
      <c r="I57" s="2"/>
      <c r="J57" s="10"/>
      <c r="K57" s="2"/>
    </row>
    <row r="58">
      <c r="A58" s="8" t="s">
        <v>42</v>
      </c>
      <c r="B58" s="9" t="s">
        <v>50</v>
      </c>
      <c r="C58" s="9" t="s">
        <v>51</v>
      </c>
      <c r="D58" s="10"/>
      <c r="E58" s="2" t="n">
        <f>887292</f>
        <v>887292.0</v>
      </c>
      <c r="F58" s="10"/>
      <c r="G58" s="2" t="n">
        <f>2050141109850</f>
        <v>2.05014110985E12</v>
      </c>
      <c r="H58" s="10"/>
      <c r="I58" s="2" t="n">
        <f>66930</f>
        <v>66930.0</v>
      </c>
      <c r="J58" s="10"/>
      <c r="K58" s="2" t="n">
        <f>442953</f>
        <v>442953.0</v>
      </c>
    </row>
    <row r="59">
      <c r="A59" s="8" t="s">
        <v>43</v>
      </c>
      <c r="B59" s="9" t="s">
        <v>50</v>
      </c>
      <c r="C59" s="9" t="s">
        <v>51</v>
      </c>
      <c r="D59" s="10"/>
      <c r="E59" s="2" t="n">
        <f>969006</f>
        <v>969006.0</v>
      </c>
      <c r="F59" s="10"/>
      <c r="G59" s="2" t="n">
        <f>2234129662609</f>
        <v>2.234129662609E12</v>
      </c>
      <c r="H59" s="10"/>
      <c r="I59" s="2" t="n">
        <f>74559</f>
        <v>74559.0</v>
      </c>
      <c r="J59" s="10"/>
      <c r="K59" s="2" t="n">
        <f>447981</f>
        <v>447981.0</v>
      </c>
    </row>
    <row r="60">
      <c r="A60" s="8" t="s">
        <v>44</v>
      </c>
      <c r="B60" s="9" t="s">
        <v>50</v>
      </c>
      <c r="C60" s="9" t="s">
        <v>51</v>
      </c>
      <c r="D60" s="10"/>
      <c r="E60" s="2" t="n">
        <f>1044640</f>
        <v>1044640.0</v>
      </c>
      <c r="F60" s="10"/>
      <c r="G60" s="2" t="n">
        <f>2403764092497</f>
        <v>2.403764092497E12</v>
      </c>
      <c r="H60" s="10"/>
      <c r="I60" s="2" t="n">
        <f>79602</f>
        <v>79602.0</v>
      </c>
      <c r="J60" s="10"/>
      <c r="K60" s="2" t="n">
        <f>465625</f>
        <v>465625.0</v>
      </c>
    </row>
    <row r="61">
      <c r="A61" s="8" t="s">
        <v>45</v>
      </c>
      <c r="B61" s="9" t="s">
        <v>50</v>
      </c>
      <c r="C61" s="9" t="s">
        <v>51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46</v>
      </c>
      <c r="B62" s="9" t="s">
        <v>50</v>
      </c>
      <c r="C62" s="9" t="s">
        <v>51</v>
      </c>
      <c r="D62" s="10"/>
      <c r="E62" s="2"/>
      <c r="F62" s="10"/>
      <c r="G62" s="2"/>
      <c r="H62" s="10"/>
      <c r="I62" s="2"/>
      <c r="J62" s="10"/>
      <c r="K62" s="2"/>
    </row>
    <row r="63">
      <c r="A63" s="8" t="s">
        <v>47</v>
      </c>
      <c r="B63" s="9" t="s">
        <v>50</v>
      </c>
      <c r="C63" s="9" t="s">
        <v>51</v>
      </c>
      <c r="D63" s="10"/>
      <c r="E63" s="2" t="n">
        <f>1004755</f>
        <v>1004755.0</v>
      </c>
      <c r="F63" s="10"/>
      <c r="G63" s="2" t="n">
        <f>2320174435450</f>
        <v>2.32017443545E12</v>
      </c>
      <c r="H63" s="10"/>
      <c r="I63" s="2" t="n">
        <f>79322</f>
        <v>79322.0</v>
      </c>
      <c r="J63" s="10"/>
      <c r="K63" s="2" t="n">
        <f>492825</f>
        <v>492825.0</v>
      </c>
    </row>
    <row r="64">
      <c r="A64" s="8" t="s">
        <v>48</v>
      </c>
      <c r="B64" s="9" t="s">
        <v>50</v>
      </c>
      <c r="C64" s="9" t="s">
        <v>51</v>
      </c>
      <c r="D64" s="10"/>
      <c r="E64" s="2" t="n">
        <f>950017</f>
        <v>950017.0</v>
      </c>
      <c r="F64" s="10"/>
      <c r="G64" s="2" t="n">
        <f>2225459918250</f>
        <v>2.22545991825E12</v>
      </c>
      <c r="H64" s="10"/>
      <c r="I64" s="2" t="n">
        <f>86086</f>
        <v>86086.0</v>
      </c>
      <c r="J64" s="10"/>
      <c r="K64" s="2" t="n">
        <f>531448</f>
        <v>531448.0</v>
      </c>
    </row>
    <row r="65">
      <c r="A65" s="8" t="s">
        <v>49</v>
      </c>
      <c r="B65" s="9" t="s">
        <v>50</v>
      </c>
      <c r="C65" s="9" t="s">
        <v>51</v>
      </c>
      <c r="D65" s="10"/>
      <c r="E65" s="2" t="n">
        <f>1112032</f>
        <v>1112032.0</v>
      </c>
      <c r="F65" s="10"/>
      <c r="G65" s="2" t="n">
        <f>2598282360108</f>
        <v>2.598282360108E12</v>
      </c>
      <c r="H65" s="10"/>
      <c r="I65" s="2" t="n">
        <f>90850</f>
        <v>90850.0</v>
      </c>
      <c r="J65" s="10"/>
      <c r="K65" s="2" t="n">
        <f>488664</f>
        <v>488664.0</v>
      </c>
    </row>
    <row r="66">
      <c r="A66" s="8" t="s">
        <v>16</v>
      </c>
      <c r="B66" s="9" t="s">
        <v>52</v>
      </c>
      <c r="C66" s="9" t="s">
        <v>53</v>
      </c>
      <c r="D66" s="10"/>
      <c r="E66" s="2" t="n">
        <f>58734</f>
        <v>58734.0</v>
      </c>
      <c r="F66" s="10"/>
      <c r="G66" s="2" t="n">
        <f>947179855884</f>
        <v>9.47179855884E11</v>
      </c>
      <c r="H66" s="10"/>
      <c r="I66" s="2" t="n">
        <f>13324</f>
        <v>13324.0</v>
      </c>
      <c r="J66" s="10"/>
      <c r="K66" s="2" t="n">
        <f>556640</f>
        <v>556640.0</v>
      </c>
    </row>
    <row r="67">
      <c r="A67" s="8" t="s">
        <v>19</v>
      </c>
      <c r="B67" s="9" t="s">
        <v>52</v>
      </c>
      <c r="C67" s="9" t="s">
        <v>53</v>
      </c>
      <c r="D67" s="10"/>
      <c r="E67" s="2" t="n">
        <f>57387</f>
        <v>57387.0</v>
      </c>
      <c r="F67" s="10"/>
      <c r="G67" s="2" t="n">
        <f>928333139449</f>
        <v>9.28333139449E11</v>
      </c>
      <c r="H67" s="10"/>
      <c r="I67" s="2" t="n">
        <f>14714</f>
        <v>14714.0</v>
      </c>
      <c r="J67" s="10"/>
      <c r="K67" s="2" t="n">
        <f>558939</f>
        <v>558939.0</v>
      </c>
    </row>
    <row r="68">
      <c r="A68" s="8" t="s">
        <v>20</v>
      </c>
      <c r="B68" s="9" t="s">
        <v>52</v>
      </c>
      <c r="C68" s="9" t="s">
        <v>53</v>
      </c>
      <c r="D68" s="10"/>
      <c r="E68" s="2" t="n">
        <f>70159</f>
        <v>70159.0</v>
      </c>
      <c r="F68" s="10"/>
      <c r="G68" s="2" t="n">
        <f>1144786970300</f>
        <v>1.1447869703E12</v>
      </c>
      <c r="H68" s="10"/>
      <c r="I68" s="2" t="n">
        <f>14462</f>
        <v>14462.0</v>
      </c>
      <c r="J68" s="10"/>
      <c r="K68" s="2" t="n">
        <f>562675</f>
        <v>562675.0</v>
      </c>
    </row>
    <row r="69">
      <c r="A69" s="8" t="s">
        <v>21</v>
      </c>
      <c r="B69" s="9" t="s">
        <v>52</v>
      </c>
      <c r="C69" s="9" t="s">
        <v>53</v>
      </c>
      <c r="D69" s="10"/>
      <c r="E69" s="2" t="n">
        <f>149358</f>
        <v>149358.0</v>
      </c>
      <c r="F69" s="10"/>
      <c r="G69" s="2" t="n">
        <f>2408364329406</f>
        <v>2.408364329406E12</v>
      </c>
      <c r="H69" s="10"/>
      <c r="I69" s="2" t="n">
        <f>35923</f>
        <v>35923.0</v>
      </c>
      <c r="J69" s="10"/>
      <c r="K69" s="2" t="n">
        <f>597759</f>
        <v>597759.0</v>
      </c>
    </row>
    <row r="70">
      <c r="A70" s="8" t="s">
        <v>22</v>
      </c>
      <c r="B70" s="9" t="s">
        <v>52</v>
      </c>
      <c r="C70" s="9" t="s">
        <v>53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23</v>
      </c>
      <c r="B71" s="9" t="s">
        <v>52</v>
      </c>
      <c r="C71" s="9" t="s">
        <v>53</v>
      </c>
      <c r="D71" s="10"/>
      <c r="E71" s="2"/>
      <c r="F71" s="10"/>
      <c r="G71" s="2"/>
      <c r="H71" s="10"/>
      <c r="I71" s="2"/>
      <c r="J71" s="10"/>
      <c r="K71" s="2"/>
    </row>
    <row r="72">
      <c r="A72" s="8" t="s">
        <v>24</v>
      </c>
      <c r="B72" s="9" t="s">
        <v>52</v>
      </c>
      <c r="C72" s="9" t="s">
        <v>53</v>
      </c>
      <c r="D72" s="10"/>
      <c r="E72" s="2" t="n">
        <f>550013</f>
        <v>550013.0</v>
      </c>
      <c r="F72" s="10"/>
      <c r="G72" s="2" t="n">
        <f>8834644935110</f>
        <v>8.83464493511E12</v>
      </c>
      <c r="H72" s="10"/>
      <c r="I72" s="2" t="n">
        <f>121176</f>
        <v>121176.0</v>
      </c>
      <c r="J72" s="10"/>
      <c r="K72" s="2" t="n">
        <f>619193</f>
        <v>619193.0</v>
      </c>
    </row>
    <row r="73">
      <c r="A73" s="8" t="s">
        <v>25</v>
      </c>
      <c r="B73" s="9" t="s">
        <v>52</v>
      </c>
      <c r="C73" s="9" t="s">
        <v>53</v>
      </c>
      <c r="D73" s="10" t="s">
        <v>26</v>
      </c>
      <c r="E73" s="2" t="n">
        <f>931847</f>
        <v>931847.0</v>
      </c>
      <c r="F73" s="10" t="s">
        <v>26</v>
      </c>
      <c r="G73" s="2" t="n">
        <f>14975341698878</f>
        <v>1.4975341698878E13</v>
      </c>
      <c r="H73" s="10" t="s">
        <v>26</v>
      </c>
      <c r="I73" s="2" t="n">
        <f>288085</f>
        <v>288085.0</v>
      </c>
      <c r="J73" s="10"/>
      <c r="K73" s="2" t="n">
        <f>650270</f>
        <v>650270.0</v>
      </c>
    </row>
    <row r="74">
      <c r="A74" s="8" t="s">
        <v>27</v>
      </c>
      <c r="B74" s="9" t="s">
        <v>52</v>
      </c>
      <c r="C74" s="9" t="s">
        <v>53</v>
      </c>
      <c r="D74" s="10"/>
      <c r="E74" s="2" t="n">
        <f>494294</f>
        <v>494294.0</v>
      </c>
      <c r="F74" s="10"/>
      <c r="G74" s="2" t="n">
        <f>7884944770267</f>
        <v>7.884944770267E12</v>
      </c>
      <c r="H74" s="10"/>
      <c r="I74" s="2" t="n">
        <f>79121</f>
        <v>79121.0</v>
      </c>
      <c r="J74" s="10" t="s">
        <v>26</v>
      </c>
      <c r="K74" s="2" t="n">
        <f>665339</f>
        <v>665339.0</v>
      </c>
    </row>
    <row r="75">
      <c r="A75" s="8" t="s">
        <v>28</v>
      </c>
      <c r="B75" s="9" t="s">
        <v>52</v>
      </c>
      <c r="C75" s="9" t="s">
        <v>53</v>
      </c>
      <c r="D75" s="10"/>
      <c r="E75" s="2" t="n">
        <f>182552</f>
        <v>182552.0</v>
      </c>
      <c r="F75" s="10"/>
      <c r="G75" s="2" t="n">
        <f>2932502437950</f>
        <v>2.93250243795E12</v>
      </c>
      <c r="H75" s="10"/>
      <c r="I75" s="2" t="n">
        <f>18816</f>
        <v>18816.0</v>
      </c>
      <c r="J75" s="10"/>
      <c r="K75" s="2" t="n">
        <f>623956</f>
        <v>623956.0</v>
      </c>
    </row>
    <row r="76">
      <c r="A76" s="8" t="s">
        <v>29</v>
      </c>
      <c r="B76" s="9" t="s">
        <v>52</v>
      </c>
      <c r="C76" s="9" t="s">
        <v>53</v>
      </c>
      <c r="D76" s="10"/>
      <c r="E76" s="2" t="n">
        <f>67995</f>
        <v>67995.0</v>
      </c>
      <c r="F76" s="10"/>
      <c r="G76" s="2" t="n">
        <f>1096547531650</f>
        <v>1.09654753165E12</v>
      </c>
      <c r="H76" s="10"/>
      <c r="I76" s="2" t="n">
        <f>12859</f>
        <v>12859.0</v>
      </c>
      <c r="J76" s="10"/>
      <c r="K76" s="2" t="n">
        <f>622460</f>
        <v>622460.0</v>
      </c>
    </row>
    <row r="77">
      <c r="A77" s="8" t="s">
        <v>30</v>
      </c>
      <c r="B77" s="9" t="s">
        <v>52</v>
      </c>
      <c r="C77" s="9" t="s">
        <v>53</v>
      </c>
      <c r="D77" s="10"/>
      <c r="E77" s="2"/>
      <c r="F77" s="10"/>
      <c r="G77" s="2"/>
      <c r="H77" s="10"/>
      <c r="I77" s="2"/>
      <c r="J77" s="10"/>
      <c r="K77" s="2"/>
    </row>
    <row r="78">
      <c r="A78" s="8" t="s">
        <v>31</v>
      </c>
      <c r="B78" s="9" t="s">
        <v>52</v>
      </c>
      <c r="C78" s="9" t="s">
        <v>53</v>
      </c>
      <c r="D78" s="10"/>
      <c r="E78" s="2"/>
      <c r="F78" s="10"/>
      <c r="G78" s="2"/>
      <c r="H78" s="10"/>
      <c r="I78" s="2"/>
      <c r="J78" s="10"/>
      <c r="K78" s="2"/>
    </row>
    <row r="79">
      <c r="A79" s="8" t="s">
        <v>32</v>
      </c>
      <c r="B79" s="9" t="s">
        <v>52</v>
      </c>
      <c r="C79" s="9" t="s">
        <v>53</v>
      </c>
      <c r="D79" s="10"/>
      <c r="E79" s="2" t="n">
        <f>62259</f>
        <v>62259.0</v>
      </c>
      <c r="F79" s="10"/>
      <c r="G79" s="2" t="n">
        <f>1015317920844</f>
        <v>1.015317920844E12</v>
      </c>
      <c r="H79" s="10"/>
      <c r="I79" s="2" t="n">
        <f>15470</f>
        <v>15470.0</v>
      </c>
      <c r="J79" s="10" t="s">
        <v>35</v>
      </c>
      <c r="K79" s="2" t="n">
        <f>539006</f>
        <v>539006.0</v>
      </c>
    </row>
    <row r="80">
      <c r="A80" s="8" t="s">
        <v>33</v>
      </c>
      <c r="B80" s="9" t="s">
        <v>52</v>
      </c>
      <c r="C80" s="9" t="s">
        <v>53</v>
      </c>
      <c r="D80" s="10"/>
      <c r="E80" s="2" t="n">
        <f>50365</f>
        <v>50365.0</v>
      </c>
      <c r="F80" s="10"/>
      <c r="G80" s="2" t="n">
        <f>819465433150</f>
        <v>8.1946543315E11</v>
      </c>
      <c r="H80" s="10" t="s">
        <v>35</v>
      </c>
      <c r="I80" s="2" t="n">
        <f>9385</f>
        <v>9385.0</v>
      </c>
      <c r="J80" s="10"/>
      <c r="K80" s="2" t="n">
        <f>539049</f>
        <v>539049.0</v>
      </c>
    </row>
    <row r="81">
      <c r="A81" s="8" t="s">
        <v>34</v>
      </c>
      <c r="B81" s="9" t="s">
        <v>52</v>
      </c>
      <c r="C81" s="9" t="s">
        <v>53</v>
      </c>
      <c r="D81" s="10" t="s">
        <v>35</v>
      </c>
      <c r="E81" s="2" t="n">
        <f>43832</f>
        <v>43832.0</v>
      </c>
      <c r="F81" s="10" t="s">
        <v>35</v>
      </c>
      <c r="G81" s="2" t="n">
        <f>714242044736</f>
        <v>7.14242044736E11</v>
      </c>
      <c r="H81" s="10"/>
      <c r="I81" s="2" t="n">
        <f>10894</f>
        <v>10894.0</v>
      </c>
      <c r="J81" s="10"/>
      <c r="K81" s="2" t="n">
        <f>540781</f>
        <v>540781.0</v>
      </c>
    </row>
    <row r="82">
      <c r="A82" s="8" t="s">
        <v>36</v>
      </c>
      <c r="B82" s="9" t="s">
        <v>52</v>
      </c>
      <c r="C82" s="9" t="s">
        <v>53</v>
      </c>
      <c r="D82" s="10"/>
      <c r="E82" s="2" t="n">
        <f>64008</f>
        <v>64008.0</v>
      </c>
      <c r="F82" s="10"/>
      <c r="G82" s="2" t="n">
        <f>1040692159572</f>
        <v>1.040692159572E12</v>
      </c>
      <c r="H82" s="10"/>
      <c r="I82" s="2" t="n">
        <f>15044</f>
        <v>15044.0</v>
      </c>
      <c r="J82" s="10"/>
      <c r="K82" s="2" t="n">
        <f>544647</f>
        <v>544647.0</v>
      </c>
    </row>
    <row r="83">
      <c r="A83" s="8" t="s">
        <v>37</v>
      </c>
      <c r="B83" s="9" t="s">
        <v>52</v>
      </c>
      <c r="C83" s="9" t="s">
        <v>53</v>
      </c>
      <c r="D83" s="10"/>
      <c r="E83" s="2" t="n">
        <f>62966</f>
        <v>62966.0</v>
      </c>
      <c r="F83" s="10"/>
      <c r="G83" s="2" t="n">
        <f>1025850998980</f>
        <v>1.02585099898E12</v>
      </c>
      <c r="H83" s="10"/>
      <c r="I83" s="2" t="n">
        <f>12490</f>
        <v>12490.0</v>
      </c>
      <c r="J83" s="10"/>
      <c r="K83" s="2" t="n">
        <f>549629</f>
        <v>549629.0</v>
      </c>
    </row>
    <row r="84">
      <c r="A84" s="8" t="s">
        <v>38</v>
      </c>
      <c r="B84" s="9" t="s">
        <v>52</v>
      </c>
      <c r="C84" s="9" t="s">
        <v>53</v>
      </c>
      <c r="D84" s="10"/>
      <c r="E84" s="2"/>
      <c r="F84" s="10"/>
      <c r="G84" s="2"/>
      <c r="H84" s="10"/>
      <c r="I84" s="2"/>
      <c r="J84" s="10"/>
      <c r="K84" s="2"/>
    </row>
    <row r="85">
      <c r="A85" s="8" t="s">
        <v>39</v>
      </c>
      <c r="B85" s="9" t="s">
        <v>52</v>
      </c>
      <c r="C85" s="9" t="s">
        <v>53</v>
      </c>
      <c r="D85" s="10"/>
      <c r="E85" s="2"/>
      <c r="F85" s="10"/>
      <c r="G85" s="2"/>
      <c r="H85" s="10"/>
      <c r="I85" s="2"/>
      <c r="J85" s="10"/>
      <c r="K85" s="2"/>
    </row>
    <row r="86">
      <c r="A86" s="8" t="s">
        <v>40</v>
      </c>
      <c r="B86" s="9" t="s">
        <v>52</v>
      </c>
      <c r="C86" s="9" t="s">
        <v>53</v>
      </c>
      <c r="D86" s="10"/>
      <c r="E86" s="2"/>
      <c r="F86" s="10"/>
      <c r="G86" s="2"/>
      <c r="H86" s="10"/>
      <c r="I86" s="2"/>
      <c r="J86" s="10"/>
      <c r="K86" s="2"/>
    </row>
    <row r="87">
      <c r="A87" s="8" t="s">
        <v>41</v>
      </c>
      <c r="B87" s="9" t="s">
        <v>52</v>
      </c>
      <c r="C87" s="9" t="s">
        <v>53</v>
      </c>
      <c r="D87" s="10"/>
      <c r="E87" s="2"/>
      <c r="F87" s="10"/>
      <c r="G87" s="2"/>
      <c r="H87" s="10"/>
      <c r="I87" s="2"/>
      <c r="J87" s="10"/>
      <c r="K87" s="2"/>
    </row>
    <row r="88">
      <c r="A88" s="8" t="s">
        <v>42</v>
      </c>
      <c r="B88" s="9" t="s">
        <v>52</v>
      </c>
      <c r="C88" s="9" t="s">
        <v>53</v>
      </c>
      <c r="D88" s="10"/>
      <c r="E88" s="2" t="n">
        <f>93655</f>
        <v>93655.0</v>
      </c>
      <c r="F88" s="10"/>
      <c r="G88" s="2" t="n">
        <f>1522996798850</f>
        <v>1.52299679885E12</v>
      </c>
      <c r="H88" s="10"/>
      <c r="I88" s="2" t="n">
        <f>15721</f>
        <v>15721.0</v>
      </c>
      <c r="J88" s="10"/>
      <c r="K88" s="2" t="n">
        <f>554425</f>
        <v>554425.0</v>
      </c>
    </row>
    <row r="89">
      <c r="A89" s="8" t="s">
        <v>43</v>
      </c>
      <c r="B89" s="9" t="s">
        <v>52</v>
      </c>
      <c r="C89" s="9" t="s">
        <v>53</v>
      </c>
      <c r="D89" s="10"/>
      <c r="E89" s="2" t="n">
        <f>84697</f>
        <v>84697.0</v>
      </c>
      <c r="F89" s="10"/>
      <c r="G89" s="2" t="n">
        <f>1371799051912</f>
        <v>1.371799051912E12</v>
      </c>
      <c r="H89" s="10"/>
      <c r="I89" s="2" t="n">
        <f>13288</f>
        <v>13288.0</v>
      </c>
      <c r="J89" s="10"/>
      <c r="K89" s="2" t="n">
        <f>561569</f>
        <v>561569.0</v>
      </c>
    </row>
    <row r="90">
      <c r="A90" s="8" t="s">
        <v>44</v>
      </c>
      <c r="B90" s="9" t="s">
        <v>52</v>
      </c>
      <c r="C90" s="9" t="s">
        <v>53</v>
      </c>
      <c r="D90" s="10"/>
      <c r="E90" s="2" t="n">
        <f>81488</f>
        <v>81488.0</v>
      </c>
      <c r="F90" s="10"/>
      <c r="G90" s="2" t="n">
        <f>1319113845349</f>
        <v>1.319113845349E12</v>
      </c>
      <c r="H90" s="10"/>
      <c r="I90" s="2" t="n">
        <f>17291</f>
        <v>17291.0</v>
      </c>
      <c r="J90" s="10"/>
      <c r="K90" s="2" t="n">
        <f>560594</f>
        <v>560594.0</v>
      </c>
    </row>
    <row r="91">
      <c r="A91" s="8" t="s">
        <v>45</v>
      </c>
      <c r="B91" s="9" t="s">
        <v>52</v>
      </c>
      <c r="C91" s="9" t="s">
        <v>53</v>
      </c>
      <c r="D91" s="10"/>
      <c r="E91" s="2"/>
      <c r="F91" s="10"/>
      <c r="G91" s="2"/>
      <c r="H91" s="10"/>
      <c r="I91" s="2"/>
      <c r="J91" s="10"/>
      <c r="K91" s="2"/>
    </row>
    <row r="92">
      <c r="A92" s="8" t="s">
        <v>46</v>
      </c>
      <c r="B92" s="9" t="s">
        <v>52</v>
      </c>
      <c r="C92" s="9" t="s">
        <v>53</v>
      </c>
      <c r="D92" s="10"/>
      <c r="E92" s="2"/>
      <c r="F92" s="10"/>
      <c r="G92" s="2"/>
      <c r="H92" s="10"/>
      <c r="I92" s="2"/>
      <c r="J92" s="10"/>
      <c r="K92" s="2"/>
    </row>
    <row r="93">
      <c r="A93" s="8" t="s">
        <v>47</v>
      </c>
      <c r="B93" s="9" t="s">
        <v>52</v>
      </c>
      <c r="C93" s="9" t="s">
        <v>53</v>
      </c>
      <c r="D93" s="10"/>
      <c r="E93" s="2" t="n">
        <f>142518</f>
        <v>142518.0</v>
      </c>
      <c r="F93" s="10"/>
      <c r="G93" s="2" t="n">
        <f>2332082924900</f>
        <v>2.3320829249E12</v>
      </c>
      <c r="H93" s="10"/>
      <c r="I93" s="2" t="n">
        <f>22027</f>
        <v>22027.0</v>
      </c>
      <c r="J93" s="10"/>
      <c r="K93" s="2" t="n">
        <f>567602</f>
        <v>567602.0</v>
      </c>
    </row>
    <row r="94">
      <c r="A94" s="8" t="s">
        <v>48</v>
      </c>
      <c r="B94" s="9" t="s">
        <v>52</v>
      </c>
      <c r="C94" s="9" t="s">
        <v>53</v>
      </c>
      <c r="D94" s="10"/>
      <c r="E94" s="2" t="n">
        <f>138401</f>
        <v>138401.0</v>
      </c>
      <c r="F94" s="10"/>
      <c r="G94" s="2" t="n">
        <f>2289093447665</f>
        <v>2.289093447665E12</v>
      </c>
      <c r="H94" s="10"/>
      <c r="I94" s="2" t="n">
        <f>22319</f>
        <v>22319.0</v>
      </c>
      <c r="J94" s="10"/>
      <c r="K94" s="2" t="n">
        <f>580288</f>
        <v>580288.0</v>
      </c>
    </row>
    <row r="95">
      <c r="A95" s="8" t="s">
        <v>49</v>
      </c>
      <c r="B95" s="9" t="s">
        <v>52</v>
      </c>
      <c r="C95" s="9" t="s">
        <v>53</v>
      </c>
      <c r="D95" s="10"/>
      <c r="E95" s="2" t="n">
        <f>111831</f>
        <v>111831.0</v>
      </c>
      <c r="F95" s="10"/>
      <c r="G95" s="2" t="n">
        <f>1833120539231</f>
        <v>1.833120539231E12</v>
      </c>
      <c r="H95" s="10"/>
      <c r="I95" s="2" t="n">
        <f>20950</f>
        <v>20950.0</v>
      </c>
      <c r="J95" s="10"/>
      <c r="K95" s="2" t="n">
        <f>577085</f>
        <v>577085.0</v>
      </c>
    </row>
    <row r="96">
      <c r="A96" s="8" t="s">
        <v>16</v>
      </c>
      <c r="B96" s="9" t="s">
        <v>54</v>
      </c>
      <c r="C96" s="9" t="s">
        <v>55</v>
      </c>
      <c r="D96" s="10"/>
      <c r="E96" s="2" t="n">
        <f>27563</f>
        <v>27563.0</v>
      </c>
      <c r="F96" s="10"/>
      <c r="G96" s="2" t="n">
        <f>44446642350</f>
        <v>4.444664235E10</v>
      </c>
      <c r="H96" s="10"/>
      <c r="I96" s="2" t="n">
        <f>695</f>
        <v>695.0</v>
      </c>
      <c r="J96" s="10"/>
      <c r="K96" s="2" t="n">
        <f>123393</f>
        <v>123393.0</v>
      </c>
    </row>
    <row r="97">
      <c r="A97" s="8" t="s">
        <v>19</v>
      </c>
      <c r="B97" s="9" t="s">
        <v>54</v>
      </c>
      <c r="C97" s="9" t="s">
        <v>55</v>
      </c>
      <c r="D97" s="10"/>
      <c r="E97" s="2" t="n">
        <f>22551</f>
        <v>22551.0</v>
      </c>
      <c r="F97" s="10"/>
      <c r="G97" s="2" t="n">
        <f>36476774150</f>
        <v>3.647677415E10</v>
      </c>
      <c r="H97" s="10"/>
      <c r="I97" s="2" t="n">
        <f>1712</f>
        <v>1712.0</v>
      </c>
      <c r="J97" s="10"/>
      <c r="K97" s="2" t="n">
        <f>124190</f>
        <v>124190.0</v>
      </c>
    </row>
    <row r="98">
      <c r="A98" s="8" t="s">
        <v>20</v>
      </c>
      <c r="B98" s="9" t="s">
        <v>54</v>
      </c>
      <c r="C98" s="9" t="s">
        <v>55</v>
      </c>
      <c r="D98" s="10"/>
      <c r="E98" s="2" t="n">
        <f>27019</f>
        <v>27019.0</v>
      </c>
      <c r="F98" s="10"/>
      <c r="G98" s="2" t="n">
        <f>44114925400</f>
        <v>4.41149254E10</v>
      </c>
      <c r="H98" s="10"/>
      <c r="I98" s="2" t="n">
        <f>1430</f>
        <v>1430.0</v>
      </c>
      <c r="J98" s="10"/>
      <c r="K98" s="2" t="n">
        <f>125002</f>
        <v>125002.0</v>
      </c>
    </row>
    <row r="99">
      <c r="A99" s="8" t="s">
        <v>21</v>
      </c>
      <c r="B99" s="9" t="s">
        <v>54</v>
      </c>
      <c r="C99" s="9" t="s">
        <v>55</v>
      </c>
      <c r="D99" s="10"/>
      <c r="E99" s="2" t="n">
        <f>34591</f>
        <v>34591.0</v>
      </c>
      <c r="F99" s="10"/>
      <c r="G99" s="2" t="n">
        <f>55866266000</f>
        <v>5.5866266E10</v>
      </c>
      <c r="H99" s="10"/>
      <c r="I99" s="2" t="n">
        <f>1378</f>
        <v>1378.0</v>
      </c>
      <c r="J99" s="10"/>
      <c r="K99" s="2" t="n">
        <f>124374</f>
        <v>124374.0</v>
      </c>
    </row>
    <row r="100">
      <c r="A100" s="8" t="s">
        <v>22</v>
      </c>
      <c r="B100" s="9" t="s">
        <v>54</v>
      </c>
      <c r="C100" s="9" t="s">
        <v>55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23</v>
      </c>
      <c r="B101" s="9" t="s">
        <v>54</v>
      </c>
      <c r="C101" s="9" t="s">
        <v>55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24</v>
      </c>
      <c r="B102" s="9" t="s">
        <v>54</v>
      </c>
      <c r="C102" s="9" t="s">
        <v>55</v>
      </c>
      <c r="D102" s="10"/>
      <c r="E102" s="2" t="n">
        <f>52322</f>
        <v>52322.0</v>
      </c>
      <c r="F102" s="10"/>
      <c r="G102" s="2" t="n">
        <f>84244227704</f>
        <v>8.4244227704E10</v>
      </c>
      <c r="H102" s="10"/>
      <c r="I102" s="2" t="n">
        <f>4540</f>
        <v>4540.0</v>
      </c>
      <c r="J102" s="10"/>
      <c r="K102" s="2" t="n">
        <f>133163</f>
        <v>133163.0</v>
      </c>
    </row>
    <row r="103">
      <c r="A103" s="8" t="s">
        <v>25</v>
      </c>
      <c r="B103" s="9" t="s">
        <v>54</v>
      </c>
      <c r="C103" s="9" t="s">
        <v>55</v>
      </c>
      <c r="D103" s="10" t="s">
        <v>26</v>
      </c>
      <c r="E103" s="2" t="n">
        <f>59145</f>
        <v>59145.0</v>
      </c>
      <c r="F103" s="10" t="s">
        <v>26</v>
      </c>
      <c r="G103" s="2" t="n">
        <f>95202982244</f>
        <v>9.5202982244E10</v>
      </c>
      <c r="H103" s="10" t="s">
        <v>26</v>
      </c>
      <c r="I103" s="2" t="n">
        <f>8462</f>
        <v>8462.0</v>
      </c>
      <c r="J103" s="10"/>
      <c r="K103" s="2" t="n">
        <f>145798</f>
        <v>145798.0</v>
      </c>
    </row>
    <row r="104">
      <c r="A104" s="8" t="s">
        <v>27</v>
      </c>
      <c r="B104" s="9" t="s">
        <v>54</v>
      </c>
      <c r="C104" s="9" t="s">
        <v>55</v>
      </c>
      <c r="D104" s="10"/>
      <c r="E104" s="2" t="n">
        <f>51125</f>
        <v>51125.0</v>
      </c>
      <c r="F104" s="10"/>
      <c r="G104" s="2" t="n">
        <f>81705742300</f>
        <v>8.17057423E10</v>
      </c>
      <c r="H104" s="10"/>
      <c r="I104" s="2" t="n">
        <f>5798</f>
        <v>5798.0</v>
      </c>
      <c r="J104" s="10" t="s">
        <v>26</v>
      </c>
      <c r="K104" s="2" t="n">
        <f>146439</f>
        <v>146439.0</v>
      </c>
    </row>
    <row r="105">
      <c r="A105" s="8" t="s">
        <v>28</v>
      </c>
      <c r="B105" s="9" t="s">
        <v>54</v>
      </c>
      <c r="C105" s="9" t="s">
        <v>55</v>
      </c>
      <c r="D105" s="10"/>
      <c r="E105" s="2" t="n">
        <f>26826</f>
        <v>26826.0</v>
      </c>
      <c r="F105" s="10"/>
      <c r="G105" s="2" t="n">
        <f>43123865650</f>
        <v>4.312386565E10</v>
      </c>
      <c r="H105" s="10"/>
      <c r="I105" s="2" t="n">
        <f>879</f>
        <v>879.0</v>
      </c>
      <c r="J105" s="10"/>
      <c r="K105" s="2" t="n">
        <f>142379</f>
        <v>142379.0</v>
      </c>
    </row>
    <row r="106">
      <c r="A106" s="8" t="s">
        <v>29</v>
      </c>
      <c r="B106" s="9" t="s">
        <v>54</v>
      </c>
      <c r="C106" s="9" t="s">
        <v>55</v>
      </c>
      <c r="D106" s="10"/>
      <c r="E106" s="2" t="n">
        <f>33750</f>
        <v>33750.0</v>
      </c>
      <c r="F106" s="10"/>
      <c r="G106" s="2" t="n">
        <f>54420663380</f>
        <v>5.442066338E10</v>
      </c>
      <c r="H106" s="10"/>
      <c r="I106" s="2" t="n">
        <f>1109</f>
        <v>1109.0</v>
      </c>
      <c r="J106" s="10"/>
      <c r="K106" s="2" t="n">
        <f>143029</f>
        <v>143029.0</v>
      </c>
    </row>
    <row r="107">
      <c r="A107" s="8" t="s">
        <v>30</v>
      </c>
      <c r="B107" s="9" t="s">
        <v>54</v>
      </c>
      <c r="C107" s="9" t="s">
        <v>55</v>
      </c>
      <c r="D107" s="10"/>
      <c r="E107" s="2"/>
      <c r="F107" s="10"/>
      <c r="G107" s="2"/>
      <c r="H107" s="10"/>
      <c r="I107" s="2"/>
      <c r="J107" s="10"/>
      <c r="K107" s="2"/>
    </row>
    <row r="108">
      <c r="A108" s="8" t="s">
        <v>31</v>
      </c>
      <c r="B108" s="9" t="s">
        <v>54</v>
      </c>
      <c r="C108" s="9" t="s">
        <v>55</v>
      </c>
      <c r="D108" s="10"/>
      <c r="E108" s="2"/>
      <c r="F108" s="10"/>
      <c r="G108" s="2"/>
      <c r="H108" s="10"/>
      <c r="I108" s="2"/>
      <c r="J108" s="10"/>
      <c r="K108" s="2"/>
    </row>
    <row r="109">
      <c r="A109" s="8" t="s">
        <v>32</v>
      </c>
      <c r="B109" s="9" t="s">
        <v>54</v>
      </c>
      <c r="C109" s="9" t="s">
        <v>55</v>
      </c>
      <c r="D109" s="10"/>
      <c r="E109" s="2" t="n">
        <f>30407</f>
        <v>30407.0</v>
      </c>
      <c r="F109" s="10"/>
      <c r="G109" s="2" t="n">
        <f>49587594050</f>
        <v>4.958759405E10</v>
      </c>
      <c r="H109" s="10"/>
      <c r="I109" s="2" t="n">
        <f>1671</f>
        <v>1671.0</v>
      </c>
      <c r="J109" s="10"/>
      <c r="K109" s="2" t="n">
        <f>30025</f>
        <v>30025.0</v>
      </c>
    </row>
    <row r="110">
      <c r="A110" s="8" t="s">
        <v>33</v>
      </c>
      <c r="B110" s="9" t="s">
        <v>54</v>
      </c>
      <c r="C110" s="9" t="s">
        <v>55</v>
      </c>
      <c r="D110" s="10"/>
      <c r="E110" s="2" t="n">
        <f>25527</f>
        <v>25527.0</v>
      </c>
      <c r="F110" s="10"/>
      <c r="G110" s="2" t="n">
        <f>41534712850</f>
        <v>4.153471285E10</v>
      </c>
      <c r="H110" s="10"/>
      <c r="I110" s="2" t="n">
        <f>765</f>
        <v>765.0</v>
      </c>
      <c r="J110" s="10" t="s">
        <v>35</v>
      </c>
      <c r="K110" s="2" t="n">
        <f>29828</f>
        <v>29828.0</v>
      </c>
    </row>
    <row r="111">
      <c r="A111" s="8" t="s">
        <v>34</v>
      </c>
      <c r="B111" s="9" t="s">
        <v>54</v>
      </c>
      <c r="C111" s="9" t="s">
        <v>55</v>
      </c>
      <c r="D111" s="10" t="s">
        <v>35</v>
      </c>
      <c r="E111" s="2" t="n">
        <f>20046</f>
        <v>20046.0</v>
      </c>
      <c r="F111" s="10" t="s">
        <v>35</v>
      </c>
      <c r="G111" s="2" t="n">
        <f>32660833600</f>
        <v>3.26608336E10</v>
      </c>
      <c r="H111" s="10" t="s">
        <v>35</v>
      </c>
      <c r="I111" s="2" t="n">
        <f>617</f>
        <v>617.0</v>
      </c>
      <c r="J111" s="10"/>
      <c r="K111" s="2" t="n">
        <f>30862</f>
        <v>30862.0</v>
      </c>
    </row>
    <row r="112">
      <c r="A112" s="8" t="s">
        <v>36</v>
      </c>
      <c r="B112" s="9" t="s">
        <v>54</v>
      </c>
      <c r="C112" s="9" t="s">
        <v>55</v>
      </c>
      <c r="D112" s="10"/>
      <c r="E112" s="2" t="n">
        <f>27647</f>
        <v>27647.0</v>
      </c>
      <c r="F112" s="10"/>
      <c r="G112" s="2" t="n">
        <f>44974471200</f>
        <v>4.49744712E10</v>
      </c>
      <c r="H112" s="10"/>
      <c r="I112" s="2" t="n">
        <f>825</f>
        <v>825.0</v>
      </c>
      <c r="J112" s="10"/>
      <c r="K112" s="2" t="n">
        <f>30704</f>
        <v>30704.0</v>
      </c>
    </row>
    <row r="113">
      <c r="A113" s="8" t="s">
        <v>37</v>
      </c>
      <c r="B113" s="9" t="s">
        <v>54</v>
      </c>
      <c r="C113" s="9" t="s">
        <v>55</v>
      </c>
      <c r="D113" s="10"/>
      <c r="E113" s="2" t="n">
        <f>31849</f>
        <v>31849.0</v>
      </c>
      <c r="F113" s="10"/>
      <c r="G113" s="2" t="n">
        <f>51860118150</f>
        <v>5.186011815E10</v>
      </c>
      <c r="H113" s="10"/>
      <c r="I113" s="2" t="n">
        <f>1017</f>
        <v>1017.0</v>
      </c>
      <c r="J113" s="10"/>
      <c r="K113" s="2" t="n">
        <f>34487</f>
        <v>34487.0</v>
      </c>
    </row>
    <row r="114">
      <c r="A114" s="8" t="s">
        <v>38</v>
      </c>
      <c r="B114" s="9" t="s">
        <v>54</v>
      </c>
      <c r="C114" s="9" t="s">
        <v>55</v>
      </c>
      <c r="D114" s="10"/>
      <c r="E114" s="2"/>
      <c r="F114" s="10"/>
      <c r="G114" s="2"/>
      <c r="H114" s="10"/>
      <c r="I114" s="2"/>
      <c r="J114" s="10"/>
      <c r="K114" s="2"/>
    </row>
    <row r="115">
      <c r="A115" s="8" t="s">
        <v>39</v>
      </c>
      <c r="B115" s="9" t="s">
        <v>54</v>
      </c>
      <c r="C115" s="9" t="s">
        <v>55</v>
      </c>
      <c r="D115" s="10"/>
      <c r="E115" s="2"/>
      <c r="F115" s="10"/>
      <c r="G115" s="2"/>
      <c r="H115" s="10"/>
      <c r="I115" s="2"/>
      <c r="J115" s="10"/>
      <c r="K115" s="2"/>
    </row>
    <row r="116">
      <c r="A116" s="8" t="s">
        <v>40</v>
      </c>
      <c r="B116" s="9" t="s">
        <v>54</v>
      </c>
      <c r="C116" s="9" t="s">
        <v>55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41</v>
      </c>
      <c r="B117" s="9" t="s">
        <v>54</v>
      </c>
      <c r="C117" s="9" t="s">
        <v>55</v>
      </c>
      <c r="D117" s="10"/>
      <c r="E117" s="2"/>
      <c r="F117" s="10"/>
      <c r="G117" s="2"/>
      <c r="H117" s="10"/>
      <c r="I117" s="2"/>
      <c r="J117" s="10"/>
      <c r="K117" s="2"/>
    </row>
    <row r="118">
      <c r="A118" s="8" t="s">
        <v>42</v>
      </c>
      <c r="B118" s="9" t="s">
        <v>54</v>
      </c>
      <c r="C118" s="9" t="s">
        <v>55</v>
      </c>
      <c r="D118" s="10"/>
      <c r="E118" s="2" t="n">
        <f>38503</f>
        <v>38503.0</v>
      </c>
      <c r="F118" s="10"/>
      <c r="G118" s="2" t="n">
        <f>62602951000</f>
        <v>6.2602951E10</v>
      </c>
      <c r="H118" s="10"/>
      <c r="I118" s="2" t="n">
        <f>888</f>
        <v>888.0</v>
      </c>
      <c r="J118" s="10"/>
      <c r="K118" s="2" t="n">
        <f>36974</f>
        <v>36974.0</v>
      </c>
    </row>
    <row r="119">
      <c r="A119" s="8" t="s">
        <v>43</v>
      </c>
      <c r="B119" s="9" t="s">
        <v>54</v>
      </c>
      <c r="C119" s="9" t="s">
        <v>55</v>
      </c>
      <c r="D119" s="10"/>
      <c r="E119" s="2" t="n">
        <f>35659</f>
        <v>35659.0</v>
      </c>
      <c r="F119" s="10"/>
      <c r="G119" s="2" t="n">
        <f>57795604600</f>
        <v>5.77956046E10</v>
      </c>
      <c r="H119" s="10"/>
      <c r="I119" s="2" t="n">
        <f>928</f>
        <v>928.0</v>
      </c>
      <c r="J119" s="10"/>
      <c r="K119" s="2" t="n">
        <f>37497</f>
        <v>37497.0</v>
      </c>
    </row>
    <row r="120">
      <c r="A120" s="8" t="s">
        <v>44</v>
      </c>
      <c r="B120" s="9" t="s">
        <v>54</v>
      </c>
      <c r="C120" s="9" t="s">
        <v>55</v>
      </c>
      <c r="D120" s="10"/>
      <c r="E120" s="2" t="n">
        <f>31433</f>
        <v>31433.0</v>
      </c>
      <c r="F120" s="10"/>
      <c r="G120" s="2" t="n">
        <f>50868323430</f>
        <v>5.086832343E10</v>
      </c>
      <c r="H120" s="10"/>
      <c r="I120" s="2" t="n">
        <f>907</f>
        <v>907.0</v>
      </c>
      <c r="J120" s="10"/>
      <c r="K120" s="2" t="n">
        <f>37119</f>
        <v>37119.0</v>
      </c>
    </row>
    <row r="121">
      <c r="A121" s="8" t="s">
        <v>45</v>
      </c>
      <c r="B121" s="9" t="s">
        <v>54</v>
      </c>
      <c r="C121" s="9" t="s">
        <v>55</v>
      </c>
      <c r="D121" s="10"/>
      <c r="E121" s="2"/>
      <c r="F121" s="10"/>
      <c r="G121" s="2"/>
      <c r="H121" s="10"/>
      <c r="I121" s="2"/>
      <c r="J121" s="10"/>
      <c r="K121" s="2"/>
    </row>
    <row r="122">
      <c r="A122" s="8" t="s">
        <v>46</v>
      </c>
      <c r="B122" s="9" t="s">
        <v>54</v>
      </c>
      <c r="C122" s="9" t="s">
        <v>55</v>
      </c>
      <c r="D122" s="10"/>
      <c r="E122" s="2"/>
      <c r="F122" s="10"/>
      <c r="G122" s="2"/>
      <c r="H122" s="10"/>
      <c r="I122" s="2"/>
      <c r="J122" s="10"/>
      <c r="K122" s="2"/>
    </row>
    <row r="123">
      <c r="A123" s="8" t="s">
        <v>47</v>
      </c>
      <c r="B123" s="9" t="s">
        <v>54</v>
      </c>
      <c r="C123" s="9" t="s">
        <v>55</v>
      </c>
      <c r="D123" s="10"/>
      <c r="E123" s="2" t="n">
        <f>46564</f>
        <v>46564.0</v>
      </c>
      <c r="F123" s="10"/>
      <c r="G123" s="2" t="n">
        <f>75916509500</f>
        <v>7.59165095E10</v>
      </c>
      <c r="H123" s="10"/>
      <c r="I123" s="2" t="n">
        <f>1075</f>
        <v>1075.0</v>
      </c>
      <c r="J123" s="10"/>
      <c r="K123" s="2" t="n">
        <f>39839</f>
        <v>39839.0</v>
      </c>
    </row>
    <row r="124">
      <c r="A124" s="8" t="s">
        <v>48</v>
      </c>
      <c r="B124" s="9" t="s">
        <v>54</v>
      </c>
      <c r="C124" s="9" t="s">
        <v>55</v>
      </c>
      <c r="D124" s="10"/>
      <c r="E124" s="2" t="n">
        <f>49949</f>
        <v>49949.0</v>
      </c>
      <c r="F124" s="10"/>
      <c r="G124" s="2" t="n">
        <f>82662568587</f>
        <v>8.2662568587E10</v>
      </c>
      <c r="H124" s="10"/>
      <c r="I124" s="2" t="n">
        <f>1008</f>
        <v>1008.0</v>
      </c>
      <c r="J124" s="10"/>
      <c r="K124" s="2" t="n">
        <f>47413</f>
        <v>47413.0</v>
      </c>
    </row>
    <row r="125">
      <c r="A125" s="8" t="s">
        <v>49</v>
      </c>
      <c r="B125" s="9" t="s">
        <v>54</v>
      </c>
      <c r="C125" s="9" t="s">
        <v>55</v>
      </c>
      <c r="D125" s="10"/>
      <c r="E125" s="2" t="n">
        <f>40200</f>
        <v>40200.0</v>
      </c>
      <c r="F125" s="10"/>
      <c r="G125" s="2" t="n">
        <f>66015369650</f>
        <v>6.601536965E10</v>
      </c>
      <c r="H125" s="10"/>
      <c r="I125" s="2" t="n">
        <f>768</f>
        <v>768.0</v>
      </c>
      <c r="J125" s="10"/>
      <c r="K125" s="2" t="n">
        <f>45464</f>
        <v>45464.0</v>
      </c>
    </row>
    <row r="126">
      <c r="A126" s="8" t="s">
        <v>16</v>
      </c>
      <c r="B126" s="9" t="s">
        <v>56</v>
      </c>
      <c r="C126" s="9" t="s">
        <v>57</v>
      </c>
      <c r="D126" s="10"/>
      <c r="E126" s="2" t="n">
        <f>15128</f>
        <v>15128.0</v>
      </c>
      <c r="F126" s="10"/>
      <c r="G126" s="2" t="n">
        <f>22063773000</f>
        <v>2.2063773E10</v>
      </c>
      <c r="H126" s="10"/>
      <c r="I126" s="2" t="n">
        <f>1359</f>
        <v>1359.0</v>
      </c>
      <c r="J126" s="10"/>
      <c r="K126" s="2" t="n">
        <f>101322</f>
        <v>101322.0</v>
      </c>
    </row>
    <row r="127">
      <c r="A127" s="8" t="s">
        <v>19</v>
      </c>
      <c r="B127" s="9" t="s">
        <v>56</v>
      </c>
      <c r="C127" s="9" t="s">
        <v>57</v>
      </c>
      <c r="D127" s="10" t="s">
        <v>35</v>
      </c>
      <c r="E127" s="2" t="n">
        <f>11515</f>
        <v>11515.0</v>
      </c>
      <c r="F127" s="10" t="s">
        <v>35</v>
      </c>
      <c r="G127" s="2" t="n">
        <f>16836840050</f>
        <v>1.683684005E10</v>
      </c>
      <c r="H127" s="10"/>
      <c r="I127" s="2" t="n">
        <f>933</f>
        <v>933.0</v>
      </c>
      <c r="J127" s="10"/>
      <c r="K127" s="2" t="n">
        <f>100084</f>
        <v>100084.0</v>
      </c>
    </row>
    <row r="128">
      <c r="A128" s="8" t="s">
        <v>20</v>
      </c>
      <c r="B128" s="9" t="s">
        <v>56</v>
      </c>
      <c r="C128" s="9" t="s">
        <v>57</v>
      </c>
      <c r="D128" s="10"/>
      <c r="E128" s="2" t="n">
        <f>15249</f>
        <v>15249.0</v>
      </c>
      <c r="F128" s="10"/>
      <c r="G128" s="2" t="n">
        <f>22500775010</f>
        <v>2.250077501E10</v>
      </c>
      <c r="H128" s="10"/>
      <c r="I128" s="2" t="n">
        <f>879</f>
        <v>879.0</v>
      </c>
      <c r="J128" s="10"/>
      <c r="K128" s="2" t="n">
        <f>98513</f>
        <v>98513.0</v>
      </c>
    </row>
    <row r="129">
      <c r="A129" s="8" t="s">
        <v>21</v>
      </c>
      <c r="B129" s="9" t="s">
        <v>56</v>
      </c>
      <c r="C129" s="9" t="s">
        <v>57</v>
      </c>
      <c r="D129" s="10"/>
      <c r="E129" s="2" t="n">
        <f>29183</f>
        <v>29183.0</v>
      </c>
      <c r="F129" s="10"/>
      <c r="G129" s="2" t="n">
        <f>42619589533</f>
        <v>4.2619589533E10</v>
      </c>
      <c r="H129" s="10"/>
      <c r="I129" s="2" t="n">
        <f>911</f>
        <v>911.0</v>
      </c>
      <c r="J129" s="10"/>
      <c r="K129" s="2" t="n">
        <f>96455</f>
        <v>96455.0</v>
      </c>
    </row>
    <row r="130">
      <c r="A130" s="8" t="s">
        <v>22</v>
      </c>
      <c r="B130" s="9" t="s">
        <v>56</v>
      </c>
      <c r="C130" s="9" t="s">
        <v>57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23</v>
      </c>
      <c r="B131" s="9" t="s">
        <v>56</v>
      </c>
      <c r="C131" s="9" t="s">
        <v>57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24</v>
      </c>
      <c r="B132" s="9" t="s">
        <v>56</v>
      </c>
      <c r="C132" s="9" t="s">
        <v>57</v>
      </c>
      <c r="D132" s="10"/>
      <c r="E132" s="2" t="n">
        <f>26993</f>
        <v>26993.0</v>
      </c>
      <c r="F132" s="10"/>
      <c r="G132" s="2" t="n">
        <f>39263450603</f>
        <v>3.9263450603E10</v>
      </c>
      <c r="H132" s="10"/>
      <c r="I132" s="2" t="n">
        <f>1778</f>
        <v>1778.0</v>
      </c>
      <c r="J132" s="10"/>
      <c r="K132" s="2" t="n">
        <f>98477</f>
        <v>98477.0</v>
      </c>
    </row>
    <row r="133">
      <c r="A133" s="8" t="s">
        <v>25</v>
      </c>
      <c r="B133" s="9" t="s">
        <v>56</v>
      </c>
      <c r="C133" s="9" t="s">
        <v>57</v>
      </c>
      <c r="D133" s="10"/>
      <c r="E133" s="2" t="n">
        <f>73409</f>
        <v>73409.0</v>
      </c>
      <c r="F133" s="10"/>
      <c r="G133" s="2" t="n">
        <f>106685392387</f>
        <v>1.06685392387E11</v>
      </c>
      <c r="H133" s="10" t="s">
        <v>26</v>
      </c>
      <c r="I133" s="2" t="n">
        <f>11166</f>
        <v>11166.0</v>
      </c>
      <c r="J133" s="10"/>
      <c r="K133" s="2" t="n">
        <f>103771</f>
        <v>103771.0</v>
      </c>
    </row>
    <row r="134">
      <c r="A134" s="8" t="s">
        <v>27</v>
      </c>
      <c r="B134" s="9" t="s">
        <v>56</v>
      </c>
      <c r="C134" s="9" t="s">
        <v>57</v>
      </c>
      <c r="D134" s="10" t="s">
        <v>26</v>
      </c>
      <c r="E134" s="2" t="n">
        <f>93844</f>
        <v>93844.0</v>
      </c>
      <c r="F134" s="10" t="s">
        <v>26</v>
      </c>
      <c r="G134" s="2" t="n">
        <f>135182575315</f>
        <v>1.35182575315E11</v>
      </c>
      <c r="H134" s="10"/>
      <c r="I134" s="2" t="n">
        <f>7561</f>
        <v>7561.0</v>
      </c>
      <c r="J134" s="10" t="s">
        <v>26</v>
      </c>
      <c r="K134" s="2" t="n">
        <f>113210</f>
        <v>113210.0</v>
      </c>
    </row>
    <row r="135">
      <c r="A135" s="8" t="s">
        <v>28</v>
      </c>
      <c r="B135" s="9" t="s">
        <v>56</v>
      </c>
      <c r="C135" s="9" t="s">
        <v>57</v>
      </c>
      <c r="D135" s="10"/>
      <c r="E135" s="2" t="n">
        <f>43381</f>
        <v>43381.0</v>
      </c>
      <c r="F135" s="10"/>
      <c r="G135" s="2" t="n">
        <f>63140303078</f>
        <v>6.3140303078E10</v>
      </c>
      <c r="H135" s="10"/>
      <c r="I135" s="2" t="n">
        <f>4889</f>
        <v>4889.0</v>
      </c>
      <c r="J135" s="10"/>
      <c r="K135" s="2" t="n">
        <f>108896</f>
        <v>108896.0</v>
      </c>
    </row>
    <row r="136">
      <c r="A136" s="8" t="s">
        <v>29</v>
      </c>
      <c r="B136" s="9" t="s">
        <v>56</v>
      </c>
      <c r="C136" s="9" t="s">
        <v>57</v>
      </c>
      <c r="D136" s="10"/>
      <c r="E136" s="2" t="n">
        <f>20813</f>
        <v>20813.0</v>
      </c>
      <c r="F136" s="10"/>
      <c r="G136" s="2" t="n">
        <f>30316681100</f>
        <v>3.03166811E10</v>
      </c>
      <c r="H136" s="10"/>
      <c r="I136" s="2" t="n">
        <f>2208</f>
        <v>2208.0</v>
      </c>
      <c r="J136" s="10"/>
      <c r="K136" s="2" t="n">
        <f>109012</f>
        <v>109012.0</v>
      </c>
    </row>
    <row r="137">
      <c r="A137" s="8" t="s">
        <v>30</v>
      </c>
      <c r="B137" s="9" t="s">
        <v>56</v>
      </c>
      <c r="C137" s="9" t="s">
        <v>57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31</v>
      </c>
      <c r="B138" s="9" t="s">
        <v>56</v>
      </c>
      <c r="C138" s="9" t="s">
        <v>57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32</v>
      </c>
      <c r="B139" s="9" t="s">
        <v>56</v>
      </c>
      <c r="C139" s="9" t="s">
        <v>57</v>
      </c>
      <c r="D139" s="10"/>
      <c r="E139" s="2" t="n">
        <f>14145</f>
        <v>14145.0</v>
      </c>
      <c r="F139" s="10"/>
      <c r="G139" s="2" t="n">
        <f>20821198760</f>
        <v>2.082119876E10</v>
      </c>
      <c r="H139" s="10" t="s">
        <v>35</v>
      </c>
      <c r="I139" s="2" t="n">
        <f>471</f>
        <v>471.0</v>
      </c>
      <c r="J139" s="10" t="s">
        <v>35</v>
      </c>
      <c r="K139" s="2" t="n">
        <f>66152</f>
        <v>66152.0</v>
      </c>
    </row>
    <row r="140">
      <c r="A140" s="8" t="s">
        <v>33</v>
      </c>
      <c r="B140" s="9" t="s">
        <v>56</v>
      </c>
      <c r="C140" s="9" t="s">
        <v>57</v>
      </c>
      <c r="D140" s="10"/>
      <c r="E140" s="2" t="n">
        <f>13616</f>
        <v>13616.0</v>
      </c>
      <c r="F140" s="10"/>
      <c r="G140" s="2" t="n">
        <f>19981024500</f>
        <v>1.99810245E10</v>
      </c>
      <c r="H140" s="10"/>
      <c r="I140" s="2" t="n">
        <f>519</f>
        <v>519.0</v>
      </c>
      <c r="J140" s="10"/>
      <c r="K140" s="2" t="n">
        <f>68383</f>
        <v>68383.0</v>
      </c>
    </row>
    <row r="141">
      <c r="A141" s="8" t="s">
        <v>34</v>
      </c>
      <c r="B141" s="9" t="s">
        <v>56</v>
      </c>
      <c r="C141" s="9" t="s">
        <v>57</v>
      </c>
      <c r="D141" s="10"/>
      <c r="E141" s="2" t="n">
        <f>12836</f>
        <v>12836.0</v>
      </c>
      <c r="F141" s="10"/>
      <c r="G141" s="2" t="n">
        <f>18844858500</f>
        <v>1.88448585E10</v>
      </c>
      <c r="H141" s="10"/>
      <c r="I141" s="2" t="n">
        <f>749</f>
        <v>749.0</v>
      </c>
      <c r="J141" s="10"/>
      <c r="K141" s="2" t="n">
        <f>66877</f>
        <v>66877.0</v>
      </c>
    </row>
    <row r="142">
      <c r="A142" s="8" t="s">
        <v>36</v>
      </c>
      <c r="B142" s="9" t="s">
        <v>56</v>
      </c>
      <c r="C142" s="9" t="s">
        <v>57</v>
      </c>
      <c r="D142" s="10"/>
      <c r="E142" s="2" t="n">
        <f>14575</f>
        <v>14575.0</v>
      </c>
      <c r="F142" s="10"/>
      <c r="G142" s="2" t="n">
        <f>21327926704</f>
        <v>2.1327926704E10</v>
      </c>
      <c r="H142" s="10"/>
      <c r="I142" s="2" t="n">
        <f>634</f>
        <v>634.0</v>
      </c>
      <c r="J142" s="10"/>
      <c r="K142" s="2" t="n">
        <f>67581</f>
        <v>67581.0</v>
      </c>
    </row>
    <row r="143">
      <c r="A143" s="8" t="s">
        <v>37</v>
      </c>
      <c r="B143" s="9" t="s">
        <v>56</v>
      </c>
      <c r="C143" s="9" t="s">
        <v>57</v>
      </c>
      <c r="D143" s="10"/>
      <c r="E143" s="2" t="n">
        <f>16980</f>
        <v>16980.0</v>
      </c>
      <c r="F143" s="10"/>
      <c r="G143" s="2" t="n">
        <f>24860169745</f>
        <v>2.4860169745E10</v>
      </c>
      <c r="H143" s="10"/>
      <c r="I143" s="2" t="n">
        <f>537</f>
        <v>537.0</v>
      </c>
      <c r="J143" s="10"/>
      <c r="K143" s="2" t="n">
        <f>71034</f>
        <v>71034.0</v>
      </c>
    </row>
    <row r="144">
      <c r="A144" s="8" t="s">
        <v>38</v>
      </c>
      <c r="B144" s="9" t="s">
        <v>56</v>
      </c>
      <c r="C144" s="9" t="s">
        <v>57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39</v>
      </c>
      <c r="B145" s="9" t="s">
        <v>56</v>
      </c>
      <c r="C145" s="9" t="s">
        <v>57</v>
      </c>
      <c r="D145" s="10"/>
      <c r="E145" s="2"/>
      <c r="F145" s="10"/>
      <c r="G145" s="2"/>
      <c r="H145" s="10"/>
      <c r="I145" s="2"/>
      <c r="J145" s="10"/>
      <c r="K145" s="2"/>
    </row>
    <row r="146">
      <c r="A146" s="8" t="s">
        <v>40</v>
      </c>
      <c r="B146" s="9" t="s">
        <v>56</v>
      </c>
      <c r="C146" s="9" t="s">
        <v>57</v>
      </c>
      <c r="D146" s="10"/>
      <c r="E146" s="2"/>
      <c r="F146" s="10"/>
      <c r="G146" s="2"/>
      <c r="H146" s="10"/>
      <c r="I146" s="2"/>
      <c r="J146" s="10"/>
      <c r="K146" s="2"/>
    </row>
    <row r="147">
      <c r="A147" s="8" t="s">
        <v>41</v>
      </c>
      <c r="B147" s="9" t="s">
        <v>56</v>
      </c>
      <c r="C147" s="9" t="s">
        <v>57</v>
      </c>
      <c r="D147" s="10"/>
      <c r="E147" s="2"/>
      <c r="F147" s="10"/>
      <c r="G147" s="2"/>
      <c r="H147" s="10"/>
      <c r="I147" s="2"/>
      <c r="J147" s="10"/>
      <c r="K147" s="2"/>
    </row>
    <row r="148">
      <c r="A148" s="8" t="s">
        <v>42</v>
      </c>
      <c r="B148" s="9" t="s">
        <v>56</v>
      </c>
      <c r="C148" s="9" t="s">
        <v>57</v>
      </c>
      <c r="D148" s="10"/>
      <c r="E148" s="2" t="n">
        <f>18294</f>
        <v>18294.0</v>
      </c>
      <c r="F148" s="10"/>
      <c r="G148" s="2" t="n">
        <f>26764182240</f>
        <v>2.676418224E10</v>
      </c>
      <c r="H148" s="10"/>
      <c r="I148" s="2" t="n">
        <f>639</f>
        <v>639.0</v>
      </c>
      <c r="J148" s="10"/>
      <c r="K148" s="2" t="n">
        <f>73051</f>
        <v>73051.0</v>
      </c>
    </row>
    <row r="149">
      <c r="A149" s="8" t="s">
        <v>43</v>
      </c>
      <c r="B149" s="9" t="s">
        <v>56</v>
      </c>
      <c r="C149" s="9" t="s">
        <v>57</v>
      </c>
      <c r="D149" s="10"/>
      <c r="E149" s="2" t="n">
        <f>19462</f>
        <v>19462.0</v>
      </c>
      <c r="F149" s="10"/>
      <c r="G149" s="2" t="n">
        <f>28360734497</f>
        <v>2.8360734497E10</v>
      </c>
      <c r="H149" s="10"/>
      <c r="I149" s="2" t="n">
        <f>2788</f>
        <v>2788.0</v>
      </c>
      <c r="J149" s="10"/>
      <c r="K149" s="2" t="n">
        <f>73965</f>
        <v>73965.0</v>
      </c>
    </row>
    <row r="150">
      <c r="A150" s="8" t="s">
        <v>44</v>
      </c>
      <c r="B150" s="9" t="s">
        <v>56</v>
      </c>
      <c r="C150" s="9" t="s">
        <v>57</v>
      </c>
      <c r="D150" s="10"/>
      <c r="E150" s="2" t="n">
        <f>14633</f>
        <v>14633.0</v>
      </c>
      <c r="F150" s="10"/>
      <c r="G150" s="2" t="n">
        <f>21304573500</f>
        <v>2.13045735E10</v>
      </c>
      <c r="H150" s="10"/>
      <c r="I150" s="2" t="n">
        <f>924</f>
        <v>924.0</v>
      </c>
      <c r="J150" s="10"/>
      <c r="K150" s="2" t="n">
        <f>72635</f>
        <v>72635.0</v>
      </c>
    </row>
    <row r="151">
      <c r="A151" s="8" t="s">
        <v>45</v>
      </c>
      <c r="B151" s="9" t="s">
        <v>56</v>
      </c>
      <c r="C151" s="9" t="s">
        <v>57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46</v>
      </c>
      <c r="B152" s="9" t="s">
        <v>56</v>
      </c>
      <c r="C152" s="9" t="s">
        <v>57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47</v>
      </c>
      <c r="B153" s="9" t="s">
        <v>56</v>
      </c>
      <c r="C153" s="9" t="s">
        <v>57</v>
      </c>
      <c r="D153" s="10"/>
      <c r="E153" s="2" t="n">
        <f>21678</f>
        <v>21678.0</v>
      </c>
      <c r="F153" s="10"/>
      <c r="G153" s="2" t="n">
        <f>31847575520</f>
        <v>3.184757552E10</v>
      </c>
      <c r="H153" s="10"/>
      <c r="I153" s="2" t="n">
        <f>581</f>
        <v>581.0</v>
      </c>
      <c r="J153" s="10"/>
      <c r="K153" s="2" t="n">
        <f>76587</f>
        <v>76587.0</v>
      </c>
    </row>
    <row r="154">
      <c r="A154" s="8" t="s">
        <v>48</v>
      </c>
      <c r="B154" s="9" t="s">
        <v>56</v>
      </c>
      <c r="C154" s="9" t="s">
        <v>57</v>
      </c>
      <c r="D154" s="10"/>
      <c r="E154" s="2" t="n">
        <f>38254</f>
        <v>38254.0</v>
      </c>
      <c r="F154" s="10"/>
      <c r="G154" s="2" t="n">
        <f>56875610674</f>
        <v>5.6875610674E10</v>
      </c>
      <c r="H154" s="10"/>
      <c r="I154" s="2" t="n">
        <f>493</f>
        <v>493.0</v>
      </c>
      <c r="J154" s="10"/>
      <c r="K154" s="2" t="n">
        <f>83567</f>
        <v>83567.0</v>
      </c>
    </row>
    <row r="155">
      <c r="A155" s="8" t="s">
        <v>49</v>
      </c>
      <c r="B155" s="9" t="s">
        <v>56</v>
      </c>
      <c r="C155" s="9" t="s">
        <v>57</v>
      </c>
      <c r="D155" s="10"/>
      <c r="E155" s="2" t="n">
        <f>38818</f>
        <v>38818.0</v>
      </c>
      <c r="F155" s="10"/>
      <c r="G155" s="2" t="n">
        <f>57134906958</f>
        <v>5.7134906958E10</v>
      </c>
      <c r="H155" s="10"/>
      <c r="I155" s="2" t="n">
        <f>2410</f>
        <v>2410.0</v>
      </c>
      <c r="J155" s="10"/>
      <c r="K155" s="2" t="n">
        <f>89986</f>
        <v>89986.0</v>
      </c>
    </row>
    <row r="156">
      <c r="A156" s="8" t="s">
        <v>16</v>
      </c>
      <c r="B156" s="9" t="s">
        <v>58</v>
      </c>
      <c r="C156" s="9" t="s">
        <v>59</v>
      </c>
      <c r="D156" s="10" t="s">
        <v>35</v>
      </c>
      <c r="E156" s="2" t="str">
        <f>"－"</f>
        <v>－</v>
      </c>
      <c r="F156" s="10" t="s">
        <v>35</v>
      </c>
      <c r="G156" s="2" t="str">
        <f>"－"</f>
        <v>－</v>
      </c>
      <c r="H156" s="10" t="s">
        <v>60</v>
      </c>
      <c r="I156" s="2" t="str">
        <f>"－"</f>
        <v>－</v>
      </c>
      <c r="J156" s="10"/>
      <c r="K156" s="2" t="n">
        <f>56</f>
        <v>56.0</v>
      </c>
    </row>
    <row r="157">
      <c r="A157" s="8" t="s">
        <v>19</v>
      </c>
      <c r="B157" s="9" t="s">
        <v>58</v>
      </c>
      <c r="C157" s="9" t="s">
        <v>59</v>
      </c>
      <c r="D157" s="10"/>
      <c r="E157" s="2" t="str">
        <f>"－"</f>
        <v>－</v>
      </c>
      <c r="F157" s="10"/>
      <c r="G157" s="2" t="str">
        <f>"－"</f>
        <v>－</v>
      </c>
      <c r="H157" s="10"/>
      <c r="I157" s="2" t="str">
        <f>"－"</f>
        <v>－</v>
      </c>
      <c r="J157" s="10"/>
      <c r="K157" s="2" t="n">
        <f>56</f>
        <v>56.0</v>
      </c>
    </row>
    <row r="158">
      <c r="A158" s="8" t="s">
        <v>20</v>
      </c>
      <c r="B158" s="9" t="s">
        <v>58</v>
      </c>
      <c r="C158" s="9" t="s">
        <v>59</v>
      </c>
      <c r="D158" s="10"/>
      <c r="E158" s="2" t="str">
        <f>"－"</f>
        <v>－</v>
      </c>
      <c r="F158" s="10"/>
      <c r="G158" s="2" t="str">
        <f>"－"</f>
        <v>－</v>
      </c>
      <c r="H158" s="10"/>
      <c r="I158" s="2" t="str">
        <f>"－"</f>
        <v>－</v>
      </c>
      <c r="J158" s="10"/>
      <c r="K158" s="2" t="n">
        <f>56</f>
        <v>56.0</v>
      </c>
    </row>
    <row r="159">
      <c r="A159" s="8" t="s">
        <v>21</v>
      </c>
      <c r="B159" s="9" t="s">
        <v>58</v>
      </c>
      <c r="C159" s="9" t="s">
        <v>59</v>
      </c>
      <c r="D159" s="10"/>
      <c r="E159" s="2" t="str">
        <f>"－"</f>
        <v>－</v>
      </c>
      <c r="F159" s="10"/>
      <c r="G159" s="2" t="str">
        <f>"－"</f>
        <v>－</v>
      </c>
      <c r="H159" s="10"/>
      <c r="I159" s="2" t="str">
        <f>"－"</f>
        <v>－</v>
      </c>
      <c r="J159" s="10"/>
      <c r="K159" s="2" t="n">
        <f>56</f>
        <v>56.0</v>
      </c>
    </row>
    <row r="160">
      <c r="A160" s="8" t="s">
        <v>22</v>
      </c>
      <c r="B160" s="9" t="s">
        <v>58</v>
      </c>
      <c r="C160" s="9" t="s">
        <v>59</v>
      </c>
      <c r="D160" s="10"/>
      <c r="E160" s="2"/>
      <c r="F160" s="10"/>
      <c r="G160" s="2"/>
      <c r="H160" s="10"/>
      <c r="I160" s="2"/>
      <c r="J160" s="10"/>
      <c r="K160" s="2"/>
    </row>
    <row r="161">
      <c r="A161" s="8" t="s">
        <v>23</v>
      </c>
      <c r="B161" s="9" t="s">
        <v>58</v>
      </c>
      <c r="C161" s="9" t="s">
        <v>59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24</v>
      </c>
      <c r="B162" s="9" t="s">
        <v>58</v>
      </c>
      <c r="C162" s="9" t="s">
        <v>59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56</f>
        <v>56.0</v>
      </c>
    </row>
    <row r="163">
      <c r="A163" s="8" t="s">
        <v>25</v>
      </c>
      <c r="B163" s="9" t="s">
        <v>58</v>
      </c>
      <c r="C163" s="9" t="s">
        <v>59</v>
      </c>
      <c r="D163" s="10" t="s">
        <v>26</v>
      </c>
      <c r="E163" s="2" t="n">
        <f>100</f>
        <v>100.0</v>
      </c>
      <c r="F163" s="10" t="s">
        <v>26</v>
      </c>
      <c r="G163" s="2" t="n">
        <f>74122300</f>
        <v>7.41223E7</v>
      </c>
      <c r="H163" s="10"/>
      <c r="I163" s="2" t="str">
        <f>"－"</f>
        <v>－</v>
      </c>
      <c r="J163" s="10"/>
      <c r="K163" s="2" t="n">
        <f>57</f>
        <v>57.0</v>
      </c>
    </row>
    <row r="164">
      <c r="A164" s="8" t="s">
        <v>27</v>
      </c>
      <c r="B164" s="9" t="s">
        <v>58</v>
      </c>
      <c r="C164" s="9" t="s">
        <v>59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57</f>
        <v>57.0</v>
      </c>
    </row>
    <row r="165">
      <c r="A165" s="8" t="s">
        <v>28</v>
      </c>
      <c r="B165" s="9" t="s">
        <v>58</v>
      </c>
      <c r="C165" s="9" t="s">
        <v>59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57</f>
        <v>57.0</v>
      </c>
    </row>
    <row r="166">
      <c r="A166" s="8" t="s">
        <v>29</v>
      </c>
      <c r="B166" s="9" t="s">
        <v>58</v>
      </c>
      <c r="C166" s="9" t="s">
        <v>59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57</f>
        <v>57.0</v>
      </c>
    </row>
    <row r="167">
      <c r="A167" s="8" t="s">
        <v>30</v>
      </c>
      <c r="B167" s="9" t="s">
        <v>58</v>
      </c>
      <c r="C167" s="9" t="s">
        <v>59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31</v>
      </c>
      <c r="B168" s="9" t="s">
        <v>58</v>
      </c>
      <c r="C168" s="9" t="s">
        <v>59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32</v>
      </c>
      <c r="B169" s="9" t="s">
        <v>58</v>
      </c>
      <c r="C169" s="9" t="s">
        <v>59</v>
      </c>
      <c r="D169" s="10"/>
      <c r="E169" s="2" t="str">
        <f>"－"</f>
        <v>－</v>
      </c>
      <c r="F169" s="10"/>
      <c r="G169" s="2" t="str">
        <f>"－"</f>
        <v>－</v>
      </c>
      <c r="H169" s="10"/>
      <c r="I169" s="2" t="str">
        <f>"－"</f>
        <v>－</v>
      </c>
      <c r="J169" s="10" t="s">
        <v>35</v>
      </c>
      <c r="K169" s="2" t="n">
        <f>50</f>
        <v>50.0</v>
      </c>
    </row>
    <row r="170">
      <c r="A170" s="8" t="s">
        <v>33</v>
      </c>
      <c r="B170" s="9" t="s">
        <v>58</v>
      </c>
      <c r="C170" s="9" t="s">
        <v>59</v>
      </c>
      <c r="D170" s="10"/>
      <c r="E170" s="2" t="n">
        <f>10</f>
        <v>10.0</v>
      </c>
      <c r="F170" s="10"/>
      <c r="G170" s="2" t="n">
        <f>7475000</f>
        <v>7475000.0</v>
      </c>
      <c r="H170" s="10"/>
      <c r="I170" s="2" t="str">
        <f>"－"</f>
        <v>－</v>
      </c>
      <c r="J170" s="10"/>
      <c r="K170" s="2" t="n">
        <f>60</f>
        <v>60.0</v>
      </c>
    </row>
    <row r="171">
      <c r="A171" s="8" t="s">
        <v>34</v>
      </c>
      <c r="B171" s="9" t="s">
        <v>58</v>
      </c>
      <c r="C171" s="9" t="s">
        <v>59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60</f>
        <v>60.0</v>
      </c>
    </row>
    <row r="172">
      <c r="A172" s="8" t="s">
        <v>36</v>
      </c>
      <c r="B172" s="9" t="s">
        <v>58</v>
      </c>
      <c r="C172" s="9" t="s">
        <v>59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60</f>
        <v>60.0</v>
      </c>
    </row>
    <row r="173">
      <c r="A173" s="8" t="s">
        <v>37</v>
      </c>
      <c r="B173" s="9" t="s">
        <v>58</v>
      </c>
      <c r="C173" s="9" t="s">
        <v>59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60</f>
        <v>60.0</v>
      </c>
    </row>
    <row r="174">
      <c r="A174" s="8" t="s">
        <v>38</v>
      </c>
      <c r="B174" s="9" t="s">
        <v>58</v>
      </c>
      <c r="C174" s="9" t="s">
        <v>59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39</v>
      </c>
      <c r="B175" s="9" t="s">
        <v>58</v>
      </c>
      <c r="C175" s="9" t="s">
        <v>59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40</v>
      </c>
      <c r="B176" s="9" t="s">
        <v>58</v>
      </c>
      <c r="C176" s="9" t="s">
        <v>59</v>
      </c>
      <c r="D176" s="10"/>
      <c r="E176" s="2"/>
      <c r="F176" s="10"/>
      <c r="G176" s="2"/>
      <c r="H176" s="10"/>
      <c r="I176" s="2"/>
      <c r="J176" s="10"/>
      <c r="K176" s="2"/>
    </row>
    <row r="177">
      <c r="A177" s="8" t="s">
        <v>41</v>
      </c>
      <c r="B177" s="9" t="s">
        <v>58</v>
      </c>
      <c r="C177" s="9" t="s">
        <v>59</v>
      </c>
      <c r="D177" s="10"/>
      <c r="E177" s="2"/>
      <c r="F177" s="10"/>
      <c r="G177" s="2"/>
      <c r="H177" s="10"/>
      <c r="I177" s="2"/>
      <c r="J177" s="10"/>
      <c r="K177" s="2"/>
    </row>
    <row r="178">
      <c r="A178" s="8" t="s">
        <v>42</v>
      </c>
      <c r="B178" s="9" t="s">
        <v>58</v>
      </c>
      <c r="C178" s="9" t="s">
        <v>59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60</f>
        <v>60.0</v>
      </c>
    </row>
    <row r="179">
      <c r="A179" s="8" t="s">
        <v>43</v>
      </c>
      <c r="B179" s="9" t="s">
        <v>58</v>
      </c>
      <c r="C179" s="9" t="s">
        <v>59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60</f>
        <v>60.0</v>
      </c>
    </row>
    <row r="180">
      <c r="A180" s="8" t="s">
        <v>44</v>
      </c>
      <c r="B180" s="9" t="s">
        <v>58</v>
      </c>
      <c r="C180" s="9" t="s">
        <v>59</v>
      </c>
      <c r="D180" s="10"/>
      <c r="E180" s="2" t="str">
        <f>"－"</f>
        <v>－</v>
      </c>
      <c r="F180" s="10"/>
      <c r="G180" s="2" t="str">
        <f>"－"</f>
        <v>－</v>
      </c>
      <c r="H180" s="10"/>
      <c r="I180" s="2" t="str">
        <f>"－"</f>
        <v>－</v>
      </c>
      <c r="J180" s="10"/>
      <c r="K180" s="2" t="n">
        <f>60</f>
        <v>60.0</v>
      </c>
    </row>
    <row r="181">
      <c r="A181" s="8" t="s">
        <v>45</v>
      </c>
      <c r="B181" s="9" t="s">
        <v>58</v>
      </c>
      <c r="C181" s="9" t="s">
        <v>59</v>
      </c>
      <c r="D181" s="10"/>
      <c r="E181" s="2"/>
      <c r="F181" s="10"/>
      <c r="G181" s="2"/>
      <c r="H181" s="10"/>
      <c r="I181" s="2"/>
      <c r="J181" s="10"/>
      <c r="K181" s="2"/>
    </row>
    <row r="182">
      <c r="A182" s="8" t="s">
        <v>46</v>
      </c>
      <c r="B182" s="9" t="s">
        <v>58</v>
      </c>
      <c r="C182" s="9" t="s">
        <v>59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47</v>
      </c>
      <c r="B183" s="9" t="s">
        <v>58</v>
      </c>
      <c r="C183" s="9" t="s">
        <v>59</v>
      </c>
      <c r="D183" s="10"/>
      <c r="E183" s="2" t="n">
        <f>8</f>
        <v>8.0</v>
      </c>
      <c r="F183" s="10"/>
      <c r="G183" s="2" t="n">
        <f>6004000</f>
        <v>6004000.0</v>
      </c>
      <c r="H183" s="10"/>
      <c r="I183" s="2" t="str">
        <f>"－"</f>
        <v>－</v>
      </c>
      <c r="J183" s="10" t="s">
        <v>26</v>
      </c>
      <c r="K183" s="2" t="n">
        <f>68</f>
        <v>68.0</v>
      </c>
    </row>
    <row r="184">
      <c r="A184" s="8" t="s">
        <v>48</v>
      </c>
      <c r="B184" s="9" t="s">
        <v>58</v>
      </c>
      <c r="C184" s="9" t="s">
        <v>59</v>
      </c>
      <c r="D184" s="10"/>
      <c r="E184" s="2" t="str">
        <f>"－"</f>
        <v>－</v>
      </c>
      <c r="F184" s="10"/>
      <c r="G184" s="2" t="str">
        <f>"－"</f>
        <v>－</v>
      </c>
      <c r="H184" s="10"/>
      <c r="I184" s="2" t="str">
        <f>"－"</f>
        <v>－</v>
      </c>
      <c r="J184" s="10"/>
      <c r="K184" s="2" t="n">
        <f>68</f>
        <v>68.0</v>
      </c>
    </row>
    <row r="185">
      <c r="A185" s="8" t="s">
        <v>49</v>
      </c>
      <c r="B185" s="9" t="s">
        <v>58</v>
      </c>
      <c r="C185" s="9" t="s">
        <v>59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68</f>
        <v>68.0</v>
      </c>
    </row>
    <row r="186">
      <c r="A186" s="8" t="s">
        <v>16</v>
      </c>
      <c r="B186" s="9" t="s">
        <v>61</v>
      </c>
      <c r="C186" s="9" t="s">
        <v>62</v>
      </c>
      <c r="D186" s="10" t="s">
        <v>35</v>
      </c>
      <c r="E186" s="2" t="str">
        <f>"－"</f>
        <v>－</v>
      </c>
      <c r="F186" s="10" t="s">
        <v>35</v>
      </c>
      <c r="G186" s="2" t="str">
        <f>"－"</f>
        <v>－</v>
      </c>
      <c r="H186" s="10" t="s">
        <v>35</v>
      </c>
      <c r="I186" s="2" t="str">
        <f>"－"</f>
        <v>－</v>
      </c>
      <c r="J186" s="10" t="s">
        <v>35</v>
      </c>
      <c r="K186" s="2" t="n">
        <f>20535</f>
        <v>20535.0</v>
      </c>
    </row>
    <row r="187">
      <c r="A187" s="8" t="s">
        <v>19</v>
      </c>
      <c r="B187" s="9" t="s">
        <v>61</v>
      </c>
      <c r="C187" s="9" t="s">
        <v>62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20535</f>
        <v>20535.0</v>
      </c>
    </row>
    <row r="188">
      <c r="A188" s="8" t="s">
        <v>20</v>
      </c>
      <c r="B188" s="9" t="s">
        <v>61</v>
      </c>
      <c r="C188" s="9" t="s">
        <v>62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20535</f>
        <v>20535.0</v>
      </c>
    </row>
    <row r="189">
      <c r="A189" s="8" t="s">
        <v>21</v>
      </c>
      <c r="B189" s="9" t="s">
        <v>61</v>
      </c>
      <c r="C189" s="9" t="s">
        <v>62</v>
      </c>
      <c r="D189" s="10"/>
      <c r="E189" s="2" t="n">
        <f>8700</f>
        <v>8700.0</v>
      </c>
      <c r="F189" s="10"/>
      <c r="G189" s="2" t="n">
        <f>10368225000</f>
        <v>1.0368225E10</v>
      </c>
      <c r="H189" s="10" t="s">
        <v>26</v>
      </c>
      <c r="I189" s="2" t="n">
        <f>8700</f>
        <v>8700.0</v>
      </c>
      <c r="J189" s="10"/>
      <c r="K189" s="2" t="n">
        <f>24885</f>
        <v>24885.0</v>
      </c>
    </row>
    <row r="190">
      <c r="A190" s="8" t="s">
        <v>22</v>
      </c>
      <c r="B190" s="9" t="s">
        <v>61</v>
      </c>
      <c r="C190" s="9" t="s">
        <v>62</v>
      </c>
      <c r="D190" s="10"/>
      <c r="E190" s="2"/>
      <c r="F190" s="10"/>
      <c r="G190" s="2"/>
      <c r="H190" s="10"/>
      <c r="I190" s="2"/>
      <c r="J190" s="10"/>
      <c r="K190" s="2"/>
    </row>
    <row r="191">
      <c r="A191" s="8" t="s">
        <v>23</v>
      </c>
      <c r="B191" s="9" t="s">
        <v>61</v>
      </c>
      <c r="C191" s="9" t="s">
        <v>62</v>
      </c>
      <c r="D191" s="10"/>
      <c r="E191" s="2"/>
      <c r="F191" s="10"/>
      <c r="G191" s="2"/>
      <c r="H191" s="10"/>
      <c r="I191" s="2"/>
      <c r="J191" s="10"/>
      <c r="K191" s="2"/>
    </row>
    <row r="192">
      <c r="A192" s="8" t="s">
        <v>24</v>
      </c>
      <c r="B192" s="9" t="s">
        <v>61</v>
      </c>
      <c r="C192" s="9" t="s">
        <v>62</v>
      </c>
      <c r="D192" s="10"/>
      <c r="E192" s="2" t="n">
        <f>2000</f>
        <v>2000.0</v>
      </c>
      <c r="F192" s="10"/>
      <c r="G192" s="2" t="n">
        <f>2431000000</f>
        <v>2.431E9</v>
      </c>
      <c r="H192" s="10"/>
      <c r="I192" s="2" t="str">
        <f>"－"</f>
        <v>－</v>
      </c>
      <c r="J192" s="10"/>
      <c r="K192" s="2" t="n">
        <f>21922</f>
        <v>21922.0</v>
      </c>
    </row>
    <row r="193">
      <c r="A193" s="8" t="s">
        <v>25</v>
      </c>
      <c r="B193" s="9" t="s">
        <v>61</v>
      </c>
      <c r="C193" s="9" t="s">
        <v>62</v>
      </c>
      <c r="D193" s="10"/>
      <c r="E193" s="2" t="n">
        <f>46752</f>
        <v>46752.0</v>
      </c>
      <c r="F193" s="10"/>
      <c r="G193" s="2" t="n">
        <f>56441084000</f>
        <v>5.6441084E10</v>
      </c>
      <c r="H193" s="10"/>
      <c r="I193" s="2" t="str">
        <f>"－"</f>
        <v>－</v>
      </c>
      <c r="J193" s="10"/>
      <c r="K193" s="2" t="n">
        <f>41542</f>
        <v>41542.0</v>
      </c>
    </row>
    <row r="194">
      <c r="A194" s="8" t="s">
        <v>27</v>
      </c>
      <c r="B194" s="9" t="s">
        <v>61</v>
      </c>
      <c r="C194" s="9" t="s">
        <v>62</v>
      </c>
      <c r="D194" s="10" t="s">
        <v>26</v>
      </c>
      <c r="E194" s="2" t="n">
        <f>51420</f>
        <v>51420.0</v>
      </c>
      <c r="F194" s="10" t="s">
        <v>26</v>
      </c>
      <c r="G194" s="2" t="n">
        <f>60673226400</f>
        <v>6.06732264E10</v>
      </c>
      <c r="H194" s="10"/>
      <c r="I194" s="2" t="str">
        <f>"－"</f>
        <v>－</v>
      </c>
      <c r="J194" s="10" t="s">
        <v>26</v>
      </c>
      <c r="K194" s="2" t="n">
        <f>46288</f>
        <v>46288.0</v>
      </c>
    </row>
    <row r="195">
      <c r="A195" s="8" t="s">
        <v>28</v>
      </c>
      <c r="B195" s="9" t="s">
        <v>61</v>
      </c>
      <c r="C195" s="9" t="s">
        <v>62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46288</f>
        <v>46288.0</v>
      </c>
    </row>
    <row r="196">
      <c r="A196" s="8" t="s">
        <v>29</v>
      </c>
      <c r="B196" s="9" t="s">
        <v>61</v>
      </c>
      <c r="C196" s="9" t="s">
        <v>62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46288</f>
        <v>46288.0</v>
      </c>
    </row>
    <row r="197">
      <c r="A197" s="8" t="s">
        <v>30</v>
      </c>
      <c r="B197" s="9" t="s">
        <v>61</v>
      </c>
      <c r="C197" s="9" t="s">
        <v>62</v>
      </c>
      <c r="D197" s="10"/>
      <c r="E197" s="2"/>
      <c r="F197" s="10"/>
      <c r="G197" s="2"/>
      <c r="H197" s="10"/>
      <c r="I197" s="2"/>
      <c r="J197" s="10"/>
      <c r="K197" s="2"/>
    </row>
    <row r="198">
      <c r="A198" s="8" t="s">
        <v>31</v>
      </c>
      <c r="B198" s="9" t="s">
        <v>61</v>
      </c>
      <c r="C198" s="9" t="s">
        <v>62</v>
      </c>
      <c r="D198" s="10"/>
      <c r="E198" s="2"/>
      <c r="F198" s="10"/>
      <c r="G198" s="2"/>
      <c r="H198" s="10"/>
      <c r="I198" s="2"/>
      <c r="J198" s="10"/>
      <c r="K198" s="2"/>
    </row>
    <row r="199">
      <c r="A199" s="8" t="s">
        <v>32</v>
      </c>
      <c r="B199" s="9" t="s">
        <v>61</v>
      </c>
      <c r="C199" s="9" t="s">
        <v>62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41248</f>
        <v>41248.0</v>
      </c>
    </row>
    <row r="200">
      <c r="A200" s="8" t="s">
        <v>33</v>
      </c>
      <c r="B200" s="9" t="s">
        <v>61</v>
      </c>
      <c r="C200" s="9" t="s">
        <v>62</v>
      </c>
      <c r="D200" s="10"/>
      <c r="E200" s="2" t="n">
        <f>110</f>
        <v>110.0</v>
      </c>
      <c r="F200" s="10"/>
      <c r="G200" s="2" t="n">
        <f>132825000</f>
        <v>1.32825E8</v>
      </c>
      <c r="H200" s="10"/>
      <c r="I200" s="2" t="str">
        <f>"－"</f>
        <v>－</v>
      </c>
      <c r="J200" s="10"/>
      <c r="K200" s="2" t="n">
        <f>41348</f>
        <v>41348.0</v>
      </c>
    </row>
    <row r="201">
      <c r="A201" s="8" t="s">
        <v>34</v>
      </c>
      <c r="B201" s="9" t="s">
        <v>61</v>
      </c>
      <c r="C201" s="9" t="s">
        <v>62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41348</f>
        <v>41348.0</v>
      </c>
    </row>
    <row r="202">
      <c r="A202" s="8" t="s">
        <v>36</v>
      </c>
      <c r="B202" s="9" t="s">
        <v>61</v>
      </c>
      <c r="C202" s="9" t="s">
        <v>62</v>
      </c>
      <c r="D202" s="10"/>
      <c r="E202" s="2" t="str">
        <f>"－"</f>
        <v>－</v>
      </c>
      <c r="F202" s="10"/>
      <c r="G202" s="2" t="str">
        <f>"－"</f>
        <v>－</v>
      </c>
      <c r="H202" s="10"/>
      <c r="I202" s="2" t="str">
        <f>"－"</f>
        <v>－</v>
      </c>
      <c r="J202" s="10"/>
      <c r="K202" s="2" t="n">
        <f>41348</f>
        <v>41348.0</v>
      </c>
    </row>
    <row r="203">
      <c r="A203" s="8" t="s">
        <v>37</v>
      </c>
      <c r="B203" s="9" t="s">
        <v>61</v>
      </c>
      <c r="C203" s="9" t="s">
        <v>62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/>
      <c r="K203" s="2" t="n">
        <f>41348</f>
        <v>41348.0</v>
      </c>
    </row>
    <row r="204">
      <c r="A204" s="8" t="s">
        <v>38</v>
      </c>
      <c r="B204" s="9" t="s">
        <v>61</v>
      </c>
      <c r="C204" s="9" t="s">
        <v>62</v>
      </c>
      <c r="D204" s="10"/>
      <c r="E204" s="2"/>
      <c r="F204" s="10"/>
      <c r="G204" s="2"/>
      <c r="H204" s="10"/>
      <c r="I204" s="2"/>
      <c r="J204" s="10"/>
      <c r="K204" s="2"/>
    </row>
    <row r="205">
      <c r="A205" s="8" t="s">
        <v>39</v>
      </c>
      <c r="B205" s="9" t="s">
        <v>61</v>
      </c>
      <c r="C205" s="9" t="s">
        <v>62</v>
      </c>
      <c r="D205" s="10"/>
      <c r="E205" s="2"/>
      <c r="F205" s="10"/>
      <c r="G205" s="2"/>
      <c r="H205" s="10"/>
      <c r="I205" s="2"/>
      <c r="J205" s="10"/>
      <c r="K205" s="2"/>
    </row>
    <row r="206">
      <c r="A206" s="8" t="s">
        <v>40</v>
      </c>
      <c r="B206" s="9" t="s">
        <v>61</v>
      </c>
      <c r="C206" s="9" t="s">
        <v>62</v>
      </c>
      <c r="D206" s="10"/>
      <c r="E206" s="2"/>
      <c r="F206" s="10"/>
      <c r="G206" s="2"/>
      <c r="H206" s="10"/>
      <c r="I206" s="2"/>
      <c r="J206" s="10"/>
      <c r="K206" s="2"/>
    </row>
    <row r="207">
      <c r="A207" s="8" t="s">
        <v>41</v>
      </c>
      <c r="B207" s="9" t="s">
        <v>61</v>
      </c>
      <c r="C207" s="9" t="s">
        <v>62</v>
      </c>
      <c r="D207" s="10"/>
      <c r="E207" s="2"/>
      <c r="F207" s="10"/>
      <c r="G207" s="2"/>
      <c r="H207" s="10"/>
      <c r="I207" s="2"/>
      <c r="J207" s="10"/>
      <c r="K207" s="2"/>
    </row>
    <row r="208">
      <c r="A208" s="8" t="s">
        <v>42</v>
      </c>
      <c r="B208" s="9" t="s">
        <v>61</v>
      </c>
      <c r="C208" s="9" t="s">
        <v>62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41348</f>
        <v>41348.0</v>
      </c>
    </row>
    <row r="209">
      <c r="A209" s="8" t="s">
        <v>43</v>
      </c>
      <c r="B209" s="9" t="s">
        <v>61</v>
      </c>
      <c r="C209" s="9" t="s">
        <v>62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41348</f>
        <v>41348.0</v>
      </c>
    </row>
    <row r="210">
      <c r="A210" s="8" t="s">
        <v>44</v>
      </c>
      <c r="B210" s="9" t="s">
        <v>61</v>
      </c>
      <c r="C210" s="9" t="s">
        <v>62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41348</f>
        <v>41348.0</v>
      </c>
    </row>
    <row r="211">
      <c r="A211" s="8" t="s">
        <v>45</v>
      </c>
      <c r="B211" s="9" t="s">
        <v>61</v>
      </c>
      <c r="C211" s="9" t="s">
        <v>62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46</v>
      </c>
      <c r="B212" s="9" t="s">
        <v>61</v>
      </c>
      <c r="C212" s="9" t="s">
        <v>62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47</v>
      </c>
      <c r="B213" s="9" t="s">
        <v>61</v>
      </c>
      <c r="C213" s="9" t="s">
        <v>62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41348</f>
        <v>41348.0</v>
      </c>
    </row>
    <row r="214">
      <c r="A214" s="8" t="s">
        <v>48</v>
      </c>
      <c r="B214" s="9" t="s">
        <v>61</v>
      </c>
      <c r="C214" s="9" t="s">
        <v>62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41348</f>
        <v>41348.0</v>
      </c>
    </row>
    <row r="215">
      <c r="A215" s="8" t="s">
        <v>49</v>
      </c>
      <c r="B215" s="9" t="s">
        <v>61</v>
      </c>
      <c r="C215" s="9" t="s">
        <v>62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41348</f>
        <v>41348.0</v>
      </c>
    </row>
    <row r="216">
      <c r="A216" s="8" t="s">
        <v>16</v>
      </c>
      <c r="B216" s="9" t="s">
        <v>63</v>
      </c>
      <c r="C216" s="9" t="s">
        <v>64</v>
      </c>
      <c r="D216" s="10"/>
      <c r="E216" s="2" t="n">
        <f>2763</f>
        <v>2763.0</v>
      </c>
      <c r="F216" s="10"/>
      <c r="G216" s="2" t="n">
        <f>4773341420</f>
        <v>4.77334142E9</v>
      </c>
      <c r="H216" s="10"/>
      <c r="I216" s="2" t="n">
        <f>145</f>
        <v>145.0</v>
      </c>
      <c r="J216" s="10"/>
      <c r="K216" s="2" t="n">
        <f>68908</f>
        <v>68908.0</v>
      </c>
    </row>
    <row r="217">
      <c r="A217" s="8" t="s">
        <v>19</v>
      </c>
      <c r="B217" s="9" t="s">
        <v>63</v>
      </c>
      <c r="C217" s="9" t="s">
        <v>64</v>
      </c>
      <c r="D217" s="10"/>
      <c r="E217" s="2" t="n">
        <f>1321</f>
        <v>1321.0</v>
      </c>
      <c r="F217" s="10"/>
      <c r="G217" s="2" t="n">
        <f>2270961420</f>
        <v>2.27096142E9</v>
      </c>
      <c r="H217" s="10" t="s">
        <v>35</v>
      </c>
      <c r="I217" s="2" t="str">
        <f>"－"</f>
        <v>－</v>
      </c>
      <c r="J217" s="10"/>
      <c r="K217" s="2" t="n">
        <f>69216</f>
        <v>69216.0</v>
      </c>
    </row>
    <row r="218">
      <c r="A218" s="8" t="s">
        <v>20</v>
      </c>
      <c r="B218" s="9" t="s">
        <v>63</v>
      </c>
      <c r="C218" s="9" t="s">
        <v>64</v>
      </c>
      <c r="D218" s="10"/>
      <c r="E218" s="2" t="n">
        <f>1274</f>
        <v>1274.0</v>
      </c>
      <c r="F218" s="10"/>
      <c r="G218" s="2" t="n">
        <f>2218605100</f>
        <v>2.2186051E9</v>
      </c>
      <c r="H218" s="10"/>
      <c r="I218" s="2" t="n">
        <f>21</f>
        <v>21.0</v>
      </c>
      <c r="J218" s="10"/>
      <c r="K218" s="2" t="n">
        <f>69038</f>
        <v>69038.0</v>
      </c>
    </row>
    <row r="219">
      <c r="A219" s="8" t="s">
        <v>21</v>
      </c>
      <c r="B219" s="9" t="s">
        <v>63</v>
      </c>
      <c r="C219" s="9" t="s">
        <v>64</v>
      </c>
      <c r="D219" s="10"/>
      <c r="E219" s="2" t="n">
        <f>22687</f>
        <v>22687.0</v>
      </c>
      <c r="F219" s="10"/>
      <c r="G219" s="2" t="n">
        <f>39321137600</f>
        <v>3.93211376E10</v>
      </c>
      <c r="H219" s="10"/>
      <c r="I219" s="2" t="n">
        <f>12</f>
        <v>12.0</v>
      </c>
      <c r="J219" s="10"/>
      <c r="K219" s="2" t="n">
        <f>80991</f>
        <v>80991.0</v>
      </c>
    </row>
    <row r="220">
      <c r="A220" s="8" t="s">
        <v>22</v>
      </c>
      <c r="B220" s="9" t="s">
        <v>63</v>
      </c>
      <c r="C220" s="9" t="s">
        <v>64</v>
      </c>
      <c r="D220" s="10"/>
      <c r="E220" s="2"/>
      <c r="F220" s="10"/>
      <c r="G220" s="2"/>
      <c r="H220" s="10"/>
      <c r="I220" s="2"/>
      <c r="J220" s="10"/>
      <c r="K220" s="2"/>
    </row>
    <row r="221">
      <c r="A221" s="8" t="s">
        <v>23</v>
      </c>
      <c r="B221" s="9" t="s">
        <v>63</v>
      </c>
      <c r="C221" s="9" t="s">
        <v>64</v>
      </c>
      <c r="D221" s="10"/>
      <c r="E221" s="2"/>
      <c r="F221" s="10"/>
      <c r="G221" s="2"/>
      <c r="H221" s="10"/>
      <c r="I221" s="2"/>
      <c r="J221" s="10"/>
      <c r="K221" s="2"/>
    </row>
    <row r="222">
      <c r="A222" s="8" t="s">
        <v>24</v>
      </c>
      <c r="B222" s="9" t="s">
        <v>63</v>
      </c>
      <c r="C222" s="9" t="s">
        <v>64</v>
      </c>
      <c r="D222" s="10" t="s">
        <v>26</v>
      </c>
      <c r="E222" s="2" t="n">
        <f>68768</f>
        <v>68768.0</v>
      </c>
      <c r="F222" s="10" t="s">
        <v>26</v>
      </c>
      <c r="G222" s="2" t="n">
        <f>118076126400</f>
        <v>1.180761264E11</v>
      </c>
      <c r="H222" s="10"/>
      <c r="I222" s="2" t="str">
        <f>"－"</f>
        <v>－</v>
      </c>
      <c r="J222" s="10"/>
      <c r="K222" s="2" t="n">
        <f>84187</f>
        <v>84187.0</v>
      </c>
    </row>
    <row r="223">
      <c r="A223" s="8" t="s">
        <v>25</v>
      </c>
      <c r="B223" s="9" t="s">
        <v>63</v>
      </c>
      <c r="C223" s="9" t="s">
        <v>64</v>
      </c>
      <c r="D223" s="10"/>
      <c r="E223" s="2" t="n">
        <f>37217</f>
        <v>37217.0</v>
      </c>
      <c r="F223" s="10"/>
      <c r="G223" s="2" t="n">
        <f>63750690690</f>
        <v>6.375069069E10</v>
      </c>
      <c r="H223" s="10"/>
      <c r="I223" s="2" t="str">
        <f>"－"</f>
        <v>－</v>
      </c>
      <c r="J223" s="10"/>
      <c r="K223" s="2" t="n">
        <f>86284</f>
        <v>86284.0</v>
      </c>
    </row>
    <row r="224">
      <c r="A224" s="8" t="s">
        <v>27</v>
      </c>
      <c r="B224" s="9" t="s">
        <v>63</v>
      </c>
      <c r="C224" s="9" t="s">
        <v>64</v>
      </c>
      <c r="D224" s="10"/>
      <c r="E224" s="2" t="n">
        <f>11941</f>
        <v>11941.0</v>
      </c>
      <c r="F224" s="10"/>
      <c r="G224" s="2" t="n">
        <f>20410189330</f>
        <v>2.041018933E10</v>
      </c>
      <c r="H224" s="10" t="s">
        <v>26</v>
      </c>
      <c r="I224" s="2" t="n">
        <f>988</f>
        <v>988.0</v>
      </c>
      <c r="J224" s="10"/>
      <c r="K224" s="2" t="n">
        <f>89621</f>
        <v>89621.0</v>
      </c>
    </row>
    <row r="225">
      <c r="A225" s="8" t="s">
        <v>28</v>
      </c>
      <c r="B225" s="9" t="s">
        <v>63</v>
      </c>
      <c r="C225" s="9" t="s">
        <v>64</v>
      </c>
      <c r="D225" s="10"/>
      <c r="E225" s="2" t="n">
        <f>6426</f>
        <v>6426.0</v>
      </c>
      <c r="F225" s="10"/>
      <c r="G225" s="2" t="n">
        <f>10950264710</f>
        <v>1.095026471E10</v>
      </c>
      <c r="H225" s="10"/>
      <c r="I225" s="2" t="n">
        <f>91</f>
        <v>91.0</v>
      </c>
      <c r="J225" s="10"/>
      <c r="K225" s="2" t="n">
        <f>88929</f>
        <v>88929.0</v>
      </c>
    </row>
    <row r="226">
      <c r="A226" s="8" t="s">
        <v>29</v>
      </c>
      <c r="B226" s="9" t="s">
        <v>63</v>
      </c>
      <c r="C226" s="9" t="s">
        <v>64</v>
      </c>
      <c r="D226" s="10"/>
      <c r="E226" s="2" t="n">
        <f>1114</f>
        <v>1114.0</v>
      </c>
      <c r="F226" s="10"/>
      <c r="G226" s="2" t="n">
        <f>1879487340</f>
        <v>1.87948734E9</v>
      </c>
      <c r="H226" s="10"/>
      <c r="I226" s="2" t="n">
        <f>67</f>
        <v>67.0</v>
      </c>
      <c r="J226" s="10" t="s">
        <v>26</v>
      </c>
      <c r="K226" s="2" t="n">
        <f>89825</f>
        <v>89825.0</v>
      </c>
    </row>
    <row r="227">
      <c r="A227" s="8" t="s">
        <v>30</v>
      </c>
      <c r="B227" s="9" t="s">
        <v>63</v>
      </c>
      <c r="C227" s="9" t="s">
        <v>64</v>
      </c>
      <c r="D227" s="10"/>
      <c r="E227" s="2"/>
      <c r="F227" s="10"/>
      <c r="G227" s="2"/>
      <c r="H227" s="10"/>
      <c r="I227" s="2"/>
      <c r="J227" s="10"/>
      <c r="K227" s="2"/>
    </row>
    <row r="228">
      <c r="A228" s="8" t="s">
        <v>31</v>
      </c>
      <c r="B228" s="9" t="s">
        <v>63</v>
      </c>
      <c r="C228" s="9" t="s">
        <v>64</v>
      </c>
      <c r="D228" s="10"/>
      <c r="E228" s="2"/>
      <c r="F228" s="10"/>
      <c r="G228" s="2"/>
      <c r="H228" s="10"/>
      <c r="I228" s="2"/>
      <c r="J228" s="10"/>
      <c r="K228" s="2"/>
    </row>
    <row r="229">
      <c r="A229" s="8" t="s">
        <v>32</v>
      </c>
      <c r="B229" s="9" t="s">
        <v>63</v>
      </c>
      <c r="C229" s="9" t="s">
        <v>64</v>
      </c>
      <c r="D229" s="10" t="s">
        <v>35</v>
      </c>
      <c r="E229" s="2" t="n">
        <f>606</f>
        <v>606.0</v>
      </c>
      <c r="F229" s="10" t="s">
        <v>35</v>
      </c>
      <c r="G229" s="2" t="n">
        <f>1021917000</f>
        <v>1.021917E9</v>
      </c>
      <c r="H229" s="10"/>
      <c r="I229" s="2" t="n">
        <f>15</f>
        <v>15.0</v>
      </c>
      <c r="J229" s="10"/>
      <c r="K229" s="2" t="n">
        <f>60589</f>
        <v>60589.0</v>
      </c>
    </row>
    <row r="230">
      <c r="A230" s="8" t="s">
        <v>33</v>
      </c>
      <c r="B230" s="9" t="s">
        <v>63</v>
      </c>
      <c r="C230" s="9" t="s">
        <v>64</v>
      </c>
      <c r="D230" s="10"/>
      <c r="E230" s="2" t="n">
        <f>1404</f>
        <v>1404.0</v>
      </c>
      <c r="F230" s="10"/>
      <c r="G230" s="2" t="n">
        <f>2384918530</f>
        <v>2.38491853E9</v>
      </c>
      <c r="H230" s="10"/>
      <c r="I230" s="2" t="n">
        <f>9</f>
        <v>9.0</v>
      </c>
      <c r="J230" s="10"/>
      <c r="K230" s="2" t="n">
        <f>59599</f>
        <v>59599.0</v>
      </c>
    </row>
    <row r="231">
      <c r="A231" s="8" t="s">
        <v>34</v>
      </c>
      <c r="B231" s="9" t="s">
        <v>63</v>
      </c>
      <c r="C231" s="9" t="s">
        <v>64</v>
      </c>
      <c r="D231" s="10"/>
      <c r="E231" s="2" t="n">
        <f>872</f>
        <v>872.0</v>
      </c>
      <c r="F231" s="10"/>
      <c r="G231" s="2" t="n">
        <f>1498827630</f>
        <v>1.49882763E9</v>
      </c>
      <c r="H231" s="10"/>
      <c r="I231" s="2" t="n">
        <f>3</f>
        <v>3.0</v>
      </c>
      <c r="J231" s="10" t="s">
        <v>35</v>
      </c>
      <c r="K231" s="2" t="n">
        <f>59331</f>
        <v>59331.0</v>
      </c>
    </row>
    <row r="232">
      <c r="A232" s="8" t="s">
        <v>36</v>
      </c>
      <c r="B232" s="9" t="s">
        <v>63</v>
      </c>
      <c r="C232" s="9" t="s">
        <v>64</v>
      </c>
      <c r="D232" s="10"/>
      <c r="E232" s="2" t="n">
        <f>1317</f>
        <v>1317.0</v>
      </c>
      <c r="F232" s="10"/>
      <c r="G232" s="2" t="n">
        <f>2283381130</f>
        <v>2.28338113E9</v>
      </c>
      <c r="H232" s="10"/>
      <c r="I232" s="2" t="n">
        <f>2</f>
        <v>2.0</v>
      </c>
      <c r="J232" s="10"/>
      <c r="K232" s="2" t="n">
        <f>59908</f>
        <v>59908.0</v>
      </c>
    </row>
    <row r="233">
      <c r="A233" s="8" t="s">
        <v>37</v>
      </c>
      <c r="B233" s="9" t="s">
        <v>63</v>
      </c>
      <c r="C233" s="9" t="s">
        <v>64</v>
      </c>
      <c r="D233" s="10"/>
      <c r="E233" s="2" t="n">
        <f>2344</f>
        <v>2344.0</v>
      </c>
      <c r="F233" s="10"/>
      <c r="G233" s="2" t="n">
        <f>4044382390</f>
        <v>4.04438239E9</v>
      </c>
      <c r="H233" s="10"/>
      <c r="I233" s="2" t="n">
        <f>1</f>
        <v>1.0</v>
      </c>
      <c r="J233" s="10"/>
      <c r="K233" s="2" t="n">
        <f>60554</f>
        <v>60554.0</v>
      </c>
    </row>
    <row r="234">
      <c r="A234" s="8" t="s">
        <v>38</v>
      </c>
      <c r="B234" s="9" t="s">
        <v>63</v>
      </c>
      <c r="C234" s="9" t="s">
        <v>64</v>
      </c>
      <c r="D234" s="10"/>
      <c r="E234" s="2"/>
      <c r="F234" s="10"/>
      <c r="G234" s="2"/>
      <c r="H234" s="10"/>
      <c r="I234" s="2"/>
      <c r="J234" s="10"/>
      <c r="K234" s="2"/>
    </row>
    <row r="235">
      <c r="A235" s="8" t="s">
        <v>39</v>
      </c>
      <c r="B235" s="9" t="s">
        <v>63</v>
      </c>
      <c r="C235" s="9" t="s">
        <v>64</v>
      </c>
      <c r="D235" s="10"/>
      <c r="E235" s="2"/>
      <c r="F235" s="10"/>
      <c r="G235" s="2"/>
      <c r="H235" s="10"/>
      <c r="I235" s="2"/>
      <c r="J235" s="10"/>
      <c r="K235" s="2"/>
    </row>
    <row r="236">
      <c r="A236" s="8" t="s">
        <v>40</v>
      </c>
      <c r="B236" s="9" t="s">
        <v>63</v>
      </c>
      <c r="C236" s="9" t="s">
        <v>64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41</v>
      </c>
      <c r="B237" s="9" t="s">
        <v>63</v>
      </c>
      <c r="C237" s="9" t="s">
        <v>64</v>
      </c>
      <c r="D237" s="10"/>
      <c r="E237" s="2"/>
      <c r="F237" s="10"/>
      <c r="G237" s="2"/>
      <c r="H237" s="10"/>
      <c r="I237" s="2"/>
      <c r="J237" s="10"/>
      <c r="K237" s="2"/>
    </row>
    <row r="238">
      <c r="A238" s="8" t="s">
        <v>42</v>
      </c>
      <c r="B238" s="9" t="s">
        <v>63</v>
      </c>
      <c r="C238" s="9" t="s">
        <v>64</v>
      </c>
      <c r="D238" s="10"/>
      <c r="E238" s="2" t="n">
        <f>949</f>
        <v>949.0</v>
      </c>
      <c r="F238" s="10"/>
      <c r="G238" s="2" t="n">
        <f>1605831740</f>
        <v>1.60583174E9</v>
      </c>
      <c r="H238" s="10"/>
      <c r="I238" s="2" t="n">
        <f>12</f>
        <v>12.0</v>
      </c>
      <c r="J238" s="10"/>
      <c r="K238" s="2" t="n">
        <f>60202</f>
        <v>60202.0</v>
      </c>
    </row>
    <row r="239">
      <c r="A239" s="8" t="s">
        <v>43</v>
      </c>
      <c r="B239" s="9" t="s">
        <v>63</v>
      </c>
      <c r="C239" s="9" t="s">
        <v>64</v>
      </c>
      <c r="D239" s="10"/>
      <c r="E239" s="2" t="n">
        <f>1293</f>
        <v>1293.0</v>
      </c>
      <c r="F239" s="10"/>
      <c r="G239" s="2" t="n">
        <f>2189667100</f>
        <v>2.1896671E9</v>
      </c>
      <c r="H239" s="10"/>
      <c r="I239" s="2" t="str">
        <f>"－"</f>
        <v>－</v>
      </c>
      <c r="J239" s="10"/>
      <c r="K239" s="2" t="n">
        <f>60471</f>
        <v>60471.0</v>
      </c>
    </row>
    <row r="240">
      <c r="A240" s="8" t="s">
        <v>44</v>
      </c>
      <c r="B240" s="9" t="s">
        <v>63</v>
      </c>
      <c r="C240" s="9" t="s">
        <v>64</v>
      </c>
      <c r="D240" s="10"/>
      <c r="E240" s="2" t="n">
        <f>1227</f>
        <v>1227.0</v>
      </c>
      <c r="F240" s="10"/>
      <c r="G240" s="2" t="n">
        <f>2099716740</f>
        <v>2.09971674E9</v>
      </c>
      <c r="H240" s="10"/>
      <c r="I240" s="2" t="str">
        <f>"－"</f>
        <v>－</v>
      </c>
      <c r="J240" s="10"/>
      <c r="K240" s="2" t="n">
        <f>60855</f>
        <v>60855.0</v>
      </c>
    </row>
    <row r="241">
      <c r="A241" s="8" t="s">
        <v>45</v>
      </c>
      <c r="B241" s="9" t="s">
        <v>63</v>
      </c>
      <c r="C241" s="9" t="s">
        <v>64</v>
      </c>
      <c r="D241" s="10"/>
      <c r="E241" s="2"/>
      <c r="F241" s="10"/>
      <c r="G241" s="2"/>
      <c r="H241" s="10"/>
      <c r="I241" s="2"/>
      <c r="J241" s="10"/>
      <c r="K241" s="2"/>
    </row>
    <row r="242">
      <c r="A242" s="8" t="s">
        <v>46</v>
      </c>
      <c r="B242" s="9" t="s">
        <v>63</v>
      </c>
      <c r="C242" s="9" t="s">
        <v>64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47</v>
      </c>
      <c r="B243" s="9" t="s">
        <v>63</v>
      </c>
      <c r="C243" s="9" t="s">
        <v>64</v>
      </c>
      <c r="D243" s="10"/>
      <c r="E243" s="2" t="n">
        <f>1771</f>
        <v>1771.0</v>
      </c>
      <c r="F243" s="10"/>
      <c r="G243" s="2" t="n">
        <f>3049696960</f>
        <v>3.04969696E9</v>
      </c>
      <c r="H243" s="10"/>
      <c r="I243" s="2" t="str">
        <f>"－"</f>
        <v>－</v>
      </c>
      <c r="J243" s="10"/>
      <c r="K243" s="2" t="n">
        <f>61936</f>
        <v>61936.0</v>
      </c>
    </row>
    <row r="244">
      <c r="A244" s="8" t="s">
        <v>48</v>
      </c>
      <c r="B244" s="9" t="s">
        <v>63</v>
      </c>
      <c r="C244" s="9" t="s">
        <v>64</v>
      </c>
      <c r="D244" s="10"/>
      <c r="E244" s="2" t="n">
        <f>1220</f>
        <v>1220.0</v>
      </c>
      <c r="F244" s="10"/>
      <c r="G244" s="2" t="n">
        <f>2118913810</f>
        <v>2.11891381E9</v>
      </c>
      <c r="H244" s="10"/>
      <c r="I244" s="2" t="n">
        <f>181</f>
        <v>181.0</v>
      </c>
      <c r="J244" s="10"/>
      <c r="K244" s="2" t="n">
        <f>62595</f>
        <v>62595.0</v>
      </c>
    </row>
    <row r="245">
      <c r="A245" s="8" t="s">
        <v>49</v>
      </c>
      <c r="B245" s="9" t="s">
        <v>63</v>
      </c>
      <c r="C245" s="9" t="s">
        <v>64</v>
      </c>
      <c r="D245" s="10"/>
      <c r="E245" s="2" t="n">
        <f>2726</f>
        <v>2726.0</v>
      </c>
      <c r="F245" s="10"/>
      <c r="G245" s="2" t="n">
        <f>4694804560</f>
        <v>4.69480456E9</v>
      </c>
      <c r="H245" s="10"/>
      <c r="I245" s="2" t="str">
        <f>"－"</f>
        <v>－</v>
      </c>
      <c r="J245" s="10"/>
      <c r="K245" s="2" t="n">
        <f>64196</f>
        <v>64196.0</v>
      </c>
    </row>
    <row r="246">
      <c r="A246" s="8" t="s">
        <v>16</v>
      </c>
      <c r="B246" s="9" t="s">
        <v>65</v>
      </c>
      <c r="C246" s="9" t="s">
        <v>66</v>
      </c>
      <c r="D246" s="10" t="s">
        <v>60</v>
      </c>
      <c r="E246" s="2" t="str">
        <f>"－"</f>
        <v>－</v>
      </c>
      <c r="F246" s="10" t="s">
        <v>60</v>
      </c>
      <c r="G246" s="2" t="str">
        <f>"－"</f>
        <v>－</v>
      </c>
      <c r="H246" s="10" t="s">
        <v>60</v>
      </c>
      <c r="I246" s="2" t="str">
        <f>"－"</f>
        <v>－</v>
      </c>
      <c r="J246" s="10" t="s">
        <v>60</v>
      </c>
      <c r="K246" s="2" t="str">
        <f>"－"</f>
        <v>－</v>
      </c>
    </row>
    <row r="247">
      <c r="A247" s="8" t="s">
        <v>19</v>
      </c>
      <c r="B247" s="9" t="s">
        <v>65</v>
      </c>
      <c r="C247" s="9" t="s">
        <v>66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str">
        <f>"－"</f>
        <v>－</v>
      </c>
    </row>
    <row r="248">
      <c r="A248" s="8" t="s">
        <v>20</v>
      </c>
      <c r="B248" s="9" t="s">
        <v>65</v>
      </c>
      <c r="C248" s="9" t="s">
        <v>66</v>
      </c>
      <c r="D248" s="10"/>
      <c r="E248" s="2" t="str">
        <f>"－"</f>
        <v>－</v>
      </c>
      <c r="F248" s="10"/>
      <c r="G248" s="2" t="str">
        <f>"－"</f>
        <v>－</v>
      </c>
      <c r="H248" s="10"/>
      <c r="I248" s="2" t="str">
        <f>"－"</f>
        <v>－</v>
      </c>
      <c r="J248" s="10"/>
      <c r="K248" s="2" t="str">
        <f>"－"</f>
        <v>－</v>
      </c>
    </row>
    <row r="249">
      <c r="A249" s="8" t="s">
        <v>21</v>
      </c>
      <c r="B249" s="9" t="s">
        <v>65</v>
      </c>
      <c r="C249" s="9" t="s">
        <v>66</v>
      </c>
      <c r="D249" s="10"/>
      <c r="E249" s="2" t="str">
        <f>"－"</f>
        <v>－</v>
      </c>
      <c r="F249" s="10"/>
      <c r="G249" s="2" t="str">
        <f>"－"</f>
        <v>－</v>
      </c>
      <c r="H249" s="10"/>
      <c r="I249" s="2" t="str">
        <f>"－"</f>
        <v>－</v>
      </c>
      <c r="J249" s="10"/>
      <c r="K249" s="2" t="str">
        <f>"－"</f>
        <v>－</v>
      </c>
    </row>
    <row r="250">
      <c r="A250" s="8" t="s">
        <v>22</v>
      </c>
      <c r="B250" s="9" t="s">
        <v>65</v>
      </c>
      <c r="C250" s="9" t="s">
        <v>66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23</v>
      </c>
      <c r="B251" s="9" t="s">
        <v>65</v>
      </c>
      <c r="C251" s="9" t="s">
        <v>66</v>
      </c>
      <c r="D251" s="10"/>
      <c r="E251" s="2"/>
      <c r="F251" s="10"/>
      <c r="G251" s="2"/>
      <c r="H251" s="10"/>
      <c r="I251" s="2"/>
      <c r="J251" s="10"/>
      <c r="K251" s="2"/>
    </row>
    <row r="252">
      <c r="A252" s="8" t="s">
        <v>24</v>
      </c>
      <c r="B252" s="9" t="s">
        <v>65</v>
      </c>
      <c r="C252" s="9" t="s">
        <v>66</v>
      </c>
      <c r="D252" s="10"/>
      <c r="E252" s="2" t="str">
        <f>"－"</f>
        <v>－</v>
      </c>
      <c r="F252" s="10"/>
      <c r="G252" s="2" t="str">
        <f>"－"</f>
        <v>－</v>
      </c>
      <c r="H252" s="10"/>
      <c r="I252" s="2" t="str">
        <f>"－"</f>
        <v>－</v>
      </c>
      <c r="J252" s="10"/>
      <c r="K252" s="2" t="str">
        <f>"－"</f>
        <v>－</v>
      </c>
    </row>
    <row r="253">
      <c r="A253" s="8" t="s">
        <v>25</v>
      </c>
      <c r="B253" s="9" t="s">
        <v>65</v>
      </c>
      <c r="C253" s="9" t="s">
        <v>66</v>
      </c>
      <c r="D253" s="10"/>
      <c r="E253" s="2" t="str">
        <f>"－"</f>
        <v>－</v>
      </c>
      <c r="F253" s="10"/>
      <c r="G253" s="2" t="str">
        <f>"－"</f>
        <v>－</v>
      </c>
      <c r="H253" s="10"/>
      <c r="I253" s="2" t="str">
        <f>"－"</f>
        <v>－</v>
      </c>
      <c r="J253" s="10"/>
      <c r="K253" s="2" t="str">
        <f>"－"</f>
        <v>－</v>
      </c>
    </row>
    <row r="254">
      <c r="A254" s="8" t="s">
        <v>27</v>
      </c>
      <c r="B254" s="9" t="s">
        <v>65</v>
      </c>
      <c r="C254" s="9" t="s">
        <v>66</v>
      </c>
      <c r="D254" s="10"/>
      <c r="E254" s="2" t="str">
        <f>"－"</f>
        <v>－</v>
      </c>
      <c r="F254" s="10"/>
      <c r="G254" s="2" t="str">
        <f>"－"</f>
        <v>－</v>
      </c>
      <c r="H254" s="10"/>
      <c r="I254" s="2" t="str">
        <f>"－"</f>
        <v>－</v>
      </c>
      <c r="J254" s="10"/>
      <c r="K254" s="2" t="str">
        <f>"－"</f>
        <v>－</v>
      </c>
    </row>
    <row r="255">
      <c r="A255" s="8" t="s">
        <v>28</v>
      </c>
      <c r="B255" s="9" t="s">
        <v>65</v>
      </c>
      <c r="C255" s="9" t="s">
        <v>66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29</v>
      </c>
      <c r="B256" s="9" t="s">
        <v>65</v>
      </c>
      <c r="C256" s="9" t="s">
        <v>66</v>
      </c>
      <c r="D256" s="10"/>
      <c r="E256" s="2" t="str">
        <f>"－"</f>
        <v>－</v>
      </c>
      <c r="F256" s="10"/>
      <c r="G256" s="2" t="str">
        <f>"－"</f>
        <v>－</v>
      </c>
      <c r="H256" s="10"/>
      <c r="I256" s="2" t="str">
        <f>"－"</f>
        <v>－</v>
      </c>
      <c r="J256" s="10"/>
      <c r="K256" s="2" t="str">
        <f>"－"</f>
        <v>－</v>
      </c>
    </row>
    <row r="257">
      <c r="A257" s="8" t="s">
        <v>30</v>
      </c>
      <c r="B257" s="9" t="s">
        <v>65</v>
      </c>
      <c r="C257" s="9" t="s">
        <v>66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31</v>
      </c>
      <c r="B258" s="9" t="s">
        <v>65</v>
      </c>
      <c r="C258" s="9" t="s">
        <v>66</v>
      </c>
      <c r="D258" s="10"/>
      <c r="E258" s="2"/>
      <c r="F258" s="10"/>
      <c r="G258" s="2"/>
      <c r="H258" s="10"/>
      <c r="I258" s="2"/>
      <c r="J258" s="10"/>
      <c r="K258" s="2"/>
    </row>
    <row r="259">
      <c r="A259" s="8" t="s">
        <v>32</v>
      </c>
      <c r="B259" s="9" t="s">
        <v>65</v>
      </c>
      <c r="C259" s="9" t="s">
        <v>66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33</v>
      </c>
      <c r="B260" s="9" t="s">
        <v>65</v>
      </c>
      <c r="C260" s="9" t="s">
        <v>66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34</v>
      </c>
      <c r="B261" s="9" t="s">
        <v>65</v>
      </c>
      <c r="C261" s="9" t="s">
        <v>66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36</v>
      </c>
      <c r="B262" s="9" t="s">
        <v>65</v>
      </c>
      <c r="C262" s="9" t="s">
        <v>66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37</v>
      </c>
      <c r="B263" s="9" t="s">
        <v>65</v>
      </c>
      <c r="C263" s="9" t="s">
        <v>66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38</v>
      </c>
      <c r="B264" s="9" t="s">
        <v>65</v>
      </c>
      <c r="C264" s="9" t="s">
        <v>66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39</v>
      </c>
      <c r="B265" s="9" t="s">
        <v>65</v>
      </c>
      <c r="C265" s="9" t="s">
        <v>66</v>
      </c>
      <c r="D265" s="10"/>
      <c r="E265" s="2"/>
      <c r="F265" s="10"/>
      <c r="G265" s="2"/>
      <c r="H265" s="10"/>
      <c r="I265" s="2"/>
      <c r="J265" s="10"/>
      <c r="K265" s="2"/>
    </row>
    <row r="266">
      <c r="A266" s="8" t="s">
        <v>40</v>
      </c>
      <c r="B266" s="9" t="s">
        <v>65</v>
      </c>
      <c r="C266" s="9" t="s">
        <v>66</v>
      </c>
      <c r="D266" s="10"/>
      <c r="E266" s="2"/>
      <c r="F266" s="10"/>
      <c r="G266" s="2"/>
      <c r="H266" s="10"/>
      <c r="I266" s="2"/>
      <c r="J266" s="10"/>
      <c r="K266" s="2"/>
    </row>
    <row r="267">
      <c r="A267" s="8" t="s">
        <v>41</v>
      </c>
      <c r="B267" s="9" t="s">
        <v>65</v>
      </c>
      <c r="C267" s="9" t="s">
        <v>66</v>
      </c>
      <c r="D267" s="10"/>
      <c r="E267" s="2"/>
      <c r="F267" s="10"/>
      <c r="G267" s="2"/>
      <c r="H267" s="10"/>
      <c r="I267" s="2"/>
      <c r="J267" s="10"/>
      <c r="K267" s="2"/>
    </row>
    <row r="268">
      <c r="A268" s="8" t="s">
        <v>42</v>
      </c>
      <c r="B268" s="9" t="s">
        <v>65</v>
      </c>
      <c r="C268" s="9" t="s">
        <v>66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43</v>
      </c>
      <c r="B269" s="9" t="s">
        <v>65</v>
      </c>
      <c r="C269" s="9" t="s">
        <v>66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44</v>
      </c>
      <c r="B270" s="9" t="s">
        <v>65</v>
      </c>
      <c r="C270" s="9" t="s">
        <v>66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45</v>
      </c>
      <c r="B271" s="9" t="s">
        <v>65</v>
      </c>
      <c r="C271" s="9" t="s">
        <v>66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46</v>
      </c>
      <c r="B272" s="9" t="s">
        <v>65</v>
      </c>
      <c r="C272" s="9" t="s">
        <v>66</v>
      </c>
      <c r="D272" s="10"/>
      <c r="E272" s="2"/>
      <c r="F272" s="10"/>
      <c r="G272" s="2"/>
      <c r="H272" s="10"/>
      <c r="I272" s="2"/>
      <c r="J272" s="10"/>
      <c r="K272" s="2"/>
    </row>
    <row r="273">
      <c r="A273" s="8" t="s">
        <v>47</v>
      </c>
      <c r="B273" s="9" t="s">
        <v>65</v>
      </c>
      <c r="C273" s="9" t="s">
        <v>66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48</v>
      </c>
      <c r="B274" s="9" t="s">
        <v>65</v>
      </c>
      <c r="C274" s="9" t="s">
        <v>66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49</v>
      </c>
      <c r="B275" s="9" t="s">
        <v>65</v>
      </c>
      <c r="C275" s="9" t="s">
        <v>66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16</v>
      </c>
      <c r="B276" s="9" t="s">
        <v>67</v>
      </c>
      <c r="C276" s="9" t="s">
        <v>68</v>
      </c>
      <c r="D276" s="10"/>
      <c r="E276" s="2" t="n">
        <f>5611</f>
        <v>5611.0</v>
      </c>
      <c r="F276" s="10"/>
      <c r="G276" s="2" t="n">
        <f>6294858510</f>
        <v>6.29485851E9</v>
      </c>
      <c r="H276" s="10"/>
      <c r="I276" s="2" t="n">
        <f>91</f>
        <v>91.0</v>
      </c>
      <c r="J276" s="10"/>
      <c r="K276" s="2" t="n">
        <f>24751</f>
        <v>24751.0</v>
      </c>
    </row>
    <row r="277">
      <c r="A277" s="8" t="s">
        <v>19</v>
      </c>
      <c r="B277" s="9" t="s">
        <v>67</v>
      </c>
      <c r="C277" s="9" t="s">
        <v>68</v>
      </c>
      <c r="D277" s="10"/>
      <c r="E277" s="2" t="n">
        <f>10477</f>
        <v>10477.0</v>
      </c>
      <c r="F277" s="10"/>
      <c r="G277" s="2" t="n">
        <f>12093666840</f>
        <v>1.209366684E10</v>
      </c>
      <c r="H277" s="10"/>
      <c r="I277" s="2" t="n">
        <f>59</f>
        <v>59.0</v>
      </c>
      <c r="J277" s="10"/>
      <c r="K277" s="2" t="n">
        <f>25947</f>
        <v>25947.0</v>
      </c>
    </row>
    <row r="278">
      <c r="A278" s="8" t="s">
        <v>20</v>
      </c>
      <c r="B278" s="9" t="s">
        <v>67</v>
      </c>
      <c r="C278" s="9" t="s">
        <v>68</v>
      </c>
      <c r="D278" s="10"/>
      <c r="E278" s="2" t="n">
        <f>8260</f>
        <v>8260.0</v>
      </c>
      <c r="F278" s="10"/>
      <c r="G278" s="2" t="n">
        <f>9551339500</f>
        <v>9.5513395E9</v>
      </c>
      <c r="H278" s="10"/>
      <c r="I278" s="2" t="n">
        <f>50</f>
        <v>50.0</v>
      </c>
      <c r="J278" s="10"/>
      <c r="K278" s="2" t="n">
        <f>26566</f>
        <v>26566.0</v>
      </c>
    </row>
    <row r="279">
      <c r="A279" s="8" t="s">
        <v>21</v>
      </c>
      <c r="B279" s="9" t="s">
        <v>67</v>
      </c>
      <c r="C279" s="9" t="s">
        <v>68</v>
      </c>
      <c r="D279" s="10"/>
      <c r="E279" s="2" t="n">
        <f>13418</f>
        <v>13418.0</v>
      </c>
      <c r="F279" s="10"/>
      <c r="G279" s="2" t="n">
        <f>15170908950</f>
        <v>1.517090895E10</v>
      </c>
      <c r="H279" s="10"/>
      <c r="I279" s="2" t="n">
        <f>224</f>
        <v>224.0</v>
      </c>
      <c r="J279" s="10"/>
      <c r="K279" s="2" t="n">
        <f>26186</f>
        <v>26186.0</v>
      </c>
    </row>
    <row r="280">
      <c r="A280" s="8" t="s">
        <v>22</v>
      </c>
      <c r="B280" s="9" t="s">
        <v>67</v>
      </c>
      <c r="C280" s="9" t="s">
        <v>68</v>
      </c>
      <c r="D280" s="10"/>
      <c r="E280" s="2"/>
      <c r="F280" s="10"/>
      <c r="G280" s="2"/>
      <c r="H280" s="10"/>
      <c r="I280" s="2"/>
      <c r="J280" s="10"/>
      <c r="K280" s="2"/>
    </row>
    <row r="281">
      <c r="A281" s="8" t="s">
        <v>23</v>
      </c>
      <c r="B281" s="9" t="s">
        <v>67</v>
      </c>
      <c r="C281" s="9" t="s">
        <v>68</v>
      </c>
      <c r="D281" s="10"/>
      <c r="E281" s="2"/>
      <c r="F281" s="10"/>
      <c r="G281" s="2"/>
      <c r="H281" s="10"/>
      <c r="I281" s="2"/>
      <c r="J281" s="10"/>
      <c r="K281" s="2"/>
    </row>
    <row r="282">
      <c r="A282" s="8" t="s">
        <v>24</v>
      </c>
      <c r="B282" s="9" t="s">
        <v>67</v>
      </c>
      <c r="C282" s="9" t="s">
        <v>68</v>
      </c>
      <c r="D282" s="10"/>
      <c r="E282" s="2" t="n">
        <f>17456</f>
        <v>17456.0</v>
      </c>
      <c r="F282" s="10"/>
      <c r="G282" s="2" t="n">
        <f>19560886500</f>
        <v>1.95608865E10</v>
      </c>
      <c r="H282" s="10"/>
      <c r="I282" s="2" t="n">
        <f>220</f>
        <v>220.0</v>
      </c>
      <c r="J282" s="10"/>
      <c r="K282" s="2" t="n">
        <f>27875</f>
        <v>27875.0</v>
      </c>
    </row>
    <row r="283">
      <c r="A283" s="8" t="s">
        <v>25</v>
      </c>
      <c r="B283" s="9" t="s">
        <v>67</v>
      </c>
      <c r="C283" s="9" t="s">
        <v>68</v>
      </c>
      <c r="D283" s="10"/>
      <c r="E283" s="2" t="n">
        <f>12167</f>
        <v>12167.0</v>
      </c>
      <c r="F283" s="10"/>
      <c r="G283" s="2" t="n">
        <f>13553534720</f>
        <v>1.355353472E10</v>
      </c>
      <c r="H283" s="10" t="s">
        <v>26</v>
      </c>
      <c r="I283" s="2" t="n">
        <f>1050</f>
        <v>1050.0</v>
      </c>
      <c r="J283" s="10"/>
      <c r="K283" s="2" t="n">
        <f>28439</f>
        <v>28439.0</v>
      </c>
    </row>
    <row r="284">
      <c r="A284" s="8" t="s">
        <v>27</v>
      </c>
      <c r="B284" s="9" t="s">
        <v>67</v>
      </c>
      <c r="C284" s="9" t="s">
        <v>68</v>
      </c>
      <c r="D284" s="10" t="s">
        <v>26</v>
      </c>
      <c r="E284" s="2" t="n">
        <f>37516</f>
        <v>37516.0</v>
      </c>
      <c r="F284" s="10" t="s">
        <v>26</v>
      </c>
      <c r="G284" s="2" t="n">
        <f>41673037080</f>
        <v>4.167303708E10</v>
      </c>
      <c r="H284" s="10"/>
      <c r="I284" s="2" t="n">
        <f>268</f>
        <v>268.0</v>
      </c>
      <c r="J284" s="10" t="s">
        <v>26</v>
      </c>
      <c r="K284" s="2" t="n">
        <f>28879</f>
        <v>28879.0</v>
      </c>
    </row>
    <row r="285">
      <c r="A285" s="8" t="s">
        <v>28</v>
      </c>
      <c r="B285" s="9" t="s">
        <v>67</v>
      </c>
      <c r="C285" s="9" t="s">
        <v>68</v>
      </c>
      <c r="D285" s="10"/>
      <c r="E285" s="2" t="n">
        <f>13771</f>
        <v>13771.0</v>
      </c>
      <c r="F285" s="10"/>
      <c r="G285" s="2" t="n">
        <f>15297010700</f>
        <v>1.52970107E10</v>
      </c>
      <c r="H285" s="10"/>
      <c r="I285" s="2" t="n">
        <f>238</f>
        <v>238.0</v>
      </c>
      <c r="J285" s="10"/>
      <c r="K285" s="2" t="n">
        <f>22880</f>
        <v>22880.0</v>
      </c>
    </row>
    <row r="286">
      <c r="A286" s="8" t="s">
        <v>29</v>
      </c>
      <c r="B286" s="9" t="s">
        <v>67</v>
      </c>
      <c r="C286" s="9" t="s">
        <v>68</v>
      </c>
      <c r="D286" s="10"/>
      <c r="E286" s="2" t="n">
        <f>5920</f>
        <v>5920.0</v>
      </c>
      <c r="F286" s="10"/>
      <c r="G286" s="2" t="n">
        <f>6289052300</f>
        <v>6.2890523E9</v>
      </c>
      <c r="H286" s="10"/>
      <c r="I286" s="2" t="n">
        <f>143</f>
        <v>143.0</v>
      </c>
      <c r="J286" s="10"/>
      <c r="K286" s="2" t="n">
        <f>23444</f>
        <v>23444.0</v>
      </c>
    </row>
    <row r="287">
      <c r="A287" s="8" t="s">
        <v>30</v>
      </c>
      <c r="B287" s="9" t="s">
        <v>67</v>
      </c>
      <c r="C287" s="9" t="s">
        <v>68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31</v>
      </c>
      <c r="B288" s="9" t="s">
        <v>67</v>
      </c>
      <c r="C288" s="9" t="s">
        <v>68</v>
      </c>
      <c r="D288" s="10"/>
      <c r="E288" s="2"/>
      <c r="F288" s="10"/>
      <c r="G288" s="2"/>
      <c r="H288" s="10"/>
      <c r="I288" s="2"/>
      <c r="J288" s="10"/>
      <c r="K288" s="2"/>
    </row>
    <row r="289">
      <c r="A289" s="8" t="s">
        <v>32</v>
      </c>
      <c r="B289" s="9" t="s">
        <v>67</v>
      </c>
      <c r="C289" s="9" t="s">
        <v>68</v>
      </c>
      <c r="D289" s="10" t="s">
        <v>35</v>
      </c>
      <c r="E289" s="2" t="n">
        <f>3071</f>
        <v>3071.0</v>
      </c>
      <c r="F289" s="10" t="s">
        <v>35</v>
      </c>
      <c r="G289" s="2" t="n">
        <f>3324187490</f>
        <v>3.32418749E9</v>
      </c>
      <c r="H289" s="10"/>
      <c r="I289" s="2" t="n">
        <f>245</f>
        <v>245.0</v>
      </c>
      <c r="J289" s="10" t="s">
        <v>35</v>
      </c>
      <c r="K289" s="2" t="n">
        <f>18623</f>
        <v>18623.0</v>
      </c>
    </row>
    <row r="290">
      <c r="A290" s="8" t="s">
        <v>33</v>
      </c>
      <c r="B290" s="9" t="s">
        <v>67</v>
      </c>
      <c r="C290" s="9" t="s">
        <v>68</v>
      </c>
      <c r="D290" s="10"/>
      <c r="E290" s="2" t="n">
        <f>3422</f>
        <v>3422.0</v>
      </c>
      <c r="F290" s="10"/>
      <c r="G290" s="2" t="n">
        <f>3733480070</f>
        <v>3.73348007E9</v>
      </c>
      <c r="H290" s="10"/>
      <c r="I290" s="2" t="n">
        <f>80</f>
        <v>80.0</v>
      </c>
      <c r="J290" s="10"/>
      <c r="K290" s="2" t="n">
        <f>18863</f>
        <v>18863.0</v>
      </c>
    </row>
    <row r="291">
      <c r="A291" s="8" t="s">
        <v>34</v>
      </c>
      <c r="B291" s="9" t="s">
        <v>67</v>
      </c>
      <c r="C291" s="9" t="s">
        <v>68</v>
      </c>
      <c r="D291" s="10"/>
      <c r="E291" s="2" t="n">
        <f>4375</f>
        <v>4375.0</v>
      </c>
      <c r="F291" s="10"/>
      <c r="G291" s="2" t="n">
        <f>4911249070</f>
        <v>4.91124907E9</v>
      </c>
      <c r="H291" s="10"/>
      <c r="I291" s="2" t="n">
        <f>127</f>
        <v>127.0</v>
      </c>
      <c r="J291" s="10"/>
      <c r="K291" s="2" t="n">
        <f>18749</f>
        <v>18749.0</v>
      </c>
    </row>
    <row r="292">
      <c r="A292" s="8" t="s">
        <v>36</v>
      </c>
      <c r="B292" s="9" t="s">
        <v>67</v>
      </c>
      <c r="C292" s="9" t="s">
        <v>68</v>
      </c>
      <c r="D292" s="10"/>
      <c r="E292" s="2" t="n">
        <f>4972</f>
        <v>4972.0</v>
      </c>
      <c r="F292" s="10"/>
      <c r="G292" s="2" t="n">
        <f>5599807820</f>
        <v>5.59980782E9</v>
      </c>
      <c r="H292" s="10"/>
      <c r="I292" s="2" t="n">
        <f>36</f>
        <v>36.0</v>
      </c>
      <c r="J292" s="10"/>
      <c r="K292" s="2" t="n">
        <f>19104</f>
        <v>19104.0</v>
      </c>
    </row>
    <row r="293">
      <c r="A293" s="8" t="s">
        <v>37</v>
      </c>
      <c r="B293" s="9" t="s">
        <v>67</v>
      </c>
      <c r="C293" s="9" t="s">
        <v>68</v>
      </c>
      <c r="D293" s="10"/>
      <c r="E293" s="2" t="n">
        <f>3841</f>
        <v>3841.0</v>
      </c>
      <c r="F293" s="10"/>
      <c r="G293" s="2" t="n">
        <f>4320823660</f>
        <v>4.32082366E9</v>
      </c>
      <c r="H293" s="10"/>
      <c r="I293" s="2" t="n">
        <f>34</f>
        <v>34.0</v>
      </c>
      <c r="J293" s="10"/>
      <c r="K293" s="2" t="n">
        <f>19193</f>
        <v>19193.0</v>
      </c>
    </row>
    <row r="294">
      <c r="A294" s="8" t="s">
        <v>38</v>
      </c>
      <c r="B294" s="9" t="s">
        <v>67</v>
      </c>
      <c r="C294" s="9" t="s">
        <v>68</v>
      </c>
      <c r="D294" s="10"/>
      <c r="E294" s="2"/>
      <c r="F294" s="10"/>
      <c r="G294" s="2"/>
      <c r="H294" s="10"/>
      <c r="I294" s="2"/>
      <c r="J294" s="10"/>
      <c r="K294" s="2"/>
    </row>
    <row r="295">
      <c r="A295" s="8" t="s">
        <v>39</v>
      </c>
      <c r="B295" s="9" t="s">
        <v>67</v>
      </c>
      <c r="C295" s="9" t="s">
        <v>68</v>
      </c>
      <c r="D295" s="10"/>
      <c r="E295" s="2"/>
      <c r="F295" s="10"/>
      <c r="G295" s="2"/>
      <c r="H295" s="10"/>
      <c r="I295" s="2"/>
      <c r="J295" s="10"/>
      <c r="K295" s="2"/>
    </row>
    <row r="296">
      <c r="A296" s="8" t="s">
        <v>40</v>
      </c>
      <c r="B296" s="9" t="s">
        <v>67</v>
      </c>
      <c r="C296" s="9" t="s">
        <v>68</v>
      </c>
      <c r="D296" s="10"/>
      <c r="E296" s="2"/>
      <c r="F296" s="10"/>
      <c r="G296" s="2"/>
      <c r="H296" s="10"/>
      <c r="I296" s="2"/>
      <c r="J296" s="10"/>
      <c r="K296" s="2"/>
    </row>
    <row r="297">
      <c r="A297" s="8" t="s">
        <v>41</v>
      </c>
      <c r="B297" s="9" t="s">
        <v>67</v>
      </c>
      <c r="C297" s="9" t="s">
        <v>68</v>
      </c>
      <c r="D297" s="10"/>
      <c r="E297" s="2"/>
      <c r="F297" s="10"/>
      <c r="G297" s="2"/>
      <c r="H297" s="10"/>
      <c r="I297" s="2"/>
      <c r="J297" s="10"/>
      <c r="K297" s="2"/>
    </row>
    <row r="298">
      <c r="A298" s="8" t="s">
        <v>42</v>
      </c>
      <c r="B298" s="9" t="s">
        <v>67</v>
      </c>
      <c r="C298" s="9" t="s">
        <v>68</v>
      </c>
      <c r="D298" s="10"/>
      <c r="E298" s="2" t="n">
        <f>4629</f>
        <v>4629.0</v>
      </c>
      <c r="F298" s="10"/>
      <c r="G298" s="2" t="n">
        <f>5313784040</f>
        <v>5.31378404E9</v>
      </c>
      <c r="H298" s="10" t="s">
        <v>35</v>
      </c>
      <c r="I298" s="2" t="n">
        <f>26</f>
        <v>26.0</v>
      </c>
      <c r="J298" s="10"/>
      <c r="K298" s="2" t="n">
        <f>19110</f>
        <v>19110.0</v>
      </c>
    </row>
    <row r="299">
      <c r="A299" s="8" t="s">
        <v>43</v>
      </c>
      <c r="B299" s="9" t="s">
        <v>67</v>
      </c>
      <c r="C299" s="9" t="s">
        <v>68</v>
      </c>
      <c r="D299" s="10"/>
      <c r="E299" s="2" t="n">
        <f>9785</f>
        <v>9785.0</v>
      </c>
      <c r="F299" s="10"/>
      <c r="G299" s="2" t="n">
        <f>11335188340</f>
        <v>1.133518834E10</v>
      </c>
      <c r="H299" s="10"/>
      <c r="I299" s="2" t="n">
        <f>127</f>
        <v>127.0</v>
      </c>
      <c r="J299" s="10"/>
      <c r="K299" s="2" t="n">
        <f>19508</f>
        <v>19508.0</v>
      </c>
    </row>
    <row r="300">
      <c r="A300" s="8" t="s">
        <v>44</v>
      </c>
      <c r="B300" s="9" t="s">
        <v>67</v>
      </c>
      <c r="C300" s="9" t="s">
        <v>68</v>
      </c>
      <c r="D300" s="10"/>
      <c r="E300" s="2" t="n">
        <f>6590</f>
        <v>6590.0</v>
      </c>
      <c r="F300" s="10"/>
      <c r="G300" s="2" t="n">
        <f>7602316260</f>
        <v>7.60231626E9</v>
      </c>
      <c r="H300" s="10"/>
      <c r="I300" s="2" t="n">
        <f>96</f>
        <v>96.0</v>
      </c>
      <c r="J300" s="10"/>
      <c r="K300" s="2" t="n">
        <f>19377</f>
        <v>19377.0</v>
      </c>
    </row>
    <row r="301">
      <c r="A301" s="8" t="s">
        <v>45</v>
      </c>
      <c r="B301" s="9" t="s">
        <v>67</v>
      </c>
      <c r="C301" s="9" t="s">
        <v>68</v>
      </c>
      <c r="D301" s="10"/>
      <c r="E301" s="2"/>
      <c r="F301" s="10"/>
      <c r="G301" s="2"/>
      <c r="H301" s="10"/>
      <c r="I301" s="2"/>
      <c r="J301" s="10"/>
      <c r="K301" s="2"/>
    </row>
    <row r="302">
      <c r="A302" s="8" t="s">
        <v>46</v>
      </c>
      <c r="B302" s="9" t="s">
        <v>67</v>
      </c>
      <c r="C302" s="9" t="s">
        <v>68</v>
      </c>
      <c r="D302" s="10"/>
      <c r="E302" s="2"/>
      <c r="F302" s="10"/>
      <c r="G302" s="2"/>
      <c r="H302" s="10"/>
      <c r="I302" s="2"/>
      <c r="J302" s="10"/>
      <c r="K302" s="2"/>
    </row>
    <row r="303">
      <c r="A303" s="8" t="s">
        <v>47</v>
      </c>
      <c r="B303" s="9" t="s">
        <v>67</v>
      </c>
      <c r="C303" s="9" t="s">
        <v>68</v>
      </c>
      <c r="D303" s="10"/>
      <c r="E303" s="2" t="n">
        <f>8717</f>
        <v>8717.0</v>
      </c>
      <c r="F303" s="10"/>
      <c r="G303" s="2" t="n">
        <f>10157857440</f>
        <v>1.015785744E10</v>
      </c>
      <c r="H303" s="10"/>
      <c r="I303" s="2" t="n">
        <f>324</f>
        <v>324.0</v>
      </c>
      <c r="J303" s="10"/>
      <c r="K303" s="2" t="n">
        <f>19102</f>
        <v>19102.0</v>
      </c>
    </row>
    <row r="304">
      <c r="A304" s="8" t="s">
        <v>48</v>
      </c>
      <c r="B304" s="9" t="s">
        <v>67</v>
      </c>
      <c r="C304" s="9" t="s">
        <v>68</v>
      </c>
      <c r="D304" s="10"/>
      <c r="E304" s="2" t="n">
        <f>4918</f>
        <v>4918.0</v>
      </c>
      <c r="F304" s="10"/>
      <c r="G304" s="2" t="n">
        <f>5803573640</f>
        <v>5.80357364E9</v>
      </c>
      <c r="H304" s="10"/>
      <c r="I304" s="2" t="n">
        <f>181</f>
        <v>181.0</v>
      </c>
      <c r="J304" s="10"/>
      <c r="K304" s="2" t="n">
        <f>19023</f>
        <v>19023.0</v>
      </c>
    </row>
    <row r="305">
      <c r="A305" s="8" t="s">
        <v>49</v>
      </c>
      <c r="B305" s="9" t="s">
        <v>67</v>
      </c>
      <c r="C305" s="9" t="s">
        <v>68</v>
      </c>
      <c r="D305" s="10"/>
      <c r="E305" s="2" t="n">
        <f>6729</f>
        <v>6729.0</v>
      </c>
      <c r="F305" s="10"/>
      <c r="G305" s="2" t="n">
        <f>8057276000</f>
        <v>8.057276E9</v>
      </c>
      <c r="H305" s="10"/>
      <c r="I305" s="2" t="n">
        <f>268</f>
        <v>268.0</v>
      </c>
      <c r="J305" s="10"/>
      <c r="K305" s="2" t="n">
        <f>18977</f>
        <v>18977.0</v>
      </c>
    </row>
    <row r="306">
      <c r="A306" s="8" t="s">
        <v>16</v>
      </c>
      <c r="B306" s="9" t="s">
        <v>69</v>
      </c>
      <c r="C306" s="9" t="s">
        <v>70</v>
      </c>
      <c r="D306" s="10" t="s">
        <v>35</v>
      </c>
      <c r="E306" s="2" t="n">
        <f>529</f>
        <v>529.0</v>
      </c>
      <c r="F306" s="10" t="s">
        <v>35</v>
      </c>
      <c r="G306" s="2" t="n">
        <f>1505900900</f>
        <v>1.5059009E9</v>
      </c>
      <c r="H306" s="10"/>
      <c r="I306" s="2" t="n">
        <f>56</f>
        <v>56.0</v>
      </c>
      <c r="J306" s="10"/>
      <c r="K306" s="2" t="n">
        <f>1082</f>
        <v>1082.0</v>
      </c>
    </row>
    <row r="307">
      <c r="A307" s="8" t="s">
        <v>19</v>
      </c>
      <c r="B307" s="9" t="s">
        <v>69</v>
      </c>
      <c r="C307" s="9" t="s">
        <v>70</v>
      </c>
      <c r="D307" s="10"/>
      <c r="E307" s="2" t="n">
        <f>750</f>
        <v>750.0</v>
      </c>
      <c r="F307" s="10"/>
      <c r="G307" s="2" t="n">
        <f>2139490000</f>
        <v>2.13949E9</v>
      </c>
      <c r="H307" s="10"/>
      <c r="I307" s="2" t="n">
        <f>47</f>
        <v>47.0</v>
      </c>
      <c r="J307" s="10"/>
      <c r="K307" s="2" t="n">
        <f>1112</f>
        <v>1112.0</v>
      </c>
    </row>
    <row r="308">
      <c r="A308" s="8" t="s">
        <v>20</v>
      </c>
      <c r="B308" s="9" t="s">
        <v>69</v>
      </c>
      <c r="C308" s="9" t="s">
        <v>70</v>
      </c>
      <c r="D308" s="10"/>
      <c r="E308" s="2" t="n">
        <f>1086</f>
        <v>1086.0</v>
      </c>
      <c r="F308" s="10"/>
      <c r="G308" s="2" t="n">
        <f>3141478300</f>
        <v>3.1414783E9</v>
      </c>
      <c r="H308" s="10"/>
      <c r="I308" s="2" t="n">
        <f>128</f>
        <v>128.0</v>
      </c>
      <c r="J308" s="10"/>
      <c r="K308" s="2" t="n">
        <f>1328</f>
        <v>1328.0</v>
      </c>
    </row>
    <row r="309">
      <c r="A309" s="8" t="s">
        <v>21</v>
      </c>
      <c r="B309" s="9" t="s">
        <v>69</v>
      </c>
      <c r="C309" s="9" t="s">
        <v>70</v>
      </c>
      <c r="D309" s="10"/>
      <c r="E309" s="2" t="n">
        <f>2649</f>
        <v>2649.0</v>
      </c>
      <c r="F309" s="10"/>
      <c r="G309" s="2" t="n">
        <f>7566856900</f>
        <v>7.5668569E9</v>
      </c>
      <c r="H309" s="10"/>
      <c r="I309" s="2" t="n">
        <f>89</f>
        <v>89.0</v>
      </c>
      <c r="J309" s="10"/>
      <c r="K309" s="2" t="n">
        <f>1339</f>
        <v>1339.0</v>
      </c>
    </row>
    <row r="310">
      <c r="A310" s="8" t="s">
        <v>22</v>
      </c>
      <c r="B310" s="9" t="s">
        <v>69</v>
      </c>
      <c r="C310" s="9" t="s">
        <v>70</v>
      </c>
      <c r="D310" s="10"/>
      <c r="E310" s="2"/>
      <c r="F310" s="10"/>
      <c r="G310" s="2"/>
      <c r="H310" s="10"/>
      <c r="I310" s="2"/>
      <c r="J310" s="10"/>
      <c r="K310" s="2"/>
    </row>
    <row r="311">
      <c r="A311" s="8" t="s">
        <v>23</v>
      </c>
      <c r="B311" s="9" t="s">
        <v>69</v>
      </c>
      <c r="C311" s="9" t="s">
        <v>70</v>
      </c>
      <c r="D311" s="10"/>
      <c r="E311" s="2"/>
      <c r="F311" s="10"/>
      <c r="G311" s="2"/>
      <c r="H311" s="10"/>
      <c r="I311" s="2"/>
      <c r="J311" s="10"/>
      <c r="K311" s="2"/>
    </row>
    <row r="312">
      <c r="A312" s="8" t="s">
        <v>24</v>
      </c>
      <c r="B312" s="9" t="s">
        <v>69</v>
      </c>
      <c r="C312" s="9" t="s">
        <v>70</v>
      </c>
      <c r="D312" s="10" t="s">
        <v>26</v>
      </c>
      <c r="E312" s="2" t="n">
        <f>3391</f>
        <v>3391.0</v>
      </c>
      <c r="F312" s="10" t="s">
        <v>26</v>
      </c>
      <c r="G312" s="2" t="n">
        <f>9535597200</f>
        <v>9.5355972E9</v>
      </c>
      <c r="H312" s="10"/>
      <c r="I312" s="2" t="n">
        <f>108</f>
        <v>108.0</v>
      </c>
      <c r="J312" s="10"/>
      <c r="K312" s="2" t="n">
        <f>1198</f>
        <v>1198.0</v>
      </c>
    </row>
    <row r="313">
      <c r="A313" s="8" t="s">
        <v>25</v>
      </c>
      <c r="B313" s="9" t="s">
        <v>69</v>
      </c>
      <c r="C313" s="9" t="s">
        <v>70</v>
      </c>
      <c r="D313" s="10"/>
      <c r="E313" s="2" t="n">
        <f>813</f>
        <v>813.0</v>
      </c>
      <c r="F313" s="10"/>
      <c r="G313" s="2" t="n">
        <f>2295875800</f>
        <v>2.2958758E9</v>
      </c>
      <c r="H313" s="10"/>
      <c r="I313" s="2" t="n">
        <f>38</f>
        <v>38.0</v>
      </c>
      <c r="J313" s="10"/>
      <c r="K313" s="2" t="n">
        <f>1228</f>
        <v>1228.0</v>
      </c>
    </row>
    <row r="314">
      <c r="A314" s="8" t="s">
        <v>27</v>
      </c>
      <c r="B314" s="9" t="s">
        <v>69</v>
      </c>
      <c r="C314" s="9" t="s">
        <v>70</v>
      </c>
      <c r="D314" s="10"/>
      <c r="E314" s="2" t="n">
        <f>2888</f>
        <v>2888.0</v>
      </c>
      <c r="F314" s="10"/>
      <c r="G314" s="2" t="n">
        <f>8010216700</f>
        <v>8.0102167E9</v>
      </c>
      <c r="H314" s="10"/>
      <c r="I314" s="2" t="n">
        <f>101</f>
        <v>101.0</v>
      </c>
      <c r="J314" s="10"/>
      <c r="K314" s="2" t="n">
        <f>1288</f>
        <v>1288.0</v>
      </c>
    </row>
    <row r="315">
      <c r="A315" s="8" t="s">
        <v>28</v>
      </c>
      <c r="B315" s="9" t="s">
        <v>69</v>
      </c>
      <c r="C315" s="9" t="s">
        <v>70</v>
      </c>
      <c r="D315" s="10"/>
      <c r="E315" s="2" t="n">
        <f>2707</f>
        <v>2707.0</v>
      </c>
      <c r="F315" s="10"/>
      <c r="G315" s="2" t="n">
        <f>7539483000</f>
        <v>7.539483E9</v>
      </c>
      <c r="H315" s="10" t="s">
        <v>26</v>
      </c>
      <c r="I315" s="2" t="n">
        <f>205</f>
        <v>205.0</v>
      </c>
      <c r="J315" s="10"/>
      <c r="K315" s="2" t="n">
        <f>1277</f>
        <v>1277.0</v>
      </c>
    </row>
    <row r="316">
      <c r="A316" s="8" t="s">
        <v>29</v>
      </c>
      <c r="B316" s="9" t="s">
        <v>69</v>
      </c>
      <c r="C316" s="9" t="s">
        <v>70</v>
      </c>
      <c r="D316" s="10"/>
      <c r="E316" s="2" t="n">
        <f>2759</f>
        <v>2759.0</v>
      </c>
      <c r="F316" s="10"/>
      <c r="G316" s="2" t="n">
        <f>7689236300</f>
        <v>7.6892363E9</v>
      </c>
      <c r="H316" s="10"/>
      <c r="I316" s="2" t="n">
        <f>134</f>
        <v>134.0</v>
      </c>
      <c r="J316" s="10"/>
      <c r="K316" s="2" t="n">
        <f>1378</f>
        <v>1378.0</v>
      </c>
    </row>
    <row r="317">
      <c r="A317" s="8" t="s">
        <v>30</v>
      </c>
      <c r="B317" s="9" t="s">
        <v>69</v>
      </c>
      <c r="C317" s="9" t="s">
        <v>70</v>
      </c>
      <c r="D317" s="10"/>
      <c r="E317" s="2"/>
      <c r="F317" s="10"/>
      <c r="G317" s="2"/>
      <c r="H317" s="10"/>
      <c r="I317" s="2"/>
      <c r="J317" s="10"/>
      <c r="K317" s="2"/>
    </row>
    <row r="318">
      <c r="A318" s="8" t="s">
        <v>31</v>
      </c>
      <c r="B318" s="9" t="s">
        <v>69</v>
      </c>
      <c r="C318" s="9" t="s">
        <v>70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32</v>
      </c>
      <c r="B319" s="9" t="s">
        <v>69</v>
      </c>
      <c r="C319" s="9" t="s">
        <v>70</v>
      </c>
      <c r="D319" s="10"/>
      <c r="E319" s="2" t="n">
        <f>2899</f>
        <v>2899.0</v>
      </c>
      <c r="F319" s="10"/>
      <c r="G319" s="2" t="n">
        <f>8029632000</f>
        <v>8.029632E9</v>
      </c>
      <c r="H319" s="10"/>
      <c r="I319" s="2" t="n">
        <f>111</f>
        <v>111.0</v>
      </c>
      <c r="J319" s="10"/>
      <c r="K319" s="2" t="n">
        <f>1268</f>
        <v>1268.0</v>
      </c>
    </row>
    <row r="320">
      <c r="A320" s="8" t="s">
        <v>33</v>
      </c>
      <c r="B320" s="9" t="s">
        <v>69</v>
      </c>
      <c r="C320" s="9" t="s">
        <v>70</v>
      </c>
      <c r="D320" s="10"/>
      <c r="E320" s="2" t="n">
        <f>2129</f>
        <v>2129.0</v>
      </c>
      <c r="F320" s="10"/>
      <c r="G320" s="2" t="n">
        <f>5955164100</f>
        <v>5.9551641E9</v>
      </c>
      <c r="H320" s="10"/>
      <c r="I320" s="2" t="n">
        <f>56</f>
        <v>56.0</v>
      </c>
      <c r="J320" s="10"/>
      <c r="K320" s="2" t="n">
        <f>1399</f>
        <v>1399.0</v>
      </c>
    </row>
    <row r="321">
      <c r="A321" s="8" t="s">
        <v>34</v>
      </c>
      <c r="B321" s="9" t="s">
        <v>69</v>
      </c>
      <c r="C321" s="9" t="s">
        <v>70</v>
      </c>
      <c r="D321" s="10"/>
      <c r="E321" s="2" t="n">
        <f>1122</f>
        <v>1122.0</v>
      </c>
      <c r="F321" s="10"/>
      <c r="G321" s="2" t="n">
        <f>3151136800</f>
        <v>3.1511368E9</v>
      </c>
      <c r="H321" s="10"/>
      <c r="I321" s="2" t="n">
        <f>40</f>
        <v>40.0</v>
      </c>
      <c r="J321" s="10"/>
      <c r="K321" s="2" t="n">
        <f>1279</f>
        <v>1279.0</v>
      </c>
    </row>
    <row r="322">
      <c r="A322" s="8" t="s">
        <v>36</v>
      </c>
      <c r="B322" s="9" t="s">
        <v>69</v>
      </c>
      <c r="C322" s="9" t="s">
        <v>70</v>
      </c>
      <c r="D322" s="10"/>
      <c r="E322" s="2" t="n">
        <f>1237</f>
        <v>1237.0</v>
      </c>
      <c r="F322" s="10"/>
      <c r="G322" s="2" t="n">
        <f>3465693000</f>
        <v>3.465693E9</v>
      </c>
      <c r="H322" s="10"/>
      <c r="I322" s="2" t="n">
        <f>80</f>
        <v>80.0</v>
      </c>
      <c r="J322" s="10"/>
      <c r="K322" s="2" t="n">
        <f>1264</f>
        <v>1264.0</v>
      </c>
    </row>
    <row r="323">
      <c r="A323" s="8" t="s">
        <v>37</v>
      </c>
      <c r="B323" s="9" t="s">
        <v>69</v>
      </c>
      <c r="C323" s="9" t="s">
        <v>70</v>
      </c>
      <c r="D323" s="10"/>
      <c r="E323" s="2" t="n">
        <f>1278</f>
        <v>1278.0</v>
      </c>
      <c r="F323" s="10"/>
      <c r="G323" s="2" t="n">
        <f>3556510900</f>
        <v>3.5565109E9</v>
      </c>
      <c r="H323" s="10"/>
      <c r="I323" s="2" t="n">
        <f>109</f>
        <v>109.0</v>
      </c>
      <c r="J323" s="10"/>
      <c r="K323" s="2" t="n">
        <f>1279</f>
        <v>1279.0</v>
      </c>
    </row>
    <row r="324">
      <c r="A324" s="8" t="s">
        <v>38</v>
      </c>
      <c r="B324" s="9" t="s">
        <v>69</v>
      </c>
      <c r="C324" s="9" t="s">
        <v>70</v>
      </c>
      <c r="D324" s="10"/>
      <c r="E324" s="2"/>
      <c r="F324" s="10"/>
      <c r="G324" s="2"/>
      <c r="H324" s="10"/>
      <c r="I324" s="2"/>
      <c r="J324" s="10"/>
      <c r="K324" s="2"/>
    </row>
    <row r="325">
      <c r="A325" s="8" t="s">
        <v>39</v>
      </c>
      <c r="B325" s="9" t="s">
        <v>69</v>
      </c>
      <c r="C325" s="9" t="s">
        <v>70</v>
      </c>
      <c r="D325" s="10"/>
      <c r="E325" s="2"/>
      <c r="F325" s="10"/>
      <c r="G325" s="2"/>
      <c r="H325" s="10"/>
      <c r="I325" s="2"/>
      <c r="J325" s="10"/>
      <c r="K325" s="2"/>
    </row>
    <row r="326">
      <c r="A326" s="8" t="s">
        <v>40</v>
      </c>
      <c r="B326" s="9" t="s">
        <v>69</v>
      </c>
      <c r="C326" s="9" t="s">
        <v>70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41</v>
      </c>
      <c r="B327" s="9" t="s">
        <v>69</v>
      </c>
      <c r="C327" s="9" t="s">
        <v>70</v>
      </c>
      <c r="D327" s="10"/>
      <c r="E327" s="2"/>
      <c r="F327" s="10"/>
      <c r="G327" s="2"/>
      <c r="H327" s="10"/>
      <c r="I327" s="2"/>
      <c r="J327" s="10"/>
      <c r="K327" s="2"/>
    </row>
    <row r="328">
      <c r="A328" s="8" t="s">
        <v>42</v>
      </c>
      <c r="B328" s="9" t="s">
        <v>69</v>
      </c>
      <c r="C328" s="9" t="s">
        <v>70</v>
      </c>
      <c r="D328" s="10"/>
      <c r="E328" s="2" t="n">
        <f>664</f>
        <v>664.0</v>
      </c>
      <c r="F328" s="10"/>
      <c r="G328" s="2" t="n">
        <f>1824734500</f>
        <v>1.8247345E9</v>
      </c>
      <c r="H328" s="10" t="s">
        <v>35</v>
      </c>
      <c r="I328" s="2" t="n">
        <f>8</f>
        <v>8.0</v>
      </c>
      <c r="J328" s="10" t="s">
        <v>26</v>
      </c>
      <c r="K328" s="2" t="n">
        <f>1474</f>
        <v>1474.0</v>
      </c>
    </row>
    <row r="329">
      <c r="A329" s="8" t="s">
        <v>43</v>
      </c>
      <c r="B329" s="9" t="s">
        <v>69</v>
      </c>
      <c r="C329" s="9" t="s">
        <v>70</v>
      </c>
      <c r="D329" s="10"/>
      <c r="E329" s="2" t="n">
        <f>1197</f>
        <v>1197.0</v>
      </c>
      <c r="F329" s="10"/>
      <c r="G329" s="2" t="n">
        <f>3224080200</f>
        <v>3.2240802E9</v>
      </c>
      <c r="H329" s="10"/>
      <c r="I329" s="2" t="n">
        <f>41</f>
        <v>41.0</v>
      </c>
      <c r="J329" s="10" t="s">
        <v>35</v>
      </c>
      <c r="K329" s="2" t="n">
        <f>888</f>
        <v>888.0</v>
      </c>
    </row>
    <row r="330">
      <c r="A330" s="8" t="s">
        <v>44</v>
      </c>
      <c r="B330" s="9" t="s">
        <v>69</v>
      </c>
      <c r="C330" s="9" t="s">
        <v>70</v>
      </c>
      <c r="D330" s="10"/>
      <c r="E330" s="2" t="n">
        <f>845</f>
        <v>845.0</v>
      </c>
      <c r="F330" s="10"/>
      <c r="G330" s="2" t="n">
        <f>2253069900</f>
        <v>2.2530699E9</v>
      </c>
      <c r="H330" s="10"/>
      <c r="I330" s="2" t="n">
        <f>14</f>
        <v>14.0</v>
      </c>
      <c r="J330" s="10"/>
      <c r="K330" s="2" t="n">
        <f>909</f>
        <v>909.0</v>
      </c>
    </row>
    <row r="331">
      <c r="A331" s="8" t="s">
        <v>45</v>
      </c>
      <c r="B331" s="9" t="s">
        <v>69</v>
      </c>
      <c r="C331" s="9" t="s">
        <v>70</v>
      </c>
      <c r="D331" s="10"/>
      <c r="E331" s="2"/>
      <c r="F331" s="10"/>
      <c r="G331" s="2"/>
      <c r="H331" s="10"/>
      <c r="I331" s="2"/>
      <c r="J331" s="10"/>
      <c r="K331" s="2"/>
    </row>
    <row r="332">
      <c r="A332" s="8" t="s">
        <v>46</v>
      </c>
      <c r="B332" s="9" t="s">
        <v>69</v>
      </c>
      <c r="C332" s="9" t="s">
        <v>70</v>
      </c>
      <c r="D332" s="10"/>
      <c r="E332" s="2"/>
      <c r="F332" s="10"/>
      <c r="G332" s="2"/>
      <c r="H332" s="10"/>
      <c r="I332" s="2"/>
      <c r="J332" s="10"/>
      <c r="K332" s="2"/>
    </row>
    <row r="333">
      <c r="A333" s="8" t="s">
        <v>47</v>
      </c>
      <c r="B333" s="9" t="s">
        <v>69</v>
      </c>
      <c r="C333" s="9" t="s">
        <v>70</v>
      </c>
      <c r="D333" s="10"/>
      <c r="E333" s="2" t="n">
        <f>828</f>
        <v>828.0</v>
      </c>
      <c r="F333" s="10"/>
      <c r="G333" s="2" t="n">
        <f>2223922000</f>
        <v>2.223922E9</v>
      </c>
      <c r="H333" s="10"/>
      <c r="I333" s="2" t="n">
        <f>37</f>
        <v>37.0</v>
      </c>
      <c r="J333" s="10"/>
      <c r="K333" s="2" t="n">
        <f>895</f>
        <v>895.0</v>
      </c>
    </row>
    <row r="334">
      <c r="A334" s="8" t="s">
        <v>48</v>
      </c>
      <c r="B334" s="9" t="s">
        <v>69</v>
      </c>
      <c r="C334" s="9" t="s">
        <v>70</v>
      </c>
      <c r="D334" s="10"/>
      <c r="E334" s="2" t="n">
        <f>882</f>
        <v>882.0</v>
      </c>
      <c r="F334" s="10"/>
      <c r="G334" s="2" t="n">
        <f>2420689700</f>
        <v>2.4206897E9</v>
      </c>
      <c r="H334" s="10"/>
      <c r="I334" s="2" t="n">
        <f>104</f>
        <v>104.0</v>
      </c>
      <c r="J334" s="10"/>
      <c r="K334" s="2" t="n">
        <f>925</f>
        <v>925.0</v>
      </c>
    </row>
    <row r="335">
      <c r="A335" s="8" t="s">
        <v>49</v>
      </c>
      <c r="B335" s="9" t="s">
        <v>69</v>
      </c>
      <c r="C335" s="9" t="s">
        <v>70</v>
      </c>
      <c r="D335" s="10"/>
      <c r="E335" s="2" t="n">
        <f>1059</f>
        <v>1059.0</v>
      </c>
      <c r="F335" s="10"/>
      <c r="G335" s="2" t="n">
        <f>2890905600</f>
        <v>2.8909056E9</v>
      </c>
      <c r="H335" s="10"/>
      <c r="I335" s="2" t="n">
        <f>51</f>
        <v>51.0</v>
      </c>
      <c r="J335" s="10"/>
      <c r="K335" s="2" t="n">
        <f>898</f>
        <v>898.0</v>
      </c>
    </row>
    <row r="336">
      <c r="A336" s="8" t="s">
        <v>16</v>
      </c>
      <c r="B336" s="9" t="s">
        <v>71</v>
      </c>
      <c r="C336" s="9" t="s">
        <v>72</v>
      </c>
      <c r="D336" s="10" t="s">
        <v>35</v>
      </c>
      <c r="E336" s="2" t="str">
        <f>"－"</f>
        <v>－</v>
      </c>
      <c r="F336" s="10" t="s">
        <v>35</v>
      </c>
      <c r="G336" s="2" t="str">
        <f>"－"</f>
        <v>－</v>
      </c>
      <c r="H336" s="10" t="s">
        <v>60</v>
      </c>
      <c r="I336" s="2" t="str">
        <f>"－"</f>
        <v>－</v>
      </c>
      <c r="J336" s="10" t="s">
        <v>60</v>
      </c>
      <c r="K336" s="2" t="str">
        <f>"－"</f>
        <v>－</v>
      </c>
    </row>
    <row r="337">
      <c r="A337" s="8" t="s">
        <v>19</v>
      </c>
      <c r="B337" s="9" t="s">
        <v>71</v>
      </c>
      <c r="C337" s="9" t="s">
        <v>72</v>
      </c>
      <c r="D337" s="10"/>
      <c r="E337" s="2" t="n">
        <f>10</f>
        <v>10.0</v>
      </c>
      <c r="F337" s="10"/>
      <c r="G337" s="2" t="n">
        <f>12662000</f>
        <v>1.2662E7</v>
      </c>
      <c r="H337" s="10"/>
      <c r="I337" s="2" t="str">
        <f>"－"</f>
        <v>－</v>
      </c>
      <c r="J337" s="10"/>
      <c r="K337" s="2" t="str">
        <f>"－"</f>
        <v>－</v>
      </c>
    </row>
    <row r="338">
      <c r="A338" s="8" t="s">
        <v>20</v>
      </c>
      <c r="B338" s="9" t="s">
        <v>71</v>
      </c>
      <c r="C338" s="9" t="s">
        <v>72</v>
      </c>
      <c r="D338" s="10"/>
      <c r="E338" s="2" t="str">
        <f>"－"</f>
        <v>－</v>
      </c>
      <c r="F338" s="10"/>
      <c r="G338" s="2" t="str">
        <f>"－"</f>
        <v>－</v>
      </c>
      <c r="H338" s="10"/>
      <c r="I338" s="2" t="str">
        <f>"－"</f>
        <v>－</v>
      </c>
      <c r="J338" s="10"/>
      <c r="K338" s="2" t="str">
        <f>"－"</f>
        <v>－</v>
      </c>
    </row>
    <row r="339">
      <c r="A339" s="8" t="s">
        <v>21</v>
      </c>
      <c r="B339" s="9" t="s">
        <v>71</v>
      </c>
      <c r="C339" s="9" t="s">
        <v>72</v>
      </c>
      <c r="D339" s="10"/>
      <c r="E339" s="2" t="n">
        <f>20</f>
        <v>20.0</v>
      </c>
      <c r="F339" s="10"/>
      <c r="G339" s="2" t="n">
        <f>25084500</f>
        <v>2.50845E7</v>
      </c>
      <c r="H339" s="10"/>
      <c r="I339" s="2" t="str">
        <f>"－"</f>
        <v>－</v>
      </c>
      <c r="J339" s="10"/>
      <c r="K339" s="2" t="str">
        <f>"－"</f>
        <v>－</v>
      </c>
    </row>
    <row r="340">
      <c r="A340" s="8" t="s">
        <v>22</v>
      </c>
      <c r="B340" s="9" t="s">
        <v>71</v>
      </c>
      <c r="C340" s="9" t="s">
        <v>72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23</v>
      </c>
      <c r="B341" s="9" t="s">
        <v>71</v>
      </c>
      <c r="C341" s="9" t="s">
        <v>72</v>
      </c>
      <c r="D341" s="10"/>
      <c r="E341" s="2"/>
      <c r="F341" s="10"/>
      <c r="G341" s="2"/>
      <c r="H341" s="10"/>
      <c r="I341" s="2"/>
      <c r="J341" s="10"/>
      <c r="K341" s="2"/>
    </row>
    <row r="342">
      <c r="A342" s="8" t="s">
        <v>24</v>
      </c>
      <c r="B342" s="9" t="s">
        <v>71</v>
      </c>
      <c r="C342" s="9" t="s">
        <v>72</v>
      </c>
      <c r="D342" s="10"/>
      <c r="E342" s="2" t="n">
        <f>10</f>
        <v>10.0</v>
      </c>
      <c r="F342" s="10"/>
      <c r="G342" s="2" t="n">
        <f>12669000</f>
        <v>1.2669E7</v>
      </c>
      <c r="H342" s="10"/>
      <c r="I342" s="2" t="str">
        <f>"－"</f>
        <v>－</v>
      </c>
      <c r="J342" s="10"/>
      <c r="K342" s="2" t="str">
        <f>"－"</f>
        <v>－</v>
      </c>
    </row>
    <row r="343">
      <c r="A343" s="8" t="s">
        <v>25</v>
      </c>
      <c r="B343" s="9" t="s">
        <v>71</v>
      </c>
      <c r="C343" s="9" t="s">
        <v>72</v>
      </c>
      <c r="D343" s="10"/>
      <c r="E343" s="2" t="str">
        <f>"－"</f>
        <v>－</v>
      </c>
      <c r="F343" s="10"/>
      <c r="G343" s="2" t="str">
        <f>"－"</f>
        <v>－</v>
      </c>
      <c r="H343" s="10"/>
      <c r="I343" s="2" t="str">
        <f>"－"</f>
        <v>－</v>
      </c>
      <c r="J343" s="10"/>
      <c r="K343" s="2" t="str">
        <f>"－"</f>
        <v>－</v>
      </c>
    </row>
    <row r="344">
      <c r="A344" s="8" t="s">
        <v>27</v>
      </c>
      <c r="B344" s="9" t="s">
        <v>71</v>
      </c>
      <c r="C344" s="9" t="s">
        <v>72</v>
      </c>
      <c r="D344" s="10"/>
      <c r="E344" s="2" t="n">
        <f>10</f>
        <v>10.0</v>
      </c>
      <c r="F344" s="10"/>
      <c r="G344" s="2" t="n">
        <f>12450000</f>
        <v>1.245E7</v>
      </c>
      <c r="H344" s="10"/>
      <c r="I344" s="2" t="str">
        <f>"－"</f>
        <v>－</v>
      </c>
      <c r="J344" s="10"/>
      <c r="K344" s="2" t="str">
        <f>"－"</f>
        <v>－</v>
      </c>
    </row>
    <row r="345">
      <c r="A345" s="8" t="s">
        <v>28</v>
      </c>
      <c r="B345" s="9" t="s">
        <v>71</v>
      </c>
      <c r="C345" s="9" t="s">
        <v>72</v>
      </c>
      <c r="D345" s="10"/>
      <c r="E345" s="2" t="str">
        <f>"－"</f>
        <v>－</v>
      </c>
      <c r="F345" s="10"/>
      <c r="G345" s="2" t="str">
        <f>"－"</f>
        <v>－</v>
      </c>
      <c r="H345" s="10"/>
      <c r="I345" s="2" t="str">
        <f>"－"</f>
        <v>－</v>
      </c>
      <c r="J345" s="10"/>
      <c r="K345" s="2" t="str">
        <f>"－"</f>
        <v>－</v>
      </c>
    </row>
    <row r="346">
      <c r="A346" s="8" t="s">
        <v>29</v>
      </c>
      <c r="B346" s="9" t="s">
        <v>71</v>
      </c>
      <c r="C346" s="9" t="s">
        <v>72</v>
      </c>
      <c r="D346" s="10"/>
      <c r="E346" s="2" t="str">
        <f>"－"</f>
        <v>－</v>
      </c>
      <c r="F346" s="10"/>
      <c r="G346" s="2" t="str">
        <f>"－"</f>
        <v>－</v>
      </c>
      <c r="H346" s="10"/>
      <c r="I346" s="2" t="str">
        <f>"－"</f>
        <v>－</v>
      </c>
      <c r="J346" s="10"/>
      <c r="K346" s="2" t="str">
        <f>"－"</f>
        <v>－</v>
      </c>
    </row>
    <row r="347">
      <c r="A347" s="8" t="s">
        <v>30</v>
      </c>
      <c r="B347" s="9" t="s">
        <v>71</v>
      </c>
      <c r="C347" s="9" t="s">
        <v>72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31</v>
      </c>
      <c r="B348" s="9" t="s">
        <v>71</v>
      </c>
      <c r="C348" s="9" t="s">
        <v>72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32</v>
      </c>
      <c r="B349" s="9" t="s">
        <v>71</v>
      </c>
      <c r="C349" s="9" t="s">
        <v>72</v>
      </c>
      <c r="D349" s="10"/>
      <c r="E349" s="2" t="n">
        <f>10</f>
        <v>10.0</v>
      </c>
      <c r="F349" s="10"/>
      <c r="G349" s="2" t="n">
        <f>12704000</f>
        <v>1.2704E7</v>
      </c>
      <c r="H349" s="10"/>
      <c r="I349" s="2" t="str">
        <f>"－"</f>
        <v>－</v>
      </c>
      <c r="J349" s="10"/>
      <c r="K349" s="2" t="str">
        <f>"－"</f>
        <v>－</v>
      </c>
    </row>
    <row r="350">
      <c r="A350" s="8" t="s">
        <v>33</v>
      </c>
      <c r="B350" s="9" t="s">
        <v>71</v>
      </c>
      <c r="C350" s="9" t="s">
        <v>72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str">
        <f>"－"</f>
        <v>－</v>
      </c>
    </row>
    <row r="351">
      <c r="A351" s="8" t="s">
        <v>34</v>
      </c>
      <c r="B351" s="9" t="s">
        <v>71</v>
      </c>
      <c r="C351" s="9" t="s">
        <v>72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36</v>
      </c>
      <c r="B352" s="9" t="s">
        <v>71</v>
      </c>
      <c r="C352" s="9" t="s">
        <v>72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37</v>
      </c>
      <c r="B353" s="9" t="s">
        <v>71</v>
      </c>
      <c r="C353" s="9" t="s">
        <v>72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/>
      <c r="K353" s="2" t="str">
        <f>"－"</f>
        <v>－</v>
      </c>
    </row>
    <row r="354">
      <c r="A354" s="8" t="s">
        <v>38</v>
      </c>
      <c r="B354" s="9" t="s">
        <v>71</v>
      </c>
      <c r="C354" s="9" t="s">
        <v>72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39</v>
      </c>
      <c r="B355" s="9" t="s">
        <v>71</v>
      </c>
      <c r="C355" s="9" t="s">
        <v>72</v>
      </c>
      <c r="D355" s="10"/>
      <c r="E355" s="2"/>
      <c r="F355" s="10"/>
      <c r="G355" s="2"/>
      <c r="H355" s="10"/>
      <c r="I355" s="2"/>
      <c r="J355" s="10"/>
      <c r="K355" s="2"/>
    </row>
    <row r="356">
      <c r="A356" s="8" t="s">
        <v>40</v>
      </c>
      <c r="B356" s="9" t="s">
        <v>71</v>
      </c>
      <c r="C356" s="9" t="s">
        <v>72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41</v>
      </c>
      <c r="B357" s="9" t="s">
        <v>71</v>
      </c>
      <c r="C357" s="9" t="s">
        <v>72</v>
      </c>
      <c r="D357" s="10"/>
      <c r="E357" s="2"/>
      <c r="F357" s="10"/>
      <c r="G357" s="2"/>
      <c r="H357" s="10"/>
      <c r="I357" s="2"/>
      <c r="J357" s="10"/>
      <c r="K357" s="2"/>
    </row>
    <row r="358">
      <c r="A358" s="8" t="s">
        <v>42</v>
      </c>
      <c r="B358" s="9" t="s">
        <v>71</v>
      </c>
      <c r="C358" s="9" t="s">
        <v>72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43</v>
      </c>
      <c r="B359" s="9" t="s">
        <v>71</v>
      </c>
      <c r="C359" s="9" t="s">
        <v>72</v>
      </c>
      <c r="D359" s="10" t="s">
        <v>26</v>
      </c>
      <c r="E359" s="2" t="n">
        <f>30</f>
        <v>30.0</v>
      </c>
      <c r="F359" s="10" t="s">
        <v>26</v>
      </c>
      <c r="G359" s="2" t="n">
        <f>36833500</f>
        <v>3.68335E7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44</v>
      </c>
      <c r="B360" s="9" t="s">
        <v>71</v>
      </c>
      <c r="C360" s="9" t="s">
        <v>72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45</v>
      </c>
      <c r="B361" s="9" t="s">
        <v>71</v>
      </c>
      <c r="C361" s="9" t="s">
        <v>72</v>
      </c>
      <c r="D361" s="10"/>
      <c r="E361" s="2"/>
      <c r="F361" s="10"/>
      <c r="G361" s="2"/>
      <c r="H361" s="10"/>
      <c r="I361" s="2"/>
      <c r="J361" s="10"/>
      <c r="K361" s="2"/>
    </row>
    <row r="362">
      <c r="A362" s="8" t="s">
        <v>46</v>
      </c>
      <c r="B362" s="9" t="s">
        <v>71</v>
      </c>
      <c r="C362" s="9" t="s">
        <v>72</v>
      </c>
      <c r="D362" s="10"/>
      <c r="E362" s="2"/>
      <c r="F362" s="10"/>
      <c r="G362" s="2"/>
      <c r="H362" s="10"/>
      <c r="I362" s="2"/>
      <c r="J362" s="10"/>
      <c r="K362" s="2"/>
    </row>
    <row r="363">
      <c r="A363" s="8" t="s">
        <v>47</v>
      </c>
      <c r="B363" s="9" t="s">
        <v>71</v>
      </c>
      <c r="C363" s="9" t="s">
        <v>72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48</v>
      </c>
      <c r="B364" s="9" t="s">
        <v>71</v>
      </c>
      <c r="C364" s="9" t="s">
        <v>72</v>
      </c>
      <c r="D364" s="10"/>
      <c r="E364" s="2" t="str">
        <f>"－"</f>
        <v>－</v>
      </c>
      <c r="F364" s="10"/>
      <c r="G364" s="2" t="str">
        <f>"－"</f>
        <v>－</v>
      </c>
      <c r="H364" s="10"/>
      <c r="I364" s="2" t="str">
        <f>"－"</f>
        <v>－</v>
      </c>
      <c r="J364" s="10"/>
      <c r="K364" s="2" t="str">
        <f>"－"</f>
        <v>－</v>
      </c>
    </row>
    <row r="365">
      <c r="A365" s="8" t="s">
        <v>49</v>
      </c>
      <c r="B365" s="9" t="s">
        <v>71</v>
      </c>
      <c r="C365" s="9" t="s">
        <v>72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35</v>
      </c>
      <c r="E366" s="2" t="str">
        <f>"－"</f>
        <v>－</v>
      </c>
      <c r="F366" s="10" t="s">
        <v>35</v>
      </c>
      <c r="G366" s="2" t="str">
        <f>"－"</f>
        <v>－</v>
      </c>
      <c r="H366" s="10" t="s">
        <v>60</v>
      </c>
      <c r="I366" s="2" t="str">
        <f>"－"</f>
        <v>－</v>
      </c>
      <c r="J366" s="10" t="s">
        <v>35</v>
      </c>
      <c r="K366" s="2" t="str">
        <f>"－"</f>
        <v>－</v>
      </c>
    </row>
    <row r="367">
      <c r="A367" s="8" t="s">
        <v>19</v>
      </c>
      <c r="B367" s="9" t="s">
        <v>73</v>
      </c>
      <c r="C367" s="9" t="s">
        <v>74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20</v>
      </c>
      <c r="B368" s="9" t="s">
        <v>73</v>
      </c>
      <c r="C368" s="9" t="s">
        <v>74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21</v>
      </c>
      <c r="B369" s="9" t="s">
        <v>73</v>
      </c>
      <c r="C369" s="9" t="s">
        <v>74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22</v>
      </c>
      <c r="B370" s="9" t="s">
        <v>73</v>
      </c>
      <c r="C370" s="9" t="s">
        <v>74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23</v>
      </c>
      <c r="B371" s="9" t="s">
        <v>73</v>
      </c>
      <c r="C371" s="9" t="s">
        <v>74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24</v>
      </c>
      <c r="B372" s="9" t="s">
        <v>73</v>
      </c>
      <c r="C372" s="9" t="s">
        <v>74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25</v>
      </c>
      <c r="B373" s="9" t="s">
        <v>73</v>
      </c>
      <c r="C373" s="9" t="s">
        <v>74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27</v>
      </c>
      <c r="B374" s="9" t="s">
        <v>73</v>
      </c>
      <c r="C374" s="9" t="s">
        <v>74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28</v>
      </c>
      <c r="B375" s="9" t="s">
        <v>73</v>
      </c>
      <c r="C375" s="9" t="s">
        <v>74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29</v>
      </c>
      <c r="B376" s="9" t="s">
        <v>73</v>
      </c>
      <c r="C376" s="9" t="s">
        <v>74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30</v>
      </c>
      <c r="B377" s="9" t="s">
        <v>73</v>
      </c>
      <c r="C377" s="9" t="s">
        <v>74</v>
      </c>
      <c r="D377" s="10"/>
      <c r="E377" s="2"/>
      <c r="F377" s="10"/>
      <c r="G377" s="2"/>
      <c r="H377" s="10"/>
      <c r="I377" s="2"/>
      <c r="J377" s="10"/>
      <c r="K377" s="2"/>
    </row>
    <row r="378">
      <c r="A378" s="8" t="s">
        <v>31</v>
      </c>
      <c r="B378" s="9" t="s">
        <v>73</v>
      </c>
      <c r="C378" s="9" t="s">
        <v>74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32</v>
      </c>
      <c r="B379" s="9" t="s">
        <v>73</v>
      </c>
      <c r="C379" s="9" t="s">
        <v>74</v>
      </c>
      <c r="D379" s="10" t="s">
        <v>26</v>
      </c>
      <c r="E379" s="2" t="n">
        <f>10</f>
        <v>10.0</v>
      </c>
      <c r="F379" s="10" t="s">
        <v>26</v>
      </c>
      <c r="G379" s="2" t="n">
        <f>18950000</f>
        <v>1.895E7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33</v>
      </c>
      <c r="B380" s="9" t="s">
        <v>73</v>
      </c>
      <c r="C380" s="9" t="s">
        <v>74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34</v>
      </c>
      <c r="B381" s="9" t="s">
        <v>73</v>
      </c>
      <c r="C381" s="9" t="s">
        <v>74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36</v>
      </c>
      <c r="B382" s="9" t="s">
        <v>73</v>
      </c>
      <c r="C382" s="9" t="s">
        <v>74</v>
      </c>
      <c r="D382" s="10"/>
      <c r="E382" s="2" t="n">
        <f>5</f>
        <v>5.0</v>
      </c>
      <c r="F382" s="10"/>
      <c r="G382" s="2" t="n">
        <f>9520000</f>
        <v>9520000.0</v>
      </c>
      <c r="H382" s="10"/>
      <c r="I382" s="2" t="str">
        <f>"－"</f>
        <v>－</v>
      </c>
      <c r="J382" s="10" t="s">
        <v>26</v>
      </c>
      <c r="K382" s="2" t="n">
        <f>5</f>
        <v>5.0</v>
      </c>
    </row>
    <row r="383">
      <c r="A383" s="8" t="s">
        <v>37</v>
      </c>
      <c r="B383" s="9" t="s">
        <v>73</v>
      </c>
      <c r="C383" s="9" t="s">
        <v>74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n">
        <f>5</f>
        <v>5.0</v>
      </c>
    </row>
    <row r="384">
      <c r="A384" s="8" t="s">
        <v>38</v>
      </c>
      <c r="B384" s="9" t="s">
        <v>73</v>
      </c>
      <c r="C384" s="9" t="s">
        <v>74</v>
      </c>
      <c r="D384" s="10"/>
      <c r="E384" s="2"/>
      <c r="F384" s="10"/>
      <c r="G384" s="2"/>
      <c r="H384" s="10"/>
      <c r="I384" s="2"/>
      <c r="J384" s="10"/>
      <c r="K384" s="2"/>
    </row>
    <row r="385">
      <c r="A385" s="8" t="s">
        <v>39</v>
      </c>
      <c r="B385" s="9" t="s">
        <v>73</v>
      </c>
      <c r="C385" s="9" t="s">
        <v>74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40</v>
      </c>
      <c r="B386" s="9" t="s">
        <v>73</v>
      </c>
      <c r="C386" s="9" t="s">
        <v>74</v>
      </c>
      <c r="D386" s="10"/>
      <c r="E386" s="2"/>
      <c r="F386" s="10"/>
      <c r="G386" s="2"/>
      <c r="H386" s="10"/>
      <c r="I386" s="2"/>
      <c r="J386" s="10"/>
      <c r="K386" s="2"/>
    </row>
    <row r="387">
      <c r="A387" s="8" t="s">
        <v>41</v>
      </c>
      <c r="B387" s="9" t="s">
        <v>73</v>
      </c>
      <c r="C387" s="9" t="s">
        <v>74</v>
      </c>
      <c r="D387" s="10"/>
      <c r="E387" s="2"/>
      <c r="F387" s="10"/>
      <c r="G387" s="2"/>
      <c r="H387" s="10"/>
      <c r="I387" s="2"/>
      <c r="J387" s="10"/>
      <c r="K387" s="2"/>
    </row>
    <row r="388">
      <c r="A388" s="8" t="s">
        <v>42</v>
      </c>
      <c r="B388" s="9" t="s">
        <v>73</v>
      </c>
      <c r="C388" s="9" t="s">
        <v>74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n">
        <f>5</f>
        <v>5.0</v>
      </c>
    </row>
    <row r="389">
      <c r="A389" s="8" t="s">
        <v>43</v>
      </c>
      <c r="B389" s="9" t="s">
        <v>73</v>
      </c>
      <c r="C389" s="9" t="s">
        <v>74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n">
        <f>5</f>
        <v>5.0</v>
      </c>
    </row>
    <row r="390">
      <c r="A390" s="8" t="s">
        <v>44</v>
      </c>
      <c r="B390" s="9" t="s">
        <v>73</v>
      </c>
      <c r="C390" s="9" t="s">
        <v>74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n">
        <f>5</f>
        <v>5.0</v>
      </c>
    </row>
    <row r="391">
      <c r="A391" s="8" t="s">
        <v>45</v>
      </c>
      <c r="B391" s="9" t="s">
        <v>73</v>
      </c>
      <c r="C391" s="9" t="s">
        <v>74</v>
      </c>
      <c r="D391" s="10"/>
      <c r="E391" s="2"/>
      <c r="F391" s="10"/>
      <c r="G391" s="2"/>
      <c r="H391" s="10"/>
      <c r="I391" s="2"/>
      <c r="J391" s="10"/>
      <c r="K391" s="2"/>
    </row>
    <row r="392">
      <c r="A392" s="8" t="s">
        <v>46</v>
      </c>
      <c r="B392" s="9" t="s">
        <v>73</v>
      </c>
      <c r="C392" s="9" t="s">
        <v>74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47</v>
      </c>
      <c r="B393" s="9" t="s">
        <v>73</v>
      </c>
      <c r="C393" s="9" t="s">
        <v>74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n">
        <f>5</f>
        <v>5.0</v>
      </c>
    </row>
    <row r="394">
      <c r="A394" s="8" t="s">
        <v>48</v>
      </c>
      <c r="B394" s="9" t="s">
        <v>73</v>
      </c>
      <c r="C394" s="9" t="s">
        <v>74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n">
        <f>5</f>
        <v>5.0</v>
      </c>
    </row>
    <row r="395">
      <c r="A395" s="8" t="s">
        <v>49</v>
      </c>
      <c r="B395" s="9" t="s">
        <v>73</v>
      </c>
      <c r="C395" s="9" t="s">
        <v>74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n">
        <f>5</f>
        <v>5.0</v>
      </c>
    </row>
    <row r="396">
      <c r="A396" s="8" t="s">
        <v>16</v>
      </c>
      <c r="B396" s="9" t="s">
        <v>75</v>
      </c>
      <c r="C396" s="9" t="s">
        <v>76</v>
      </c>
      <c r="D396" s="10" t="s">
        <v>35</v>
      </c>
      <c r="E396" s="2" t="str">
        <f>"－"</f>
        <v>－</v>
      </c>
      <c r="F396" s="10" t="s">
        <v>35</v>
      </c>
      <c r="G396" s="2" t="str">
        <f>"－"</f>
        <v>－</v>
      </c>
      <c r="H396" s="10" t="s">
        <v>60</v>
      </c>
      <c r="I396" s="2" t="str">
        <f>"－"</f>
        <v>－</v>
      </c>
      <c r="J396" s="10" t="s">
        <v>26</v>
      </c>
      <c r="K396" s="2" t="n">
        <f>31350</f>
        <v>31350.0</v>
      </c>
    </row>
    <row r="397">
      <c r="A397" s="8" t="s">
        <v>19</v>
      </c>
      <c r="B397" s="9" t="s">
        <v>75</v>
      </c>
      <c r="C397" s="9" t="s">
        <v>76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n">
        <f>31350</f>
        <v>31350.0</v>
      </c>
    </row>
    <row r="398">
      <c r="A398" s="8" t="s">
        <v>20</v>
      </c>
      <c r="B398" s="9" t="s">
        <v>75</v>
      </c>
      <c r="C398" s="9" t="s">
        <v>76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n">
        <f>31350</f>
        <v>31350.0</v>
      </c>
    </row>
    <row r="399">
      <c r="A399" s="8" t="s">
        <v>21</v>
      </c>
      <c r="B399" s="9" t="s">
        <v>75</v>
      </c>
      <c r="C399" s="9" t="s">
        <v>76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n">
        <f>31350</f>
        <v>31350.0</v>
      </c>
    </row>
    <row r="400">
      <c r="A400" s="8" t="s">
        <v>22</v>
      </c>
      <c r="B400" s="9" t="s">
        <v>75</v>
      </c>
      <c r="C400" s="9" t="s">
        <v>76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23</v>
      </c>
      <c r="B401" s="9" t="s">
        <v>75</v>
      </c>
      <c r="C401" s="9" t="s">
        <v>76</v>
      </c>
      <c r="D401" s="10"/>
      <c r="E401" s="2"/>
      <c r="F401" s="10"/>
      <c r="G401" s="2"/>
      <c r="H401" s="10"/>
      <c r="I401" s="2"/>
      <c r="J401" s="10"/>
      <c r="K401" s="2"/>
    </row>
    <row r="402">
      <c r="A402" s="8" t="s">
        <v>24</v>
      </c>
      <c r="B402" s="9" t="s">
        <v>75</v>
      </c>
      <c r="C402" s="9" t="s">
        <v>76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n">
        <f>31350</f>
        <v>31350.0</v>
      </c>
    </row>
    <row r="403">
      <c r="A403" s="8" t="s">
        <v>25</v>
      </c>
      <c r="B403" s="9" t="s">
        <v>75</v>
      </c>
      <c r="C403" s="9" t="s">
        <v>76</v>
      </c>
      <c r="D403" s="10" t="s">
        <v>26</v>
      </c>
      <c r="E403" s="2" t="n">
        <f>1035</f>
        <v>1035.0</v>
      </c>
      <c r="F403" s="10" t="s">
        <v>26</v>
      </c>
      <c r="G403" s="2" t="n">
        <f>391230000</f>
        <v>3.9123E8</v>
      </c>
      <c r="H403" s="10"/>
      <c r="I403" s="2" t="str">
        <f>"－"</f>
        <v>－</v>
      </c>
      <c r="J403" s="10" t="s">
        <v>35</v>
      </c>
      <c r="K403" s="2" t="n">
        <f>30315</f>
        <v>30315.0</v>
      </c>
    </row>
    <row r="404">
      <c r="A404" s="8" t="s">
        <v>27</v>
      </c>
      <c r="B404" s="9" t="s">
        <v>75</v>
      </c>
      <c r="C404" s="9" t="s">
        <v>76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n">
        <f>30315</f>
        <v>30315.0</v>
      </c>
    </row>
    <row r="405">
      <c r="A405" s="8" t="s">
        <v>28</v>
      </c>
      <c r="B405" s="9" t="s">
        <v>75</v>
      </c>
      <c r="C405" s="9" t="s">
        <v>76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n">
        <f>30315</f>
        <v>30315.0</v>
      </c>
    </row>
    <row r="406">
      <c r="A406" s="8" t="s">
        <v>29</v>
      </c>
      <c r="B406" s="9" t="s">
        <v>75</v>
      </c>
      <c r="C406" s="9" t="s">
        <v>76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n">
        <f>30315</f>
        <v>30315.0</v>
      </c>
    </row>
    <row r="407">
      <c r="A407" s="8" t="s">
        <v>30</v>
      </c>
      <c r="B407" s="9" t="s">
        <v>75</v>
      </c>
      <c r="C407" s="9" t="s">
        <v>76</v>
      </c>
      <c r="D407" s="10"/>
      <c r="E407" s="2"/>
      <c r="F407" s="10"/>
      <c r="G407" s="2"/>
      <c r="H407" s="10"/>
      <c r="I407" s="2"/>
      <c r="J407" s="10"/>
      <c r="K407" s="2"/>
    </row>
    <row r="408">
      <c r="A408" s="8" t="s">
        <v>31</v>
      </c>
      <c r="B408" s="9" t="s">
        <v>75</v>
      </c>
      <c r="C408" s="9" t="s">
        <v>76</v>
      </c>
      <c r="D408" s="10"/>
      <c r="E408" s="2"/>
      <c r="F408" s="10"/>
      <c r="G408" s="2"/>
      <c r="H408" s="10"/>
      <c r="I408" s="2"/>
      <c r="J408" s="10"/>
      <c r="K408" s="2"/>
    </row>
    <row r="409">
      <c r="A409" s="8" t="s">
        <v>32</v>
      </c>
      <c r="B409" s="9" t="s">
        <v>75</v>
      </c>
      <c r="C409" s="9" t="s">
        <v>76</v>
      </c>
      <c r="D409" s="10"/>
      <c r="E409" s="2" t="str">
        <f>"－"</f>
        <v>－</v>
      </c>
      <c r="F409" s="10"/>
      <c r="G409" s="2" t="str">
        <f>"－"</f>
        <v>－</v>
      </c>
      <c r="H409" s="10"/>
      <c r="I409" s="2" t="str">
        <f>"－"</f>
        <v>－</v>
      </c>
      <c r="J409" s="10"/>
      <c r="K409" s="2" t="n">
        <f>30315</f>
        <v>30315.0</v>
      </c>
    </row>
    <row r="410">
      <c r="A410" s="8" t="s">
        <v>33</v>
      </c>
      <c r="B410" s="9" t="s">
        <v>75</v>
      </c>
      <c r="C410" s="9" t="s">
        <v>76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30315</f>
        <v>30315.0</v>
      </c>
    </row>
    <row r="411">
      <c r="A411" s="8" t="s">
        <v>34</v>
      </c>
      <c r="B411" s="9" t="s">
        <v>75</v>
      </c>
      <c r="C411" s="9" t="s">
        <v>76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30315</f>
        <v>30315.0</v>
      </c>
    </row>
    <row r="412">
      <c r="A412" s="8" t="s">
        <v>36</v>
      </c>
      <c r="B412" s="9" t="s">
        <v>75</v>
      </c>
      <c r="C412" s="9" t="s">
        <v>76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30315</f>
        <v>30315.0</v>
      </c>
    </row>
    <row r="413">
      <c r="A413" s="8" t="s">
        <v>37</v>
      </c>
      <c r="B413" s="9" t="s">
        <v>75</v>
      </c>
      <c r="C413" s="9" t="s">
        <v>76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30315</f>
        <v>30315.0</v>
      </c>
    </row>
    <row r="414">
      <c r="A414" s="8" t="s">
        <v>38</v>
      </c>
      <c r="B414" s="9" t="s">
        <v>75</v>
      </c>
      <c r="C414" s="9" t="s">
        <v>76</v>
      </c>
      <c r="D414" s="10"/>
      <c r="E414" s="2"/>
      <c r="F414" s="10"/>
      <c r="G414" s="2"/>
      <c r="H414" s="10"/>
      <c r="I414" s="2"/>
      <c r="J414" s="10"/>
      <c r="K414" s="2"/>
    </row>
    <row r="415">
      <c r="A415" s="8" t="s">
        <v>39</v>
      </c>
      <c r="B415" s="9" t="s">
        <v>75</v>
      </c>
      <c r="C415" s="9" t="s">
        <v>76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40</v>
      </c>
      <c r="B416" s="9" t="s">
        <v>75</v>
      </c>
      <c r="C416" s="9" t="s">
        <v>76</v>
      </c>
      <c r="D416" s="10"/>
      <c r="E416" s="2"/>
      <c r="F416" s="10"/>
      <c r="G416" s="2"/>
      <c r="H416" s="10"/>
      <c r="I416" s="2"/>
      <c r="J416" s="10"/>
      <c r="K416" s="2"/>
    </row>
    <row r="417">
      <c r="A417" s="8" t="s">
        <v>41</v>
      </c>
      <c r="B417" s="9" t="s">
        <v>75</v>
      </c>
      <c r="C417" s="9" t="s">
        <v>76</v>
      </c>
      <c r="D417" s="10"/>
      <c r="E417" s="2"/>
      <c r="F417" s="10"/>
      <c r="G417" s="2"/>
      <c r="H417" s="10"/>
      <c r="I417" s="2"/>
      <c r="J417" s="10"/>
      <c r="K417" s="2"/>
    </row>
    <row r="418">
      <c r="A418" s="8" t="s">
        <v>42</v>
      </c>
      <c r="B418" s="9" t="s">
        <v>75</v>
      </c>
      <c r="C418" s="9" t="s">
        <v>76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30315</f>
        <v>30315.0</v>
      </c>
    </row>
    <row r="419">
      <c r="A419" s="8" t="s">
        <v>43</v>
      </c>
      <c r="B419" s="9" t="s">
        <v>75</v>
      </c>
      <c r="C419" s="9" t="s">
        <v>76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30315</f>
        <v>30315.0</v>
      </c>
    </row>
    <row r="420">
      <c r="A420" s="8" t="s">
        <v>44</v>
      </c>
      <c r="B420" s="9" t="s">
        <v>75</v>
      </c>
      <c r="C420" s="9" t="s">
        <v>76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30315</f>
        <v>30315.0</v>
      </c>
    </row>
    <row r="421">
      <c r="A421" s="8" t="s">
        <v>45</v>
      </c>
      <c r="B421" s="9" t="s">
        <v>75</v>
      </c>
      <c r="C421" s="9" t="s">
        <v>76</v>
      </c>
      <c r="D421" s="10"/>
      <c r="E421" s="2"/>
      <c r="F421" s="10"/>
      <c r="G421" s="2"/>
      <c r="H421" s="10"/>
      <c r="I421" s="2"/>
      <c r="J421" s="10"/>
      <c r="K421" s="2"/>
    </row>
    <row r="422">
      <c r="A422" s="8" t="s">
        <v>46</v>
      </c>
      <c r="B422" s="9" t="s">
        <v>75</v>
      </c>
      <c r="C422" s="9" t="s">
        <v>76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47</v>
      </c>
      <c r="B423" s="9" t="s">
        <v>75</v>
      </c>
      <c r="C423" s="9" t="s">
        <v>76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30315</f>
        <v>30315.0</v>
      </c>
    </row>
    <row r="424">
      <c r="A424" s="8" t="s">
        <v>48</v>
      </c>
      <c r="B424" s="9" t="s">
        <v>75</v>
      </c>
      <c r="C424" s="9" t="s">
        <v>76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30315</f>
        <v>30315.0</v>
      </c>
    </row>
    <row r="425">
      <c r="A425" s="8" t="s">
        <v>49</v>
      </c>
      <c r="B425" s="9" t="s">
        <v>75</v>
      </c>
      <c r="C425" s="9" t="s">
        <v>76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30315</f>
        <v>30315.0</v>
      </c>
    </row>
    <row r="426">
      <c r="A426" s="8" t="s">
        <v>16</v>
      </c>
      <c r="B426" s="9" t="s">
        <v>77</v>
      </c>
      <c r="C426" s="9" t="s">
        <v>78</v>
      </c>
      <c r="D426" s="10" t="s">
        <v>60</v>
      </c>
      <c r="E426" s="2" t="str">
        <f>"－"</f>
        <v>－</v>
      </c>
      <c r="F426" s="10" t="s">
        <v>60</v>
      </c>
      <c r="G426" s="2" t="str">
        <f>"－"</f>
        <v>－</v>
      </c>
      <c r="H426" s="10" t="s">
        <v>60</v>
      </c>
      <c r="I426" s="2" t="str">
        <f>"－"</f>
        <v>－</v>
      </c>
      <c r="J426" s="10" t="s">
        <v>60</v>
      </c>
      <c r="K426" s="2" t="str">
        <f>"－"</f>
        <v>－</v>
      </c>
    </row>
    <row r="427">
      <c r="A427" s="8" t="s">
        <v>19</v>
      </c>
      <c r="B427" s="9" t="s">
        <v>77</v>
      </c>
      <c r="C427" s="9" t="s">
        <v>78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20</v>
      </c>
      <c r="B428" s="9" t="s">
        <v>77</v>
      </c>
      <c r="C428" s="9" t="s">
        <v>78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str">
        <f>"－"</f>
        <v>－</v>
      </c>
    </row>
    <row r="429">
      <c r="A429" s="8" t="s">
        <v>21</v>
      </c>
      <c r="B429" s="9" t="s">
        <v>77</v>
      </c>
      <c r="C429" s="9" t="s">
        <v>78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str">
        <f>"－"</f>
        <v>－</v>
      </c>
    </row>
    <row r="430">
      <c r="A430" s="8" t="s">
        <v>22</v>
      </c>
      <c r="B430" s="9" t="s">
        <v>77</v>
      </c>
      <c r="C430" s="9" t="s">
        <v>78</v>
      </c>
      <c r="D430" s="10"/>
      <c r="E430" s="2"/>
      <c r="F430" s="10"/>
      <c r="G430" s="2"/>
      <c r="H430" s="10"/>
      <c r="I430" s="2"/>
      <c r="J430" s="10"/>
      <c r="K430" s="2"/>
    </row>
    <row r="431">
      <c r="A431" s="8" t="s">
        <v>23</v>
      </c>
      <c r="B431" s="9" t="s">
        <v>77</v>
      </c>
      <c r="C431" s="9" t="s">
        <v>78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24</v>
      </c>
      <c r="B432" s="9" t="s">
        <v>77</v>
      </c>
      <c r="C432" s="9" t="s">
        <v>78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str">
        <f>"－"</f>
        <v>－</v>
      </c>
    </row>
    <row r="433">
      <c r="A433" s="8" t="s">
        <v>25</v>
      </c>
      <c r="B433" s="9" t="s">
        <v>77</v>
      </c>
      <c r="C433" s="9" t="s">
        <v>78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27</v>
      </c>
      <c r="B434" s="9" t="s">
        <v>77</v>
      </c>
      <c r="C434" s="9" t="s">
        <v>78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28</v>
      </c>
      <c r="B435" s="9" t="s">
        <v>77</v>
      </c>
      <c r="C435" s="9" t="s">
        <v>78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str">
        <f>"－"</f>
        <v>－</v>
      </c>
    </row>
    <row r="436">
      <c r="A436" s="8" t="s">
        <v>29</v>
      </c>
      <c r="B436" s="9" t="s">
        <v>77</v>
      </c>
      <c r="C436" s="9" t="s">
        <v>78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str">
        <f>"－"</f>
        <v>－</v>
      </c>
    </row>
    <row r="437">
      <c r="A437" s="8" t="s">
        <v>30</v>
      </c>
      <c r="B437" s="9" t="s">
        <v>77</v>
      </c>
      <c r="C437" s="9" t="s">
        <v>78</v>
      </c>
      <c r="D437" s="10"/>
      <c r="E437" s="2"/>
      <c r="F437" s="10"/>
      <c r="G437" s="2"/>
      <c r="H437" s="10"/>
      <c r="I437" s="2"/>
      <c r="J437" s="10"/>
      <c r="K437" s="2"/>
    </row>
    <row r="438">
      <c r="A438" s="8" t="s">
        <v>31</v>
      </c>
      <c r="B438" s="9" t="s">
        <v>77</v>
      </c>
      <c r="C438" s="9" t="s">
        <v>78</v>
      </c>
      <c r="D438" s="10"/>
      <c r="E438" s="2"/>
      <c r="F438" s="10"/>
      <c r="G438" s="2"/>
      <c r="H438" s="10"/>
      <c r="I438" s="2"/>
      <c r="J438" s="10"/>
      <c r="K438" s="2"/>
    </row>
    <row r="439">
      <c r="A439" s="8" t="s">
        <v>32</v>
      </c>
      <c r="B439" s="9" t="s">
        <v>77</v>
      </c>
      <c r="C439" s="9" t="s">
        <v>78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str">
        <f>"－"</f>
        <v>－</v>
      </c>
    </row>
    <row r="440">
      <c r="A440" s="8" t="s">
        <v>33</v>
      </c>
      <c r="B440" s="9" t="s">
        <v>77</v>
      </c>
      <c r="C440" s="9" t="s">
        <v>78</v>
      </c>
      <c r="D440" s="10"/>
      <c r="E440" s="2" t="str">
        <f>"－"</f>
        <v>－</v>
      </c>
      <c r="F440" s="10"/>
      <c r="G440" s="2" t="str">
        <f>"－"</f>
        <v>－</v>
      </c>
      <c r="H440" s="10"/>
      <c r="I440" s="2" t="str">
        <f>"－"</f>
        <v>－</v>
      </c>
      <c r="J440" s="10"/>
      <c r="K440" s="2" t="str">
        <f>"－"</f>
        <v>－</v>
      </c>
    </row>
    <row r="441">
      <c r="A441" s="8" t="s">
        <v>34</v>
      </c>
      <c r="B441" s="9" t="s">
        <v>77</v>
      </c>
      <c r="C441" s="9" t="s">
        <v>78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36</v>
      </c>
      <c r="B442" s="9" t="s">
        <v>77</v>
      </c>
      <c r="C442" s="9" t="s">
        <v>78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37</v>
      </c>
      <c r="B443" s="9" t="s">
        <v>77</v>
      </c>
      <c r="C443" s="9" t="s">
        <v>78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38</v>
      </c>
      <c r="B444" s="9" t="s">
        <v>77</v>
      </c>
      <c r="C444" s="9" t="s">
        <v>78</v>
      </c>
      <c r="D444" s="10"/>
      <c r="E444" s="2"/>
      <c r="F444" s="10"/>
      <c r="G444" s="2"/>
      <c r="H444" s="10"/>
      <c r="I444" s="2"/>
      <c r="J444" s="10"/>
      <c r="K444" s="2"/>
    </row>
    <row r="445">
      <c r="A445" s="8" t="s">
        <v>39</v>
      </c>
      <c r="B445" s="9" t="s">
        <v>77</v>
      </c>
      <c r="C445" s="9" t="s">
        <v>78</v>
      </c>
      <c r="D445" s="10"/>
      <c r="E445" s="2"/>
      <c r="F445" s="10"/>
      <c r="G445" s="2"/>
      <c r="H445" s="10"/>
      <c r="I445" s="2"/>
      <c r="J445" s="10"/>
      <c r="K445" s="2"/>
    </row>
    <row r="446">
      <c r="A446" s="8" t="s">
        <v>40</v>
      </c>
      <c r="B446" s="9" t="s">
        <v>77</v>
      </c>
      <c r="C446" s="9" t="s">
        <v>78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41</v>
      </c>
      <c r="B447" s="9" t="s">
        <v>77</v>
      </c>
      <c r="C447" s="9" t="s">
        <v>78</v>
      </c>
      <c r="D447" s="10"/>
      <c r="E447" s="2"/>
      <c r="F447" s="10"/>
      <c r="G447" s="2"/>
      <c r="H447" s="10"/>
      <c r="I447" s="2"/>
      <c r="J447" s="10"/>
      <c r="K447" s="2"/>
    </row>
    <row r="448">
      <c r="A448" s="8" t="s">
        <v>42</v>
      </c>
      <c r="B448" s="9" t="s">
        <v>77</v>
      </c>
      <c r="C448" s="9" t="s">
        <v>78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43</v>
      </c>
      <c r="B449" s="9" t="s">
        <v>77</v>
      </c>
      <c r="C449" s="9" t="s">
        <v>78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44</v>
      </c>
      <c r="B450" s="9" t="s">
        <v>77</v>
      </c>
      <c r="C450" s="9" t="s">
        <v>78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45</v>
      </c>
      <c r="B451" s="9" t="s">
        <v>77</v>
      </c>
      <c r="C451" s="9" t="s">
        <v>78</v>
      </c>
      <c r="D451" s="10"/>
      <c r="E451" s="2"/>
      <c r="F451" s="10"/>
      <c r="G451" s="2"/>
      <c r="H451" s="10"/>
      <c r="I451" s="2"/>
      <c r="J451" s="10"/>
      <c r="K451" s="2"/>
    </row>
    <row r="452">
      <c r="A452" s="8" t="s">
        <v>46</v>
      </c>
      <c r="B452" s="9" t="s">
        <v>77</v>
      </c>
      <c r="C452" s="9" t="s">
        <v>78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47</v>
      </c>
      <c r="B453" s="9" t="s">
        <v>77</v>
      </c>
      <c r="C453" s="9" t="s">
        <v>78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48</v>
      </c>
      <c r="B454" s="9" t="s">
        <v>77</v>
      </c>
      <c r="C454" s="9" t="s">
        <v>78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49</v>
      </c>
      <c r="B455" s="9" t="s">
        <v>77</v>
      </c>
      <c r="C455" s="9" t="s">
        <v>78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16</v>
      </c>
      <c r="B456" s="9" t="s">
        <v>79</v>
      </c>
      <c r="C456" s="9" t="s">
        <v>80</v>
      </c>
      <c r="D456" s="10" t="s">
        <v>60</v>
      </c>
      <c r="E456" s="2" t="str">
        <f>"－"</f>
        <v>－</v>
      </c>
      <c r="F456" s="10" t="s">
        <v>60</v>
      </c>
      <c r="G456" s="2" t="str">
        <f>"－"</f>
        <v>－</v>
      </c>
      <c r="H456" s="10" t="s">
        <v>60</v>
      </c>
      <c r="I456" s="2" t="str">
        <f>"－"</f>
        <v>－</v>
      </c>
      <c r="J456" s="10" t="s">
        <v>60</v>
      </c>
      <c r="K456" s="2" t="str">
        <f>"－"</f>
        <v>－</v>
      </c>
    </row>
    <row r="457">
      <c r="A457" s="8" t="s">
        <v>19</v>
      </c>
      <c r="B457" s="9" t="s">
        <v>79</v>
      </c>
      <c r="C457" s="9" t="s">
        <v>80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20</v>
      </c>
      <c r="B458" s="9" t="s">
        <v>79</v>
      </c>
      <c r="C458" s="9" t="s">
        <v>80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21</v>
      </c>
      <c r="B459" s="9" t="s">
        <v>79</v>
      </c>
      <c r="C459" s="9" t="s">
        <v>80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22</v>
      </c>
      <c r="B460" s="9" t="s">
        <v>79</v>
      </c>
      <c r="C460" s="9" t="s">
        <v>80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23</v>
      </c>
      <c r="B461" s="9" t="s">
        <v>79</v>
      </c>
      <c r="C461" s="9" t="s">
        <v>80</v>
      </c>
      <c r="D461" s="10"/>
      <c r="E461" s="2"/>
      <c r="F461" s="10"/>
      <c r="G461" s="2"/>
      <c r="H461" s="10"/>
      <c r="I461" s="2"/>
      <c r="J461" s="10"/>
      <c r="K461" s="2"/>
    </row>
    <row r="462">
      <c r="A462" s="8" t="s">
        <v>24</v>
      </c>
      <c r="B462" s="9" t="s">
        <v>79</v>
      </c>
      <c r="C462" s="9" t="s">
        <v>80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25</v>
      </c>
      <c r="B463" s="9" t="s">
        <v>79</v>
      </c>
      <c r="C463" s="9" t="s">
        <v>80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27</v>
      </c>
      <c r="B464" s="9" t="s">
        <v>79</v>
      </c>
      <c r="C464" s="9" t="s">
        <v>80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28</v>
      </c>
      <c r="B465" s="9" t="s">
        <v>79</v>
      </c>
      <c r="C465" s="9" t="s">
        <v>80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29</v>
      </c>
      <c r="B466" s="9" t="s">
        <v>79</v>
      </c>
      <c r="C466" s="9" t="s">
        <v>80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30</v>
      </c>
      <c r="B467" s="9" t="s">
        <v>79</v>
      </c>
      <c r="C467" s="9" t="s">
        <v>80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31</v>
      </c>
      <c r="B468" s="9" t="s">
        <v>79</v>
      </c>
      <c r="C468" s="9" t="s">
        <v>80</v>
      </c>
      <c r="D468" s="10"/>
      <c r="E468" s="2"/>
      <c r="F468" s="10"/>
      <c r="G468" s="2"/>
      <c r="H468" s="10"/>
      <c r="I468" s="2"/>
      <c r="J468" s="10"/>
      <c r="K468" s="2"/>
    </row>
    <row r="469">
      <c r="A469" s="8" t="s">
        <v>32</v>
      </c>
      <c r="B469" s="9" t="s">
        <v>79</v>
      </c>
      <c r="C469" s="9" t="s">
        <v>80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33</v>
      </c>
      <c r="B470" s="9" t="s">
        <v>79</v>
      </c>
      <c r="C470" s="9" t="s">
        <v>80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34</v>
      </c>
      <c r="B471" s="9" t="s">
        <v>79</v>
      </c>
      <c r="C471" s="9" t="s">
        <v>80</v>
      </c>
      <c r="D471" s="10"/>
      <c r="E471" s="2" t="str">
        <f>"－"</f>
        <v>－</v>
      </c>
      <c r="F471" s="10"/>
      <c r="G471" s="2" t="str">
        <f>"－"</f>
        <v>－</v>
      </c>
      <c r="H471" s="10"/>
      <c r="I471" s="2" t="str">
        <f>"－"</f>
        <v>－</v>
      </c>
      <c r="J471" s="10"/>
      <c r="K471" s="2" t="str">
        <f>"－"</f>
        <v>－</v>
      </c>
    </row>
    <row r="472">
      <c r="A472" s="8" t="s">
        <v>36</v>
      </c>
      <c r="B472" s="9" t="s">
        <v>79</v>
      </c>
      <c r="C472" s="9" t="s">
        <v>80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37</v>
      </c>
      <c r="B473" s="9" t="s">
        <v>79</v>
      </c>
      <c r="C473" s="9" t="s">
        <v>80</v>
      </c>
      <c r="D473" s="10"/>
      <c r="E473" s="2" t="str">
        <f>"－"</f>
        <v>－</v>
      </c>
      <c r="F473" s="10"/>
      <c r="G473" s="2" t="str">
        <f>"－"</f>
        <v>－</v>
      </c>
      <c r="H473" s="10"/>
      <c r="I473" s="2" t="str">
        <f>"－"</f>
        <v>－</v>
      </c>
      <c r="J473" s="10"/>
      <c r="K473" s="2" t="str">
        <f>"－"</f>
        <v>－</v>
      </c>
    </row>
    <row r="474">
      <c r="A474" s="8" t="s">
        <v>38</v>
      </c>
      <c r="B474" s="9" t="s">
        <v>79</v>
      </c>
      <c r="C474" s="9" t="s">
        <v>80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39</v>
      </c>
      <c r="B475" s="9" t="s">
        <v>79</v>
      </c>
      <c r="C475" s="9" t="s">
        <v>80</v>
      </c>
      <c r="D475" s="10"/>
      <c r="E475" s="2"/>
      <c r="F475" s="10"/>
      <c r="G475" s="2"/>
      <c r="H475" s="10"/>
      <c r="I475" s="2"/>
      <c r="J475" s="10"/>
      <c r="K475" s="2"/>
    </row>
    <row r="476">
      <c r="A476" s="8" t="s">
        <v>40</v>
      </c>
      <c r="B476" s="9" t="s">
        <v>79</v>
      </c>
      <c r="C476" s="9" t="s">
        <v>80</v>
      </c>
      <c r="D476" s="10"/>
      <c r="E476" s="2"/>
      <c r="F476" s="10"/>
      <c r="G476" s="2"/>
      <c r="H476" s="10"/>
      <c r="I476" s="2"/>
      <c r="J476" s="10"/>
      <c r="K476" s="2"/>
    </row>
    <row r="477">
      <c r="A477" s="8" t="s">
        <v>41</v>
      </c>
      <c r="B477" s="9" t="s">
        <v>79</v>
      </c>
      <c r="C477" s="9" t="s">
        <v>80</v>
      </c>
      <c r="D477" s="10"/>
      <c r="E477" s="2"/>
      <c r="F477" s="10"/>
      <c r="G477" s="2"/>
      <c r="H477" s="10"/>
      <c r="I477" s="2"/>
      <c r="J477" s="10"/>
      <c r="K477" s="2"/>
    </row>
    <row r="478">
      <c r="A478" s="8" t="s">
        <v>42</v>
      </c>
      <c r="B478" s="9" t="s">
        <v>79</v>
      </c>
      <c r="C478" s="9" t="s">
        <v>80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43</v>
      </c>
      <c r="B479" s="9" t="s">
        <v>79</v>
      </c>
      <c r="C479" s="9" t="s">
        <v>80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44</v>
      </c>
      <c r="B480" s="9" t="s">
        <v>79</v>
      </c>
      <c r="C480" s="9" t="s">
        <v>80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45</v>
      </c>
      <c r="B481" s="9" t="s">
        <v>79</v>
      </c>
      <c r="C481" s="9" t="s">
        <v>80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46</v>
      </c>
      <c r="B482" s="9" t="s">
        <v>79</v>
      </c>
      <c r="C482" s="9" t="s">
        <v>80</v>
      </c>
      <c r="D482" s="10"/>
      <c r="E482" s="2"/>
      <c r="F482" s="10"/>
      <c r="G482" s="2"/>
      <c r="H482" s="10"/>
      <c r="I482" s="2"/>
      <c r="J482" s="10"/>
      <c r="K482" s="2"/>
    </row>
    <row r="483">
      <c r="A483" s="8" t="s">
        <v>47</v>
      </c>
      <c r="B483" s="9" t="s">
        <v>79</v>
      </c>
      <c r="C483" s="9" t="s">
        <v>80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48</v>
      </c>
      <c r="B484" s="9" t="s">
        <v>79</v>
      </c>
      <c r="C484" s="9" t="s">
        <v>80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49</v>
      </c>
      <c r="B485" s="9" t="s">
        <v>79</v>
      </c>
      <c r="C485" s="9" t="s">
        <v>80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16</v>
      </c>
      <c r="B486" s="9" t="s">
        <v>81</v>
      </c>
      <c r="C486" s="9" t="s">
        <v>82</v>
      </c>
      <c r="D486" s="10"/>
      <c r="E486" s="2" t="n">
        <f>50</f>
        <v>50.0</v>
      </c>
      <c r="F486" s="10"/>
      <c r="G486" s="2" t="n">
        <f>12524000</f>
        <v>1.2524E7</v>
      </c>
      <c r="H486" s="10" t="s">
        <v>60</v>
      </c>
      <c r="I486" s="2" t="str">
        <f>"－"</f>
        <v>－</v>
      </c>
      <c r="J486" s="10"/>
      <c r="K486" s="2" t="n">
        <f>665</f>
        <v>665.0</v>
      </c>
    </row>
    <row r="487">
      <c r="A487" s="8" t="s">
        <v>19</v>
      </c>
      <c r="B487" s="9" t="s">
        <v>81</v>
      </c>
      <c r="C487" s="9" t="s">
        <v>82</v>
      </c>
      <c r="D487" s="10"/>
      <c r="E487" s="2" t="n">
        <f>75</f>
        <v>75.0</v>
      </c>
      <c r="F487" s="10"/>
      <c r="G487" s="2" t="n">
        <f>19764000</f>
        <v>1.9764E7</v>
      </c>
      <c r="H487" s="10"/>
      <c r="I487" s="2" t="str">
        <f>"－"</f>
        <v>－</v>
      </c>
      <c r="J487" s="10"/>
      <c r="K487" s="2" t="n">
        <f>707</f>
        <v>707.0</v>
      </c>
    </row>
    <row r="488">
      <c r="A488" s="8" t="s">
        <v>20</v>
      </c>
      <c r="B488" s="9" t="s">
        <v>81</v>
      </c>
      <c r="C488" s="9" t="s">
        <v>82</v>
      </c>
      <c r="D488" s="10"/>
      <c r="E488" s="2" t="n">
        <f>76</f>
        <v>76.0</v>
      </c>
      <c r="F488" s="10"/>
      <c r="G488" s="2" t="n">
        <f>19823500</f>
        <v>1.98235E7</v>
      </c>
      <c r="H488" s="10"/>
      <c r="I488" s="2" t="str">
        <f>"－"</f>
        <v>－</v>
      </c>
      <c r="J488" s="10"/>
      <c r="K488" s="2" t="n">
        <f>740</f>
        <v>740.0</v>
      </c>
    </row>
    <row r="489">
      <c r="A489" s="8" t="s">
        <v>21</v>
      </c>
      <c r="B489" s="9" t="s">
        <v>81</v>
      </c>
      <c r="C489" s="9" t="s">
        <v>82</v>
      </c>
      <c r="D489" s="10"/>
      <c r="E489" s="2" t="n">
        <f>48</f>
        <v>48.0</v>
      </c>
      <c r="F489" s="10"/>
      <c r="G489" s="2" t="n">
        <f>12882500</f>
        <v>1.28825E7</v>
      </c>
      <c r="H489" s="10"/>
      <c r="I489" s="2" t="str">
        <f>"－"</f>
        <v>－</v>
      </c>
      <c r="J489" s="10"/>
      <c r="K489" s="2" t="n">
        <f>756</f>
        <v>756.0</v>
      </c>
    </row>
    <row r="490">
      <c r="A490" s="8" t="s">
        <v>22</v>
      </c>
      <c r="B490" s="9" t="s">
        <v>81</v>
      </c>
      <c r="C490" s="9" t="s">
        <v>82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23</v>
      </c>
      <c r="B491" s="9" t="s">
        <v>81</v>
      </c>
      <c r="C491" s="9" t="s">
        <v>82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24</v>
      </c>
      <c r="B492" s="9" t="s">
        <v>81</v>
      </c>
      <c r="C492" s="9" t="s">
        <v>82</v>
      </c>
      <c r="D492" s="10"/>
      <c r="E492" s="2" t="n">
        <f>46</f>
        <v>46.0</v>
      </c>
      <c r="F492" s="10"/>
      <c r="G492" s="2" t="n">
        <f>13223500</f>
        <v>1.32235E7</v>
      </c>
      <c r="H492" s="10"/>
      <c r="I492" s="2" t="str">
        <f>"－"</f>
        <v>－</v>
      </c>
      <c r="J492" s="10"/>
      <c r="K492" s="2" t="n">
        <f>765</f>
        <v>765.0</v>
      </c>
    </row>
    <row r="493">
      <c r="A493" s="8" t="s">
        <v>25</v>
      </c>
      <c r="B493" s="9" t="s">
        <v>81</v>
      </c>
      <c r="C493" s="9" t="s">
        <v>82</v>
      </c>
      <c r="D493" s="10"/>
      <c r="E493" s="2" t="n">
        <f>58</f>
        <v>58.0</v>
      </c>
      <c r="F493" s="10"/>
      <c r="G493" s="2" t="n">
        <f>15872000</f>
        <v>1.5872E7</v>
      </c>
      <c r="H493" s="10"/>
      <c r="I493" s="2" t="str">
        <f>"－"</f>
        <v>－</v>
      </c>
      <c r="J493" s="10" t="s">
        <v>26</v>
      </c>
      <c r="K493" s="2" t="n">
        <f>768</f>
        <v>768.0</v>
      </c>
    </row>
    <row r="494">
      <c r="A494" s="8" t="s">
        <v>27</v>
      </c>
      <c r="B494" s="9" t="s">
        <v>81</v>
      </c>
      <c r="C494" s="9" t="s">
        <v>82</v>
      </c>
      <c r="D494" s="10" t="s">
        <v>26</v>
      </c>
      <c r="E494" s="2" t="n">
        <f>217</f>
        <v>217.0</v>
      </c>
      <c r="F494" s="10" t="s">
        <v>26</v>
      </c>
      <c r="G494" s="2" t="n">
        <f>64050000</f>
        <v>6.405E7</v>
      </c>
      <c r="H494" s="10"/>
      <c r="I494" s="2" t="str">
        <f>"－"</f>
        <v>－</v>
      </c>
      <c r="J494" s="10"/>
      <c r="K494" s="2" t="n">
        <f>606</f>
        <v>606.0</v>
      </c>
    </row>
    <row r="495">
      <c r="A495" s="8" t="s">
        <v>28</v>
      </c>
      <c r="B495" s="9" t="s">
        <v>81</v>
      </c>
      <c r="C495" s="9" t="s">
        <v>82</v>
      </c>
      <c r="D495" s="10"/>
      <c r="E495" s="2" t="n">
        <f>177</f>
        <v>177.0</v>
      </c>
      <c r="F495" s="10"/>
      <c r="G495" s="2" t="n">
        <f>48510500</f>
        <v>4.85105E7</v>
      </c>
      <c r="H495" s="10"/>
      <c r="I495" s="2" t="str">
        <f>"－"</f>
        <v>－</v>
      </c>
      <c r="J495" s="10"/>
      <c r="K495" s="2" t="n">
        <f>268</f>
        <v>268.0</v>
      </c>
    </row>
    <row r="496">
      <c r="A496" s="8" t="s">
        <v>29</v>
      </c>
      <c r="B496" s="9" t="s">
        <v>81</v>
      </c>
      <c r="C496" s="9" t="s">
        <v>82</v>
      </c>
      <c r="D496" s="10"/>
      <c r="E496" s="2" t="n">
        <f>25</f>
        <v>25.0</v>
      </c>
      <c r="F496" s="10"/>
      <c r="G496" s="2" t="n">
        <f>6508000</f>
        <v>6508000.0</v>
      </c>
      <c r="H496" s="10"/>
      <c r="I496" s="2" t="str">
        <f>"－"</f>
        <v>－</v>
      </c>
      <c r="J496" s="10"/>
      <c r="K496" s="2" t="n">
        <f>267</f>
        <v>267.0</v>
      </c>
    </row>
    <row r="497">
      <c r="A497" s="8" t="s">
        <v>30</v>
      </c>
      <c r="B497" s="9" t="s">
        <v>81</v>
      </c>
      <c r="C497" s="9" t="s">
        <v>82</v>
      </c>
      <c r="D497" s="10"/>
      <c r="E497" s="2"/>
      <c r="F497" s="10"/>
      <c r="G497" s="2"/>
      <c r="H497" s="10"/>
      <c r="I497" s="2"/>
      <c r="J497" s="10"/>
      <c r="K497" s="2"/>
    </row>
    <row r="498">
      <c r="A498" s="8" t="s">
        <v>31</v>
      </c>
      <c r="B498" s="9" t="s">
        <v>81</v>
      </c>
      <c r="C498" s="9" t="s">
        <v>82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32</v>
      </c>
      <c r="B499" s="9" t="s">
        <v>81</v>
      </c>
      <c r="C499" s="9" t="s">
        <v>82</v>
      </c>
      <c r="D499" s="10"/>
      <c r="E499" s="2" t="n">
        <f>119</f>
        <v>119.0</v>
      </c>
      <c r="F499" s="10"/>
      <c r="G499" s="2" t="n">
        <f>29803000</f>
        <v>2.9803E7</v>
      </c>
      <c r="H499" s="10"/>
      <c r="I499" s="2" t="str">
        <f>"－"</f>
        <v>－</v>
      </c>
      <c r="J499" s="10"/>
      <c r="K499" s="2" t="n">
        <f>316</f>
        <v>316.0</v>
      </c>
    </row>
    <row r="500">
      <c r="A500" s="8" t="s">
        <v>33</v>
      </c>
      <c r="B500" s="9" t="s">
        <v>81</v>
      </c>
      <c r="C500" s="9" t="s">
        <v>82</v>
      </c>
      <c r="D500" s="10"/>
      <c r="E500" s="2" t="n">
        <f>50</f>
        <v>50.0</v>
      </c>
      <c r="F500" s="10"/>
      <c r="G500" s="2" t="n">
        <f>12175500</f>
        <v>1.21755E7</v>
      </c>
      <c r="H500" s="10"/>
      <c r="I500" s="2" t="str">
        <f>"－"</f>
        <v>－</v>
      </c>
      <c r="J500" s="10"/>
      <c r="K500" s="2" t="n">
        <f>319</f>
        <v>319.0</v>
      </c>
    </row>
    <row r="501">
      <c r="A501" s="8" t="s">
        <v>34</v>
      </c>
      <c r="B501" s="9" t="s">
        <v>81</v>
      </c>
      <c r="C501" s="9" t="s">
        <v>82</v>
      </c>
      <c r="D501" s="10"/>
      <c r="E501" s="2" t="n">
        <f>123</f>
        <v>123.0</v>
      </c>
      <c r="F501" s="10"/>
      <c r="G501" s="2" t="n">
        <f>29522000</f>
        <v>2.9522E7</v>
      </c>
      <c r="H501" s="10"/>
      <c r="I501" s="2" t="str">
        <f>"－"</f>
        <v>－</v>
      </c>
      <c r="J501" s="10"/>
      <c r="K501" s="2" t="n">
        <f>283</f>
        <v>283.0</v>
      </c>
    </row>
    <row r="502">
      <c r="A502" s="8" t="s">
        <v>36</v>
      </c>
      <c r="B502" s="9" t="s">
        <v>81</v>
      </c>
      <c r="C502" s="9" t="s">
        <v>82</v>
      </c>
      <c r="D502" s="10"/>
      <c r="E502" s="2" t="n">
        <f>138</f>
        <v>138.0</v>
      </c>
      <c r="F502" s="10"/>
      <c r="G502" s="2" t="n">
        <f>34433500</f>
        <v>3.44335E7</v>
      </c>
      <c r="H502" s="10"/>
      <c r="I502" s="2" t="str">
        <f>"－"</f>
        <v>－</v>
      </c>
      <c r="J502" s="10"/>
      <c r="K502" s="2" t="n">
        <f>233</f>
        <v>233.0</v>
      </c>
    </row>
    <row r="503">
      <c r="A503" s="8" t="s">
        <v>37</v>
      </c>
      <c r="B503" s="9" t="s">
        <v>81</v>
      </c>
      <c r="C503" s="9" t="s">
        <v>82</v>
      </c>
      <c r="D503" s="10"/>
      <c r="E503" s="2" t="n">
        <f>29</f>
        <v>29.0</v>
      </c>
      <c r="F503" s="10"/>
      <c r="G503" s="2" t="n">
        <f>7654000</f>
        <v>7654000.0</v>
      </c>
      <c r="H503" s="10"/>
      <c r="I503" s="2" t="str">
        <f>"－"</f>
        <v>－</v>
      </c>
      <c r="J503" s="10"/>
      <c r="K503" s="2" t="n">
        <f>236</f>
        <v>236.0</v>
      </c>
    </row>
    <row r="504">
      <c r="A504" s="8" t="s">
        <v>38</v>
      </c>
      <c r="B504" s="9" t="s">
        <v>81</v>
      </c>
      <c r="C504" s="9" t="s">
        <v>82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39</v>
      </c>
      <c r="B505" s="9" t="s">
        <v>81</v>
      </c>
      <c r="C505" s="9" t="s">
        <v>82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40</v>
      </c>
      <c r="B506" s="9" t="s">
        <v>81</v>
      </c>
      <c r="C506" s="9" t="s">
        <v>82</v>
      </c>
      <c r="D506" s="10"/>
      <c r="E506" s="2"/>
      <c r="F506" s="10"/>
      <c r="G506" s="2"/>
      <c r="H506" s="10"/>
      <c r="I506" s="2"/>
      <c r="J506" s="10"/>
      <c r="K506" s="2"/>
    </row>
    <row r="507">
      <c r="A507" s="8" t="s">
        <v>41</v>
      </c>
      <c r="B507" s="9" t="s">
        <v>81</v>
      </c>
      <c r="C507" s="9" t="s">
        <v>82</v>
      </c>
      <c r="D507" s="10"/>
      <c r="E507" s="2"/>
      <c r="F507" s="10"/>
      <c r="G507" s="2"/>
      <c r="H507" s="10"/>
      <c r="I507" s="2"/>
      <c r="J507" s="10"/>
      <c r="K507" s="2"/>
    </row>
    <row r="508">
      <c r="A508" s="8" t="s">
        <v>42</v>
      </c>
      <c r="B508" s="9" t="s">
        <v>81</v>
      </c>
      <c r="C508" s="9" t="s">
        <v>82</v>
      </c>
      <c r="D508" s="10"/>
      <c r="E508" s="2" t="n">
        <f>120</f>
        <v>120.0</v>
      </c>
      <c r="F508" s="10"/>
      <c r="G508" s="2" t="n">
        <f>29820000</f>
        <v>2.982E7</v>
      </c>
      <c r="H508" s="10"/>
      <c r="I508" s="2" t="str">
        <f>"－"</f>
        <v>－</v>
      </c>
      <c r="J508" s="10" t="s">
        <v>35</v>
      </c>
      <c r="K508" s="2" t="n">
        <f>221</f>
        <v>221.0</v>
      </c>
    </row>
    <row r="509">
      <c r="A509" s="8" t="s">
        <v>43</v>
      </c>
      <c r="B509" s="9" t="s">
        <v>81</v>
      </c>
      <c r="C509" s="9" t="s">
        <v>82</v>
      </c>
      <c r="D509" s="10"/>
      <c r="E509" s="2" t="n">
        <f>68</f>
        <v>68.0</v>
      </c>
      <c r="F509" s="10"/>
      <c r="G509" s="2" t="n">
        <f>16650500</f>
        <v>1.66505E7</v>
      </c>
      <c r="H509" s="10"/>
      <c r="I509" s="2" t="str">
        <f>"－"</f>
        <v>－</v>
      </c>
      <c r="J509" s="10"/>
      <c r="K509" s="2" t="n">
        <f>238</f>
        <v>238.0</v>
      </c>
    </row>
    <row r="510">
      <c r="A510" s="8" t="s">
        <v>44</v>
      </c>
      <c r="B510" s="9" t="s">
        <v>81</v>
      </c>
      <c r="C510" s="9" t="s">
        <v>82</v>
      </c>
      <c r="D510" s="10"/>
      <c r="E510" s="2" t="n">
        <f>55</f>
        <v>55.0</v>
      </c>
      <c r="F510" s="10"/>
      <c r="G510" s="2" t="n">
        <f>14203500</f>
        <v>1.42035E7</v>
      </c>
      <c r="H510" s="10"/>
      <c r="I510" s="2" t="str">
        <f>"－"</f>
        <v>－</v>
      </c>
      <c r="J510" s="10"/>
      <c r="K510" s="2" t="n">
        <f>249</f>
        <v>249.0</v>
      </c>
    </row>
    <row r="511">
      <c r="A511" s="8" t="s">
        <v>45</v>
      </c>
      <c r="B511" s="9" t="s">
        <v>81</v>
      </c>
      <c r="C511" s="9" t="s">
        <v>82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46</v>
      </c>
      <c r="B512" s="9" t="s">
        <v>81</v>
      </c>
      <c r="C512" s="9" t="s">
        <v>82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47</v>
      </c>
      <c r="B513" s="9" t="s">
        <v>81</v>
      </c>
      <c r="C513" s="9" t="s">
        <v>82</v>
      </c>
      <c r="D513" s="10" t="s">
        <v>35</v>
      </c>
      <c r="E513" s="2" t="n">
        <f>12</f>
        <v>12.0</v>
      </c>
      <c r="F513" s="10" t="s">
        <v>35</v>
      </c>
      <c r="G513" s="2" t="n">
        <f>2912500</f>
        <v>2912500.0</v>
      </c>
      <c r="H513" s="10"/>
      <c r="I513" s="2" t="str">
        <f>"－"</f>
        <v>－</v>
      </c>
      <c r="J513" s="10"/>
      <c r="K513" s="2" t="n">
        <f>241</f>
        <v>241.0</v>
      </c>
    </row>
    <row r="514">
      <c r="A514" s="8" t="s">
        <v>48</v>
      </c>
      <c r="B514" s="9" t="s">
        <v>81</v>
      </c>
      <c r="C514" s="9" t="s">
        <v>82</v>
      </c>
      <c r="D514" s="10"/>
      <c r="E514" s="2" t="n">
        <f>58</f>
        <v>58.0</v>
      </c>
      <c r="F514" s="10"/>
      <c r="G514" s="2" t="n">
        <f>14498500</f>
        <v>1.44985E7</v>
      </c>
      <c r="H514" s="10"/>
      <c r="I514" s="2" t="str">
        <f>"－"</f>
        <v>－</v>
      </c>
      <c r="J514" s="10"/>
      <c r="K514" s="2" t="n">
        <f>279</f>
        <v>279.0</v>
      </c>
    </row>
    <row r="515">
      <c r="A515" s="8" t="s">
        <v>49</v>
      </c>
      <c r="B515" s="9" t="s">
        <v>81</v>
      </c>
      <c r="C515" s="9" t="s">
        <v>82</v>
      </c>
      <c r="D515" s="10"/>
      <c r="E515" s="2" t="n">
        <f>43</f>
        <v>43.0</v>
      </c>
      <c r="F515" s="10"/>
      <c r="G515" s="2" t="n">
        <f>10731500</f>
        <v>1.07315E7</v>
      </c>
      <c r="H515" s="10"/>
      <c r="I515" s="2" t="str">
        <f>"－"</f>
        <v>－</v>
      </c>
      <c r="J515" s="10"/>
      <c r="K515" s="2" t="n">
        <f>280</f>
        <v>280.0</v>
      </c>
    </row>
  </sheetData>
  <mergeCells count="12">
    <mergeCell ref="H4:I4"/>
    <mergeCell ref="J4:K4"/>
    <mergeCell ref="D5:E5"/>
    <mergeCell ref="F5:G5"/>
    <mergeCell ref="H5:I5"/>
    <mergeCell ref="J5:K5"/>
    <mergeCell ref="F4:G4"/>
    <mergeCell ref="A1:C1"/>
    <mergeCell ref="A2:C2"/>
    <mergeCell ref="B4:B5"/>
    <mergeCell ref="C4:C5"/>
    <mergeCell ref="D4:E4"/>
  </mergeCells>
  <phoneticPr fontId="4"/>
  <printOptions horizontalCentered="1"/>
  <pageMargins bottom="0.59055118110236227" footer="0.35433070866141736" header="0.35433070866141736" left="0.55118110236220474" right="0.55118110236220474" top="0.59055118110236227"/>
  <headerFooter>
    <oddFooter>&amp;C&amp;P / &amp;N&amp;RCopyright (c) Osaka Exchange, Inc. All Rights Reserved.</oddFooter>
  </headerFooter>
</worksheet>
</file>