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<sst xmlns="http://schemas.openxmlformats.org/spreadsheetml/2006/main" count="500" uniqueCount="67">
  <si>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</si>
  <si>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</si>
  <si>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</si>
  <si>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</si>
  <si>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</si>
  <si>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</si>
  <si>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</si>
  <si>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</si>
  <si>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</si>
  <si>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</si>
  <si>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</si>
  <si>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</si>
  <si>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</si>
  <si>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</si>
  <si>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</si>
  <si>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</si>
  <si>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</si>
  <si>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</si>
  <si>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</si>
  <si>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</si>
  <si>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</si>
  <si>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</si>
  <si>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</si>
  <si>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</si>
  <si>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</si>
  <si>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</si>
  <si>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9.1</t>
  </si>
  <si>
    <t>日経225オプション</t>
  </si>
  <si>
    <t>Nikkei 225 Options</t>
  </si>
  <si>
    <t>●</t>
  </si>
  <si>
    <t>2</t>
  </si>
  <si>
    <t>3</t>
  </si>
  <si>
    <t>◎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</si>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</sst>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2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47" t="s">
        <v>6</v>
      </c>
      <c r="D5" s="47" t="s">
        <v>7</v>
      </c>
      <c r="E5" s="50"/>
      <c r="F5" s="50" t="s">
        <v>8</v>
      </c>
      <c r="G5" s="50"/>
      <c r="H5" s="50" t="s">
        <v>8</v>
      </c>
      <c r="I5" s="51"/>
      <c r="J5" s="47" t="s">
        <v>9</v>
      </c>
      <c r="K5" s="50"/>
      <c r="L5" s="50" t="s">
        <v>8</v>
      </c>
      <c r="M5" s="50"/>
      <c r="N5" s="50" t="s">
        <v>8</v>
      </c>
      <c r="O5" s="51"/>
      <c r="P5" s="50" t="s">
        <v>10</v>
      </c>
      <c r="Q5" s="50"/>
      <c r="R5" s="51"/>
      <c r="S5" s="47" t="s">
        <v>11</v>
      </c>
      <c r="T5" s="50"/>
      <c r="U5" s="50" t="s">
        <v>8</v>
      </c>
      <c r="V5" s="50"/>
      <c r="W5" s="50" t="s">
        <v>8</v>
      </c>
      <c r="X5" s="51"/>
      <c r="Y5" s="47" t="s">
        <v>12</v>
      </c>
      <c r="Z5" s="50"/>
      <c r="AA5" s="50" t="s">
        <v>8</v>
      </c>
      <c r="AB5" s="50"/>
      <c r="AC5" s="50" t="s">
        <v>8</v>
      </c>
      <c r="AD5" s="51"/>
    </row>
    <row customFormat="1" customHeight="1" ht="17.100000000000001" r="6" s="12" spans="1:30">
      <c r="A6" s="41"/>
      <c r="B6" s="41"/>
      <c r="C6" s="48"/>
      <c r="D6" s="52" t="s">
        <v>13</v>
      </c>
      <c r="E6" s="39"/>
      <c r="F6" s="37" t="s">
        <v>14</v>
      </c>
      <c r="G6" s="38"/>
      <c r="H6" s="39" t="s">
        <v>15</v>
      </c>
      <c r="I6" s="40"/>
      <c r="J6" s="52" t="s">
        <v>13</v>
      </c>
      <c r="K6" s="39"/>
      <c r="L6" s="37" t="s">
        <v>14</v>
      </c>
      <c r="M6" s="38"/>
      <c r="N6" s="39" t="s">
        <v>15</v>
      </c>
      <c r="O6" s="40"/>
      <c r="P6" s="13" t="s">
        <v>13</v>
      </c>
      <c r="Q6" s="14" t="s">
        <v>14</v>
      </c>
      <c r="R6" s="15" t="s">
        <v>16</v>
      </c>
      <c r="S6" s="52" t="s">
        <v>13</v>
      </c>
      <c r="T6" s="39"/>
      <c r="U6" s="37" t="s">
        <v>14</v>
      </c>
      <c r="V6" s="38"/>
      <c r="W6" s="39" t="s">
        <v>15</v>
      </c>
      <c r="X6" s="40"/>
      <c r="Y6" s="52" t="s">
        <v>13</v>
      </c>
      <c r="Z6" s="39"/>
      <c r="AA6" s="37" t="s">
        <v>14</v>
      </c>
      <c r="AB6" s="38"/>
      <c r="AC6" s="39" t="s">
        <v>15</v>
      </c>
      <c r="AD6" s="40"/>
    </row>
    <row customFormat="1" customHeight="1" ht="1.5" r="7" s="12" spans="1:30">
      <c r="A7" s="16"/>
      <c r="B7" s="41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8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35"/>
      <c r="F9" s="49" t="s">
        <v>24</v>
      </c>
      <c r="G9" s="34"/>
      <c r="H9" s="35" t="s">
        <v>25</v>
      </c>
      <c r="I9" s="36"/>
      <c r="J9" s="31" t="s">
        <v>23</v>
      </c>
      <c r="K9" s="32"/>
      <c r="L9" s="33" t="s">
        <v>24</v>
      </c>
      <c r="M9" s="34"/>
      <c r="N9" s="35" t="s">
        <v>25</v>
      </c>
      <c r="O9" s="36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33" t="s">
        <v>24</v>
      </c>
      <c r="V9" s="34"/>
      <c r="W9" s="35" t="s">
        <v>25</v>
      </c>
      <c r="X9" s="36"/>
      <c r="Y9" s="31" t="s">
        <v>23</v>
      </c>
      <c r="Z9" s="32"/>
      <c r="AA9" s="33" t="s">
        <v>24</v>
      </c>
      <c r="AB9" s="34"/>
      <c r="AC9" s="35" t="s">
        <v>25</v>
      </c>
      <c r="AD9" s="36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41189</f>
        <v>41189.0</v>
      </c>
      <c r="F10" s="23"/>
      <c r="G10" s="25" t="n">
        <f>30659</f>
        <v>30659.0</v>
      </c>
      <c r="H10" s="23"/>
      <c r="I10" s="26" t="n">
        <f>71848</f>
        <v>71848.0</v>
      </c>
      <c r="J10" s="24" t="s">
        <v>29</v>
      </c>
      <c r="K10" s="25" t="n">
        <f>5597346075</f>
        <v>5.597346075E9</v>
      </c>
      <c r="L10" s="23"/>
      <c r="M10" s="25" t="n">
        <f>4021069150</f>
        <v>4.02106915E9</v>
      </c>
      <c r="N10" s="23"/>
      <c r="O10" s="26" t="n">
        <f>9618415225</f>
        <v>9.618415225E9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9382</f>
        <v>9382.0</v>
      </c>
      <c r="U10" s="23"/>
      <c r="V10" s="25" t="n">
        <f>4114</f>
        <v>4114.0</v>
      </c>
      <c r="W10" s="23"/>
      <c r="X10" s="26" t="n">
        <f>13496</f>
        <v>13496.0</v>
      </c>
      <c r="Y10" s="24"/>
      <c r="Z10" s="25" t="n">
        <f>1153970</f>
        <v>1153970.0</v>
      </c>
      <c r="AA10" s="23"/>
      <c r="AB10" s="25" t="n">
        <f>622752</f>
        <v>622752.0</v>
      </c>
      <c r="AC10" s="23"/>
      <c r="AD10" s="26" t="n">
        <f>1776722</f>
        <v>1776722.0</v>
      </c>
    </row>
    <row r="11">
      <c r="A11" s="30" t="s">
        <v>30</v>
      </c>
      <c r="B11" s="22" t="s">
        <v>27</v>
      </c>
      <c r="C11" s="22" t="s">
        <v>28</v>
      </c>
      <c r="D11" s="24"/>
      <c r="E11" s="25" t="n">
        <f>51903</f>
        <v>51903.0</v>
      </c>
      <c r="F11" s="23"/>
      <c r="G11" s="25" t="n">
        <f>30322</f>
        <v>30322.0</v>
      </c>
      <c r="H11" s="23"/>
      <c r="I11" s="26" t="n">
        <f>82225</f>
        <v>82225.0</v>
      </c>
      <c r="J11" s="24"/>
      <c r="K11" s="25" t="n">
        <f>9148097000</f>
        <v>9.148097E9</v>
      </c>
      <c r="L11" s="23"/>
      <c r="M11" s="25" t="n">
        <f>4637631000</f>
        <v>4.637631E9</v>
      </c>
      <c r="N11" s="23"/>
      <c r="O11" s="26" t="n">
        <f>13785728000</f>
        <v>1.3785728E10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14898</f>
        <v>14898.0</v>
      </c>
      <c r="U11" s="23"/>
      <c r="V11" s="25" t="n">
        <f>3126</f>
        <v>3126.0</v>
      </c>
      <c r="W11" s="23"/>
      <c r="X11" s="26" t="n">
        <f>18024</f>
        <v>18024.0</v>
      </c>
      <c r="Y11" s="24"/>
      <c r="Z11" s="25" t="n">
        <f>1164394</f>
        <v>1164394.0</v>
      </c>
      <c r="AA11" s="23"/>
      <c r="AB11" s="25" t="n">
        <f>628254</f>
        <v>628254.0</v>
      </c>
      <c r="AC11" s="23"/>
      <c r="AD11" s="26" t="n">
        <f>1792648</f>
        <v>1792648.0</v>
      </c>
    </row>
    <row r="12">
      <c r="A12" s="30" t="s">
        <v>31</v>
      </c>
      <c r="B12" s="22" t="s">
        <v>27</v>
      </c>
      <c r="C12" s="22" t="s">
        <v>28</v>
      </c>
      <c r="D12" s="24"/>
      <c r="E12" s="25" t="n">
        <f>61993</f>
        <v>61993.0</v>
      </c>
      <c r="F12" s="23" t="s">
        <v>32</v>
      </c>
      <c r="G12" s="25" t="n">
        <f>72102</f>
        <v>72102.0</v>
      </c>
      <c r="H12" s="23"/>
      <c r="I12" s="26" t="n">
        <f>134095</f>
        <v>134095.0</v>
      </c>
      <c r="J12" s="24"/>
      <c r="K12" s="25" t="n">
        <f>10848549780</f>
        <v>1.084854978E10</v>
      </c>
      <c r="L12" s="23"/>
      <c r="M12" s="25" t="n">
        <f>9758497080</f>
        <v>9.75849708E9</v>
      </c>
      <c r="N12" s="23"/>
      <c r="O12" s="26" t="n">
        <f>20607046860</f>
        <v>2.060704686E10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9872</f>
        <v>9872.0</v>
      </c>
      <c r="U12" s="23" t="s">
        <v>32</v>
      </c>
      <c r="V12" s="25" t="n">
        <f>13321</f>
        <v>13321.0</v>
      </c>
      <c r="W12" s="23"/>
      <c r="X12" s="26" t="n">
        <f>23193</f>
        <v>23193.0</v>
      </c>
      <c r="Y12" s="24"/>
      <c r="Z12" s="25" t="n">
        <f>1172117</f>
        <v>1172117.0</v>
      </c>
      <c r="AA12" s="23"/>
      <c r="AB12" s="25" t="n">
        <f>635446</f>
        <v>635446.0</v>
      </c>
      <c r="AC12" s="23"/>
      <c r="AD12" s="26" t="n">
        <f>1807563</f>
        <v>1807563.0</v>
      </c>
    </row>
    <row r="13">
      <c r="A13" s="30" t="s">
        <v>33</v>
      </c>
      <c r="B13" s="22" t="s">
        <v>27</v>
      </c>
      <c r="C13" s="22" t="s">
        <v>28</v>
      </c>
      <c r="D13" s="24"/>
      <c r="E13" s="25" t="n">
        <f>74877</f>
        <v>74877.0</v>
      </c>
      <c r="F13" s="23"/>
      <c r="G13" s="25" t="n">
        <f>57111</f>
        <v>57111.0</v>
      </c>
      <c r="H13" s="23"/>
      <c r="I13" s="26" t="n">
        <f>131988</f>
        <v>131988.0</v>
      </c>
      <c r="J13" s="24"/>
      <c r="K13" s="25" t="n">
        <f>10617271520</f>
        <v>1.061727152E10</v>
      </c>
      <c r="L13" s="23"/>
      <c r="M13" s="25" t="n">
        <f>8812924000</f>
        <v>8.812924E9</v>
      </c>
      <c r="N13" s="23"/>
      <c r="O13" s="26" t="n">
        <f>19430195520</f>
        <v>1.943019552E10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10339</f>
        <v>10339.0</v>
      </c>
      <c r="U13" s="23"/>
      <c r="V13" s="25" t="n">
        <f>10173</f>
        <v>10173.0</v>
      </c>
      <c r="W13" s="23"/>
      <c r="X13" s="26" t="n">
        <f>20512</f>
        <v>20512.0</v>
      </c>
      <c r="Y13" s="24"/>
      <c r="Z13" s="25" t="n">
        <f>1184286</f>
        <v>1184286.0</v>
      </c>
      <c r="AA13" s="23"/>
      <c r="AB13" s="25" t="n">
        <f>645789</f>
        <v>645789.0</v>
      </c>
      <c r="AC13" s="23"/>
      <c r="AD13" s="26" t="n">
        <f>1830075</f>
        <v>1830075.0</v>
      </c>
    </row>
    <row r="14">
      <c r="A14" s="30" t="s">
        <v>34</v>
      </c>
      <c r="B14" s="22" t="s">
        <v>27</v>
      </c>
      <c r="C14" s="22" t="s">
        <v>28</v>
      </c>
      <c r="D14" s="24"/>
      <c r="E14" s="25"/>
      <c r="F14" s="23"/>
      <c r="G14" s="25"/>
      <c r="H14" s="23"/>
      <c r="I14" s="26"/>
      <c r="J14" s="24"/>
      <c r="K14" s="25"/>
      <c r="L14" s="23"/>
      <c r="M14" s="25"/>
      <c r="N14" s="23"/>
      <c r="O14" s="26"/>
      <c r="P14" s="27"/>
      <c r="Q14" s="28"/>
      <c r="R14" s="29"/>
      <c r="S14" s="24"/>
      <c r="T14" s="25"/>
      <c r="U14" s="23"/>
      <c r="V14" s="25"/>
      <c r="W14" s="23"/>
      <c r="X14" s="26"/>
      <c r="Y14" s="24"/>
      <c r="Z14" s="25"/>
      <c r="AA14" s="23"/>
      <c r="AB14" s="25"/>
      <c r="AC14" s="23"/>
      <c r="AD14" s="26"/>
    </row>
    <row r="15">
      <c r="A15" s="30" t="s">
        <v>35</v>
      </c>
      <c r="B15" s="22" t="s">
        <v>27</v>
      </c>
      <c r="C15" s="22" t="s">
        <v>28</v>
      </c>
      <c r="D15" s="24"/>
      <c r="E15" s="25"/>
      <c r="F15" s="23"/>
      <c r="G15" s="25"/>
      <c r="H15" s="23"/>
      <c r="I15" s="26"/>
      <c r="J15" s="24"/>
      <c r="K15" s="25"/>
      <c r="L15" s="23"/>
      <c r="M15" s="25"/>
      <c r="N15" s="23"/>
      <c r="O15" s="26"/>
      <c r="P15" s="27"/>
      <c r="Q15" s="28"/>
      <c r="R15" s="29"/>
      <c r="S15" s="24"/>
      <c r="T15" s="25"/>
      <c r="U15" s="23"/>
      <c r="V15" s="25"/>
      <c r="W15" s="23"/>
      <c r="X15" s="26"/>
      <c r="Y15" s="24"/>
      <c r="Z15" s="25"/>
      <c r="AA15" s="23"/>
      <c r="AB15" s="25"/>
      <c r="AC15" s="23"/>
      <c r="AD15" s="26"/>
    </row>
    <row r="16">
      <c r="A16" s="30" t="s">
        <v>36</v>
      </c>
      <c r="B16" s="22" t="s">
        <v>27</v>
      </c>
      <c r="C16" s="22" t="s">
        <v>28</v>
      </c>
      <c r="D16" s="24"/>
      <c r="E16" s="25" t="n">
        <f>65633</f>
        <v>65633.0</v>
      </c>
      <c r="F16" s="23"/>
      <c r="G16" s="25" t="n">
        <f>54777</f>
        <v>54777.0</v>
      </c>
      <c r="H16" s="23"/>
      <c r="I16" s="26" t="n">
        <f>120410</f>
        <v>120410.0</v>
      </c>
      <c r="J16" s="24"/>
      <c r="K16" s="25" t="n">
        <f>8510295850</f>
        <v>8.51029585E9</v>
      </c>
      <c r="L16" s="23"/>
      <c r="M16" s="25" t="n">
        <f>6299450050</f>
        <v>6.29945005E9</v>
      </c>
      <c r="N16" s="23"/>
      <c r="O16" s="26" t="n">
        <f>14809745900</f>
        <v>1.48097459E10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9963</f>
        <v>9963.0</v>
      </c>
      <c r="U16" s="23"/>
      <c r="V16" s="25" t="n">
        <f>9070</f>
        <v>9070.0</v>
      </c>
      <c r="W16" s="23"/>
      <c r="X16" s="26" t="n">
        <f>19033</f>
        <v>19033.0</v>
      </c>
      <c r="Y16" s="24"/>
      <c r="Z16" s="25" t="n">
        <f>1186199</f>
        <v>1186199.0</v>
      </c>
      <c r="AA16" s="23"/>
      <c r="AB16" s="25" t="n">
        <f>645816</f>
        <v>645816.0</v>
      </c>
      <c r="AC16" s="23"/>
      <c r="AD16" s="26" t="n">
        <f>1832015</f>
        <v>1832015.0</v>
      </c>
    </row>
    <row r="17">
      <c r="A17" s="30" t="s">
        <v>37</v>
      </c>
      <c r="B17" s="22" t="s">
        <v>27</v>
      </c>
      <c r="C17" s="22" t="s">
        <v>28</v>
      </c>
      <c r="D17" s="24"/>
      <c r="E17" s="25" t="n">
        <f>47329</f>
        <v>47329.0</v>
      </c>
      <c r="F17" s="23"/>
      <c r="G17" s="25" t="n">
        <f>37036</f>
        <v>37036.0</v>
      </c>
      <c r="H17" s="23"/>
      <c r="I17" s="26" t="n">
        <f>84365</f>
        <v>84365.0</v>
      </c>
      <c r="J17" s="24"/>
      <c r="K17" s="25" t="n">
        <f>6748102156</f>
        <v>6.748102156E9</v>
      </c>
      <c r="L17" s="23"/>
      <c r="M17" s="25" t="n">
        <f>4331516000</f>
        <v>4.331516E9</v>
      </c>
      <c r="N17" s="23"/>
      <c r="O17" s="26" t="n">
        <f>11079618156</f>
        <v>1.1079618156E10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7436</f>
        <v>7436.0</v>
      </c>
      <c r="U17" s="23"/>
      <c r="V17" s="25" t="n">
        <f>4420</f>
        <v>4420.0</v>
      </c>
      <c r="W17" s="23"/>
      <c r="X17" s="26" t="n">
        <f>11856</f>
        <v>11856.0</v>
      </c>
      <c r="Y17" s="24"/>
      <c r="Z17" s="25" t="n">
        <f>1191967</f>
        <v>1191967.0</v>
      </c>
      <c r="AA17" s="23"/>
      <c r="AB17" s="25" t="n">
        <f>651290</f>
        <v>651290.0</v>
      </c>
      <c r="AC17" s="23"/>
      <c r="AD17" s="26" t="n">
        <f>1843257</f>
        <v>1843257.0</v>
      </c>
    </row>
    <row r="18">
      <c r="A18" s="30" t="s">
        <v>38</v>
      </c>
      <c r="B18" s="22" t="s">
        <v>27</v>
      </c>
      <c r="C18" s="22" t="s">
        <v>28</v>
      </c>
      <c r="D18" s="24" t="s">
        <v>32</v>
      </c>
      <c r="E18" s="25" t="n">
        <f>77242</f>
        <v>77242.0</v>
      </c>
      <c r="F18" s="23"/>
      <c r="G18" s="25" t="n">
        <f>56902</f>
        <v>56902.0</v>
      </c>
      <c r="H18" s="23" t="s">
        <v>32</v>
      </c>
      <c r="I18" s="26" t="n">
        <f>134144</f>
        <v>134144.0</v>
      </c>
      <c r="J18" s="24" t="s">
        <v>32</v>
      </c>
      <c r="K18" s="25" t="n">
        <f>16821267160</f>
        <v>1.682126716E10</v>
      </c>
      <c r="L18" s="23" t="s">
        <v>32</v>
      </c>
      <c r="M18" s="25" t="n">
        <f>16129552980</f>
        <v>1.612955298E10</v>
      </c>
      <c r="N18" s="23" t="s">
        <v>32</v>
      </c>
      <c r="O18" s="26" t="n">
        <f>32950820140</f>
        <v>3.295082014E10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 t="s">
        <v>32</v>
      </c>
      <c r="T18" s="25" t="n">
        <f>17586</f>
        <v>17586.0</v>
      </c>
      <c r="U18" s="23"/>
      <c r="V18" s="25" t="n">
        <f>12038</f>
        <v>12038.0</v>
      </c>
      <c r="W18" s="23" t="s">
        <v>32</v>
      </c>
      <c r="X18" s="26" t="n">
        <f>29624</f>
        <v>29624.0</v>
      </c>
      <c r="Y18" s="24"/>
      <c r="Z18" s="25" t="n">
        <f>1197566</f>
        <v>1197566.0</v>
      </c>
      <c r="AA18" s="23"/>
      <c r="AB18" s="25" t="n">
        <f>652646</f>
        <v>652646.0</v>
      </c>
      <c r="AC18" s="23"/>
      <c r="AD18" s="26" t="n">
        <f>1850212</f>
        <v>1850212.0</v>
      </c>
    </row>
    <row r="19">
      <c r="A19" s="30" t="s">
        <v>39</v>
      </c>
      <c r="B19" s="22" t="s">
        <v>27</v>
      </c>
      <c r="C19" s="22" t="s">
        <v>28</v>
      </c>
      <c r="D19" s="24"/>
      <c r="E19" s="25" t="n">
        <f>69253</f>
        <v>69253.0</v>
      </c>
      <c r="F19" s="23"/>
      <c r="G19" s="25" t="n">
        <f>51382</f>
        <v>51382.0</v>
      </c>
      <c r="H19" s="23"/>
      <c r="I19" s="26" t="n">
        <f>120635</f>
        <v>120635.0</v>
      </c>
      <c r="J19" s="24"/>
      <c r="K19" s="25" t="n">
        <f>12627662500</f>
        <v>1.26276625E10</v>
      </c>
      <c r="L19" s="23"/>
      <c r="M19" s="25" t="n">
        <f>6221838500</f>
        <v>6.2218385E9</v>
      </c>
      <c r="N19" s="23"/>
      <c r="O19" s="26" t="n">
        <f>18849501000</f>
        <v>1.8849501E10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9304</f>
        <v>9304.0</v>
      </c>
      <c r="U19" s="23"/>
      <c r="V19" s="25" t="n">
        <f>8674</f>
        <v>8674.0</v>
      </c>
      <c r="W19" s="23"/>
      <c r="X19" s="26" t="n">
        <f>17978</f>
        <v>17978.0</v>
      </c>
      <c r="Y19" s="24" t="s">
        <v>32</v>
      </c>
      <c r="Z19" s="25" t="n">
        <f>1206362</f>
        <v>1206362.0</v>
      </c>
      <c r="AA19" s="23" t="s">
        <v>32</v>
      </c>
      <c r="AB19" s="25" t="n">
        <f>660998</f>
        <v>660998.0</v>
      </c>
      <c r="AC19" s="23" t="s">
        <v>32</v>
      </c>
      <c r="AD19" s="26" t="n">
        <f>1867360</f>
        <v>1867360.0</v>
      </c>
    </row>
    <row r="20">
      <c r="A20" s="30" t="s">
        <v>40</v>
      </c>
      <c r="B20" s="22" t="s">
        <v>27</v>
      </c>
      <c r="C20" s="22" t="s">
        <v>28</v>
      </c>
      <c r="D20" s="24"/>
      <c r="E20" s="25" t="n">
        <f>48165</f>
        <v>48165.0</v>
      </c>
      <c r="F20" s="23"/>
      <c r="G20" s="25" t="n">
        <f>25904</f>
        <v>25904.0</v>
      </c>
      <c r="H20" s="23"/>
      <c r="I20" s="26" t="n">
        <f>74069</f>
        <v>74069.0</v>
      </c>
      <c r="J20" s="24"/>
      <c r="K20" s="25" t="n">
        <f>10771222942</f>
        <v>1.0771222942E10</v>
      </c>
      <c r="L20" s="23"/>
      <c r="M20" s="25" t="n">
        <f>4675107258</f>
        <v>4.675107258E9</v>
      </c>
      <c r="N20" s="23"/>
      <c r="O20" s="26" t="n">
        <f>15446330200</f>
        <v>1.54463302E10</v>
      </c>
      <c r="P20" s="27" t="n">
        <f>4692</f>
        <v>4692.0</v>
      </c>
      <c r="Q20" s="28" t="n">
        <f>43820</f>
        <v>43820.0</v>
      </c>
      <c r="R20" s="29" t="n">
        <f>48512</f>
        <v>48512.0</v>
      </c>
      <c r="S20" s="24"/>
      <c r="T20" s="25" t="n">
        <f>5879</f>
        <v>5879.0</v>
      </c>
      <c r="U20" s="23"/>
      <c r="V20" s="25" t="n">
        <f>3771</f>
        <v>3771.0</v>
      </c>
      <c r="W20" s="23"/>
      <c r="X20" s="26" t="n">
        <f>9650</f>
        <v>9650.0</v>
      </c>
      <c r="Y20" s="24" t="s">
        <v>29</v>
      </c>
      <c r="Z20" s="25" t="n">
        <f>996332</f>
        <v>996332.0</v>
      </c>
      <c r="AA20" s="23" t="s">
        <v>29</v>
      </c>
      <c r="AB20" s="25" t="n">
        <f>547281</f>
        <v>547281.0</v>
      </c>
      <c r="AC20" s="23" t="s">
        <v>29</v>
      </c>
      <c r="AD20" s="26" t="n">
        <f>1543613</f>
        <v>1543613.0</v>
      </c>
    </row>
    <row r="21">
      <c r="A21" s="30" t="s">
        <v>41</v>
      </c>
      <c r="B21" s="22" t="s">
        <v>27</v>
      </c>
      <c r="C21" s="22" t="s">
        <v>28</v>
      </c>
      <c r="D21" s="24"/>
      <c r="E21" s="25"/>
      <c r="F21" s="23"/>
      <c r="G21" s="25"/>
      <c r="H21" s="23"/>
      <c r="I21" s="26"/>
      <c r="J21" s="24"/>
      <c r="K21" s="25"/>
      <c r="L21" s="23"/>
      <c r="M21" s="25"/>
      <c r="N21" s="23"/>
      <c r="O21" s="26"/>
      <c r="P21" s="27"/>
      <c r="Q21" s="28"/>
      <c r="R21" s="29"/>
      <c r="S21" s="24"/>
      <c r="T21" s="25"/>
      <c r="U21" s="23"/>
      <c r="V21" s="25"/>
      <c r="W21" s="23"/>
      <c r="X21" s="26"/>
      <c r="Y21" s="24"/>
      <c r="Z21" s="25"/>
      <c r="AA21" s="23"/>
      <c r="AB21" s="25"/>
      <c r="AC21" s="23"/>
      <c r="AD21" s="26"/>
    </row>
    <row r="22">
      <c r="A22" s="30" t="s">
        <v>42</v>
      </c>
      <c r="B22" s="22" t="s">
        <v>27</v>
      </c>
      <c r="C22" s="22" t="s">
        <v>28</v>
      </c>
      <c r="D22" s="24"/>
      <c r="E22" s="25"/>
      <c r="F22" s="23"/>
      <c r="G22" s="25"/>
      <c r="H22" s="23"/>
      <c r="I22" s="26"/>
      <c r="J22" s="24"/>
      <c r="K22" s="25"/>
      <c r="L22" s="23"/>
      <c r="M22" s="25"/>
      <c r="N22" s="23"/>
      <c r="O22" s="26"/>
      <c r="P22" s="27"/>
      <c r="Q22" s="28"/>
      <c r="R22" s="29"/>
      <c r="S22" s="24"/>
      <c r="T22" s="25"/>
      <c r="U22" s="23"/>
      <c r="V22" s="25"/>
      <c r="W22" s="23"/>
      <c r="X22" s="26"/>
      <c r="Y22" s="24"/>
      <c r="Z22" s="25"/>
      <c r="AA22" s="23"/>
      <c r="AB22" s="25"/>
      <c r="AC22" s="23"/>
      <c r="AD22" s="26"/>
    </row>
    <row r="23">
      <c r="A23" s="30" t="s">
        <v>43</v>
      </c>
      <c r="B23" s="22" t="s">
        <v>27</v>
      </c>
      <c r="C23" s="22" t="s">
        <v>28</v>
      </c>
      <c r="D23" s="24"/>
      <c r="E23" s="25" t="n">
        <f>43727</f>
        <v>43727.0</v>
      </c>
      <c r="F23" s="23"/>
      <c r="G23" s="25" t="n">
        <f>29231</f>
        <v>29231.0</v>
      </c>
      <c r="H23" s="23"/>
      <c r="I23" s="26" t="n">
        <f>72958</f>
        <v>72958.0</v>
      </c>
      <c r="J23" s="24"/>
      <c r="K23" s="25" t="n">
        <f>7139915082</f>
        <v>7.139915082E9</v>
      </c>
      <c r="L23" s="23"/>
      <c r="M23" s="25" t="n">
        <f>6691924000</f>
        <v>6.691924E9</v>
      </c>
      <c r="N23" s="23"/>
      <c r="O23" s="26" t="n">
        <f>13831839082</f>
        <v>1.3831839082E10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10621</f>
        <v>10621.0</v>
      </c>
      <c r="U23" s="23"/>
      <c r="V23" s="25" t="n">
        <f>4998</f>
        <v>4998.0</v>
      </c>
      <c r="W23" s="23"/>
      <c r="X23" s="26" t="n">
        <f>15619</f>
        <v>15619.0</v>
      </c>
      <c r="Y23" s="24"/>
      <c r="Z23" s="25" t="n">
        <f>1009923</f>
        <v>1009923.0</v>
      </c>
      <c r="AA23" s="23"/>
      <c r="AB23" s="25" t="n">
        <f>556390</f>
        <v>556390.0</v>
      </c>
      <c r="AC23" s="23"/>
      <c r="AD23" s="26" t="n">
        <f>1566313</f>
        <v>1566313.0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46718</f>
        <v>46718.0</v>
      </c>
      <c r="F24" s="23"/>
      <c r="G24" s="25" t="n">
        <f>21936</f>
        <v>21936.0</v>
      </c>
      <c r="H24" s="23"/>
      <c r="I24" s="26" t="n">
        <f>68654</f>
        <v>68654.0</v>
      </c>
      <c r="J24" s="24"/>
      <c r="K24" s="25" t="n">
        <f>12245782000</f>
        <v>1.2245782E10</v>
      </c>
      <c r="L24" s="23"/>
      <c r="M24" s="25" t="n">
        <f>11838027000</f>
        <v>1.1838027E10</v>
      </c>
      <c r="N24" s="23"/>
      <c r="O24" s="26" t="n">
        <f>24083809000</f>
        <v>2.4083809E10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8467</f>
        <v>8467.0</v>
      </c>
      <c r="U24" s="23"/>
      <c r="V24" s="25" t="n">
        <f>4062</f>
        <v>4062.0</v>
      </c>
      <c r="W24" s="23"/>
      <c r="X24" s="26" t="n">
        <f>12529</f>
        <v>12529.0</v>
      </c>
      <c r="Y24" s="24"/>
      <c r="Z24" s="25" t="n">
        <f>1010201</f>
        <v>1010201.0</v>
      </c>
      <c r="AA24" s="23"/>
      <c r="AB24" s="25" t="n">
        <f>555148</f>
        <v>555148.0</v>
      </c>
      <c r="AC24" s="23"/>
      <c r="AD24" s="26" t="n">
        <f>1565349</f>
        <v>1565349.0</v>
      </c>
    </row>
    <row r="25">
      <c r="A25" s="30" t="s">
        <v>45</v>
      </c>
      <c r="B25" s="22" t="s">
        <v>27</v>
      </c>
      <c r="C25" s="22" t="s">
        <v>28</v>
      </c>
      <c r="D25" s="24" t="s">
        <v>29</v>
      </c>
      <c r="E25" s="25" t="n">
        <f>24626</f>
        <v>24626.0</v>
      </c>
      <c r="F25" s="23" t="s">
        <v>29</v>
      </c>
      <c r="G25" s="25" t="n">
        <f>21088</f>
        <v>21088.0</v>
      </c>
      <c r="H25" s="23" t="s">
        <v>29</v>
      </c>
      <c r="I25" s="26" t="n">
        <f>45714</f>
        <v>45714.0</v>
      </c>
      <c r="J25" s="24"/>
      <c r="K25" s="25" t="n">
        <f>7599203000</f>
        <v>7.599203E9</v>
      </c>
      <c r="L25" s="23" t="s">
        <v>29</v>
      </c>
      <c r="M25" s="25" t="n">
        <f>3469423000</f>
        <v>3.469423E9</v>
      </c>
      <c r="N25" s="23"/>
      <c r="O25" s="26" t="n">
        <f>11068626000</f>
        <v>1.1068626E10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 t="s">
        <v>29</v>
      </c>
      <c r="T25" s="25" t="n">
        <f>3465</f>
        <v>3465.0</v>
      </c>
      <c r="U25" s="23"/>
      <c r="V25" s="25" t="n">
        <f>3399</f>
        <v>3399.0</v>
      </c>
      <c r="W25" s="23" t="s">
        <v>29</v>
      </c>
      <c r="X25" s="26" t="n">
        <f>6864</f>
        <v>6864.0</v>
      </c>
      <c r="Y25" s="24"/>
      <c r="Z25" s="25" t="n">
        <f>1015341</f>
        <v>1015341.0</v>
      </c>
      <c r="AA25" s="23"/>
      <c r="AB25" s="25" t="n">
        <f>559165</f>
        <v>559165.0</v>
      </c>
      <c r="AC25" s="23"/>
      <c r="AD25" s="26" t="n">
        <f>1574506</f>
        <v>1574506.0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35373</f>
        <v>35373.0</v>
      </c>
      <c r="F26" s="23"/>
      <c r="G26" s="25" t="n">
        <f>25030</f>
        <v>25030.0</v>
      </c>
      <c r="H26" s="23"/>
      <c r="I26" s="26" t="n">
        <f>60403</f>
        <v>60403.0</v>
      </c>
      <c r="J26" s="24"/>
      <c r="K26" s="25" t="n">
        <f>8695720350</f>
        <v>8.69572035E9</v>
      </c>
      <c r="L26" s="23"/>
      <c r="M26" s="25" t="n">
        <f>4097157000</f>
        <v>4.097157E9</v>
      </c>
      <c r="N26" s="23"/>
      <c r="O26" s="26" t="n">
        <f>12792877350</f>
        <v>1.279287735E10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5414</f>
        <v>5414.0</v>
      </c>
      <c r="U26" s="23" t="s">
        <v>29</v>
      </c>
      <c r="V26" s="25" t="n">
        <f>2035</f>
        <v>2035.0</v>
      </c>
      <c r="W26" s="23"/>
      <c r="X26" s="26" t="n">
        <f>7449</f>
        <v>7449.0</v>
      </c>
      <c r="Y26" s="24"/>
      <c r="Z26" s="25" t="n">
        <f>1020819</f>
        <v>1020819.0</v>
      </c>
      <c r="AA26" s="23"/>
      <c r="AB26" s="25" t="n">
        <f>565010</f>
        <v>565010.0</v>
      </c>
      <c r="AC26" s="23"/>
      <c r="AD26" s="26" t="n">
        <f>1585829</f>
        <v>1585829.0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31295</f>
        <v>31295.0</v>
      </c>
      <c r="F27" s="23"/>
      <c r="G27" s="25" t="n">
        <f>21364</f>
        <v>21364.0</v>
      </c>
      <c r="H27" s="23"/>
      <c r="I27" s="26" t="n">
        <f>52659</f>
        <v>52659.0</v>
      </c>
      <c r="J27" s="24"/>
      <c r="K27" s="25" t="n">
        <f>5683241621</f>
        <v>5.683241621E9</v>
      </c>
      <c r="L27" s="23"/>
      <c r="M27" s="25" t="n">
        <f>3638746750</f>
        <v>3.63874675E9</v>
      </c>
      <c r="N27" s="23" t="s">
        <v>29</v>
      </c>
      <c r="O27" s="26" t="n">
        <f>9321988371</f>
        <v>9.321988371E9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3956</f>
        <v>3956.0</v>
      </c>
      <c r="U27" s="23"/>
      <c r="V27" s="25" t="n">
        <f>3192</f>
        <v>3192.0</v>
      </c>
      <c r="W27" s="23"/>
      <c r="X27" s="26" t="n">
        <f>7148</f>
        <v>7148.0</v>
      </c>
      <c r="Y27" s="24"/>
      <c r="Z27" s="25" t="n">
        <f>1026854</f>
        <v>1026854.0</v>
      </c>
      <c r="AA27" s="23"/>
      <c r="AB27" s="25" t="n">
        <f>566985</f>
        <v>566985.0</v>
      </c>
      <c r="AC27" s="23"/>
      <c r="AD27" s="26" t="n">
        <f>1593839</f>
        <v>1593839.0</v>
      </c>
    </row>
    <row r="28">
      <c r="A28" s="30" t="s">
        <v>48</v>
      </c>
      <c r="B28" s="22" t="s">
        <v>27</v>
      </c>
      <c r="C28" s="22" t="s">
        <v>28</v>
      </c>
      <c r="D28" s="24"/>
      <c r="E28" s="25"/>
      <c r="F28" s="23"/>
      <c r="G28" s="25"/>
      <c r="H28" s="23"/>
      <c r="I28" s="26"/>
      <c r="J28" s="24"/>
      <c r="K28" s="25"/>
      <c r="L28" s="23"/>
      <c r="M28" s="25"/>
      <c r="N28" s="23"/>
      <c r="O28" s="26"/>
      <c r="P28" s="27"/>
      <c r="Q28" s="28"/>
      <c r="R28" s="29"/>
      <c r="S28" s="24"/>
      <c r="T28" s="25"/>
      <c r="U28" s="23"/>
      <c r="V28" s="25"/>
      <c r="W28" s="23"/>
      <c r="X28" s="26"/>
      <c r="Y28" s="24"/>
      <c r="Z28" s="25"/>
      <c r="AA28" s="23"/>
      <c r="AB28" s="25"/>
      <c r="AC28" s="23"/>
      <c r="AD28" s="26"/>
    </row>
    <row r="29">
      <c r="A29" s="30" t="s">
        <v>49</v>
      </c>
      <c r="B29" s="22" t="s">
        <v>27</v>
      </c>
      <c r="C29" s="22" t="s">
        <v>28</v>
      </c>
      <c r="D29" s="24"/>
      <c r="E29" s="25"/>
      <c r="F29" s="23"/>
      <c r="G29" s="25"/>
      <c r="H29" s="23"/>
      <c r="I29" s="26"/>
      <c r="J29" s="24"/>
      <c r="K29" s="25"/>
      <c r="L29" s="23"/>
      <c r="M29" s="25"/>
      <c r="N29" s="23"/>
      <c r="O29" s="26"/>
      <c r="P29" s="27"/>
      <c r="Q29" s="28"/>
      <c r="R29" s="29"/>
      <c r="S29" s="24"/>
      <c r="T29" s="25"/>
      <c r="U29" s="23"/>
      <c r="V29" s="25"/>
      <c r="W29" s="23"/>
      <c r="X29" s="26"/>
      <c r="Y29" s="24"/>
      <c r="Z29" s="25"/>
      <c r="AA29" s="23"/>
      <c r="AB29" s="25"/>
      <c r="AC29" s="23"/>
      <c r="AD29" s="26"/>
    </row>
    <row r="30">
      <c r="A30" s="30" t="s">
        <v>50</v>
      </c>
      <c r="B30" s="22" t="s">
        <v>27</v>
      </c>
      <c r="C30" s="22" t="s">
        <v>28</v>
      </c>
      <c r="D30" s="24"/>
      <c r="E30" s="25"/>
      <c r="F30" s="23"/>
      <c r="G30" s="25"/>
      <c r="H30" s="23"/>
      <c r="I30" s="26"/>
      <c r="J30" s="24"/>
      <c r="K30" s="25"/>
      <c r="L30" s="23"/>
      <c r="M30" s="25"/>
      <c r="N30" s="23"/>
      <c r="O30" s="26"/>
      <c r="P30" s="27"/>
      <c r="Q30" s="28"/>
      <c r="R30" s="29"/>
      <c r="S30" s="24"/>
      <c r="T30" s="25"/>
      <c r="U30" s="23"/>
      <c r="V30" s="25"/>
      <c r="W30" s="23"/>
      <c r="X30" s="26"/>
      <c r="Y30" s="24"/>
      <c r="Z30" s="25"/>
      <c r="AA30" s="23"/>
      <c r="AB30" s="25"/>
      <c r="AC30" s="23"/>
      <c r="AD30" s="26"/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 t="n">
        <f>54478</f>
        <v>54478.0</v>
      </c>
      <c r="F32" s="23"/>
      <c r="G32" s="25" t="n">
        <f>28907</f>
        <v>28907.0</v>
      </c>
      <c r="H32" s="23"/>
      <c r="I32" s="26" t="n">
        <f>83385</f>
        <v>83385.0</v>
      </c>
      <c r="J32" s="24"/>
      <c r="K32" s="25" t="n">
        <f>7713578894</f>
        <v>7.713578894E9</v>
      </c>
      <c r="L32" s="23"/>
      <c r="M32" s="25" t="n">
        <f>4196679000</f>
        <v>4.196679E9</v>
      </c>
      <c r="N32" s="23"/>
      <c r="O32" s="26" t="n">
        <f>11910257894</f>
        <v>1.1910257894E10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14303</f>
        <v>14303.0</v>
      </c>
      <c r="U32" s="23"/>
      <c r="V32" s="25" t="n">
        <f>5111</f>
        <v>5111.0</v>
      </c>
      <c r="W32" s="23"/>
      <c r="X32" s="26" t="n">
        <f>19414</f>
        <v>19414.0</v>
      </c>
      <c r="Y32" s="24"/>
      <c r="Z32" s="25" t="n">
        <f>1032820</f>
        <v>1032820.0</v>
      </c>
      <c r="AA32" s="23"/>
      <c r="AB32" s="25" t="n">
        <f>570198</f>
        <v>570198.0</v>
      </c>
      <c r="AC32" s="23"/>
      <c r="AD32" s="26" t="n">
        <f>1603018</f>
        <v>1603018.0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45065</f>
        <v>45065.0</v>
      </c>
      <c r="F33" s="23"/>
      <c r="G33" s="25" t="n">
        <f>27548</f>
        <v>27548.0</v>
      </c>
      <c r="H33" s="23"/>
      <c r="I33" s="26" t="n">
        <f>72613</f>
        <v>72613.0</v>
      </c>
      <c r="J33" s="24"/>
      <c r="K33" s="25" t="n">
        <f>7703775300</f>
        <v>7.7037753E9</v>
      </c>
      <c r="L33" s="23"/>
      <c r="M33" s="25" t="n">
        <f>5589307300</f>
        <v>5.5893073E9</v>
      </c>
      <c r="N33" s="23"/>
      <c r="O33" s="26" t="n">
        <f>13293082600</f>
        <v>1.32930826E10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8538</f>
        <v>8538.0</v>
      </c>
      <c r="U33" s="23"/>
      <c r="V33" s="25" t="n">
        <f>5456</f>
        <v>5456.0</v>
      </c>
      <c r="W33" s="23"/>
      <c r="X33" s="26" t="n">
        <f>13994</f>
        <v>13994.0</v>
      </c>
      <c r="Y33" s="24"/>
      <c r="Z33" s="25" t="n">
        <f>1037986</f>
        <v>1037986.0</v>
      </c>
      <c r="AA33" s="23"/>
      <c r="AB33" s="25" t="n">
        <f>574736</f>
        <v>574736.0</v>
      </c>
      <c r="AC33" s="23"/>
      <c r="AD33" s="26" t="n">
        <f>1612722</f>
        <v>1612722.0</v>
      </c>
    </row>
    <row r="34">
      <c r="A34" s="30" t="s">
        <v>54</v>
      </c>
      <c r="B34" s="22" t="s">
        <v>27</v>
      </c>
      <c r="C34" s="22" t="s">
        <v>28</v>
      </c>
      <c r="D34" s="24"/>
      <c r="E34" s="25" t="n">
        <f>46894</f>
        <v>46894.0</v>
      </c>
      <c r="F34" s="23"/>
      <c r="G34" s="25" t="n">
        <f>25020</f>
        <v>25020.0</v>
      </c>
      <c r="H34" s="23"/>
      <c r="I34" s="26" t="n">
        <f>71914</f>
        <v>71914.0</v>
      </c>
      <c r="J34" s="24"/>
      <c r="K34" s="25" t="n">
        <f>15663085900</f>
        <v>1.56630859E10</v>
      </c>
      <c r="L34" s="23"/>
      <c r="M34" s="25" t="n">
        <f>7319938750</f>
        <v>7.31993875E9</v>
      </c>
      <c r="N34" s="23"/>
      <c r="O34" s="26" t="n">
        <f>22983024650</f>
        <v>2.298302465E10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8302</f>
        <v>8302.0</v>
      </c>
      <c r="U34" s="23"/>
      <c r="V34" s="25" t="n">
        <f>4281</f>
        <v>4281.0</v>
      </c>
      <c r="W34" s="23"/>
      <c r="X34" s="26" t="n">
        <f>12583</f>
        <v>12583.0</v>
      </c>
      <c r="Y34" s="24"/>
      <c r="Z34" s="25" t="n">
        <f>1042263</f>
        <v>1042263.0</v>
      </c>
      <c r="AA34" s="23"/>
      <c r="AB34" s="25" t="n">
        <f>577667</f>
        <v>577667.0</v>
      </c>
      <c r="AC34" s="23"/>
      <c r="AD34" s="26" t="n">
        <f>1619930</f>
        <v>1619930.0</v>
      </c>
    </row>
    <row r="35">
      <c r="A35" s="30" t="s">
        <v>55</v>
      </c>
      <c r="B35" s="22" t="s">
        <v>27</v>
      </c>
      <c r="C35" s="22" t="s">
        <v>28</v>
      </c>
      <c r="D35" s="24"/>
      <c r="E35" s="25"/>
      <c r="F35" s="23"/>
      <c r="G35" s="25"/>
      <c r="H35" s="23"/>
      <c r="I35" s="26"/>
      <c r="J35" s="24"/>
      <c r="K35" s="25"/>
      <c r="L35" s="23"/>
      <c r="M35" s="25"/>
      <c r="N35" s="23"/>
      <c r="O35" s="26"/>
      <c r="P35" s="27"/>
      <c r="Q35" s="28"/>
      <c r="R35" s="29"/>
      <c r="S35" s="24"/>
      <c r="T35" s="25"/>
      <c r="U35" s="23"/>
      <c r="V35" s="25"/>
      <c r="W35" s="23"/>
      <c r="X35" s="26"/>
      <c r="Y35" s="24"/>
      <c r="Z35" s="25"/>
      <c r="AA35" s="23"/>
      <c r="AB35" s="25"/>
      <c r="AC35" s="23"/>
      <c r="AD35" s="26"/>
    </row>
    <row r="36">
      <c r="A36" s="30" t="s">
        <v>56</v>
      </c>
      <c r="B36" s="22" t="s">
        <v>27</v>
      </c>
      <c r="C36" s="22" t="s">
        <v>28</v>
      </c>
      <c r="D36" s="24"/>
      <c r="E36" s="25"/>
      <c r="F36" s="23"/>
      <c r="G36" s="25"/>
      <c r="H36" s="23"/>
      <c r="I36" s="26"/>
      <c r="J36" s="24"/>
      <c r="K36" s="25"/>
      <c r="L36" s="23"/>
      <c r="M36" s="25"/>
      <c r="N36" s="23"/>
      <c r="O36" s="26"/>
      <c r="P36" s="27"/>
      <c r="Q36" s="28"/>
      <c r="R36" s="29"/>
      <c r="S36" s="24"/>
      <c r="T36" s="25"/>
      <c r="U36" s="23"/>
      <c r="V36" s="25"/>
      <c r="W36" s="23"/>
      <c r="X36" s="26"/>
      <c r="Y36" s="24"/>
      <c r="Z36" s="25"/>
      <c r="AA36" s="23"/>
      <c r="AB36" s="25"/>
      <c r="AC36" s="23"/>
      <c r="AD36" s="26"/>
    </row>
    <row r="37">
      <c r="A37" s="30" t="s">
        <v>57</v>
      </c>
      <c r="B37" s="22" t="s">
        <v>27</v>
      </c>
      <c r="C37" s="22" t="s">
        <v>28</v>
      </c>
      <c r="D37" s="24"/>
      <c r="E37" s="25" t="n">
        <f>43670</f>
        <v>43670.0</v>
      </c>
      <c r="F37" s="23"/>
      <c r="G37" s="25" t="n">
        <f>24384</f>
        <v>24384.0</v>
      </c>
      <c r="H37" s="23"/>
      <c r="I37" s="26" t="n">
        <f>68054</f>
        <v>68054.0</v>
      </c>
      <c r="J37" s="24"/>
      <c r="K37" s="25" t="n">
        <f>8727975124</f>
        <v>8.727975124E9</v>
      </c>
      <c r="L37" s="23"/>
      <c r="M37" s="25" t="n">
        <f>5318080800</f>
        <v>5.3180808E9</v>
      </c>
      <c r="N37" s="23"/>
      <c r="O37" s="26" t="n">
        <f>14046055924</f>
        <v>1.4046055924E10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7220</f>
        <v>7220.0</v>
      </c>
      <c r="U37" s="23"/>
      <c r="V37" s="25" t="n">
        <f>4314</f>
        <v>4314.0</v>
      </c>
      <c r="W37" s="23"/>
      <c r="X37" s="26" t="n">
        <f>11534</f>
        <v>11534.0</v>
      </c>
      <c r="Y37" s="24"/>
      <c r="Z37" s="25" t="n">
        <f>1047587</f>
        <v>1047587.0</v>
      </c>
      <c r="AA37" s="23"/>
      <c r="AB37" s="25" t="n">
        <f>580434</f>
        <v>580434.0</v>
      </c>
      <c r="AC37" s="23"/>
      <c r="AD37" s="26" t="n">
        <f>1628021</f>
        <v>1628021.0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48644</f>
        <v>48644.0</v>
      </c>
      <c r="F38" s="23"/>
      <c r="G38" s="25" t="n">
        <f>34393</f>
        <v>34393.0</v>
      </c>
      <c r="H38" s="23"/>
      <c r="I38" s="26" t="n">
        <f>83037</f>
        <v>83037.0</v>
      </c>
      <c r="J38" s="24"/>
      <c r="K38" s="25" t="n">
        <f>7323561040</f>
        <v>7.32356104E9</v>
      </c>
      <c r="L38" s="23"/>
      <c r="M38" s="25" t="n">
        <f>5721052850</f>
        <v>5.72105285E9</v>
      </c>
      <c r="N38" s="23"/>
      <c r="O38" s="26" t="n">
        <f>13044613890</f>
        <v>1.304461389E10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6233</f>
        <v>6233.0</v>
      </c>
      <c r="U38" s="23"/>
      <c r="V38" s="25" t="n">
        <f>8840</f>
        <v>8840.0</v>
      </c>
      <c r="W38" s="23"/>
      <c r="X38" s="26" t="n">
        <f>15073</f>
        <v>15073.0</v>
      </c>
      <c r="Y38" s="24"/>
      <c r="Z38" s="25" t="n">
        <f>1056823</f>
        <v>1056823.0</v>
      </c>
      <c r="AA38" s="23"/>
      <c r="AB38" s="25" t="n">
        <f>584383</f>
        <v>584383.0</v>
      </c>
      <c r="AC38" s="23"/>
      <c r="AD38" s="26" t="n">
        <f>1641206</f>
        <v>1641206.0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51210</f>
        <v>51210.0</v>
      </c>
      <c r="F39" s="23"/>
      <c r="G39" s="25" t="n">
        <f>31622</f>
        <v>31622.0</v>
      </c>
      <c r="H39" s="23"/>
      <c r="I39" s="26" t="n">
        <f>82832</f>
        <v>82832.0</v>
      </c>
      <c r="J39" s="24"/>
      <c r="K39" s="25" t="n">
        <f>8817309000</f>
        <v>8.817309E9</v>
      </c>
      <c r="L39" s="23"/>
      <c r="M39" s="25" t="n">
        <f>7087743000</f>
        <v>7.087743E9</v>
      </c>
      <c r="N39" s="23"/>
      <c r="O39" s="26" t="n">
        <f>15905052000</f>
        <v>1.5905052E10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11726</f>
        <v>11726.0</v>
      </c>
      <c r="U39" s="23"/>
      <c r="V39" s="25" t="n">
        <f>6645</f>
        <v>6645.0</v>
      </c>
      <c r="W39" s="23"/>
      <c r="X39" s="26" t="n">
        <f>18371</f>
        <v>18371.0</v>
      </c>
      <c r="Y39" s="24"/>
      <c r="Z39" s="25" t="n">
        <f>1059264</f>
        <v>1059264.0</v>
      </c>
      <c r="AA39" s="23"/>
      <c r="AB39" s="25" t="n">
        <f>589083</f>
        <v>589083.0</v>
      </c>
      <c r="AC39" s="23"/>
      <c r="AD39" s="26" t="n">
        <f>1648347</f>
        <v>1648347.0</v>
      </c>
    </row>
    <row r="40">
      <c r="A40" s="30" t="s">
        <v>26</v>
      </c>
      <c r="B40" s="22" t="s">
        <v>60</v>
      </c>
      <c r="C40" s="22" t="s">
        <v>61</v>
      </c>
      <c r="D40" s="24"/>
      <c r="E40" s="25" t="n">
        <f>1506</f>
        <v>1506.0</v>
      </c>
      <c r="F40" s="23"/>
      <c r="G40" s="25" t="n">
        <f>633</f>
        <v>633.0</v>
      </c>
      <c r="H40" s="23"/>
      <c r="I40" s="26" t="n">
        <f>2139</f>
        <v>2139.0</v>
      </c>
      <c r="J40" s="24"/>
      <c r="K40" s="25" t="n">
        <f>105053000</f>
        <v>1.05053E8</v>
      </c>
      <c r="L40" s="23"/>
      <c r="M40" s="25" t="n">
        <f>36561000</f>
        <v>3.6561E7</v>
      </c>
      <c r="N40" s="23"/>
      <c r="O40" s="26" t="n">
        <f>141614000</f>
        <v>1.41614E8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229</f>
        <v>229.0</v>
      </c>
      <c r="U40" s="23"/>
      <c r="V40" s="25" t="n">
        <f>49</f>
        <v>49.0</v>
      </c>
      <c r="W40" s="23"/>
      <c r="X40" s="26" t="n">
        <f>278</f>
        <v>278.0</v>
      </c>
      <c r="Y40" s="24"/>
      <c r="Z40" s="25" t="n">
        <f>2813</f>
        <v>2813.0</v>
      </c>
      <c r="AA40" s="23"/>
      <c r="AB40" s="25" t="n">
        <f>3134</f>
        <v>3134.0</v>
      </c>
      <c r="AC40" s="23"/>
      <c r="AD40" s="26" t="n">
        <f>5947</f>
        <v>5947.0</v>
      </c>
    </row>
    <row r="41">
      <c r="A41" s="30" t="s">
        <v>30</v>
      </c>
      <c r="B41" s="22" t="s">
        <v>60</v>
      </c>
      <c r="C41" s="22" t="s">
        <v>61</v>
      </c>
      <c r="D41" s="24"/>
      <c r="E41" s="25" t="n">
        <f>1382</f>
        <v>1382.0</v>
      </c>
      <c r="F41" s="23"/>
      <c r="G41" s="25" t="n">
        <f>969</f>
        <v>969.0</v>
      </c>
      <c r="H41" s="23"/>
      <c r="I41" s="26" t="n">
        <f>2351</f>
        <v>2351.0</v>
      </c>
      <c r="J41" s="24"/>
      <c r="K41" s="25" t="n">
        <f>43308000</f>
        <v>4.3308E7</v>
      </c>
      <c r="L41" s="23"/>
      <c r="M41" s="25" t="n">
        <f>142638000</f>
        <v>1.42638E8</v>
      </c>
      <c r="N41" s="23"/>
      <c r="O41" s="26" t="n">
        <f>185946000</f>
        <v>1.85946E8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79</f>
        <v>79.0</v>
      </c>
      <c r="U41" s="23"/>
      <c r="V41" s="25" t="n">
        <f>60</f>
        <v>60.0</v>
      </c>
      <c r="W41" s="23"/>
      <c r="X41" s="26" t="n">
        <f>139</f>
        <v>139.0</v>
      </c>
      <c r="Y41" s="24"/>
      <c r="Z41" s="25" t="n">
        <f>3291</f>
        <v>3291.0</v>
      </c>
      <c r="AA41" s="23"/>
      <c r="AB41" s="25" t="n">
        <f>3332</f>
        <v>3332.0</v>
      </c>
      <c r="AC41" s="23"/>
      <c r="AD41" s="26" t="n">
        <f>6623</f>
        <v>6623.0</v>
      </c>
    </row>
    <row r="42">
      <c r="A42" s="30" t="s">
        <v>31</v>
      </c>
      <c r="B42" s="22" t="s">
        <v>60</v>
      </c>
      <c r="C42" s="22" t="s">
        <v>61</v>
      </c>
      <c r="D42" s="24" t="s">
        <v>32</v>
      </c>
      <c r="E42" s="25" t="n">
        <f>2841</f>
        <v>2841.0</v>
      </c>
      <c r="F42" s="23" t="s">
        <v>32</v>
      </c>
      <c r="G42" s="25" t="n">
        <f>2218</f>
        <v>2218.0</v>
      </c>
      <c r="H42" s="23" t="s">
        <v>32</v>
      </c>
      <c r="I42" s="26" t="n">
        <f>5059</f>
        <v>5059.0</v>
      </c>
      <c r="J42" s="24"/>
      <c r="K42" s="25" t="n">
        <f>64985000</f>
        <v>6.4985E7</v>
      </c>
      <c r="L42" s="23" t="s">
        <v>32</v>
      </c>
      <c r="M42" s="25" t="n">
        <f>374556580</f>
        <v>3.7455658E8</v>
      </c>
      <c r="N42" s="23" t="s">
        <v>32</v>
      </c>
      <c r="O42" s="26" t="n">
        <f>439541580</f>
        <v>4.3954158E8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116</f>
        <v>116.0</v>
      </c>
      <c r="U42" s="23" t="s">
        <v>32</v>
      </c>
      <c r="V42" s="25" t="n">
        <f>665</f>
        <v>665.0</v>
      </c>
      <c r="W42" s="23" t="s">
        <v>32</v>
      </c>
      <c r="X42" s="26" t="n">
        <f>781</f>
        <v>781.0</v>
      </c>
      <c r="Y42" s="24"/>
      <c r="Z42" s="25" t="n">
        <f>3982</f>
        <v>3982.0</v>
      </c>
      <c r="AA42" s="23"/>
      <c r="AB42" s="25" t="n">
        <f>3550</f>
        <v>3550.0</v>
      </c>
      <c r="AC42" s="23"/>
      <c r="AD42" s="26" t="n">
        <f>7532</f>
        <v>7532.0</v>
      </c>
    </row>
    <row r="43">
      <c r="A43" s="30" t="s">
        <v>33</v>
      </c>
      <c r="B43" s="22" t="s">
        <v>60</v>
      </c>
      <c r="C43" s="22" t="s">
        <v>61</v>
      </c>
      <c r="D43" s="24"/>
      <c r="E43" s="25" t="n">
        <f>278</f>
        <v>278.0</v>
      </c>
      <c r="F43" s="23"/>
      <c r="G43" s="25" t="n">
        <f>181</f>
        <v>181.0</v>
      </c>
      <c r="H43" s="23"/>
      <c r="I43" s="26" t="n">
        <f>459</f>
        <v>459.0</v>
      </c>
      <c r="J43" s="24"/>
      <c r="K43" s="25" t="n">
        <f>76538000</f>
        <v>7.6538E7</v>
      </c>
      <c r="L43" s="23"/>
      <c r="M43" s="25" t="n">
        <f>34576000</f>
        <v>3.4576E7</v>
      </c>
      <c r="N43" s="23"/>
      <c r="O43" s="26" t="n">
        <f>111114000</f>
        <v>1.11114E8</v>
      </c>
      <c r="P43" s="27" t="n">
        <f>415</f>
        <v>415.0</v>
      </c>
      <c r="Q43" s="28" t="n">
        <f>140</f>
        <v>140.0</v>
      </c>
      <c r="R43" s="29" t="n">
        <f>555</f>
        <v>555.0</v>
      </c>
      <c r="S43" s="24"/>
      <c r="T43" s="25" t="n">
        <f>228</f>
        <v>228.0</v>
      </c>
      <c r="U43" s="23"/>
      <c r="V43" s="25" t="n">
        <f>51</f>
        <v>51.0</v>
      </c>
      <c r="W43" s="23"/>
      <c r="X43" s="26" t="n">
        <f>279</f>
        <v>279.0</v>
      </c>
      <c r="Y43" s="24" t="s">
        <v>29</v>
      </c>
      <c r="Z43" s="25" t="n">
        <f>559</f>
        <v>559.0</v>
      </c>
      <c r="AA43" s="23" t="s">
        <v>29</v>
      </c>
      <c r="AB43" s="25" t="n">
        <f>1036</f>
        <v>1036.0</v>
      </c>
      <c r="AC43" s="23" t="s">
        <v>29</v>
      </c>
      <c r="AD43" s="26" t="n">
        <f>1595</f>
        <v>1595.0</v>
      </c>
    </row>
    <row r="44">
      <c r="A44" s="30" t="s">
        <v>34</v>
      </c>
      <c r="B44" s="22" t="s">
        <v>60</v>
      </c>
      <c r="C44" s="22" t="s">
        <v>61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35</v>
      </c>
      <c r="B45" s="22" t="s">
        <v>60</v>
      </c>
      <c r="C45" s="22" t="s">
        <v>61</v>
      </c>
      <c r="D45" s="24"/>
      <c r="E45" s="25"/>
      <c r="F45" s="23"/>
      <c r="G45" s="25"/>
      <c r="H45" s="23"/>
      <c r="I45" s="26"/>
      <c r="J45" s="24"/>
      <c r="K45" s="25"/>
      <c r="L45" s="23"/>
      <c r="M45" s="25"/>
      <c r="N45" s="23"/>
      <c r="O45" s="26"/>
      <c r="P45" s="27"/>
      <c r="Q45" s="28"/>
      <c r="R45" s="29"/>
      <c r="S45" s="24"/>
      <c r="T45" s="25"/>
      <c r="U45" s="23"/>
      <c r="V45" s="25"/>
      <c r="W45" s="23"/>
      <c r="X45" s="26"/>
      <c r="Y45" s="24"/>
      <c r="Z45" s="25"/>
      <c r="AA45" s="23"/>
      <c r="AB45" s="25"/>
      <c r="AC45" s="23"/>
      <c r="AD45" s="26"/>
    </row>
    <row r="46">
      <c r="A46" s="30" t="s">
        <v>36</v>
      </c>
      <c r="B46" s="22" t="s">
        <v>60</v>
      </c>
      <c r="C46" s="22" t="s">
        <v>61</v>
      </c>
      <c r="D46" s="24"/>
      <c r="E46" s="25" t="n">
        <f>330</f>
        <v>330.0</v>
      </c>
      <c r="F46" s="23" t="s">
        <v>29</v>
      </c>
      <c r="G46" s="25" t="n">
        <f>127</f>
        <v>127.0</v>
      </c>
      <c r="H46" s="23" t="s">
        <v>29</v>
      </c>
      <c r="I46" s="26" t="n">
        <f>457</f>
        <v>457.0</v>
      </c>
      <c r="J46" s="24"/>
      <c r="K46" s="25" t="n">
        <f>93968000</f>
        <v>9.3968E7</v>
      </c>
      <c r="L46" s="23"/>
      <c r="M46" s="25" t="n">
        <f>20661000</f>
        <v>2.0661E7</v>
      </c>
      <c r="N46" s="23"/>
      <c r="O46" s="26" t="n">
        <f>114629000</f>
        <v>1.14629E8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244</f>
        <v>244.0</v>
      </c>
      <c r="U46" s="23"/>
      <c r="V46" s="25" t="n">
        <f>3</f>
        <v>3.0</v>
      </c>
      <c r="W46" s="23"/>
      <c r="X46" s="26" t="n">
        <f>247</f>
        <v>247.0</v>
      </c>
      <c r="Y46" s="24"/>
      <c r="Z46" s="25" t="n">
        <f>886</f>
        <v>886.0</v>
      </c>
      <c r="AA46" s="23"/>
      <c r="AB46" s="25" t="n">
        <f>1064</f>
        <v>1064.0</v>
      </c>
      <c r="AC46" s="23"/>
      <c r="AD46" s="26" t="n">
        <f>1950</f>
        <v>1950.0</v>
      </c>
    </row>
    <row r="47">
      <c r="A47" s="30" t="s">
        <v>37</v>
      </c>
      <c r="B47" s="22" t="s">
        <v>60</v>
      </c>
      <c r="C47" s="22" t="s">
        <v>61</v>
      </c>
      <c r="D47" s="24" t="s">
        <v>29</v>
      </c>
      <c r="E47" s="25" t="n">
        <f>136</f>
        <v>136.0</v>
      </c>
      <c r="F47" s="23"/>
      <c r="G47" s="25" t="n">
        <f>716</f>
        <v>716.0</v>
      </c>
      <c r="H47" s="23"/>
      <c r="I47" s="26" t="n">
        <f>852</f>
        <v>852.0</v>
      </c>
      <c r="J47" s="24" t="s">
        <v>29</v>
      </c>
      <c r="K47" s="25" t="n">
        <f>14471000</f>
        <v>1.4471E7</v>
      </c>
      <c r="L47" s="23"/>
      <c r="M47" s="25" t="n">
        <f>122858000</f>
        <v>1.22858E8</v>
      </c>
      <c r="N47" s="23"/>
      <c r="O47" s="26" t="n">
        <f>137329000</f>
        <v>1.37329E8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 t="s">
        <v>29</v>
      </c>
      <c r="T47" s="25" t="n">
        <f>12</f>
        <v>12.0</v>
      </c>
      <c r="U47" s="23" t="s">
        <v>29</v>
      </c>
      <c r="V47" s="25" t="n">
        <f>1</f>
        <v>1.0</v>
      </c>
      <c r="W47" s="23" t="s">
        <v>29</v>
      </c>
      <c r="X47" s="26" t="n">
        <f>13</f>
        <v>13.0</v>
      </c>
      <c r="Y47" s="24"/>
      <c r="Z47" s="25" t="n">
        <f>991</f>
        <v>991.0</v>
      </c>
      <c r="AA47" s="23"/>
      <c r="AB47" s="25" t="n">
        <f>1751</f>
        <v>1751.0</v>
      </c>
      <c r="AC47" s="23"/>
      <c r="AD47" s="26" t="n">
        <f>2742</f>
        <v>2742.0</v>
      </c>
    </row>
    <row r="48">
      <c r="A48" s="30" t="s">
        <v>38</v>
      </c>
      <c r="B48" s="22" t="s">
        <v>60</v>
      </c>
      <c r="C48" s="22" t="s">
        <v>61</v>
      </c>
      <c r="D48" s="24"/>
      <c r="E48" s="25" t="n">
        <f>420</f>
        <v>420.0</v>
      </c>
      <c r="F48" s="23"/>
      <c r="G48" s="25" t="n">
        <f>323</f>
        <v>323.0</v>
      </c>
      <c r="H48" s="23"/>
      <c r="I48" s="26" t="n">
        <f>743</f>
        <v>743.0</v>
      </c>
      <c r="J48" s="24"/>
      <c r="K48" s="25" t="n">
        <f>100982980</f>
        <v>1.0098298E8</v>
      </c>
      <c r="L48" s="23"/>
      <c r="M48" s="25" t="n">
        <f>40729000</f>
        <v>4.0729E7</v>
      </c>
      <c r="N48" s="23"/>
      <c r="O48" s="26" t="n">
        <f>141711980</f>
        <v>1.4171198E8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302</f>
        <v>302.0</v>
      </c>
      <c r="U48" s="23"/>
      <c r="V48" s="25" t="n">
        <f>57</f>
        <v>57.0</v>
      </c>
      <c r="W48" s="23"/>
      <c r="X48" s="26" t="n">
        <f>359</f>
        <v>359.0</v>
      </c>
      <c r="Y48" s="24"/>
      <c r="Z48" s="25" t="n">
        <f>1368</f>
        <v>1368.0</v>
      </c>
      <c r="AA48" s="23"/>
      <c r="AB48" s="25" t="n">
        <f>1965</f>
        <v>1965.0</v>
      </c>
      <c r="AC48" s="23"/>
      <c r="AD48" s="26" t="n">
        <f>3333</f>
        <v>3333.0</v>
      </c>
    </row>
    <row r="49">
      <c r="A49" s="30" t="s">
        <v>39</v>
      </c>
      <c r="B49" s="22" t="s">
        <v>60</v>
      </c>
      <c r="C49" s="22" t="s">
        <v>61</v>
      </c>
      <c r="D49" s="24"/>
      <c r="E49" s="25" t="n">
        <f>827</f>
        <v>827.0</v>
      </c>
      <c r="F49" s="23"/>
      <c r="G49" s="25" t="n">
        <f>160</f>
        <v>160.0</v>
      </c>
      <c r="H49" s="23"/>
      <c r="I49" s="26" t="n">
        <f>987</f>
        <v>987.0</v>
      </c>
      <c r="J49" s="24" t="s">
        <v>32</v>
      </c>
      <c r="K49" s="25" t="n">
        <f>157880400</f>
        <v>1.578804E8</v>
      </c>
      <c r="L49" s="23" t="s">
        <v>29</v>
      </c>
      <c r="M49" s="25" t="n">
        <f>8407000</f>
        <v>8407000.0</v>
      </c>
      <c r="N49" s="23"/>
      <c r="O49" s="26" t="n">
        <f>166287400</f>
        <v>1.662874E8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288</f>
        <v>288.0</v>
      </c>
      <c r="U49" s="23"/>
      <c r="V49" s="25" t="n">
        <f>16</f>
        <v>16.0</v>
      </c>
      <c r="W49" s="23"/>
      <c r="X49" s="26" t="n">
        <f>304</f>
        <v>304.0</v>
      </c>
      <c r="Y49" s="24"/>
      <c r="Z49" s="25" t="n">
        <f>1940</f>
        <v>1940.0</v>
      </c>
      <c r="AA49" s="23"/>
      <c r="AB49" s="25" t="n">
        <f>2063</f>
        <v>2063.0</v>
      </c>
      <c r="AC49" s="23"/>
      <c r="AD49" s="26" t="n">
        <f>4003</f>
        <v>4003.0</v>
      </c>
    </row>
    <row r="50">
      <c r="A50" s="30" t="s">
        <v>40</v>
      </c>
      <c r="B50" s="22" t="s">
        <v>60</v>
      </c>
      <c r="C50" s="22" t="s">
        <v>61</v>
      </c>
      <c r="D50" s="24"/>
      <c r="E50" s="25" t="n">
        <f>1502</f>
        <v>1502.0</v>
      </c>
      <c r="F50" s="23"/>
      <c r="G50" s="25" t="n">
        <f>836</f>
        <v>836.0</v>
      </c>
      <c r="H50" s="23"/>
      <c r="I50" s="26" t="n">
        <f>2338</f>
        <v>2338.0</v>
      </c>
      <c r="J50" s="24"/>
      <c r="K50" s="25" t="n">
        <f>101902000</f>
        <v>1.01902E8</v>
      </c>
      <c r="L50" s="23"/>
      <c r="M50" s="25" t="n">
        <f>92835000</f>
        <v>9.2835E7</v>
      </c>
      <c r="N50" s="23"/>
      <c r="O50" s="26" t="n">
        <f>194737000</f>
        <v>1.94737E8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19</f>
        <v>19.0</v>
      </c>
      <c r="U50" s="23"/>
      <c r="V50" s="25" t="n">
        <f>22</f>
        <v>22.0</v>
      </c>
      <c r="W50" s="23"/>
      <c r="X50" s="26" t="n">
        <f>41</f>
        <v>41.0</v>
      </c>
      <c r="Y50" s="24"/>
      <c r="Z50" s="25" t="n">
        <f>2896</f>
        <v>2896.0</v>
      </c>
      <c r="AA50" s="23"/>
      <c r="AB50" s="25" t="n">
        <f>2606</f>
        <v>2606.0</v>
      </c>
      <c r="AC50" s="23"/>
      <c r="AD50" s="26" t="n">
        <f>5502</f>
        <v>5502.0</v>
      </c>
    </row>
    <row r="51">
      <c r="A51" s="30" t="s">
        <v>41</v>
      </c>
      <c r="B51" s="22" t="s">
        <v>60</v>
      </c>
      <c r="C51" s="22" t="s">
        <v>61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42</v>
      </c>
      <c r="B52" s="22" t="s">
        <v>60</v>
      </c>
      <c r="C52" s="22" t="s">
        <v>61</v>
      </c>
      <c r="D52" s="24"/>
      <c r="E52" s="25"/>
      <c r="F52" s="23"/>
      <c r="G52" s="25"/>
      <c r="H52" s="23"/>
      <c r="I52" s="26"/>
      <c r="J52" s="24"/>
      <c r="K52" s="25"/>
      <c r="L52" s="23"/>
      <c r="M52" s="25"/>
      <c r="N52" s="23"/>
      <c r="O52" s="26"/>
      <c r="P52" s="27"/>
      <c r="Q52" s="28"/>
      <c r="R52" s="29"/>
      <c r="S52" s="24"/>
      <c r="T52" s="25"/>
      <c r="U52" s="23"/>
      <c r="V52" s="25"/>
      <c r="W52" s="23"/>
      <c r="X52" s="26"/>
      <c r="Y52" s="24"/>
      <c r="Z52" s="25"/>
      <c r="AA52" s="23"/>
      <c r="AB52" s="25"/>
      <c r="AC52" s="23"/>
      <c r="AD52" s="26"/>
    </row>
    <row r="53">
      <c r="A53" s="30" t="s">
        <v>43</v>
      </c>
      <c r="B53" s="22" t="s">
        <v>60</v>
      </c>
      <c r="C53" s="22" t="s">
        <v>61</v>
      </c>
      <c r="D53" s="24"/>
      <c r="E53" s="25" t="n">
        <f>2253</f>
        <v>2253.0</v>
      </c>
      <c r="F53" s="23"/>
      <c r="G53" s="25" t="n">
        <f>1083</f>
        <v>1083.0</v>
      </c>
      <c r="H53" s="23"/>
      <c r="I53" s="26" t="n">
        <f>3336</f>
        <v>3336.0</v>
      </c>
      <c r="J53" s="24"/>
      <c r="K53" s="25" t="n">
        <f>100883020</f>
        <v>1.0088302E8</v>
      </c>
      <c r="L53" s="23"/>
      <c r="M53" s="25" t="n">
        <f>108913200</f>
        <v>1.089132E8</v>
      </c>
      <c r="N53" s="23"/>
      <c r="O53" s="26" t="n">
        <f>209796220</f>
        <v>2.0979622E8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145</f>
        <v>145.0</v>
      </c>
      <c r="U53" s="23"/>
      <c r="V53" s="25" t="n">
        <f>137</f>
        <v>137.0</v>
      </c>
      <c r="W53" s="23"/>
      <c r="X53" s="26" t="n">
        <f>282</f>
        <v>282.0</v>
      </c>
      <c r="Y53" s="24"/>
      <c r="Z53" s="25" t="n">
        <f>3531</f>
        <v>3531.0</v>
      </c>
      <c r="AA53" s="23"/>
      <c r="AB53" s="25" t="n">
        <f>3050</f>
        <v>3050.0</v>
      </c>
      <c r="AC53" s="23"/>
      <c r="AD53" s="26" t="n">
        <f>6581</f>
        <v>6581.0</v>
      </c>
    </row>
    <row r="54">
      <c r="A54" s="30" t="s">
        <v>44</v>
      </c>
      <c r="B54" s="22" t="s">
        <v>60</v>
      </c>
      <c r="C54" s="22" t="s">
        <v>61</v>
      </c>
      <c r="D54" s="24"/>
      <c r="E54" s="25" t="n">
        <f>1582</f>
        <v>1582.0</v>
      </c>
      <c r="F54" s="23"/>
      <c r="G54" s="25" t="n">
        <f>1173</f>
        <v>1173.0</v>
      </c>
      <c r="H54" s="23"/>
      <c r="I54" s="26" t="n">
        <f>2755</f>
        <v>2755.0</v>
      </c>
      <c r="J54" s="24"/>
      <c r="K54" s="25" t="n">
        <f>109020520</f>
        <v>1.0902052E8</v>
      </c>
      <c r="L54" s="23"/>
      <c r="M54" s="25" t="n">
        <f>59472000</f>
        <v>5.9472E7</v>
      </c>
      <c r="N54" s="23"/>
      <c r="O54" s="26" t="n">
        <f>168492520</f>
        <v>1.6849252E8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 t="s">
        <v>32</v>
      </c>
      <c r="T54" s="25" t="n">
        <f>363</f>
        <v>363.0</v>
      </c>
      <c r="U54" s="23"/>
      <c r="V54" s="25" t="n">
        <f>137</f>
        <v>137.0</v>
      </c>
      <c r="W54" s="23"/>
      <c r="X54" s="26" t="n">
        <f>500</f>
        <v>500.0</v>
      </c>
      <c r="Y54" s="24"/>
      <c r="Z54" s="25" t="n">
        <f>4060</f>
        <v>4060.0</v>
      </c>
      <c r="AA54" s="23"/>
      <c r="AB54" s="25" t="n">
        <f>3461</f>
        <v>3461.0</v>
      </c>
      <c r="AC54" s="23"/>
      <c r="AD54" s="26" t="n">
        <f>7521</f>
        <v>7521.0</v>
      </c>
    </row>
    <row r="55">
      <c r="A55" s="30" t="s">
        <v>45</v>
      </c>
      <c r="B55" s="22" t="s">
        <v>60</v>
      </c>
      <c r="C55" s="22" t="s">
        <v>61</v>
      </c>
      <c r="D55" s="24"/>
      <c r="E55" s="25" t="n">
        <f>2025</f>
        <v>2025.0</v>
      </c>
      <c r="F55" s="23"/>
      <c r="G55" s="25" t="n">
        <f>827</f>
        <v>827.0</v>
      </c>
      <c r="H55" s="23"/>
      <c r="I55" s="26" t="n">
        <f>2852</f>
        <v>2852.0</v>
      </c>
      <c r="J55" s="24"/>
      <c r="K55" s="25" t="n">
        <f>84601000</f>
        <v>8.4601E7</v>
      </c>
      <c r="L55" s="23"/>
      <c r="M55" s="25" t="n">
        <f>65751000</f>
        <v>6.5751E7</v>
      </c>
      <c r="N55" s="23"/>
      <c r="O55" s="26" t="n">
        <f>150352000</f>
        <v>1.50352E8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221</f>
        <v>221.0</v>
      </c>
      <c r="U55" s="23"/>
      <c r="V55" s="25" t="n">
        <f>202</f>
        <v>202.0</v>
      </c>
      <c r="W55" s="23"/>
      <c r="X55" s="26" t="n">
        <f>423</f>
        <v>423.0</v>
      </c>
      <c r="Y55" s="24"/>
      <c r="Z55" s="25" t="n">
        <f>4725</f>
        <v>4725.0</v>
      </c>
      <c r="AA55" s="23"/>
      <c r="AB55" s="25" t="n">
        <f>3687</f>
        <v>3687.0</v>
      </c>
      <c r="AC55" s="23"/>
      <c r="AD55" s="26" t="n">
        <f>8412</f>
        <v>8412.0</v>
      </c>
    </row>
    <row r="56">
      <c r="A56" s="30" t="s">
        <v>46</v>
      </c>
      <c r="B56" s="22" t="s">
        <v>60</v>
      </c>
      <c r="C56" s="22" t="s">
        <v>61</v>
      </c>
      <c r="D56" s="24"/>
      <c r="E56" s="25" t="n">
        <f>2695</f>
        <v>2695.0</v>
      </c>
      <c r="F56" s="23"/>
      <c r="G56" s="25" t="n">
        <f>1977</f>
        <v>1977.0</v>
      </c>
      <c r="H56" s="23"/>
      <c r="I56" s="26" t="n">
        <f>4672</f>
        <v>4672.0</v>
      </c>
      <c r="J56" s="24"/>
      <c r="K56" s="25" t="n">
        <f>101583000</f>
        <v>1.01583E8</v>
      </c>
      <c r="L56" s="23"/>
      <c r="M56" s="25" t="n">
        <f>94243000</f>
        <v>9.4243E7</v>
      </c>
      <c r="N56" s="23"/>
      <c r="O56" s="26" t="n">
        <f>195826000</f>
        <v>1.95826E8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248</f>
        <v>248.0</v>
      </c>
      <c r="U56" s="23"/>
      <c r="V56" s="25" t="n">
        <f>200</f>
        <v>200.0</v>
      </c>
      <c r="W56" s="23"/>
      <c r="X56" s="26" t="n">
        <f>448</f>
        <v>448.0</v>
      </c>
      <c r="Y56" s="24" t="s">
        <v>32</v>
      </c>
      <c r="Z56" s="25" t="n">
        <f>5295</f>
        <v>5295.0</v>
      </c>
      <c r="AA56" s="23" t="s">
        <v>32</v>
      </c>
      <c r="AB56" s="25" t="n">
        <f>3987</f>
        <v>3987.0</v>
      </c>
      <c r="AC56" s="23" t="s">
        <v>32</v>
      </c>
      <c r="AD56" s="26" t="n">
        <f>9282</f>
        <v>9282.0</v>
      </c>
    </row>
    <row r="57">
      <c r="A57" s="30" t="s">
        <v>47</v>
      </c>
      <c r="B57" s="22" t="s">
        <v>60</v>
      </c>
      <c r="C57" s="22" t="s">
        <v>61</v>
      </c>
      <c r="D57" s="24"/>
      <c r="E57" s="25" t="n">
        <f>580</f>
        <v>580.0</v>
      </c>
      <c r="F57" s="23"/>
      <c r="G57" s="25" t="n">
        <f>684</f>
        <v>684.0</v>
      </c>
      <c r="H57" s="23"/>
      <c r="I57" s="26" t="n">
        <f>1264</f>
        <v>1264.0</v>
      </c>
      <c r="J57" s="24"/>
      <c r="K57" s="25" t="n">
        <f>33110000</f>
        <v>3.311E7</v>
      </c>
      <c r="L57" s="23"/>
      <c r="M57" s="25" t="n">
        <f>97024085</f>
        <v>9.7024085E7</v>
      </c>
      <c r="N57" s="23"/>
      <c r="O57" s="26" t="n">
        <f>130134085</f>
        <v>1.30134085E8</v>
      </c>
      <c r="P57" s="27" t="n">
        <f>156</f>
        <v>156.0</v>
      </c>
      <c r="Q57" s="28" t="n">
        <f>441</f>
        <v>441.0</v>
      </c>
      <c r="R57" s="29" t="n">
        <f>597</f>
        <v>597.0</v>
      </c>
      <c r="S57" s="24"/>
      <c r="T57" s="25" t="n">
        <f>38</f>
        <v>38.0</v>
      </c>
      <c r="U57" s="23"/>
      <c r="V57" s="25" t="n">
        <f>259</f>
        <v>259.0</v>
      </c>
      <c r="W57" s="23"/>
      <c r="X57" s="26" t="n">
        <f>297</f>
        <v>297.0</v>
      </c>
      <c r="Y57" s="24"/>
      <c r="Z57" s="25" t="n">
        <f>2038</f>
        <v>2038.0</v>
      </c>
      <c r="AA57" s="23"/>
      <c r="AB57" s="25" t="n">
        <f>1825</f>
        <v>1825.0</v>
      </c>
      <c r="AC57" s="23"/>
      <c r="AD57" s="26" t="n">
        <f>3863</f>
        <v>3863.0</v>
      </c>
    </row>
    <row r="58">
      <c r="A58" s="30" t="s">
        <v>48</v>
      </c>
      <c r="B58" s="22" t="s">
        <v>60</v>
      </c>
      <c r="C58" s="22" t="s">
        <v>61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49</v>
      </c>
      <c r="B59" s="22" t="s">
        <v>60</v>
      </c>
      <c r="C59" s="22" t="s">
        <v>61</v>
      </c>
      <c r="D59" s="24"/>
      <c r="E59" s="25"/>
      <c r="F59" s="23"/>
      <c r="G59" s="25"/>
      <c r="H59" s="23"/>
      <c r="I59" s="26"/>
      <c r="J59" s="24"/>
      <c r="K59" s="25"/>
      <c r="L59" s="23"/>
      <c r="M59" s="25"/>
      <c r="N59" s="23"/>
      <c r="O59" s="26"/>
      <c r="P59" s="27"/>
      <c r="Q59" s="28"/>
      <c r="R59" s="29"/>
      <c r="S59" s="24"/>
      <c r="T59" s="25"/>
      <c r="U59" s="23"/>
      <c r="V59" s="25"/>
      <c r="W59" s="23"/>
      <c r="X59" s="26"/>
      <c r="Y59" s="24"/>
      <c r="Z59" s="25"/>
      <c r="AA59" s="23"/>
      <c r="AB59" s="25"/>
      <c r="AC59" s="23"/>
      <c r="AD59" s="26"/>
    </row>
    <row r="60">
      <c r="A60" s="30" t="s">
        <v>50</v>
      </c>
      <c r="B60" s="22" t="s">
        <v>60</v>
      </c>
      <c r="C60" s="22" t="s">
        <v>61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51</v>
      </c>
      <c r="B61" s="22" t="s">
        <v>60</v>
      </c>
      <c r="C61" s="22" t="s">
        <v>61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52</v>
      </c>
      <c r="B62" s="22" t="s">
        <v>60</v>
      </c>
      <c r="C62" s="22" t="s">
        <v>61</v>
      </c>
      <c r="D62" s="24"/>
      <c r="E62" s="25" t="n">
        <f>1781</f>
        <v>1781.0</v>
      </c>
      <c r="F62" s="23"/>
      <c r="G62" s="25" t="n">
        <f>1092</f>
        <v>1092.0</v>
      </c>
      <c r="H62" s="23"/>
      <c r="I62" s="26" t="n">
        <f>2873</f>
        <v>2873.0</v>
      </c>
      <c r="J62" s="24"/>
      <c r="K62" s="25" t="n">
        <f>40491000</f>
        <v>4.0491E7</v>
      </c>
      <c r="L62" s="23"/>
      <c r="M62" s="25" t="n">
        <f>23055000</f>
        <v>2.3055E7</v>
      </c>
      <c r="N62" s="23" t="s">
        <v>29</v>
      </c>
      <c r="O62" s="26" t="n">
        <f>63546000</f>
        <v>6.3546E7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/>
      <c r="T62" s="25" t="n">
        <f>151</f>
        <v>151.0</v>
      </c>
      <c r="U62" s="23"/>
      <c r="V62" s="25" t="n">
        <f>61</f>
        <v>61.0</v>
      </c>
      <c r="W62" s="23"/>
      <c r="X62" s="26" t="n">
        <f>212</f>
        <v>212.0</v>
      </c>
      <c r="Y62" s="24"/>
      <c r="Z62" s="25" t="n">
        <f>2763</f>
        <v>2763.0</v>
      </c>
      <c r="AA62" s="23"/>
      <c r="AB62" s="25" t="n">
        <f>2454</f>
        <v>2454.0</v>
      </c>
      <c r="AC62" s="23"/>
      <c r="AD62" s="26" t="n">
        <f>5217</f>
        <v>5217.0</v>
      </c>
    </row>
    <row r="63">
      <c r="A63" s="30" t="s">
        <v>53</v>
      </c>
      <c r="B63" s="22" t="s">
        <v>60</v>
      </c>
      <c r="C63" s="22" t="s">
        <v>61</v>
      </c>
      <c r="D63" s="24"/>
      <c r="E63" s="25" t="n">
        <f>2015</f>
        <v>2015.0</v>
      </c>
      <c r="F63" s="23"/>
      <c r="G63" s="25" t="n">
        <f>1689</f>
        <v>1689.0</v>
      </c>
      <c r="H63" s="23"/>
      <c r="I63" s="26" t="n">
        <f>3704</f>
        <v>3704.0</v>
      </c>
      <c r="J63" s="24"/>
      <c r="K63" s="25" t="n">
        <f>60787000</f>
        <v>6.0787E7</v>
      </c>
      <c r="L63" s="23"/>
      <c r="M63" s="25" t="n">
        <f>58765000</f>
        <v>5.8765E7</v>
      </c>
      <c r="N63" s="23"/>
      <c r="O63" s="26" t="n">
        <f>119552000</f>
        <v>1.19552E8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222</f>
        <v>222.0</v>
      </c>
      <c r="U63" s="23"/>
      <c r="V63" s="25" t="n">
        <f>176</f>
        <v>176.0</v>
      </c>
      <c r="W63" s="23"/>
      <c r="X63" s="26" t="n">
        <f>398</f>
        <v>398.0</v>
      </c>
      <c r="Y63" s="24"/>
      <c r="Z63" s="25" t="n">
        <f>3481</f>
        <v>3481.0</v>
      </c>
      <c r="AA63" s="23"/>
      <c r="AB63" s="25" t="n">
        <f>3230</f>
        <v>3230.0</v>
      </c>
      <c r="AC63" s="23"/>
      <c r="AD63" s="26" t="n">
        <f>6711</f>
        <v>6711.0</v>
      </c>
    </row>
    <row r="64">
      <c r="A64" s="30" t="s">
        <v>54</v>
      </c>
      <c r="B64" s="22" t="s">
        <v>60</v>
      </c>
      <c r="C64" s="22" t="s">
        <v>61</v>
      </c>
      <c r="D64" s="24"/>
      <c r="E64" s="25" t="n">
        <f>570</f>
        <v>570.0</v>
      </c>
      <c r="F64" s="23"/>
      <c r="G64" s="25" t="n">
        <f>920</f>
        <v>920.0</v>
      </c>
      <c r="H64" s="23"/>
      <c r="I64" s="26" t="n">
        <f>1490</f>
        <v>1490.0</v>
      </c>
      <c r="J64" s="24"/>
      <c r="K64" s="25" t="n">
        <f>55608000</f>
        <v>5.5608E7</v>
      </c>
      <c r="L64" s="23"/>
      <c r="M64" s="25" t="n">
        <f>113663620</f>
        <v>1.1366362E8</v>
      </c>
      <c r="N64" s="23"/>
      <c r="O64" s="26" t="n">
        <f>169271620</f>
        <v>1.6927162E8</v>
      </c>
      <c r="P64" s="27" t="n">
        <f>351</f>
        <v>351.0</v>
      </c>
      <c r="Q64" s="28" t="n">
        <f>75</f>
        <v>75.0</v>
      </c>
      <c r="R64" s="29" t="n">
        <f>426</f>
        <v>426.0</v>
      </c>
      <c r="S64" s="24"/>
      <c r="T64" s="25" t="n">
        <f>90</f>
        <v>90.0</v>
      </c>
      <c r="U64" s="23"/>
      <c r="V64" s="25" t="n">
        <f>328</f>
        <v>328.0</v>
      </c>
      <c r="W64" s="23"/>
      <c r="X64" s="26" t="n">
        <f>418</f>
        <v>418.0</v>
      </c>
      <c r="Y64" s="24"/>
      <c r="Z64" s="25" t="n">
        <f>742</f>
        <v>742.0</v>
      </c>
      <c r="AA64" s="23"/>
      <c r="AB64" s="25" t="n">
        <f>1759</f>
        <v>1759.0</v>
      </c>
      <c r="AC64" s="23"/>
      <c r="AD64" s="26" t="n">
        <f>2501</f>
        <v>2501.0</v>
      </c>
    </row>
    <row r="65">
      <c r="A65" s="30" t="s">
        <v>55</v>
      </c>
      <c r="B65" s="22" t="s">
        <v>60</v>
      </c>
      <c r="C65" s="22" t="s">
        <v>61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56</v>
      </c>
      <c r="B66" s="22" t="s">
        <v>60</v>
      </c>
      <c r="C66" s="22" t="s">
        <v>61</v>
      </c>
      <c r="D66" s="24"/>
      <c r="E66" s="25"/>
      <c r="F66" s="23"/>
      <c r="G66" s="25"/>
      <c r="H66" s="23"/>
      <c r="I66" s="26"/>
      <c r="J66" s="24"/>
      <c r="K66" s="25"/>
      <c r="L66" s="23"/>
      <c r="M66" s="25"/>
      <c r="N66" s="23"/>
      <c r="O66" s="26"/>
      <c r="P66" s="27"/>
      <c r="Q66" s="28"/>
      <c r="R66" s="29"/>
      <c r="S66" s="24"/>
      <c r="T66" s="25"/>
      <c r="U66" s="23"/>
      <c r="V66" s="25"/>
      <c r="W66" s="23"/>
      <c r="X66" s="26"/>
      <c r="Y66" s="24"/>
      <c r="Z66" s="25"/>
      <c r="AA66" s="23"/>
      <c r="AB66" s="25"/>
      <c r="AC66" s="23"/>
      <c r="AD66" s="26"/>
    </row>
    <row r="67">
      <c r="A67" s="30" t="s">
        <v>57</v>
      </c>
      <c r="B67" s="22" t="s">
        <v>60</v>
      </c>
      <c r="C67" s="22" t="s">
        <v>61</v>
      </c>
      <c r="D67" s="24"/>
      <c r="E67" s="25" t="n">
        <f>1368</f>
        <v>1368.0</v>
      </c>
      <c r="F67" s="23"/>
      <c r="G67" s="25" t="n">
        <f>642</f>
        <v>642.0</v>
      </c>
      <c r="H67" s="23"/>
      <c r="I67" s="26" t="n">
        <f>2010</f>
        <v>2010.0</v>
      </c>
      <c r="J67" s="24"/>
      <c r="K67" s="25" t="n">
        <f>90534000</f>
        <v>9.0534E7</v>
      </c>
      <c r="L67" s="23"/>
      <c r="M67" s="25" t="n">
        <f>35617000</f>
        <v>3.5617E7</v>
      </c>
      <c r="N67" s="23"/>
      <c r="O67" s="26" t="n">
        <f>126151000</f>
        <v>1.26151E8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22</f>
        <v>22.0</v>
      </c>
      <c r="U67" s="23"/>
      <c r="V67" s="25" t="n">
        <f>24</f>
        <v>24.0</v>
      </c>
      <c r="W67" s="23"/>
      <c r="X67" s="26" t="n">
        <f>46</f>
        <v>46.0</v>
      </c>
      <c r="Y67" s="24"/>
      <c r="Z67" s="25" t="n">
        <f>1464</f>
        <v>1464.0</v>
      </c>
      <c r="AA67" s="23"/>
      <c r="AB67" s="25" t="n">
        <f>2004</f>
        <v>2004.0</v>
      </c>
      <c r="AC67" s="23"/>
      <c r="AD67" s="26" t="n">
        <f>3468</f>
        <v>3468.0</v>
      </c>
    </row>
    <row r="68">
      <c r="A68" s="30" t="s">
        <v>58</v>
      </c>
      <c r="B68" s="22" t="s">
        <v>60</v>
      </c>
      <c r="C68" s="22" t="s">
        <v>61</v>
      </c>
      <c r="D68" s="24"/>
      <c r="E68" s="25" t="n">
        <f>1586</f>
        <v>1586.0</v>
      </c>
      <c r="F68" s="23"/>
      <c r="G68" s="25" t="n">
        <f>1399</f>
        <v>1399.0</v>
      </c>
      <c r="H68" s="23"/>
      <c r="I68" s="26" t="n">
        <f>2985</f>
        <v>2985.0</v>
      </c>
      <c r="J68" s="24"/>
      <c r="K68" s="25" t="n">
        <f>62526840</f>
        <v>6.252684E7</v>
      </c>
      <c r="L68" s="23"/>
      <c r="M68" s="25" t="n">
        <f>193399000</f>
        <v>1.93399E8</v>
      </c>
      <c r="N68" s="23"/>
      <c r="O68" s="26" t="n">
        <f>255925840</f>
        <v>2.5592584E8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191</f>
        <v>191.0</v>
      </c>
      <c r="U68" s="23"/>
      <c r="V68" s="25" t="n">
        <f>125</f>
        <v>125.0</v>
      </c>
      <c r="W68" s="23"/>
      <c r="X68" s="26" t="n">
        <f>316</f>
        <v>316.0</v>
      </c>
      <c r="Y68" s="24"/>
      <c r="Z68" s="25" t="n">
        <f>1595</f>
        <v>1595.0</v>
      </c>
      <c r="AA68" s="23"/>
      <c r="AB68" s="25" t="n">
        <f>2332</f>
        <v>2332.0</v>
      </c>
      <c r="AC68" s="23"/>
      <c r="AD68" s="26" t="n">
        <f>3927</f>
        <v>3927.0</v>
      </c>
    </row>
    <row r="69">
      <c r="A69" s="30" t="s">
        <v>59</v>
      </c>
      <c r="B69" s="22" t="s">
        <v>60</v>
      </c>
      <c r="C69" s="22" t="s">
        <v>61</v>
      </c>
      <c r="D69" s="24"/>
      <c r="E69" s="25" t="n">
        <f>1619</f>
        <v>1619.0</v>
      </c>
      <c r="F69" s="23"/>
      <c r="G69" s="25" t="n">
        <f>1849</f>
        <v>1849.0</v>
      </c>
      <c r="H69" s="23"/>
      <c r="I69" s="26" t="n">
        <f>3468</f>
        <v>3468.0</v>
      </c>
      <c r="J69" s="24"/>
      <c r="K69" s="25" t="n">
        <f>89383000</f>
        <v>8.9383E7</v>
      </c>
      <c r="L69" s="23"/>
      <c r="M69" s="25" t="n">
        <f>91451960</f>
        <v>9.145196E7</v>
      </c>
      <c r="N69" s="23"/>
      <c r="O69" s="26" t="n">
        <f>180834960</f>
        <v>1.8083496E8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150</f>
        <v>150.0</v>
      </c>
      <c r="U69" s="23"/>
      <c r="V69" s="25" t="n">
        <f>157</f>
        <v>157.0</v>
      </c>
      <c r="W69" s="23"/>
      <c r="X69" s="26" t="n">
        <f>307</f>
        <v>307.0</v>
      </c>
      <c r="Y69" s="24"/>
      <c r="Z69" s="25" t="n">
        <f>1630</f>
        <v>1630.0</v>
      </c>
      <c r="AA69" s="23"/>
      <c r="AB69" s="25" t="n">
        <f>2886</f>
        <v>2886.0</v>
      </c>
      <c r="AC69" s="23"/>
      <c r="AD69" s="26" t="n">
        <f>4516</f>
        <v>4516.0</v>
      </c>
    </row>
    <row r="70">
      <c r="A70" s="30" t="s">
        <v>26</v>
      </c>
      <c r="B70" s="22" t="s">
        <v>62</v>
      </c>
      <c r="C70" s="22" t="s">
        <v>63</v>
      </c>
      <c r="D70" s="24"/>
      <c r="E70" s="25" t="n">
        <f>2225</f>
        <v>2225.0</v>
      </c>
      <c r="F70" s="23" t="s">
        <v>29</v>
      </c>
      <c r="G70" s="25" t="str">
        <f>"－"</f>
        <v>－</v>
      </c>
      <c r="H70" s="23"/>
      <c r="I70" s="26" t="n">
        <f>2225</f>
        <v>2225.0</v>
      </c>
      <c r="J70" s="24"/>
      <c r="K70" s="25" t="n">
        <f>251615600</f>
        <v>2.516156E8</v>
      </c>
      <c r="L70" s="23" t="s">
        <v>29</v>
      </c>
      <c r="M70" s="25" t="str">
        <f>"－"</f>
        <v>－</v>
      </c>
      <c r="N70" s="23"/>
      <c r="O70" s="26" t="n">
        <f>251615600</f>
        <v>2.516156E8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500</f>
        <v>500.0</v>
      </c>
      <c r="U70" s="23" t="s">
        <v>29</v>
      </c>
      <c r="V70" s="25" t="str">
        <f>"－"</f>
        <v>－</v>
      </c>
      <c r="W70" s="23"/>
      <c r="X70" s="26" t="n">
        <f>500</f>
        <v>500.0</v>
      </c>
      <c r="Y70" s="24"/>
      <c r="Z70" s="25" t="n">
        <f>100469</f>
        <v>100469.0</v>
      </c>
      <c r="AA70" s="23"/>
      <c r="AB70" s="25" t="n">
        <f>17096</f>
        <v>17096.0</v>
      </c>
      <c r="AC70" s="23"/>
      <c r="AD70" s="26" t="n">
        <f>117565</f>
        <v>117565.0</v>
      </c>
    </row>
    <row r="71">
      <c r="A71" s="30" t="s">
        <v>30</v>
      </c>
      <c r="B71" s="22" t="s">
        <v>62</v>
      </c>
      <c r="C71" s="22" t="s">
        <v>63</v>
      </c>
      <c r="D71" s="24"/>
      <c r="E71" s="25" t="n">
        <f>400</f>
        <v>400.0</v>
      </c>
      <c r="F71" s="23"/>
      <c r="G71" s="25" t="str">
        <f>"－"</f>
        <v>－</v>
      </c>
      <c r="H71" s="23"/>
      <c r="I71" s="26" t="n">
        <f>400</f>
        <v>400.0</v>
      </c>
      <c r="J71" s="24"/>
      <c r="K71" s="25" t="n">
        <f>5864000</f>
        <v>5864000.0</v>
      </c>
      <c r="L71" s="23"/>
      <c r="M71" s="25" t="str">
        <f>"－"</f>
        <v>－</v>
      </c>
      <c r="N71" s="23"/>
      <c r="O71" s="26" t="n">
        <f>5864000</f>
        <v>5864000.0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 t="s">
        <v>29</v>
      </c>
      <c r="T71" s="25" t="str">
        <f>"－"</f>
        <v>－</v>
      </c>
      <c r="U71" s="23"/>
      <c r="V71" s="25" t="str">
        <f>"－"</f>
        <v>－</v>
      </c>
      <c r="W71" s="23" t="s">
        <v>29</v>
      </c>
      <c r="X71" s="26" t="str">
        <f>"－"</f>
        <v>－</v>
      </c>
      <c r="Y71" s="24"/>
      <c r="Z71" s="25" t="n">
        <f>100469</f>
        <v>100469.0</v>
      </c>
      <c r="AA71" s="23"/>
      <c r="AB71" s="25" t="n">
        <f>17096</f>
        <v>17096.0</v>
      </c>
      <c r="AC71" s="23"/>
      <c r="AD71" s="26" t="n">
        <f>117565</f>
        <v>117565.0</v>
      </c>
    </row>
    <row r="72">
      <c r="A72" s="30" t="s">
        <v>31</v>
      </c>
      <c r="B72" s="22" t="s">
        <v>62</v>
      </c>
      <c r="C72" s="22" t="s">
        <v>63</v>
      </c>
      <c r="D72" s="24" t="s">
        <v>29</v>
      </c>
      <c r="E72" s="25" t="str">
        <f>"－"</f>
        <v>－</v>
      </c>
      <c r="F72" s="23"/>
      <c r="G72" s="25" t="n">
        <f>500</f>
        <v>500.0</v>
      </c>
      <c r="H72" s="23"/>
      <c r="I72" s="26" t="n">
        <f>500</f>
        <v>500.0</v>
      </c>
      <c r="J72" s="24" t="s">
        <v>29</v>
      </c>
      <c r="K72" s="25" t="str">
        <f>"－"</f>
        <v>－</v>
      </c>
      <c r="L72" s="23"/>
      <c r="M72" s="25" t="n">
        <f>32500000</f>
        <v>3.25E7</v>
      </c>
      <c r="N72" s="23"/>
      <c r="O72" s="26" t="n">
        <f>32500000</f>
        <v>3.25E7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/>
      <c r="T72" s="25" t="str">
        <f>"－"</f>
        <v>－</v>
      </c>
      <c r="U72" s="23"/>
      <c r="V72" s="25" t="str">
        <f>"－"</f>
        <v>－</v>
      </c>
      <c r="W72" s="23"/>
      <c r="X72" s="26" t="str">
        <f>"－"</f>
        <v>－</v>
      </c>
      <c r="Y72" s="24"/>
      <c r="Z72" s="25" t="n">
        <f>100469</f>
        <v>100469.0</v>
      </c>
      <c r="AA72" s="23"/>
      <c r="AB72" s="25" t="n">
        <f>17096</f>
        <v>17096.0</v>
      </c>
      <c r="AC72" s="23"/>
      <c r="AD72" s="26" t="n">
        <f>117565</f>
        <v>117565.0</v>
      </c>
    </row>
    <row r="73">
      <c r="A73" s="30" t="s">
        <v>33</v>
      </c>
      <c r="B73" s="22" t="s">
        <v>62</v>
      </c>
      <c r="C73" s="22" t="s">
        <v>63</v>
      </c>
      <c r="D73" s="24"/>
      <c r="E73" s="25" t="str">
        <f>"－"</f>
        <v>－</v>
      </c>
      <c r="F73" s="23"/>
      <c r="G73" s="25" t="str">
        <f>"－"</f>
        <v>－</v>
      </c>
      <c r="H73" s="23" t="s">
        <v>29</v>
      </c>
      <c r="I73" s="26" t="str">
        <f>"－"</f>
        <v>－</v>
      </c>
      <c r="J73" s="24"/>
      <c r="K73" s="25" t="str">
        <f>"－"</f>
        <v>－</v>
      </c>
      <c r="L73" s="23"/>
      <c r="M73" s="25" t="str">
        <f>"－"</f>
        <v>－</v>
      </c>
      <c r="N73" s="23" t="s">
        <v>29</v>
      </c>
      <c r="O73" s="26" t="str">
        <f>"－"</f>
        <v>－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str">
        <f>"－"</f>
        <v>－</v>
      </c>
      <c r="U73" s="23"/>
      <c r="V73" s="25" t="str">
        <f>"－"</f>
        <v>－</v>
      </c>
      <c r="W73" s="23"/>
      <c r="X73" s="26" t="str">
        <f>"－"</f>
        <v>－</v>
      </c>
      <c r="Y73" s="24"/>
      <c r="Z73" s="25" t="n">
        <f>100469</f>
        <v>100469.0</v>
      </c>
      <c r="AA73" s="23"/>
      <c r="AB73" s="25" t="n">
        <f>17096</f>
        <v>17096.0</v>
      </c>
      <c r="AC73" s="23"/>
      <c r="AD73" s="26" t="n">
        <f>117565</f>
        <v>117565.0</v>
      </c>
    </row>
    <row r="74">
      <c r="A74" s="30" t="s">
        <v>34</v>
      </c>
      <c r="B74" s="22" t="s">
        <v>62</v>
      </c>
      <c r="C74" s="22" t="s">
        <v>63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35</v>
      </c>
      <c r="B75" s="22" t="s">
        <v>62</v>
      </c>
      <c r="C75" s="22" t="s">
        <v>63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36</v>
      </c>
      <c r="B76" s="22" t="s">
        <v>62</v>
      </c>
      <c r="C76" s="22" t="s">
        <v>63</v>
      </c>
      <c r="D76" s="24"/>
      <c r="E76" s="25" t="n">
        <f>1877</f>
        <v>1877.0</v>
      </c>
      <c r="F76" s="23"/>
      <c r="G76" s="25" t="str">
        <f>"－"</f>
        <v>－</v>
      </c>
      <c r="H76" s="23"/>
      <c r="I76" s="26" t="n">
        <f>1877</f>
        <v>1877.0</v>
      </c>
      <c r="J76" s="24"/>
      <c r="K76" s="25" t="n">
        <f>1521985416</f>
        <v>1.521985416E9</v>
      </c>
      <c r="L76" s="23"/>
      <c r="M76" s="25" t="str">
        <f>"－"</f>
        <v>－</v>
      </c>
      <c r="N76" s="23"/>
      <c r="O76" s="26" t="n">
        <f>1521985416</f>
        <v>1.521985416E9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1877</f>
        <v>1877.0</v>
      </c>
      <c r="U76" s="23"/>
      <c r="V76" s="25" t="str">
        <f>"－"</f>
        <v>－</v>
      </c>
      <c r="W76" s="23"/>
      <c r="X76" s="26" t="n">
        <f>1877</f>
        <v>1877.0</v>
      </c>
      <c r="Y76" s="24"/>
      <c r="Z76" s="25" t="n">
        <f>102338</f>
        <v>102338.0</v>
      </c>
      <c r="AA76" s="23"/>
      <c r="AB76" s="25" t="n">
        <f>17096</f>
        <v>17096.0</v>
      </c>
      <c r="AC76" s="23"/>
      <c r="AD76" s="26" t="n">
        <f>119434</f>
        <v>119434.0</v>
      </c>
    </row>
    <row r="77">
      <c r="A77" s="30" t="s">
        <v>37</v>
      </c>
      <c r="B77" s="22" t="s">
        <v>62</v>
      </c>
      <c r="C77" s="22" t="s">
        <v>63</v>
      </c>
      <c r="D77" s="24"/>
      <c r="E77" s="25" t="n">
        <f>1126</f>
        <v>1126.0</v>
      </c>
      <c r="F77" s="23"/>
      <c r="G77" s="25" t="n">
        <f>1133</f>
        <v>1133.0</v>
      </c>
      <c r="H77" s="23"/>
      <c r="I77" s="26" t="n">
        <f>2259</f>
        <v>2259.0</v>
      </c>
      <c r="J77" s="24"/>
      <c r="K77" s="25" t="n">
        <f>8726000</f>
        <v>8726000.0</v>
      </c>
      <c r="L77" s="23" t="s">
        <v>32</v>
      </c>
      <c r="M77" s="25" t="n">
        <f>3546746378</f>
        <v>3.546746378E9</v>
      </c>
      <c r="N77" s="23" t="s">
        <v>32</v>
      </c>
      <c r="O77" s="26" t="n">
        <f>3555472378</f>
        <v>3.555472378E9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n">
        <f>507</f>
        <v>507.0</v>
      </c>
      <c r="W77" s="23"/>
      <c r="X77" s="26" t="n">
        <f>507</f>
        <v>507.0</v>
      </c>
      <c r="Y77" s="24"/>
      <c r="Z77" s="25" t="n">
        <f>101838</f>
        <v>101838.0</v>
      </c>
      <c r="AA77" s="23"/>
      <c r="AB77" s="25" t="n">
        <f>17603</f>
        <v>17603.0</v>
      </c>
      <c r="AC77" s="23"/>
      <c r="AD77" s="26" t="n">
        <f>119441</f>
        <v>119441.0</v>
      </c>
    </row>
    <row r="78">
      <c r="A78" s="30" t="s">
        <v>38</v>
      </c>
      <c r="B78" s="22" t="s">
        <v>62</v>
      </c>
      <c r="C78" s="22" t="s">
        <v>63</v>
      </c>
      <c r="D78" s="24"/>
      <c r="E78" s="25" t="n">
        <f>1877</f>
        <v>1877.0</v>
      </c>
      <c r="F78" s="23"/>
      <c r="G78" s="25" t="str">
        <f>"－"</f>
        <v>－</v>
      </c>
      <c r="H78" s="23"/>
      <c r="I78" s="26" t="n">
        <f>1877</f>
        <v>1877.0</v>
      </c>
      <c r="J78" s="24"/>
      <c r="K78" s="25" t="n">
        <f>1615321262</f>
        <v>1.615321262E9</v>
      </c>
      <c r="L78" s="23"/>
      <c r="M78" s="25" t="str">
        <f>"－"</f>
        <v>－</v>
      </c>
      <c r="N78" s="23"/>
      <c r="O78" s="26" t="n">
        <f>1615321262</f>
        <v>1.615321262E9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n">
        <f>1877</f>
        <v>1877.0</v>
      </c>
      <c r="U78" s="23"/>
      <c r="V78" s="25" t="str">
        <f>"－"</f>
        <v>－</v>
      </c>
      <c r="W78" s="23"/>
      <c r="X78" s="26" t="n">
        <f>1877</f>
        <v>1877.0</v>
      </c>
      <c r="Y78" s="24"/>
      <c r="Z78" s="25" t="n">
        <f>103715</f>
        <v>103715.0</v>
      </c>
      <c r="AA78" s="23"/>
      <c r="AB78" s="25" t="n">
        <f>17603</f>
        <v>17603.0</v>
      </c>
      <c r="AC78" s="23"/>
      <c r="AD78" s="26" t="n">
        <f>121318</f>
        <v>121318.0</v>
      </c>
    </row>
    <row r="79">
      <c r="A79" s="30" t="s">
        <v>39</v>
      </c>
      <c r="B79" s="22" t="s">
        <v>62</v>
      </c>
      <c r="C79" s="22" t="s">
        <v>63</v>
      </c>
      <c r="D79" s="24"/>
      <c r="E79" s="25" t="n">
        <f>3954</f>
        <v>3954.0</v>
      </c>
      <c r="F79" s="23"/>
      <c r="G79" s="25" t="n">
        <f>508</f>
        <v>508.0</v>
      </c>
      <c r="H79" s="23"/>
      <c r="I79" s="26" t="n">
        <f>4462</f>
        <v>4462.0</v>
      </c>
      <c r="J79" s="24" t="s">
        <v>32</v>
      </c>
      <c r="K79" s="25" t="n">
        <f>3185927160</f>
        <v>3.18592716E9</v>
      </c>
      <c r="L79" s="23"/>
      <c r="M79" s="25" t="n">
        <f>263753600</f>
        <v>2.637536E8</v>
      </c>
      <c r="N79" s="23"/>
      <c r="O79" s="26" t="n">
        <f>3449680760</f>
        <v>3.44968076E9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 t="s">
        <v>32</v>
      </c>
      <c r="T79" s="25" t="n">
        <f>3754</f>
        <v>3754.0</v>
      </c>
      <c r="U79" s="23"/>
      <c r="V79" s="25" t="n">
        <f>508</f>
        <v>508.0</v>
      </c>
      <c r="W79" s="23" t="s">
        <v>32</v>
      </c>
      <c r="X79" s="26" t="n">
        <f>4262</f>
        <v>4262.0</v>
      </c>
      <c r="Y79" s="24" t="s">
        <v>32</v>
      </c>
      <c r="Z79" s="25" t="n">
        <f>107652</f>
        <v>107652.0</v>
      </c>
      <c r="AA79" s="23"/>
      <c r="AB79" s="25" t="n">
        <f>18111</f>
        <v>18111.0</v>
      </c>
      <c r="AC79" s="23" t="s">
        <v>32</v>
      </c>
      <c r="AD79" s="26" t="n">
        <f>125763</f>
        <v>125763.0</v>
      </c>
    </row>
    <row r="80">
      <c r="A80" s="30" t="s">
        <v>40</v>
      </c>
      <c r="B80" s="22" t="s">
        <v>62</v>
      </c>
      <c r="C80" s="22" t="s">
        <v>63</v>
      </c>
      <c r="D80" s="24"/>
      <c r="E80" s="25" t="n">
        <f>794</f>
        <v>794.0</v>
      </c>
      <c r="F80" s="23"/>
      <c r="G80" s="25" t="n">
        <f>500</f>
        <v>500.0</v>
      </c>
      <c r="H80" s="23"/>
      <c r="I80" s="26" t="n">
        <f>1294</f>
        <v>1294.0</v>
      </c>
      <c r="J80" s="24"/>
      <c r="K80" s="25" t="n">
        <f>129301008</f>
        <v>1.29301008E8</v>
      </c>
      <c r="L80" s="23"/>
      <c r="M80" s="25" t="n">
        <f>28750000</f>
        <v>2.875E7</v>
      </c>
      <c r="N80" s="23"/>
      <c r="O80" s="26" t="n">
        <f>158051008</f>
        <v>1.58051008E8</v>
      </c>
      <c r="P80" s="27" t="str">
        <f>"－"</f>
        <v>－</v>
      </c>
      <c r="Q80" s="28" t="n">
        <f>2745</f>
        <v>2745.0</v>
      </c>
      <c r="R80" s="29" t="n">
        <f>2745</f>
        <v>2745.0</v>
      </c>
      <c r="S80" s="24"/>
      <c r="T80" s="25" t="n">
        <f>294</f>
        <v>294.0</v>
      </c>
      <c r="U80" s="23"/>
      <c r="V80" s="25" t="str">
        <f>"－"</f>
        <v>－</v>
      </c>
      <c r="W80" s="23"/>
      <c r="X80" s="26" t="n">
        <f>294</f>
        <v>294.0</v>
      </c>
      <c r="Y80" s="24" t="s">
        <v>29</v>
      </c>
      <c r="Z80" s="25" t="n">
        <f>73045</f>
        <v>73045.0</v>
      </c>
      <c r="AA80" s="23" t="s">
        <v>29</v>
      </c>
      <c r="AB80" s="25" t="n">
        <f>14229</f>
        <v>14229.0</v>
      </c>
      <c r="AC80" s="23" t="s">
        <v>29</v>
      </c>
      <c r="AD80" s="26" t="n">
        <f>87274</f>
        <v>87274.0</v>
      </c>
    </row>
    <row r="81">
      <c r="A81" s="30" t="s">
        <v>41</v>
      </c>
      <c r="B81" s="22" t="s">
        <v>62</v>
      </c>
      <c r="C81" s="22" t="s">
        <v>63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42</v>
      </c>
      <c r="B82" s="22" t="s">
        <v>62</v>
      </c>
      <c r="C82" s="22" t="s">
        <v>63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43</v>
      </c>
      <c r="B83" s="22" t="s">
        <v>62</v>
      </c>
      <c r="C83" s="22" t="s">
        <v>63</v>
      </c>
      <c r="D83" s="24"/>
      <c r="E83" s="25" t="n">
        <f>500</f>
        <v>500.0</v>
      </c>
      <c r="F83" s="23"/>
      <c r="G83" s="25" t="n">
        <f>500</f>
        <v>500.0</v>
      </c>
      <c r="H83" s="23"/>
      <c r="I83" s="26" t="n">
        <f>1000</f>
        <v>1000.0</v>
      </c>
      <c r="J83" s="24"/>
      <c r="K83" s="25" t="n">
        <f>59800000</f>
        <v>5.98E7</v>
      </c>
      <c r="L83" s="23"/>
      <c r="M83" s="25" t="n">
        <f>75000000</f>
        <v>7.5E7</v>
      </c>
      <c r="N83" s="23"/>
      <c r="O83" s="26" t="n">
        <f>134800000</f>
        <v>1.348E8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str">
        <f>"－"</f>
        <v>－</v>
      </c>
      <c r="U83" s="23"/>
      <c r="V83" s="25" t="str">
        <f>"－"</f>
        <v>－</v>
      </c>
      <c r="W83" s="23"/>
      <c r="X83" s="26" t="str">
        <f>"－"</f>
        <v>－</v>
      </c>
      <c r="Y83" s="24"/>
      <c r="Z83" s="25" t="n">
        <f>73545</f>
        <v>73545.0</v>
      </c>
      <c r="AA83" s="23"/>
      <c r="AB83" s="25" t="n">
        <f>14729</f>
        <v>14729.0</v>
      </c>
      <c r="AC83" s="23"/>
      <c r="AD83" s="26" t="n">
        <f>88274</f>
        <v>88274.0</v>
      </c>
    </row>
    <row r="84">
      <c r="A84" s="30" t="s">
        <v>44</v>
      </c>
      <c r="B84" s="22" t="s">
        <v>62</v>
      </c>
      <c r="C84" s="22" t="s">
        <v>63</v>
      </c>
      <c r="D84" s="24"/>
      <c r="E84" s="25" t="n">
        <f>1307</f>
        <v>1307.0</v>
      </c>
      <c r="F84" s="23"/>
      <c r="G84" s="25" t="str">
        <f>"－"</f>
        <v>－</v>
      </c>
      <c r="H84" s="23"/>
      <c r="I84" s="26" t="n">
        <f>1307</f>
        <v>1307.0</v>
      </c>
      <c r="J84" s="24"/>
      <c r="K84" s="25" t="n">
        <f>81352800</f>
        <v>8.13528E7</v>
      </c>
      <c r="L84" s="23"/>
      <c r="M84" s="25" t="str">
        <f>"－"</f>
        <v>－</v>
      </c>
      <c r="N84" s="23"/>
      <c r="O84" s="26" t="n">
        <f>81352800</f>
        <v>8.13528E7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n">
        <f>1307</f>
        <v>1307.0</v>
      </c>
      <c r="U84" s="23"/>
      <c r="V84" s="25" t="str">
        <f>"－"</f>
        <v>－</v>
      </c>
      <c r="W84" s="23"/>
      <c r="X84" s="26" t="n">
        <f>1307</f>
        <v>1307.0</v>
      </c>
      <c r="Y84" s="24"/>
      <c r="Z84" s="25" t="n">
        <f>74852</f>
        <v>74852.0</v>
      </c>
      <c r="AA84" s="23"/>
      <c r="AB84" s="25" t="n">
        <f>14729</f>
        <v>14729.0</v>
      </c>
      <c r="AC84" s="23"/>
      <c r="AD84" s="26" t="n">
        <f>89581</f>
        <v>89581.0</v>
      </c>
    </row>
    <row r="85">
      <c r="A85" s="30" t="s">
        <v>45</v>
      </c>
      <c r="B85" s="22" t="s">
        <v>62</v>
      </c>
      <c r="C85" s="22" t="s">
        <v>63</v>
      </c>
      <c r="D85" s="24"/>
      <c r="E85" s="25" t="n">
        <f>1503</f>
        <v>1503.0</v>
      </c>
      <c r="F85" s="23" t="s">
        <v>32</v>
      </c>
      <c r="G85" s="25" t="n">
        <f>2678</f>
        <v>2678.0</v>
      </c>
      <c r="H85" s="23"/>
      <c r="I85" s="26" t="n">
        <f>4181</f>
        <v>4181.0</v>
      </c>
      <c r="J85" s="24"/>
      <c r="K85" s="25" t="n">
        <f>456999000</f>
        <v>4.56999E8</v>
      </c>
      <c r="L85" s="23"/>
      <c r="M85" s="25" t="n">
        <f>725168500</f>
        <v>7.251685E8</v>
      </c>
      <c r="N85" s="23"/>
      <c r="O85" s="26" t="n">
        <f>1182167500</f>
        <v>1.1821675E9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 t="s">
        <v>32</v>
      </c>
      <c r="V85" s="25" t="n">
        <f>892</f>
        <v>892.0</v>
      </c>
      <c r="W85" s="23"/>
      <c r="X85" s="26" t="n">
        <f>892</f>
        <v>892.0</v>
      </c>
      <c r="Y85" s="24"/>
      <c r="Z85" s="25" t="n">
        <f>76155</f>
        <v>76155.0</v>
      </c>
      <c r="AA85" s="23"/>
      <c r="AB85" s="25" t="n">
        <f>17407</f>
        <v>17407.0</v>
      </c>
      <c r="AC85" s="23"/>
      <c r="AD85" s="26" t="n">
        <f>93562</f>
        <v>93562.0</v>
      </c>
    </row>
    <row r="86">
      <c r="A86" s="30" t="s">
        <v>46</v>
      </c>
      <c r="B86" s="22" t="s">
        <v>62</v>
      </c>
      <c r="C86" s="22" t="s">
        <v>63</v>
      </c>
      <c r="D86" s="24"/>
      <c r="E86" s="25" t="n">
        <f>1733</f>
        <v>1733.0</v>
      </c>
      <c r="F86" s="23"/>
      <c r="G86" s="25" t="str">
        <f>"－"</f>
        <v>－</v>
      </c>
      <c r="H86" s="23"/>
      <c r="I86" s="26" t="n">
        <f>1733</f>
        <v>1733.0</v>
      </c>
      <c r="J86" s="24"/>
      <c r="K86" s="25" t="n">
        <f>382327000</f>
        <v>3.82327E8</v>
      </c>
      <c r="L86" s="23"/>
      <c r="M86" s="25" t="str">
        <f>"－"</f>
        <v>－</v>
      </c>
      <c r="N86" s="23"/>
      <c r="O86" s="26" t="n">
        <f>382327000</f>
        <v>3.82327E8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str">
        <f>"－"</f>
        <v>－</v>
      </c>
      <c r="W86" s="23"/>
      <c r="X86" s="26" t="str">
        <f>"－"</f>
        <v>－</v>
      </c>
      <c r="Y86" s="24"/>
      <c r="Z86" s="25" t="n">
        <f>77888</f>
        <v>77888.0</v>
      </c>
      <c r="AA86" s="23"/>
      <c r="AB86" s="25" t="n">
        <f>17407</f>
        <v>17407.0</v>
      </c>
      <c r="AC86" s="23"/>
      <c r="AD86" s="26" t="n">
        <f>95295</f>
        <v>95295.0</v>
      </c>
    </row>
    <row r="87">
      <c r="A87" s="30" t="s">
        <v>47</v>
      </c>
      <c r="B87" s="22" t="s">
        <v>62</v>
      </c>
      <c r="C87" s="22" t="s">
        <v>63</v>
      </c>
      <c r="D87" s="24"/>
      <c r="E87" s="25" t="str">
        <f>"－"</f>
        <v>－</v>
      </c>
      <c r="F87" s="23"/>
      <c r="G87" s="25" t="str">
        <f>"－"</f>
        <v>－</v>
      </c>
      <c r="H87" s="23"/>
      <c r="I87" s="26" t="str">
        <f>"－"</f>
        <v>－</v>
      </c>
      <c r="J87" s="24"/>
      <c r="K87" s="25" t="str">
        <f>"－"</f>
        <v>－</v>
      </c>
      <c r="L87" s="23"/>
      <c r="M87" s="25" t="str">
        <f>"－"</f>
        <v>－</v>
      </c>
      <c r="N87" s="23"/>
      <c r="O87" s="26" t="str">
        <f>"－"</f>
        <v>－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str">
        <f>"－"</f>
        <v>－</v>
      </c>
      <c r="U87" s="23"/>
      <c r="V87" s="25" t="str">
        <f>"－"</f>
        <v>－</v>
      </c>
      <c r="W87" s="23"/>
      <c r="X87" s="26" t="str">
        <f>"－"</f>
        <v>－</v>
      </c>
      <c r="Y87" s="24"/>
      <c r="Z87" s="25" t="n">
        <f>77888</f>
        <v>77888.0</v>
      </c>
      <c r="AA87" s="23"/>
      <c r="AB87" s="25" t="n">
        <f>17407</f>
        <v>17407.0</v>
      </c>
      <c r="AC87" s="23"/>
      <c r="AD87" s="26" t="n">
        <f>95295</f>
        <v>95295.0</v>
      </c>
    </row>
    <row r="88">
      <c r="A88" s="30" t="s">
        <v>48</v>
      </c>
      <c r="B88" s="22" t="s">
        <v>62</v>
      </c>
      <c r="C88" s="22" t="s">
        <v>63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49</v>
      </c>
      <c r="B89" s="22" t="s">
        <v>62</v>
      </c>
      <c r="C89" s="22" t="s">
        <v>63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50</v>
      </c>
      <c r="B90" s="22" t="s">
        <v>62</v>
      </c>
      <c r="C90" s="22" t="s">
        <v>63</v>
      </c>
      <c r="D90" s="24"/>
      <c r="E90" s="25"/>
      <c r="F90" s="23"/>
      <c r="G90" s="25"/>
      <c r="H90" s="23"/>
      <c r="I90" s="26"/>
      <c r="J90" s="24"/>
      <c r="K90" s="25"/>
      <c r="L90" s="23"/>
      <c r="M90" s="25"/>
      <c r="N90" s="23"/>
      <c r="O90" s="26"/>
      <c r="P90" s="27"/>
      <c r="Q90" s="28"/>
      <c r="R90" s="29"/>
      <c r="S90" s="24"/>
      <c r="T90" s="25"/>
      <c r="U90" s="23"/>
      <c r="V90" s="25"/>
      <c r="W90" s="23"/>
      <c r="X90" s="26"/>
      <c r="Y90" s="24"/>
      <c r="Z90" s="25"/>
      <c r="AA90" s="23"/>
      <c r="AB90" s="25"/>
      <c r="AC90" s="23"/>
      <c r="AD90" s="26"/>
    </row>
    <row r="91">
      <c r="A91" s="30" t="s">
        <v>51</v>
      </c>
      <c r="B91" s="22" t="s">
        <v>62</v>
      </c>
      <c r="C91" s="22" t="s">
        <v>63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52</v>
      </c>
      <c r="B92" s="22" t="s">
        <v>62</v>
      </c>
      <c r="C92" s="22" t="s">
        <v>63</v>
      </c>
      <c r="D92" s="24" t="s">
        <v>32</v>
      </c>
      <c r="E92" s="25" t="n">
        <f>4842</f>
        <v>4842.0</v>
      </c>
      <c r="F92" s="23"/>
      <c r="G92" s="25" t="n">
        <f>1057</f>
        <v>1057.0</v>
      </c>
      <c r="H92" s="23" t="s">
        <v>32</v>
      </c>
      <c r="I92" s="26" t="n">
        <f>5899</f>
        <v>5899.0</v>
      </c>
      <c r="J92" s="24"/>
      <c r="K92" s="25" t="n">
        <f>125910000</f>
        <v>1.2591E8</v>
      </c>
      <c r="L92" s="23"/>
      <c r="M92" s="25" t="n">
        <f>413903549</f>
        <v>4.13903549E8</v>
      </c>
      <c r="N92" s="23"/>
      <c r="O92" s="26" t="n">
        <f>539813549</f>
        <v>5.39813549E8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n">
        <f>757</f>
        <v>757.0</v>
      </c>
      <c r="W92" s="23"/>
      <c r="X92" s="26" t="n">
        <f>757</f>
        <v>757.0</v>
      </c>
      <c r="Y92" s="24"/>
      <c r="Z92" s="25" t="n">
        <f>74953</f>
        <v>74953.0</v>
      </c>
      <c r="AA92" s="23"/>
      <c r="AB92" s="25" t="n">
        <f>18464</f>
        <v>18464.0</v>
      </c>
      <c r="AC92" s="23"/>
      <c r="AD92" s="26" t="n">
        <f>93417</f>
        <v>93417.0</v>
      </c>
    </row>
    <row r="93">
      <c r="A93" s="30" t="s">
        <v>53</v>
      </c>
      <c r="B93" s="22" t="s">
        <v>62</v>
      </c>
      <c r="C93" s="22" t="s">
        <v>63</v>
      </c>
      <c r="D93" s="24"/>
      <c r="E93" s="25" t="n">
        <f>1613</f>
        <v>1613.0</v>
      </c>
      <c r="F93" s="23"/>
      <c r="G93" s="25" t="str">
        <f>"－"</f>
        <v>－</v>
      </c>
      <c r="H93" s="23"/>
      <c r="I93" s="26" t="n">
        <f>1613</f>
        <v>1613.0</v>
      </c>
      <c r="J93" s="24"/>
      <c r="K93" s="25" t="n">
        <f>380043400</f>
        <v>3.800434E8</v>
      </c>
      <c r="L93" s="23"/>
      <c r="M93" s="25" t="str">
        <f>"－"</f>
        <v>－</v>
      </c>
      <c r="N93" s="23"/>
      <c r="O93" s="26" t="n">
        <f>380043400</f>
        <v>3.800434E8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76566</f>
        <v>76566.0</v>
      </c>
      <c r="AA93" s="23"/>
      <c r="AB93" s="25" t="n">
        <f>18464</f>
        <v>18464.0</v>
      </c>
      <c r="AC93" s="23"/>
      <c r="AD93" s="26" t="n">
        <f>95030</f>
        <v>95030.0</v>
      </c>
    </row>
    <row r="94">
      <c r="A94" s="30" t="s">
        <v>54</v>
      </c>
      <c r="B94" s="22" t="s">
        <v>62</v>
      </c>
      <c r="C94" s="22" t="s">
        <v>63</v>
      </c>
      <c r="D94" s="24"/>
      <c r="E94" s="25" t="n">
        <f>200</f>
        <v>200.0</v>
      </c>
      <c r="F94" s="23"/>
      <c r="G94" s="25" t="n">
        <f>180</f>
        <v>180.0</v>
      </c>
      <c r="H94" s="23"/>
      <c r="I94" s="26" t="n">
        <f>380</f>
        <v>380.0</v>
      </c>
      <c r="J94" s="24"/>
      <c r="K94" s="25" t="n">
        <f>151400000</f>
        <v>1.514E8</v>
      </c>
      <c r="L94" s="23"/>
      <c r="M94" s="25" t="n">
        <f>35845374</f>
        <v>3.5845374E7</v>
      </c>
      <c r="N94" s="23"/>
      <c r="O94" s="26" t="n">
        <f>187245374</f>
        <v>1.87245374E8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str">
        <f>"－"</f>
        <v>－</v>
      </c>
      <c r="U94" s="23"/>
      <c r="V94" s="25" t="n">
        <f>180</f>
        <v>180.0</v>
      </c>
      <c r="W94" s="23"/>
      <c r="X94" s="26" t="n">
        <f>180</f>
        <v>180.0</v>
      </c>
      <c r="Y94" s="24"/>
      <c r="Z94" s="25" t="n">
        <f>76766</f>
        <v>76766.0</v>
      </c>
      <c r="AA94" s="23"/>
      <c r="AB94" s="25" t="n">
        <f>18284</f>
        <v>18284.0</v>
      </c>
      <c r="AC94" s="23"/>
      <c r="AD94" s="26" t="n">
        <f>95050</f>
        <v>95050.0</v>
      </c>
    </row>
    <row r="95">
      <c r="A95" s="30" t="s">
        <v>55</v>
      </c>
      <c r="B95" s="22" t="s">
        <v>62</v>
      </c>
      <c r="C95" s="22" t="s">
        <v>63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56</v>
      </c>
      <c r="B96" s="22" t="s">
        <v>62</v>
      </c>
      <c r="C96" s="22" t="s">
        <v>63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57</v>
      </c>
      <c r="B97" s="22" t="s">
        <v>62</v>
      </c>
      <c r="C97" s="22" t="s">
        <v>63</v>
      </c>
      <c r="D97" s="24"/>
      <c r="E97" s="25" t="n">
        <f>200</f>
        <v>200.0</v>
      </c>
      <c r="F97" s="23"/>
      <c r="G97" s="25" t="n">
        <f>823</f>
        <v>823.0</v>
      </c>
      <c r="H97" s="23"/>
      <c r="I97" s="26" t="n">
        <f>1023</f>
        <v>1023.0</v>
      </c>
      <c r="J97" s="24"/>
      <c r="K97" s="25" t="n">
        <f>152600000</f>
        <v>1.526E8</v>
      </c>
      <c r="L97" s="23"/>
      <c r="M97" s="25" t="n">
        <f>329569500</f>
        <v>3.295695E8</v>
      </c>
      <c r="N97" s="23"/>
      <c r="O97" s="26" t="n">
        <f>482169500</f>
        <v>4.821695E8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n">
        <f>823</f>
        <v>823.0</v>
      </c>
      <c r="W97" s="23"/>
      <c r="X97" s="26" t="n">
        <f>823</f>
        <v>823.0</v>
      </c>
      <c r="Y97" s="24"/>
      <c r="Z97" s="25" t="n">
        <f>76766</f>
        <v>76766.0</v>
      </c>
      <c r="AA97" s="23"/>
      <c r="AB97" s="25" t="n">
        <f>19107</f>
        <v>19107.0</v>
      </c>
      <c r="AC97" s="23"/>
      <c r="AD97" s="26" t="n">
        <f>95873</f>
        <v>95873.0</v>
      </c>
    </row>
    <row r="98">
      <c r="A98" s="30" t="s">
        <v>58</v>
      </c>
      <c r="B98" s="22" t="s">
        <v>62</v>
      </c>
      <c r="C98" s="22" t="s">
        <v>63</v>
      </c>
      <c r="D98" s="24"/>
      <c r="E98" s="25" t="n">
        <f>683</f>
        <v>683.0</v>
      </c>
      <c r="F98" s="23"/>
      <c r="G98" s="25" t="n">
        <f>300</f>
        <v>300.0</v>
      </c>
      <c r="H98" s="23"/>
      <c r="I98" s="26" t="n">
        <f>983</f>
        <v>983.0</v>
      </c>
      <c r="J98" s="24"/>
      <c r="K98" s="25" t="n">
        <f>174286900</f>
        <v>1.742869E8</v>
      </c>
      <c r="L98" s="23"/>
      <c r="M98" s="25" t="n">
        <f>27600000</f>
        <v>2.76E7</v>
      </c>
      <c r="N98" s="23"/>
      <c r="O98" s="26" t="n">
        <f>201886900</f>
        <v>2.018869E8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n">
        <f>383</f>
        <v>383.0</v>
      </c>
      <c r="U98" s="23"/>
      <c r="V98" s="25" t="str">
        <f>"－"</f>
        <v>－</v>
      </c>
      <c r="W98" s="23"/>
      <c r="X98" s="26" t="n">
        <f>383</f>
        <v>383.0</v>
      </c>
      <c r="Y98" s="24"/>
      <c r="Z98" s="25" t="n">
        <f>77449</f>
        <v>77449.0</v>
      </c>
      <c r="AA98" s="23"/>
      <c r="AB98" s="25" t="n">
        <f>19407</f>
        <v>19407.0</v>
      </c>
      <c r="AC98" s="23"/>
      <c r="AD98" s="26" t="n">
        <f>96856</f>
        <v>96856.0</v>
      </c>
    </row>
    <row r="99">
      <c r="A99" s="30" t="s">
        <v>59</v>
      </c>
      <c r="B99" s="22" t="s">
        <v>62</v>
      </c>
      <c r="C99" s="22" t="s">
        <v>63</v>
      </c>
      <c r="D99" s="24"/>
      <c r="E99" s="25" t="n">
        <f>630</f>
        <v>630.0</v>
      </c>
      <c r="F99" s="23"/>
      <c r="G99" s="25" t="n">
        <f>630</f>
        <v>630.0</v>
      </c>
      <c r="H99" s="23"/>
      <c r="I99" s="26" t="n">
        <f>1260</f>
        <v>1260.0</v>
      </c>
      <c r="J99" s="24"/>
      <c r="K99" s="25" t="n">
        <f>372106000</f>
        <v>3.72106E8</v>
      </c>
      <c r="L99" s="23"/>
      <c r="M99" s="25" t="n">
        <f>335674000</f>
        <v>3.35674E8</v>
      </c>
      <c r="N99" s="23"/>
      <c r="O99" s="26" t="n">
        <f>707780000</f>
        <v>7.0778E8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str">
        <f>"－"</f>
        <v>－</v>
      </c>
      <c r="W99" s="23"/>
      <c r="X99" s="26" t="str">
        <f>"－"</f>
        <v>－</v>
      </c>
      <c r="Y99" s="24"/>
      <c r="Z99" s="25" t="n">
        <f>77919</f>
        <v>77919.0</v>
      </c>
      <c r="AA99" s="23" t="s">
        <v>32</v>
      </c>
      <c r="AB99" s="25" t="n">
        <f>20037</f>
        <v>20037.0</v>
      </c>
      <c r="AC99" s="23"/>
      <c r="AD99" s="26" t="n">
        <f>97956</f>
        <v>97956.0</v>
      </c>
    </row>
    <row r="100">
      <c r="A100" s="30" t="s">
        <v>26</v>
      </c>
      <c r="B100" s="22" t="s">
        <v>64</v>
      </c>
      <c r="C100" s="22" t="s">
        <v>65</v>
      </c>
      <c r="D100" s="24" t="s">
        <v>66</v>
      </c>
      <c r="E100" s="25" t="str">
        <f>"－"</f>
        <v>－</v>
      </c>
      <c r="F100" s="23" t="s">
        <v>66</v>
      </c>
      <c r="G100" s="25" t="str">
        <f>"－"</f>
        <v>－</v>
      </c>
      <c r="H100" s="23" t="s">
        <v>66</v>
      </c>
      <c r="I100" s="26" t="str">
        <f>"－"</f>
        <v>－</v>
      </c>
      <c r="J100" s="24" t="s">
        <v>66</v>
      </c>
      <c r="K100" s="25" t="str">
        <f>"－"</f>
        <v>－</v>
      </c>
      <c r="L100" s="23" t="s">
        <v>66</v>
      </c>
      <c r="M100" s="25" t="str">
        <f>"－"</f>
        <v>－</v>
      </c>
      <c r="N100" s="23" t="s">
        <v>66</v>
      </c>
      <c r="O100" s="26" t="str">
        <f>"－"</f>
        <v>－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 t="s">
        <v>66</v>
      </c>
      <c r="T100" s="25" t="str">
        <f>"－"</f>
        <v>－</v>
      </c>
      <c r="U100" s="23" t="s">
        <v>66</v>
      </c>
      <c r="V100" s="25" t="str">
        <f>"－"</f>
        <v>－</v>
      </c>
      <c r="W100" s="23" t="s">
        <v>66</v>
      </c>
      <c r="X100" s="26" t="str">
        <f>"－"</f>
        <v>－</v>
      </c>
      <c r="Y100" s="24" t="s">
        <v>66</v>
      </c>
      <c r="Z100" s="25" t="str">
        <f>"－"</f>
        <v>－</v>
      </c>
      <c r="AA100" s="23" t="s">
        <v>66</v>
      </c>
      <c r="AB100" s="25" t="str">
        <f>"－"</f>
        <v>－</v>
      </c>
      <c r="AC100" s="23" t="s">
        <v>66</v>
      </c>
      <c r="AD100" s="26" t="str">
        <f>"－"</f>
        <v>－</v>
      </c>
    </row>
    <row r="101">
      <c r="A101" s="30" t="s">
        <v>30</v>
      </c>
      <c r="B101" s="22" t="s">
        <v>64</v>
      </c>
      <c r="C101" s="22" t="s">
        <v>65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31</v>
      </c>
      <c r="B102" s="22" t="s">
        <v>64</v>
      </c>
      <c r="C102" s="22" t="s">
        <v>65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str">
        <f>"－"</f>
        <v>－</v>
      </c>
      <c r="AA102" s="23"/>
      <c r="AB102" s="25" t="str">
        <f>"－"</f>
        <v>－</v>
      </c>
      <c r="AC102" s="23"/>
      <c r="AD102" s="26" t="str">
        <f>"－"</f>
        <v>－</v>
      </c>
    </row>
    <row r="103">
      <c r="A103" s="30" t="s">
        <v>33</v>
      </c>
      <c r="B103" s="22" t="s">
        <v>64</v>
      </c>
      <c r="C103" s="22" t="s">
        <v>65</v>
      </c>
      <c r="D103" s="24"/>
      <c r="E103" s="25" t="str">
        <f>"－"</f>
        <v>－</v>
      </c>
      <c r="F103" s="23"/>
      <c r="G103" s="25" t="str">
        <f>"－"</f>
        <v>－</v>
      </c>
      <c r="H103" s="23"/>
      <c r="I103" s="26" t="str">
        <f>"－"</f>
        <v>－</v>
      </c>
      <c r="J103" s="24"/>
      <c r="K103" s="25" t="str">
        <f>"－"</f>
        <v>－</v>
      </c>
      <c r="L103" s="23"/>
      <c r="M103" s="25" t="str">
        <f>"－"</f>
        <v>－</v>
      </c>
      <c r="N103" s="23"/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/>
      <c r="T103" s="25" t="str">
        <f>"－"</f>
        <v>－</v>
      </c>
      <c r="U103" s="23"/>
      <c r="V103" s="25" t="str">
        <f>"－"</f>
        <v>－</v>
      </c>
      <c r="W103" s="23"/>
      <c r="X103" s="26" t="str">
        <f>"－"</f>
        <v>－</v>
      </c>
      <c r="Y103" s="24"/>
      <c r="Z103" s="25" t="str">
        <f>"－"</f>
        <v>－</v>
      </c>
      <c r="AA103" s="23"/>
      <c r="AB103" s="25" t="str">
        <f>"－"</f>
        <v>－</v>
      </c>
      <c r="AC103" s="23"/>
      <c r="AD103" s="26" t="str">
        <f>"－"</f>
        <v>－</v>
      </c>
    </row>
    <row r="104">
      <c r="A104" s="30" t="s">
        <v>34</v>
      </c>
      <c r="B104" s="22" t="s">
        <v>64</v>
      </c>
      <c r="C104" s="22" t="s">
        <v>65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35</v>
      </c>
      <c r="B105" s="22" t="s">
        <v>64</v>
      </c>
      <c r="C105" s="22" t="s">
        <v>65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36</v>
      </c>
      <c r="B106" s="22" t="s">
        <v>64</v>
      </c>
      <c r="C106" s="22" t="s">
        <v>65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37</v>
      </c>
      <c r="B107" s="22" t="s">
        <v>64</v>
      </c>
      <c r="C107" s="22" t="s">
        <v>65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38</v>
      </c>
      <c r="B108" s="22" t="s">
        <v>64</v>
      </c>
      <c r="C108" s="22" t="s">
        <v>65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39</v>
      </c>
      <c r="B109" s="22" t="s">
        <v>64</v>
      </c>
      <c r="C109" s="22" t="s">
        <v>65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40</v>
      </c>
      <c r="B110" s="22" t="s">
        <v>64</v>
      </c>
      <c r="C110" s="22" t="s">
        <v>65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41</v>
      </c>
      <c r="B111" s="22" t="s">
        <v>64</v>
      </c>
      <c r="C111" s="22" t="s">
        <v>65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42</v>
      </c>
      <c r="B112" s="22" t="s">
        <v>64</v>
      </c>
      <c r="C112" s="22" t="s">
        <v>65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43</v>
      </c>
      <c r="B113" s="22" t="s">
        <v>64</v>
      </c>
      <c r="C113" s="22" t="s">
        <v>65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44</v>
      </c>
      <c r="B114" s="22" t="s">
        <v>64</v>
      </c>
      <c r="C114" s="22" t="s">
        <v>65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45</v>
      </c>
      <c r="B115" s="22" t="s">
        <v>64</v>
      </c>
      <c r="C115" s="22" t="s">
        <v>65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46</v>
      </c>
      <c r="B116" s="22" t="s">
        <v>64</v>
      </c>
      <c r="C116" s="22" t="s">
        <v>65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47</v>
      </c>
      <c r="B117" s="22" t="s">
        <v>64</v>
      </c>
      <c r="C117" s="22" t="s">
        <v>65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48</v>
      </c>
      <c r="B118" s="22" t="s">
        <v>64</v>
      </c>
      <c r="C118" s="22" t="s">
        <v>65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49</v>
      </c>
      <c r="B119" s="22" t="s">
        <v>64</v>
      </c>
      <c r="C119" s="22" t="s">
        <v>65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50</v>
      </c>
      <c r="B120" s="22" t="s">
        <v>64</v>
      </c>
      <c r="C120" s="22" t="s">
        <v>65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51</v>
      </c>
      <c r="B121" s="22" t="s">
        <v>64</v>
      </c>
      <c r="C121" s="22" t="s">
        <v>65</v>
      </c>
      <c r="D121" s="24"/>
      <c r="E121" s="25"/>
      <c r="F121" s="23"/>
      <c r="G121" s="25"/>
      <c r="H121" s="23"/>
      <c r="I121" s="26"/>
      <c r="J121" s="24"/>
      <c r="K121" s="25"/>
      <c r="L121" s="23"/>
      <c r="M121" s="25"/>
      <c r="N121" s="23"/>
      <c r="O121" s="26"/>
      <c r="P121" s="27"/>
      <c r="Q121" s="28"/>
      <c r="R121" s="29"/>
      <c r="S121" s="24"/>
      <c r="T121" s="25"/>
      <c r="U121" s="23"/>
      <c r="V121" s="25"/>
      <c r="W121" s="23"/>
      <c r="X121" s="26"/>
      <c r="Y121" s="24"/>
      <c r="Z121" s="25"/>
      <c r="AA121" s="23"/>
      <c r="AB121" s="25"/>
      <c r="AC121" s="23"/>
      <c r="AD121" s="26"/>
    </row>
    <row r="122">
      <c r="A122" s="30" t="s">
        <v>52</v>
      </c>
      <c r="B122" s="22" t="s">
        <v>64</v>
      </c>
      <c r="C122" s="22" t="s">
        <v>65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53</v>
      </c>
      <c r="B123" s="22" t="s">
        <v>64</v>
      </c>
      <c r="C123" s="22" t="s">
        <v>65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54</v>
      </c>
      <c r="B124" s="22" t="s">
        <v>64</v>
      </c>
      <c r="C124" s="22" t="s">
        <v>65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55</v>
      </c>
      <c r="B125" s="22" t="s">
        <v>64</v>
      </c>
      <c r="C125" s="22" t="s">
        <v>65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56</v>
      </c>
      <c r="B126" s="22" t="s">
        <v>64</v>
      </c>
      <c r="C126" s="22" t="s">
        <v>65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57</v>
      </c>
      <c r="B127" s="22" t="s">
        <v>64</v>
      </c>
      <c r="C127" s="22" t="s">
        <v>65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58</v>
      </c>
      <c r="B128" s="22" t="s">
        <v>64</v>
      </c>
      <c r="C128" s="22" t="s">
        <v>65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59</v>
      </c>
      <c r="B129" s="22" t="s">
        <v>64</v>
      </c>
      <c r="C129" s="22" t="s">
        <v>65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headerFooter>
    <oddFooter>&amp;C&amp;P / &amp;N&amp;RCopyright (c) Osaka Exchange, Inc. All Rights Reserved.</oddFooter>
  </headerFooter>
</worksheet>
</file>