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<sst xmlns="http://schemas.openxmlformats.org/spreadsheetml/2006/main" count="173" uniqueCount="61">
  <si>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</si>
  <si>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</si>
  <si>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</si>
  <si>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</si>
  <si>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</si>
  <si>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</si>
  <si>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</si>
  <si>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</si>
  <si>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</si>
  <si>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</si>
  <si>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</si>
  <si>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</si>
  <si>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</si>
  <si>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</si>
  <si>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</si>
  <si>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</si>
  <si>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</si>
  <si>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</si>
  <si>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</si>
  <si>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</si>
  <si>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</si>
  <si>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</si>
  <si>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</si>
  <si>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</si>
  <si>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</si>
  <si>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</si>
  <si>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10.1</t>
  </si>
  <si>
    <t>長期国債先物オプション</t>
  </si>
  <si>
    <t>Options on 10-year JGB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</si>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</sst>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 t="s">
        <v>29</v>
      </c>
      <c r="E10" s="26" t="n">
        <f>2058</f>
        <v>2058.0</v>
      </c>
      <c r="F10" s="24"/>
      <c r="G10" s="26" t="n">
        <f>1144</f>
        <v>1144.0</v>
      </c>
      <c r="H10" s="25" t="s">
        <v>29</v>
      </c>
      <c r="I10" s="26" t="n">
        <f>3202</f>
        <v>3202.0</v>
      </c>
      <c r="J10" s="23" t="s">
        <v>29</v>
      </c>
      <c r="K10" s="26" t="n">
        <f>177370000</f>
        <v>1.7737E8</v>
      </c>
      <c r="L10" s="24"/>
      <c r="M10" s="26" t="n">
        <f>72835000</f>
        <v>7.2835E7</v>
      </c>
      <c r="N10" s="25" t="s">
        <v>29</v>
      </c>
      <c r="O10" s="26" t="n">
        <f>250205000</f>
        <v>2.50205E8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30</v>
      </c>
      <c r="T10" s="26" t="str">
        <f>"－"</f>
        <v>－</v>
      </c>
      <c r="U10" s="24" t="s">
        <v>29</v>
      </c>
      <c r="V10" s="26" t="n">
        <f>303</f>
        <v>303.0</v>
      </c>
      <c r="W10" s="25"/>
      <c r="X10" s="26" t="n">
        <f>303</f>
        <v>303.0</v>
      </c>
      <c r="Y10" s="23" t="s">
        <v>30</v>
      </c>
      <c r="Z10" s="26" t="n">
        <f>2558</f>
        <v>2558.0</v>
      </c>
      <c r="AA10" s="24" t="s">
        <v>30</v>
      </c>
      <c r="AB10" s="26" t="n">
        <f>1393</f>
        <v>1393.0</v>
      </c>
      <c r="AC10" s="25" t="s">
        <v>30</v>
      </c>
      <c r="AD10" s="26" t="n">
        <f>3951</f>
        <v>3951.0</v>
      </c>
    </row>
    <row r="11">
      <c r="A11" s="21" t="s">
        <v>31</v>
      </c>
      <c r="B11" s="22" t="s">
        <v>27</v>
      </c>
      <c r="C11" s="22" t="s">
        <v>28</v>
      </c>
      <c r="D11" s="23"/>
      <c r="E11" s="26" t="n">
        <f>779</f>
        <v>779.0</v>
      </c>
      <c r="F11" s="24"/>
      <c r="G11" s="26" t="n">
        <f>838</f>
        <v>838.0</v>
      </c>
      <c r="H11" s="25"/>
      <c r="I11" s="26" t="n">
        <f>1617</f>
        <v>1617.0</v>
      </c>
      <c r="J11" s="23"/>
      <c r="K11" s="26" t="n">
        <f>99100000</f>
        <v>9.91E7</v>
      </c>
      <c r="L11" s="24"/>
      <c r="M11" s="26" t="n">
        <f>58565000</f>
        <v>5.8565E7</v>
      </c>
      <c r="N11" s="25"/>
      <c r="O11" s="26" t="n">
        <f>157665000</f>
        <v>1.57665E8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n">
        <f>50</f>
        <v>50.0</v>
      </c>
      <c r="W11" s="25"/>
      <c r="X11" s="26" t="n">
        <f>50</f>
        <v>50.0</v>
      </c>
      <c r="Y11" s="23"/>
      <c r="Z11" s="26" t="n">
        <f>3043</f>
        <v>3043.0</v>
      </c>
      <c r="AA11" s="24"/>
      <c r="AB11" s="26" t="n">
        <f>2121</f>
        <v>2121.0</v>
      </c>
      <c r="AC11" s="25"/>
      <c r="AD11" s="26" t="n">
        <f>5164</f>
        <v>5164.0</v>
      </c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 t="n">
        <f>1162</f>
        <v>1162.0</v>
      </c>
      <c r="F14" s="24"/>
      <c r="G14" s="26" t="n">
        <f>223</f>
        <v>223.0</v>
      </c>
      <c r="H14" s="25"/>
      <c r="I14" s="26" t="n">
        <f>1385</f>
        <v>1385.0</v>
      </c>
      <c r="J14" s="23"/>
      <c r="K14" s="26" t="n">
        <f>90685000</f>
        <v>9.0685E7</v>
      </c>
      <c r="L14" s="24" t="s">
        <v>30</v>
      </c>
      <c r="M14" s="26" t="n">
        <f>11850000</f>
        <v>1.185E7</v>
      </c>
      <c r="N14" s="25"/>
      <c r="O14" s="26" t="n">
        <f>102535000</f>
        <v>1.02535E8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50</f>
        <v>50.0</v>
      </c>
      <c r="U14" s="24" t="s">
        <v>30</v>
      </c>
      <c r="V14" s="26" t="str">
        <f>"－"</f>
        <v>－</v>
      </c>
      <c r="W14" s="25"/>
      <c r="X14" s="26" t="n">
        <f>50</f>
        <v>50.0</v>
      </c>
      <c r="Y14" s="23"/>
      <c r="Z14" s="26" t="n">
        <f>3639</f>
        <v>3639.0</v>
      </c>
      <c r="AA14" s="24"/>
      <c r="AB14" s="26" t="n">
        <f>2322</f>
        <v>2322.0</v>
      </c>
      <c r="AC14" s="25"/>
      <c r="AD14" s="26" t="n">
        <f>5961</f>
        <v>5961.0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703</f>
        <v>703.0</v>
      </c>
      <c r="F15" s="24"/>
      <c r="G15" s="26" t="n">
        <f>665</f>
        <v>665.0</v>
      </c>
      <c r="H15" s="25"/>
      <c r="I15" s="26" t="n">
        <f>1368</f>
        <v>1368.0</v>
      </c>
      <c r="J15" s="23"/>
      <c r="K15" s="26" t="n">
        <f>62220000</f>
        <v>6.222E7</v>
      </c>
      <c r="L15" s="24"/>
      <c r="M15" s="26" t="n">
        <f>73250000</f>
        <v>7.325E7</v>
      </c>
      <c r="N15" s="25"/>
      <c r="O15" s="26" t="n">
        <f>135470000</f>
        <v>1.3547E8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 t="s">
        <v>30</v>
      </c>
      <c r="X15" s="26" t="str">
        <f>"－"</f>
        <v>－</v>
      </c>
      <c r="Y15" s="23"/>
      <c r="Z15" s="26" t="n">
        <f>3990</f>
        <v>3990.0</v>
      </c>
      <c r="AA15" s="24"/>
      <c r="AB15" s="26" t="n">
        <f>2432</f>
        <v>2432.0</v>
      </c>
      <c r="AC15" s="25"/>
      <c r="AD15" s="26" t="n">
        <f>6422</f>
        <v>6422.0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491</f>
        <v>491.0</v>
      </c>
      <c r="F16" s="24"/>
      <c r="G16" s="26" t="n">
        <f>821</f>
        <v>821.0</v>
      </c>
      <c r="H16" s="25"/>
      <c r="I16" s="26" t="n">
        <f>1312</f>
        <v>1312.0</v>
      </c>
      <c r="J16" s="23"/>
      <c r="K16" s="26" t="n">
        <f>61390000</f>
        <v>6.139E7</v>
      </c>
      <c r="L16" s="24"/>
      <c r="M16" s="26" t="n">
        <f>114960000</f>
        <v>1.1496E8</v>
      </c>
      <c r="N16" s="25"/>
      <c r="O16" s="26" t="n">
        <f>176350000</f>
        <v>1.7635E8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20</f>
        <v>20.0</v>
      </c>
      <c r="U16" s="24"/>
      <c r="V16" s="26" t="str">
        <f>"－"</f>
        <v>－</v>
      </c>
      <c r="W16" s="25"/>
      <c r="X16" s="26" t="n">
        <f>20</f>
        <v>20.0</v>
      </c>
      <c r="Y16" s="23"/>
      <c r="Z16" s="26" t="n">
        <f>4185</f>
        <v>4185.0</v>
      </c>
      <c r="AA16" s="24"/>
      <c r="AB16" s="26" t="n">
        <f>3164</f>
        <v>3164.0</v>
      </c>
      <c r="AC16" s="25"/>
      <c r="AD16" s="26" t="n">
        <f>7349</f>
        <v>7349.0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950</f>
        <v>950.0</v>
      </c>
      <c r="F17" s="24"/>
      <c r="G17" s="26" t="n">
        <f>766</f>
        <v>766.0</v>
      </c>
      <c r="H17" s="25"/>
      <c r="I17" s="26" t="n">
        <f>1716</f>
        <v>1716.0</v>
      </c>
      <c r="J17" s="23"/>
      <c r="K17" s="26" t="n">
        <f>69740000</f>
        <v>6.974E7</v>
      </c>
      <c r="L17" s="24"/>
      <c r="M17" s="26" t="n">
        <f>41170000</f>
        <v>4.117E7</v>
      </c>
      <c r="N17" s="25"/>
      <c r="O17" s="26" t="n">
        <f>110910000</f>
        <v>1.1091E8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4650</f>
        <v>4650.0</v>
      </c>
      <c r="AA17" s="24"/>
      <c r="AB17" s="26" t="n">
        <f>3392</f>
        <v>3392.0</v>
      </c>
      <c r="AC17" s="25"/>
      <c r="AD17" s="26" t="n">
        <f>8042</f>
        <v>8042.0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224</f>
        <v>224.0</v>
      </c>
      <c r="F18" s="24"/>
      <c r="G18" s="26" t="n">
        <f>336</f>
        <v>336.0</v>
      </c>
      <c r="H18" s="25"/>
      <c r="I18" s="26" t="n">
        <f>560</f>
        <v>560.0</v>
      </c>
      <c r="J18" s="23"/>
      <c r="K18" s="26" t="n">
        <f>22200000</f>
        <v>2.22E7</v>
      </c>
      <c r="L18" s="24"/>
      <c r="M18" s="26" t="n">
        <f>45800000</f>
        <v>4.58E7</v>
      </c>
      <c r="N18" s="25"/>
      <c r="O18" s="26" t="n">
        <f>68000000</f>
        <v>6.8E7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4724</f>
        <v>4724.0</v>
      </c>
      <c r="AA18" s="24"/>
      <c r="AB18" s="26" t="n">
        <f>3472</f>
        <v>3472.0</v>
      </c>
      <c r="AC18" s="25"/>
      <c r="AD18" s="26" t="n">
        <f>8196</f>
        <v>8196.0</v>
      </c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383</f>
        <v>383.0</v>
      </c>
      <c r="F21" s="24" t="s">
        <v>30</v>
      </c>
      <c r="G21" s="26" t="n">
        <f>135</f>
        <v>135.0</v>
      </c>
      <c r="H21" s="25"/>
      <c r="I21" s="26" t="n">
        <f>518</f>
        <v>518.0</v>
      </c>
      <c r="J21" s="23"/>
      <c r="K21" s="26" t="n">
        <f>19860000</f>
        <v>1.986E7</v>
      </c>
      <c r="L21" s="24"/>
      <c r="M21" s="26" t="n">
        <f>20250000</f>
        <v>2.025E7</v>
      </c>
      <c r="N21" s="25"/>
      <c r="O21" s="26" t="n">
        <f>40110000</f>
        <v>4.011E7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4979</f>
        <v>4979.0</v>
      </c>
      <c r="AA21" s="24"/>
      <c r="AB21" s="26" t="n">
        <f>3387</f>
        <v>3387.0</v>
      </c>
      <c r="AC21" s="25"/>
      <c r="AD21" s="26" t="n">
        <f>8366</f>
        <v>8366.0</v>
      </c>
    </row>
    <row r="22">
      <c r="A22" s="21" t="s">
        <v>42</v>
      </c>
      <c r="B22" s="22" t="s">
        <v>27</v>
      </c>
      <c r="C22" s="22" t="s">
        <v>28</v>
      </c>
      <c r="D22" s="23" t="s">
        <v>30</v>
      </c>
      <c r="E22" s="26" t="n">
        <f>182</f>
        <v>182.0</v>
      </c>
      <c r="F22" s="24"/>
      <c r="G22" s="26" t="n">
        <f>240</f>
        <v>240.0</v>
      </c>
      <c r="H22" s="25" t="s">
        <v>30</v>
      </c>
      <c r="I22" s="26" t="n">
        <f>422</f>
        <v>422.0</v>
      </c>
      <c r="J22" s="23" t="s">
        <v>30</v>
      </c>
      <c r="K22" s="26" t="n">
        <f>12290000</f>
        <v>1.229E7</v>
      </c>
      <c r="L22" s="24"/>
      <c r="M22" s="26" t="n">
        <f>26500000</f>
        <v>2.65E7</v>
      </c>
      <c r="N22" s="25" t="s">
        <v>30</v>
      </c>
      <c r="O22" s="26" t="n">
        <f>38790000</f>
        <v>3.879E7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5079</f>
        <v>5079.0</v>
      </c>
      <c r="AA22" s="24"/>
      <c r="AB22" s="26" t="n">
        <f>3477</f>
        <v>3477.0</v>
      </c>
      <c r="AC22" s="25"/>
      <c r="AD22" s="26" t="n">
        <f>8556</f>
        <v>8556.0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508</f>
        <v>508.0</v>
      </c>
      <c r="F23" s="24"/>
      <c r="G23" s="26" t="n">
        <f>555</f>
        <v>555.0</v>
      </c>
      <c r="H23" s="25"/>
      <c r="I23" s="26" t="n">
        <f>1063</f>
        <v>1063.0</v>
      </c>
      <c r="J23" s="23"/>
      <c r="K23" s="26" t="n">
        <f>45500000</f>
        <v>4.55E7</v>
      </c>
      <c r="L23" s="24"/>
      <c r="M23" s="26" t="n">
        <f>77950000</f>
        <v>7.795E7</v>
      </c>
      <c r="N23" s="25"/>
      <c r="O23" s="26" t="n">
        <f>123450000</f>
        <v>1.2345E8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5383</f>
        <v>5383.0</v>
      </c>
      <c r="AA23" s="24"/>
      <c r="AB23" s="26" t="n">
        <f>3902</f>
        <v>3902.0</v>
      </c>
      <c r="AC23" s="25"/>
      <c r="AD23" s="26" t="n">
        <f>9285</f>
        <v>9285.0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696</f>
        <v>696.0</v>
      </c>
      <c r="F24" s="24"/>
      <c r="G24" s="26" t="n">
        <f>379</f>
        <v>379.0</v>
      </c>
      <c r="H24" s="25"/>
      <c r="I24" s="26" t="n">
        <f>1075</f>
        <v>1075.0</v>
      </c>
      <c r="J24" s="23"/>
      <c r="K24" s="26" t="n">
        <f>55662500</f>
        <v>5.56625E7</v>
      </c>
      <c r="L24" s="24"/>
      <c r="M24" s="26" t="n">
        <f>45160000</f>
        <v>4.516E7</v>
      </c>
      <c r="N24" s="25"/>
      <c r="O24" s="26" t="n">
        <f>100822500</f>
        <v>1.008225E8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 t="s">
        <v>29</v>
      </c>
      <c r="T24" s="26" t="n">
        <f>305</f>
        <v>305.0</v>
      </c>
      <c r="U24" s="24"/>
      <c r="V24" s="26" t="str">
        <f>"－"</f>
        <v>－</v>
      </c>
      <c r="W24" s="25"/>
      <c r="X24" s="26" t="n">
        <f>305</f>
        <v>305.0</v>
      </c>
      <c r="Y24" s="23"/>
      <c r="Z24" s="26" t="n">
        <f>5592</f>
        <v>5592.0</v>
      </c>
      <c r="AA24" s="24"/>
      <c r="AB24" s="26" t="n">
        <f>3849</f>
        <v>3849.0</v>
      </c>
      <c r="AC24" s="25"/>
      <c r="AD24" s="26" t="n">
        <f>9441</f>
        <v>9441.0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762</f>
        <v>762.0</v>
      </c>
      <c r="F25" s="24"/>
      <c r="G25" s="26" t="n">
        <f>1129</f>
        <v>1129.0</v>
      </c>
      <c r="H25" s="25"/>
      <c r="I25" s="26" t="n">
        <f>1891</f>
        <v>1891.0</v>
      </c>
      <c r="J25" s="23"/>
      <c r="K25" s="26" t="n">
        <f>85690000</f>
        <v>8.569E7</v>
      </c>
      <c r="L25" s="24"/>
      <c r="M25" s="26" t="n">
        <f>73620000</f>
        <v>7.362E7</v>
      </c>
      <c r="N25" s="25"/>
      <c r="O25" s="26" t="n">
        <f>159310000</f>
        <v>1.5931E8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9</f>
        <v>9.0</v>
      </c>
      <c r="U25" s="24"/>
      <c r="V25" s="26" t="n">
        <f>50</f>
        <v>50.0</v>
      </c>
      <c r="W25" s="25"/>
      <c r="X25" s="26" t="n">
        <f>59</f>
        <v>59.0</v>
      </c>
      <c r="Y25" s="23"/>
      <c r="Z25" s="26" t="n">
        <f>5694</f>
        <v>5694.0</v>
      </c>
      <c r="AA25" s="24"/>
      <c r="AB25" s="26" t="n">
        <f>4038</f>
        <v>4038.0</v>
      </c>
      <c r="AC25" s="25"/>
      <c r="AD25" s="26" t="n">
        <f>9732</f>
        <v>9732.0</v>
      </c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 t="n">
        <f>801</f>
        <v>801.0</v>
      </c>
      <c r="F28" s="24"/>
      <c r="G28" s="26" t="n">
        <f>711</f>
        <v>711.0</v>
      </c>
      <c r="H28" s="25"/>
      <c r="I28" s="26" t="n">
        <f>1512</f>
        <v>1512.0</v>
      </c>
      <c r="J28" s="23"/>
      <c r="K28" s="26" t="n">
        <f>63720000</f>
        <v>6.372E7</v>
      </c>
      <c r="L28" s="24" t="s">
        <v>29</v>
      </c>
      <c r="M28" s="26" t="n">
        <f>124280000</f>
        <v>1.2428E8</v>
      </c>
      <c r="N28" s="25"/>
      <c r="O28" s="26" t="n">
        <f>188000000</f>
        <v>1.88E8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5802</f>
        <v>5802.0</v>
      </c>
      <c r="AA28" s="24"/>
      <c r="AB28" s="26" t="n">
        <f>4259</f>
        <v>4259.0</v>
      </c>
      <c r="AC28" s="25"/>
      <c r="AD28" s="26" t="n">
        <f>10061</f>
        <v>10061.0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503</f>
        <v>503.0</v>
      </c>
      <c r="F29" s="24"/>
      <c r="G29" s="26" t="n">
        <f>411</f>
        <v>411.0</v>
      </c>
      <c r="H29" s="25"/>
      <c r="I29" s="26" t="n">
        <f>914</f>
        <v>914.0</v>
      </c>
      <c r="J29" s="23"/>
      <c r="K29" s="26" t="n">
        <f>51710000</f>
        <v>5.171E7</v>
      </c>
      <c r="L29" s="24"/>
      <c r="M29" s="26" t="n">
        <f>16270000</f>
        <v>1.627E7</v>
      </c>
      <c r="N29" s="25"/>
      <c r="O29" s="26" t="n">
        <f>67980000</f>
        <v>6.798E7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5957</f>
        <v>5957.0</v>
      </c>
      <c r="AA29" s="24"/>
      <c r="AB29" s="26" t="n">
        <f>4238</f>
        <v>4238.0</v>
      </c>
      <c r="AC29" s="25"/>
      <c r="AD29" s="26" t="n">
        <f>10195</f>
        <v>10195.0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754</f>
        <v>754.0</v>
      </c>
      <c r="F30" s="24"/>
      <c r="G30" s="26" t="n">
        <f>513</f>
        <v>513.0</v>
      </c>
      <c r="H30" s="25"/>
      <c r="I30" s="26" t="n">
        <f>1267</f>
        <v>1267.0</v>
      </c>
      <c r="J30" s="23"/>
      <c r="K30" s="26" t="n">
        <f>49850000</f>
        <v>4.985E7</v>
      </c>
      <c r="L30" s="24"/>
      <c r="M30" s="26" t="n">
        <f>66060000</f>
        <v>6.606E7</v>
      </c>
      <c r="N30" s="25"/>
      <c r="O30" s="26" t="n">
        <f>115910000</f>
        <v>1.1591E8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5922</f>
        <v>5922.0</v>
      </c>
      <c r="AA30" s="24"/>
      <c r="AB30" s="26" t="n">
        <f>4378</f>
        <v>4378.0</v>
      </c>
      <c r="AC30" s="25"/>
      <c r="AD30" s="26" t="n">
        <f>10300</f>
        <v>10300.0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819</f>
        <v>819.0</v>
      </c>
      <c r="F31" s="24"/>
      <c r="G31" s="26" t="n">
        <f>901</f>
        <v>901.0</v>
      </c>
      <c r="H31" s="25"/>
      <c r="I31" s="26" t="n">
        <f>1720</f>
        <v>1720.0</v>
      </c>
      <c r="J31" s="23"/>
      <c r="K31" s="26" t="n">
        <f>78795000</f>
        <v>7.8795E7</v>
      </c>
      <c r="L31" s="24"/>
      <c r="M31" s="26" t="n">
        <f>64060000</f>
        <v>6.406E7</v>
      </c>
      <c r="N31" s="25"/>
      <c r="O31" s="26" t="n">
        <f>142855000</f>
        <v>1.42855E8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232</f>
        <v>232.0</v>
      </c>
      <c r="U31" s="24"/>
      <c r="V31" s="26" t="n">
        <f>240</f>
        <v>240.0</v>
      </c>
      <c r="W31" s="25"/>
      <c r="X31" s="26" t="n">
        <f>472</f>
        <v>472.0</v>
      </c>
      <c r="Y31" s="23"/>
      <c r="Z31" s="26" t="n">
        <f>5819</f>
        <v>5819.0</v>
      </c>
      <c r="AA31" s="24"/>
      <c r="AB31" s="26" t="n">
        <f>4433</f>
        <v>4433.0</v>
      </c>
      <c r="AC31" s="25"/>
      <c r="AD31" s="26" t="n">
        <f>10252</f>
        <v>10252.0</v>
      </c>
    </row>
    <row r="32">
      <c r="A32" s="21" t="s">
        <v>52</v>
      </c>
      <c r="B32" s="22" t="s">
        <v>27</v>
      </c>
      <c r="C32" s="22" t="s">
        <v>28</v>
      </c>
      <c r="D32" s="23"/>
      <c r="E32" s="26" t="n">
        <f>1360</f>
        <v>1360.0</v>
      </c>
      <c r="F32" s="24"/>
      <c r="G32" s="26" t="n">
        <f>396</f>
        <v>396.0</v>
      </c>
      <c r="H32" s="25"/>
      <c r="I32" s="26" t="n">
        <f>1756</f>
        <v>1756.0</v>
      </c>
      <c r="J32" s="23"/>
      <c r="K32" s="26" t="n">
        <f>56300000</f>
        <v>5.63E7</v>
      </c>
      <c r="L32" s="24"/>
      <c r="M32" s="26" t="n">
        <f>19105000</f>
        <v>1.9105E7</v>
      </c>
      <c r="N32" s="25"/>
      <c r="O32" s="26" t="n">
        <f>75405000</f>
        <v>7.5405E7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n">
        <f>10</f>
        <v>10.0</v>
      </c>
      <c r="U32" s="24"/>
      <c r="V32" s="26" t="n">
        <f>50</f>
        <v>50.0</v>
      </c>
      <c r="W32" s="25"/>
      <c r="X32" s="26" t="n">
        <f>60</f>
        <v>60.0</v>
      </c>
      <c r="Y32" s="23"/>
      <c r="Z32" s="26" t="n">
        <f>5974</f>
        <v>5974.0</v>
      </c>
      <c r="AA32" s="24"/>
      <c r="AB32" s="26" t="n">
        <f>4458</f>
        <v>4458.0</v>
      </c>
      <c r="AC32" s="25"/>
      <c r="AD32" s="26" t="n">
        <f>10432</f>
        <v>10432.0</v>
      </c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 t="n">
        <f>494</f>
        <v>494.0</v>
      </c>
      <c r="F35" s="24"/>
      <c r="G35" s="26" t="n">
        <f>444</f>
        <v>444.0</v>
      </c>
      <c r="H35" s="25"/>
      <c r="I35" s="26" t="n">
        <f>938</f>
        <v>938.0</v>
      </c>
      <c r="J35" s="23"/>
      <c r="K35" s="26" t="n">
        <f>40010000</f>
        <v>4.001E7</v>
      </c>
      <c r="L35" s="24"/>
      <c r="M35" s="26" t="n">
        <f>34242500</f>
        <v>3.42425E7</v>
      </c>
      <c r="N35" s="25"/>
      <c r="O35" s="26" t="n">
        <f>74252500</f>
        <v>7.42525E7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n">
        <f>90</f>
        <v>90.0</v>
      </c>
      <c r="W35" s="25"/>
      <c r="X35" s="26" t="n">
        <f>90</f>
        <v>90.0</v>
      </c>
      <c r="Y35" s="23"/>
      <c r="Z35" s="26" t="n">
        <f>6140</f>
        <v>6140.0</v>
      </c>
      <c r="AA35" s="24"/>
      <c r="AB35" s="26" t="n">
        <f>4532</f>
        <v>4532.0</v>
      </c>
      <c r="AC35" s="25"/>
      <c r="AD35" s="26" t="n">
        <f>10672</f>
        <v>10672.0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368</f>
        <v>368.0</v>
      </c>
      <c r="F36" s="24"/>
      <c r="G36" s="26" t="n">
        <f>234</f>
        <v>234.0</v>
      </c>
      <c r="H36" s="25"/>
      <c r="I36" s="26" t="n">
        <f>602</f>
        <v>602.0</v>
      </c>
      <c r="J36" s="23"/>
      <c r="K36" s="26" t="n">
        <f>34360000</f>
        <v>3.436E7</v>
      </c>
      <c r="L36" s="24"/>
      <c r="M36" s="26" t="n">
        <f>19360000</f>
        <v>1.936E7</v>
      </c>
      <c r="N36" s="25"/>
      <c r="O36" s="26" t="n">
        <f>53720000</f>
        <v>5.372E7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n">
        <f>10</f>
        <v>10.0</v>
      </c>
      <c r="W36" s="25"/>
      <c r="X36" s="26" t="n">
        <f>10</f>
        <v>10.0</v>
      </c>
      <c r="Y36" s="23"/>
      <c r="Z36" s="26" t="n">
        <f>6189</f>
        <v>6189.0</v>
      </c>
      <c r="AA36" s="24"/>
      <c r="AB36" s="26" t="n">
        <f>4745</f>
        <v>4745.0</v>
      </c>
      <c r="AC36" s="25"/>
      <c r="AD36" s="26" t="n">
        <f>10934</f>
        <v>10934.0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828</f>
        <v>828.0</v>
      </c>
      <c r="F37" s="24"/>
      <c r="G37" s="26" t="n">
        <f>517</f>
        <v>517.0</v>
      </c>
      <c r="H37" s="25"/>
      <c r="I37" s="26" t="n">
        <f>1345</f>
        <v>1345.0</v>
      </c>
      <c r="J37" s="23"/>
      <c r="K37" s="26" t="n">
        <f>76730000</f>
        <v>7.673E7</v>
      </c>
      <c r="L37" s="24"/>
      <c r="M37" s="26" t="n">
        <f>38940000</f>
        <v>3.894E7</v>
      </c>
      <c r="N37" s="25"/>
      <c r="O37" s="26" t="n">
        <f>115670000</f>
        <v>1.1567E8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2</f>
        <v>2.0</v>
      </c>
      <c r="U37" s="24"/>
      <c r="V37" s="26" t="n">
        <f>10</f>
        <v>10.0</v>
      </c>
      <c r="W37" s="25"/>
      <c r="X37" s="26" t="n">
        <f>12</f>
        <v>12.0</v>
      </c>
      <c r="Y37" s="23"/>
      <c r="Z37" s="26" t="n">
        <f>6352</f>
        <v>6352.0</v>
      </c>
      <c r="AA37" s="24"/>
      <c r="AB37" s="26" t="n">
        <f>5008</f>
        <v>5008.0</v>
      </c>
      <c r="AC37" s="25"/>
      <c r="AD37" s="26" t="n">
        <f>11360</f>
        <v>11360.0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782</f>
        <v>782.0</v>
      </c>
      <c r="F38" s="24"/>
      <c r="G38" s="26" t="n">
        <f>681</f>
        <v>681.0</v>
      </c>
      <c r="H38" s="25"/>
      <c r="I38" s="26" t="n">
        <f>1463</f>
        <v>1463.0</v>
      </c>
      <c r="J38" s="23"/>
      <c r="K38" s="26" t="n">
        <f>64080000</f>
        <v>6.408E7</v>
      </c>
      <c r="L38" s="24"/>
      <c r="M38" s="26" t="n">
        <f>73690000</f>
        <v>7.369E7</v>
      </c>
      <c r="N38" s="25"/>
      <c r="O38" s="26" t="n">
        <f>137770000</f>
        <v>1.3777E8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n">
        <f>12</f>
        <v>12.0</v>
      </c>
      <c r="U38" s="24"/>
      <c r="V38" s="26" t="n">
        <f>15</f>
        <v>15.0</v>
      </c>
      <c r="W38" s="25"/>
      <c r="X38" s="26" t="n">
        <f>27</f>
        <v>27.0</v>
      </c>
      <c r="Y38" s="23" t="s">
        <v>29</v>
      </c>
      <c r="Z38" s="26" t="n">
        <f>6499</f>
        <v>6499.0</v>
      </c>
      <c r="AA38" s="24" t="s">
        <v>29</v>
      </c>
      <c r="AB38" s="26" t="n">
        <f>5085</f>
        <v>5085.0</v>
      </c>
      <c r="AC38" s="25" t="s">
        <v>29</v>
      </c>
      <c r="AD38" s="26" t="n">
        <f>11584</f>
        <v>11584.0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1519</f>
        <v>1519.0</v>
      </c>
      <c r="F39" s="24" t="s">
        <v>29</v>
      </c>
      <c r="G39" s="26" t="n">
        <f>1177</f>
        <v>1177.0</v>
      </c>
      <c r="H39" s="25"/>
      <c r="I39" s="26" t="n">
        <f>2696</f>
        <v>2696.0</v>
      </c>
      <c r="J39" s="23"/>
      <c r="K39" s="26" t="n">
        <f>130135000</f>
        <v>1.30135E8</v>
      </c>
      <c r="L39" s="24"/>
      <c r="M39" s="26" t="n">
        <f>100280000</f>
        <v>1.0028E8</v>
      </c>
      <c r="N39" s="25"/>
      <c r="O39" s="26" t="n">
        <f>230415000</f>
        <v>2.30415E8</v>
      </c>
      <c r="P39" s="27" t="n">
        <f>812</f>
        <v>812.0</v>
      </c>
      <c r="Q39" s="28" t="str">
        <f>"－"</f>
        <v>－</v>
      </c>
      <c r="R39" s="29" t="n">
        <f>812</f>
        <v>812.0</v>
      </c>
      <c r="S39" s="23"/>
      <c r="T39" s="26" t="n">
        <f>202</f>
        <v>202.0</v>
      </c>
      <c r="U39" s="24"/>
      <c r="V39" s="26" t="n">
        <f>300</f>
        <v>300.0</v>
      </c>
      <c r="W39" s="25" t="s">
        <v>29</v>
      </c>
      <c r="X39" s="26" t="n">
        <f>502</f>
        <v>502.0</v>
      </c>
      <c r="Y39" s="23"/>
      <c r="Z39" s="26" t="n">
        <f>2798</f>
        <v>2798.0</v>
      </c>
      <c r="AA39" s="24"/>
      <c r="AB39" s="26" t="n">
        <f>1758</f>
        <v>1758.0</v>
      </c>
      <c r="AC39" s="25"/>
      <c r="AD39" s="26" t="n">
        <f>4556</f>
        <v>4556.0</v>
      </c>
    </row>
    <row r="40">
      <c r="A40" s="21" t="s">
        <v>60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