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<sst xmlns="http://schemas.openxmlformats.org/spreadsheetml/2006/main" count="173" uniqueCount="61">
  <si>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</si>
  <si>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</si>
  <si>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</si>
  <si>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</si>
  <si>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</si>
  <si>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</si>
  <si>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</si>
  <si>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</si>
  <si>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</si>
  <si>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</si>
  <si>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</si>
  <si>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</si>
  <si>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</si>
  <si>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</si>
  <si>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</si>
  <si>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</si>
  <si>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</si>
  <si>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</si>
  <si>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</si>
  <si>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</si>
  <si>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</si>
  <si>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</si>
  <si>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</si>
  <si>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</si>
  <si>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</si>
  <si>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</si>
  <si>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1.1</t>
  </si>
  <si>
    <t>長期国債先物オプション</t>
  </si>
  <si>
    <t>Options on 10-year JGB Futures</t>
  </si>
  <si>
    <t>2</t>
  </si>
  <si>
    <t>3</t>
  </si>
  <si>
    <t>4</t>
  </si>
  <si>
    <t>●</t>
  </si>
  <si>
    <t>5</t>
  </si>
  <si>
    <t>◎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</si>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</sst>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31</v>
      </c>
      <c r="B13" s="22" t="s">
        <v>27</v>
      </c>
      <c r="C13" s="22" t="s">
        <v>28</v>
      </c>
      <c r="D13" s="23"/>
      <c r="E13" s="26" t="n">
        <f>151</f>
        <v>151.0</v>
      </c>
      <c r="F13" s="24"/>
      <c r="G13" s="26" t="n">
        <f>408</f>
        <v>408.0</v>
      </c>
      <c r="H13" s="25"/>
      <c r="I13" s="26" t="n">
        <f>559</f>
        <v>559.0</v>
      </c>
      <c r="J13" s="23" t="s">
        <v>32</v>
      </c>
      <c r="K13" s="26" t="n">
        <f>4670000</f>
        <v>4670000.0</v>
      </c>
      <c r="L13" s="24"/>
      <c r="M13" s="26" t="n">
        <f>40780000</f>
        <v>4.078E7</v>
      </c>
      <c r="N13" s="25"/>
      <c r="O13" s="26" t="n">
        <f>45450000</f>
        <v>4.545E7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n">
        <f>2</f>
        <v>2.0</v>
      </c>
      <c r="U13" s="24"/>
      <c r="V13" s="26" t="n">
        <f>55</f>
        <v>55.0</v>
      </c>
      <c r="W13" s="25"/>
      <c r="X13" s="26" t="n">
        <f>57</f>
        <v>57.0</v>
      </c>
      <c r="Y13" s="23" t="s">
        <v>32</v>
      </c>
      <c r="Z13" s="26" t="n">
        <f>1450</f>
        <v>1450.0</v>
      </c>
      <c r="AA13" s="24"/>
      <c r="AB13" s="26" t="n">
        <f>2455</f>
        <v>2455.0</v>
      </c>
      <c r="AC13" s="25" t="s">
        <v>32</v>
      </c>
      <c r="AD13" s="26" t="n">
        <f>3905</f>
        <v>3905.0</v>
      </c>
    </row>
    <row r="14">
      <c r="A14" s="21" t="s">
        <v>33</v>
      </c>
      <c r="B14" s="22" t="s">
        <v>27</v>
      </c>
      <c r="C14" s="22" t="s">
        <v>28</v>
      </c>
      <c r="D14" s="23"/>
      <c r="E14" s="26" t="n">
        <f>733</f>
        <v>733.0</v>
      </c>
      <c r="F14" s="24"/>
      <c r="G14" s="26" t="n">
        <f>718</f>
        <v>718.0</v>
      </c>
      <c r="H14" s="25"/>
      <c r="I14" s="26" t="n">
        <f>1451</f>
        <v>1451.0</v>
      </c>
      <c r="J14" s="23"/>
      <c r="K14" s="26" t="n">
        <f>59920000</f>
        <v>5.992E7</v>
      </c>
      <c r="L14" s="24" t="s">
        <v>34</v>
      </c>
      <c r="M14" s="26" t="n">
        <f>85400000</f>
        <v>8.54E7</v>
      </c>
      <c r="N14" s="25"/>
      <c r="O14" s="26" t="n">
        <f>145320000</f>
        <v>1.4532E8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28</f>
        <v>28.0</v>
      </c>
      <c r="U14" s="24"/>
      <c r="V14" s="26" t="n">
        <f>28</f>
        <v>28.0</v>
      </c>
      <c r="W14" s="25"/>
      <c r="X14" s="26" t="n">
        <f>56</f>
        <v>56.0</v>
      </c>
      <c r="Y14" s="23"/>
      <c r="Z14" s="26" t="n">
        <f>1635</f>
        <v>1635.0</v>
      </c>
      <c r="AA14" s="24"/>
      <c r="AB14" s="26" t="n">
        <f>3004</f>
        <v>3004.0</v>
      </c>
      <c r="AC14" s="25"/>
      <c r="AD14" s="26" t="n">
        <f>4639</f>
        <v>4639.0</v>
      </c>
    </row>
    <row r="15">
      <c r="A15" s="21" t="s">
        <v>35</v>
      </c>
      <c r="B15" s="22" t="s">
        <v>27</v>
      </c>
      <c r="C15" s="22" t="s">
        <v>28</v>
      </c>
      <c r="D15" s="23"/>
      <c r="E15" s="26" t="n">
        <f>886</f>
        <v>886.0</v>
      </c>
      <c r="F15" s="24"/>
      <c r="G15" s="26" t="n">
        <f>746</f>
        <v>746.0</v>
      </c>
      <c r="H15" s="25"/>
      <c r="I15" s="26" t="n">
        <f>1632</f>
        <v>1632.0</v>
      </c>
      <c r="J15" s="23"/>
      <c r="K15" s="26" t="n">
        <f>46090000</f>
        <v>4.609E7</v>
      </c>
      <c r="L15" s="24"/>
      <c r="M15" s="26" t="n">
        <f>55740000</f>
        <v>5.574E7</v>
      </c>
      <c r="N15" s="25"/>
      <c r="O15" s="26" t="n">
        <f>101830000</f>
        <v>1.0183E8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n">
        <f>200</f>
        <v>200.0</v>
      </c>
      <c r="U15" s="24" t="s">
        <v>34</v>
      </c>
      <c r="V15" s="26" t="n">
        <f>200</f>
        <v>200.0</v>
      </c>
      <c r="W15" s="25" t="s">
        <v>34</v>
      </c>
      <c r="X15" s="26" t="n">
        <f>400</f>
        <v>400.0</v>
      </c>
      <c r="Y15" s="23"/>
      <c r="Z15" s="26" t="n">
        <f>2014</f>
        <v>2014.0</v>
      </c>
      <c r="AA15" s="24"/>
      <c r="AB15" s="26" t="n">
        <f>3327</f>
        <v>3327.0</v>
      </c>
      <c r="AC15" s="25"/>
      <c r="AD15" s="26" t="n">
        <f>5341</f>
        <v>5341.0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622</f>
        <v>622.0</v>
      </c>
      <c r="F16" s="24"/>
      <c r="G16" s="26" t="n">
        <f>792</f>
        <v>792.0</v>
      </c>
      <c r="H16" s="25"/>
      <c r="I16" s="26" t="n">
        <f>1414</f>
        <v>1414.0</v>
      </c>
      <c r="J16" s="23"/>
      <c r="K16" s="26" t="n">
        <f>40195000</f>
        <v>4.0195E7</v>
      </c>
      <c r="L16" s="24"/>
      <c r="M16" s="26" t="n">
        <f>56520000</f>
        <v>5.652E7</v>
      </c>
      <c r="N16" s="25"/>
      <c r="O16" s="26" t="n">
        <f>96715000</f>
        <v>9.6715E7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n">
        <f>75</f>
        <v>75.0</v>
      </c>
      <c r="U16" s="24"/>
      <c r="V16" s="26" t="n">
        <f>3</f>
        <v>3.0</v>
      </c>
      <c r="W16" s="25"/>
      <c r="X16" s="26" t="n">
        <f>78</f>
        <v>78.0</v>
      </c>
      <c r="Y16" s="23"/>
      <c r="Z16" s="26" t="n">
        <f>2348</f>
        <v>2348.0</v>
      </c>
      <c r="AA16" s="24"/>
      <c r="AB16" s="26" t="n">
        <f>3822</f>
        <v>3822.0</v>
      </c>
      <c r="AC16" s="25"/>
      <c r="AD16" s="26" t="n">
        <f>6170</f>
        <v>6170.0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416</f>
        <v>416.0</v>
      </c>
      <c r="F17" s="24"/>
      <c r="G17" s="26" t="n">
        <f>619</f>
        <v>619.0</v>
      </c>
      <c r="H17" s="25"/>
      <c r="I17" s="26" t="n">
        <f>1035</f>
        <v>1035.0</v>
      </c>
      <c r="J17" s="23"/>
      <c r="K17" s="26" t="n">
        <f>24070000</f>
        <v>2.407E7</v>
      </c>
      <c r="L17" s="24"/>
      <c r="M17" s="26" t="n">
        <f>24110000</f>
        <v>2.411E7</v>
      </c>
      <c r="N17" s="25"/>
      <c r="O17" s="26" t="n">
        <f>48180000</f>
        <v>4.818E7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n">
        <f>50</f>
        <v>50.0</v>
      </c>
      <c r="U17" s="24" t="s">
        <v>32</v>
      </c>
      <c r="V17" s="26" t="str">
        <f>"－"</f>
        <v>－</v>
      </c>
      <c r="W17" s="25"/>
      <c r="X17" s="26" t="n">
        <f>50</f>
        <v>50.0</v>
      </c>
      <c r="Y17" s="23"/>
      <c r="Z17" s="26" t="n">
        <f>2479</f>
        <v>2479.0</v>
      </c>
      <c r="AA17" s="24"/>
      <c r="AB17" s="26" t="n">
        <f>3991</f>
        <v>3991.0</v>
      </c>
      <c r="AC17" s="25"/>
      <c r="AD17" s="26" t="n">
        <f>6470</f>
        <v>6470.0</v>
      </c>
    </row>
    <row r="18">
      <c r="A18" s="21" t="s">
        <v>38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39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 t="n">
        <f>481</f>
        <v>481.0</v>
      </c>
      <c r="F21" s="24"/>
      <c r="G21" s="26" t="n">
        <f>196</f>
        <v>196.0</v>
      </c>
      <c r="H21" s="25"/>
      <c r="I21" s="26" t="n">
        <f>677</f>
        <v>677.0</v>
      </c>
      <c r="J21" s="23"/>
      <c r="K21" s="26" t="n">
        <f>63250000</f>
        <v>6.325E7</v>
      </c>
      <c r="L21" s="24"/>
      <c r="M21" s="26" t="n">
        <f>11740000</f>
        <v>1.174E7</v>
      </c>
      <c r="N21" s="25"/>
      <c r="O21" s="26" t="n">
        <f>74990000</f>
        <v>7.499E7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 t="s">
        <v>32</v>
      </c>
      <c r="T21" s="26" t="str">
        <f>"－"</f>
        <v>－</v>
      </c>
      <c r="U21" s="24"/>
      <c r="V21" s="26" t="n">
        <f>50</f>
        <v>50.0</v>
      </c>
      <c r="W21" s="25"/>
      <c r="X21" s="26" t="n">
        <f>50</f>
        <v>50.0</v>
      </c>
      <c r="Y21" s="23"/>
      <c r="Z21" s="26" t="n">
        <f>2458</f>
        <v>2458.0</v>
      </c>
      <c r="AA21" s="24"/>
      <c r="AB21" s="26" t="n">
        <f>4130</f>
        <v>4130.0</v>
      </c>
      <c r="AC21" s="25"/>
      <c r="AD21" s="26" t="n">
        <f>6588</f>
        <v>6588.0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488</f>
        <v>488.0</v>
      </c>
      <c r="F22" s="24"/>
      <c r="G22" s="26" t="n">
        <f>321</f>
        <v>321.0</v>
      </c>
      <c r="H22" s="25"/>
      <c r="I22" s="26" t="n">
        <f>809</f>
        <v>809.0</v>
      </c>
      <c r="J22" s="23"/>
      <c r="K22" s="26" t="n">
        <f>27790000</f>
        <v>2.779E7</v>
      </c>
      <c r="L22" s="24"/>
      <c r="M22" s="26" t="n">
        <f>27820000</f>
        <v>2.782E7</v>
      </c>
      <c r="N22" s="25"/>
      <c r="O22" s="26" t="n">
        <f>55610000</f>
        <v>5.561E7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 t="s">
        <v>32</v>
      </c>
      <c r="X22" s="26" t="str">
        <f>"－"</f>
        <v>－</v>
      </c>
      <c r="Y22" s="23"/>
      <c r="Z22" s="26" t="n">
        <f>2748</f>
        <v>2748.0</v>
      </c>
      <c r="AA22" s="24"/>
      <c r="AB22" s="26" t="n">
        <f>4141</f>
        <v>4141.0</v>
      </c>
      <c r="AC22" s="25"/>
      <c r="AD22" s="26" t="n">
        <f>6889</f>
        <v>6889.0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201</f>
        <v>201.0</v>
      </c>
      <c r="F23" s="24"/>
      <c r="G23" s="26" t="n">
        <f>241</f>
        <v>241.0</v>
      </c>
      <c r="H23" s="25"/>
      <c r="I23" s="26" t="n">
        <f>442</f>
        <v>442.0</v>
      </c>
      <c r="J23" s="23"/>
      <c r="K23" s="26" t="n">
        <f>16600000</f>
        <v>1.66E7</v>
      </c>
      <c r="L23" s="24"/>
      <c r="M23" s="26" t="n">
        <f>15690000</f>
        <v>1.569E7</v>
      </c>
      <c r="N23" s="25"/>
      <c r="O23" s="26" t="n">
        <f>32290000</f>
        <v>3.229E7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n">
        <f>95</f>
        <v>95.0</v>
      </c>
      <c r="W23" s="25"/>
      <c r="X23" s="26" t="n">
        <f>95</f>
        <v>95.0</v>
      </c>
      <c r="Y23" s="23"/>
      <c r="Z23" s="26" t="n">
        <f>2755</f>
        <v>2755.0</v>
      </c>
      <c r="AA23" s="24"/>
      <c r="AB23" s="26" t="n">
        <f>4195</f>
        <v>4195.0</v>
      </c>
      <c r="AC23" s="25"/>
      <c r="AD23" s="26" t="n">
        <f>6950</f>
        <v>6950.0</v>
      </c>
    </row>
    <row r="24">
      <c r="A24" s="21" t="s">
        <v>44</v>
      </c>
      <c r="B24" s="22" t="s">
        <v>27</v>
      </c>
      <c r="C24" s="22" t="s">
        <v>28</v>
      </c>
      <c r="D24" s="23" t="s">
        <v>32</v>
      </c>
      <c r="E24" s="26" t="n">
        <f>130</f>
        <v>130.0</v>
      </c>
      <c r="F24" s="24" t="s">
        <v>32</v>
      </c>
      <c r="G24" s="26" t="n">
        <f>45</f>
        <v>45.0</v>
      </c>
      <c r="H24" s="25" t="s">
        <v>32</v>
      </c>
      <c r="I24" s="26" t="n">
        <f>175</f>
        <v>175.0</v>
      </c>
      <c r="J24" s="23"/>
      <c r="K24" s="26" t="n">
        <f>12450000</f>
        <v>1.245E7</v>
      </c>
      <c r="L24" s="24" t="s">
        <v>32</v>
      </c>
      <c r="M24" s="26" t="n">
        <f>2760000</f>
        <v>2760000.0</v>
      </c>
      <c r="N24" s="25" t="s">
        <v>32</v>
      </c>
      <c r="O24" s="26" t="n">
        <f>15210000</f>
        <v>1.521E7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2846</f>
        <v>2846.0</v>
      </c>
      <c r="AA24" s="24"/>
      <c r="AB24" s="26" t="n">
        <f>4220</f>
        <v>4220.0</v>
      </c>
      <c r="AC24" s="25"/>
      <c r="AD24" s="26" t="n">
        <f>7066</f>
        <v>7066.0</v>
      </c>
    </row>
    <row r="25">
      <c r="A25" s="21" t="s">
        <v>45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46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47</v>
      </c>
      <c r="B27" s="22" t="s">
        <v>27</v>
      </c>
      <c r="C27" s="22" t="s">
        <v>28</v>
      </c>
      <c r="D27" s="23"/>
      <c r="E27" s="26" t="n">
        <f>526</f>
        <v>526.0</v>
      </c>
      <c r="F27" s="24"/>
      <c r="G27" s="26" t="n">
        <f>291</f>
        <v>291.0</v>
      </c>
      <c r="H27" s="25"/>
      <c r="I27" s="26" t="n">
        <f>817</f>
        <v>817.0</v>
      </c>
      <c r="J27" s="23"/>
      <c r="K27" s="26" t="n">
        <f>39820000</f>
        <v>3.982E7</v>
      </c>
      <c r="L27" s="24"/>
      <c r="M27" s="26" t="n">
        <f>10400000</f>
        <v>1.04E7</v>
      </c>
      <c r="N27" s="25"/>
      <c r="O27" s="26" t="n">
        <f>50220000</f>
        <v>5.022E7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n">
        <f>30</f>
        <v>30.0</v>
      </c>
      <c r="U27" s="24"/>
      <c r="V27" s="26" t="str">
        <f>"－"</f>
        <v>－</v>
      </c>
      <c r="W27" s="25"/>
      <c r="X27" s="26" t="n">
        <f>30</f>
        <v>30.0</v>
      </c>
      <c r="Y27" s="23"/>
      <c r="Z27" s="26" t="n">
        <f>2951</f>
        <v>2951.0</v>
      </c>
      <c r="AA27" s="24"/>
      <c r="AB27" s="26" t="n">
        <f>4199</f>
        <v>4199.0</v>
      </c>
      <c r="AC27" s="25"/>
      <c r="AD27" s="26" t="n">
        <f>7150</f>
        <v>7150.0</v>
      </c>
    </row>
    <row r="28">
      <c r="A28" s="21" t="s">
        <v>48</v>
      </c>
      <c r="B28" s="22" t="s">
        <v>27</v>
      </c>
      <c r="C28" s="22" t="s">
        <v>28</v>
      </c>
      <c r="D28" s="23"/>
      <c r="E28" s="26" t="n">
        <f>487</f>
        <v>487.0</v>
      </c>
      <c r="F28" s="24"/>
      <c r="G28" s="26" t="n">
        <f>280</f>
        <v>280.0</v>
      </c>
      <c r="H28" s="25"/>
      <c r="I28" s="26" t="n">
        <f>767</f>
        <v>767.0</v>
      </c>
      <c r="J28" s="23"/>
      <c r="K28" s="26" t="n">
        <f>18560000</f>
        <v>1.856E7</v>
      </c>
      <c r="L28" s="24"/>
      <c r="M28" s="26" t="n">
        <f>19770000</f>
        <v>1.977E7</v>
      </c>
      <c r="N28" s="25"/>
      <c r="O28" s="26" t="n">
        <f>38330000</f>
        <v>3.833E7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n">
        <f>20</f>
        <v>20.0</v>
      </c>
      <c r="U28" s="24"/>
      <c r="V28" s="26" t="str">
        <f>"－"</f>
        <v>－</v>
      </c>
      <c r="W28" s="25"/>
      <c r="X28" s="26" t="n">
        <f>20</f>
        <v>20.0</v>
      </c>
      <c r="Y28" s="23"/>
      <c r="Z28" s="26" t="n">
        <f>3122</f>
        <v>3122.0</v>
      </c>
      <c r="AA28" s="24"/>
      <c r="AB28" s="26" t="n">
        <f>4251</f>
        <v>4251.0</v>
      </c>
      <c r="AC28" s="25"/>
      <c r="AD28" s="26" t="n">
        <f>7373</f>
        <v>7373.0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742</f>
        <v>742.0</v>
      </c>
      <c r="F29" s="24" t="s">
        <v>34</v>
      </c>
      <c r="G29" s="26" t="n">
        <f>1211</f>
        <v>1211.0</v>
      </c>
      <c r="H29" s="25"/>
      <c r="I29" s="26" t="n">
        <f>1953</f>
        <v>1953.0</v>
      </c>
      <c r="J29" s="23"/>
      <c r="K29" s="26" t="n">
        <f>37260000</f>
        <v>3.726E7</v>
      </c>
      <c r="L29" s="24"/>
      <c r="M29" s="26" t="n">
        <f>81940000</f>
        <v>8.194E7</v>
      </c>
      <c r="N29" s="25"/>
      <c r="O29" s="26" t="n">
        <f>119200000</f>
        <v>1.192E8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n">
        <f>10</f>
        <v>10.0</v>
      </c>
      <c r="U29" s="24"/>
      <c r="V29" s="26" t="n">
        <f>2</f>
        <v>2.0</v>
      </c>
      <c r="W29" s="25"/>
      <c r="X29" s="26" t="n">
        <f>12</f>
        <v>12.0</v>
      </c>
      <c r="Y29" s="23"/>
      <c r="Z29" s="26" t="n">
        <f>3578</f>
        <v>3578.0</v>
      </c>
      <c r="AA29" s="24"/>
      <c r="AB29" s="26" t="n">
        <f>4754</f>
        <v>4754.0</v>
      </c>
      <c r="AC29" s="25"/>
      <c r="AD29" s="26" t="n">
        <f>8332</f>
        <v>8332.0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848</f>
        <v>848.0</v>
      </c>
      <c r="F30" s="24"/>
      <c r="G30" s="26" t="n">
        <f>523</f>
        <v>523.0</v>
      </c>
      <c r="H30" s="25"/>
      <c r="I30" s="26" t="n">
        <f>1371</f>
        <v>1371.0</v>
      </c>
      <c r="J30" s="23"/>
      <c r="K30" s="26" t="n">
        <f>68280000</f>
        <v>6.828E7</v>
      </c>
      <c r="L30" s="24"/>
      <c r="M30" s="26" t="n">
        <f>42180000</f>
        <v>4.218E7</v>
      </c>
      <c r="N30" s="25"/>
      <c r="O30" s="26" t="n">
        <f>110460000</f>
        <v>1.1046E8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 t="s">
        <v>34</v>
      </c>
      <c r="T30" s="26" t="n">
        <f>400</f>
        <v>400.0</v>
      </c>
      <c r="U30" s="24"/>
      <c r="V30" s="26" t="str">
        <f>"－"</f>
        <v>－</v>
      </c>
      <c r="W30" s="25"/>
      <c r="X30" s="26" t="n">
        <f>400</f>
        <v>400.0</v>
      </c>
      <c r="Y30" s="23"/>
      <c r="Z30" s="26" t="n">
        <f>4094</f>
        <v>4094.0</v>
      </c>
      <c r="AA30" s="24"/>
      <c r="AB30" s="26" t="n">
        <f>4669</f>
        <v>4669.0</v>
      </c>
      <c r="AC30" s="25"/>
      <c r="AD30" s="26" t="n">
        <f>8763</f>
        <v>8763.0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483</f>
        <v>483.0</v>
      </c>
      <c r="F31" s="24"/>
      <c r="G31" s="26" t="n">
        <f>358</f>
        <v>358.0</v>
      </c>
      <c r="H31" s="25"/>
      <c r="I31" s="26" t="n">
        <f>841</f>
        <v>841.0</v>
      </c>
      <c r="J31" s="23"/>
      <c r="K31" s="26" t="n">
        <f>29800000</f>
        <v>2.98E7</v>
      </c>
      <c r="L31" s="24"/>
      <c r="M31" s="26" t="n">
        <f>13500000</f>
        <v>1.35E7</v>
      </c>
      <c r="N31" s="25"/>
      <c r="O31" s="26" t="n">
        <f>43300000</f>
        <v>4.33E7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n">
        <f>40</f>
        <v>40.0</v>
      </c>
      <c r="U31" s="24"/>
      <c r="V31" s="26" t="str">
        <f>"－"</f>
        <v>－</v>
      </c>
      <c r="W31" s="25"/>
      <c r="X31" s="26" t="n">
        <f>40</f>
        <v>40.0</v>
      </c>
      <c r="Y31" s="23"/>
      <c r="Z31" s="26" t="n">
        <f>4058</f>
        <v>4058.0</v>
      </c>
      <c r="AA31" s="24"/>
      <c r="AB31" s="26" t="n">
        <f>4690</f>
        <v>4690.0</v>
      </c>
      <c r="AC31" s="25"/>
      <c r="AD31" s="26" t="n">
        <f>8748</f>
        <v>8748.0</v>
      </c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 t="n">
        <f>311</f>
        <v>311.0</v>
      </c>
      <c r="F34" s="24"/>
      <c r="G34" s="26" t="n">
        <f>462</f>
        <v>462.0</v>
      </c>
      <c r="H34" s="25"/>
      <c r="I34" s="26" t="n">
        <f>773</f>
        <v>773.0</v>
      </c>
      <c r="J34" s="23"/>
      <c r="K34" s="26" t="n">
        <f>14220000</f>
        <v>1.422E7</v>
      </c>
      <c r="L34" s="24"/>
      <c r="M34" s="26" t="n">
        <f>35160000</f>
        <v>3.516E7</v>
      </c>
      <c r="N34" s="25"/>
      <c r="O34" s="26" t="n">
        <f>49380000</f>
        <v>4.938E7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4316</f>
        <v>4316.0</v>
      </c>
      <c r="AA34" s="24"/>
      <c r="AB34" s="26" t="n">
        <f>4808</f>
        <v>4808.0</v>
      </c>
      <c r="AC34" s="25"/>
      <c r="AD34" s="26" t="n">
        <f>9124</f>
        <v>9124.0</v>
      </c>
    </row>
    <row r="35">
      <c r="A35" s="21" t="s">
        <v>55</v>
      </c>
      <c r="B35" s="22" t="s">
        <v>27</v>
      </c>
      <c r="C35" s="22" t="s">
        <v>28</v>
      </c>
      <c r="D35" s="23"/>
      <c r="E35" s="26" t="n">
        <f>257</f>
        <v>257.0</v>
      </c>
      <c r="F35" s="24"/>
      <c r="G35" s="26" t="n">
        <f>641</f>
        <v>641.0</v>
      </c>
      <c r="H35" s="25"/>
      <c r="I35" s="26" t="n">
        <f>898</f>
        <v>898.0</v>
      </c>
      <c r="J35" s="23"/>
      <c r="K35" s="26" t="n">
        <f>13660000</f>
        <v>1.366E7</v>
      </c>
      <c r="L35" s="24"/>
      <c r="M35" s="26" t="n">
        <f>65760000</f>
        <v>6.576E7</v>
      </c>
      <c r="N35" s="25"/>
      <c r="O35" s="26" t="n">
        <f>79420000</f>
        <v>7.942E7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4543</f>
        <v>4543.0</v>
      </c>
      <c r="AA35" s="24"/>
      <c r="AB35" s="26" t="n">
        <f>4941</f>
        <v>4941.0</v>
      </c>
      <c r="AC35" s="25"/>
      <c r="AD35" s="26" t="n">
        <f>9484</f>
        <v>9484.0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551</f>
        <v>551.0</v>
      </c>
      <c r="F36" s="24"/>
      <c r="G36" s="26" t="n">
        <f>738</f>
        <v>738.0</v>
      </c>
      <c r="H36" s="25"/>
      <c r="I36" s="26" t="n">
        <f>1289</f>
        <v>1289.0</v>
      </c>
      <c r="J36" s="23"/>
      <c r="K36" s="26" t="n">
        <f>37220000</f>
        <v>3.722E7</v>
      </c>
      <c r="L36" s="24"/>
      <c r="M36" s="26" t="n">
        <f>64830000</f>
        <v>6.483E7</v>
      </c>
      <c r="N36" s="25"/>
      <c r="O36" s="26" t="n">
        <f>102050000</f>
        <v>1.0205E8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4884</f>
        <v>4884.0</v>
      </c>
      <c r="AA36" s="24"/>
      <c r="AB36" s="26" t="n">
        <f>5232</f>
        <v>5232.0</v>
      </c>
      <c r="AC36" s="25"/>
      <c r="AD36" s="26" t="n">
        <f>10116</f>
        <v>10116.0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236</f>
        <v>236.0</v>
      </c>
      <c r="F37" s="24"/>
      <c r="G37" s="26" t="n">
        <f>353</f>
        <v>353.0</v>
      </c>
      <c r="H37" s="25"/>
      <c r="I37" s="26" t="n">
        <f>589</f>
        <v>589.0</v>
      </c>
      <c r="J37" s="23"/>
      <c r="K37" s="26" t="n">
        <f>20060000</f>
        <v>2.006E7</v>
      </c>
      <c r="L37" s="24"/>
      <c r="M37" s="26" t="n">
        <f>28900000</f>
        <v>2.89E7</v>
      </c>
      <c r="N37" s="25"/>
      <c r="O37" s="26" t="n">
        <f>48960000</f>
        <v>4.896E7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 t="s">
        <v>34</v>
      </c>
      <c r="Z37" s="26" t="n">
        <f>4959</f>
        <v>4959.0</v>
      </c>
      <c r="AA37" s="24" t="s">
        <v>34</v>
      </c>
      <c r="AB37" s="26" t="n">
        <f>5323</f>
        <v>5323.0</v>
      </c>
      <c r="AC37" s="25" t="s">
        <v>34</v>
      </c>
      <c r="AD37" s="26" t="n">
        <f>10282</f>
        <v>10282.0</v>
      </c>
    </row>
    <row r="38">
      <c r="A38" s="21" t="s">
        <v>58</v>
      </c>
      <c r="B38" s="22" t="s">
        <v>27</v>
      </c>
      <c r="C38" s="22" t="s">
        <v>28</v>
      </c>
      <c r="D38" s="23" t="s">
        <v>34</v>
      </c>
      <c r="E38" s="26" t="n">
        <f>2379</f>
        <v>2379.0</v>
      </c>
      <c r="F38" s="24"/>
      <c r="G38" s="26" t="n">
        <f>692</f>
        <v>692.0</v>
      </c>
      <c r="H38" s="25" t="s">
        <v>34</v>
      </c>
      <c r="I38" s="26" t="n">
        <f>3071</f>
        <v>3071.0</v>
      </c>
      <c r="J38" s="23" t="s">
        <v>34</v>
      </c>
      <c r="K38" s="26" t="n">
        <f>170050000</f>
        <v>1.7005E8</v>
      </c>
      <c r="L38" s="24"/>
      <c r="M38" s="26" t="n">
        <f>52380000</f>
        <v>5.238E7</v>
      </c>
      <c r="N38" s="25" t="s">
        <v>34</v>
      </c>
      <c r="O38" s="26" t="n">
        <f>222430000</f>
        <v>2.2243E8</v>
      </c>
      <c r="P38" s="27" t="n">
        <f>762</f>
        <v>762.0</v>
      </c>
      <c r="Q38" s="28" t="n">
        <f>8</f>
        <v>8.0</v>
      </c>
      <c r="R38" s="29" t="n">
        <f>770</f>
        <v>770.0</v>
      </c>
      <c r="S38" s="23"/>
      <c r="T38" s="26" t="n">
        <f>25</f>
        <v>25.0</v>
      </c>
      <c r="U38" s="24"/>
      <c r="V38" s="26" t="n">
        <f>50</f>
        <v>50.0</v>
      </c>
      <c r="W38" s="25"/>
      <c r="X38" s="26" t="n">
        <f>75</f>
        <v>75.0</v>
      </c>
      <c r="Y38" s="23"/>
      <c r="Z38" s="26" t="n">
        <f>3697</f>
        <v>3697.0</v>
      </c>
      <c r="AA38" s="24" t="s">
        <v>32</v>
      </c>
      <c r="AB38" s="26" t="n">
        <f>1922</f>
        <v>1922.0</v>
      </c>
      <c r="AC38" s="25"/>
      <c r="AD38" s="26" t="n">
        <f>5619</f>
        <v>5619.0</v>
      </c>
    </row>
    <row r="39">
      <c r="A39" s="21" t="s">
        <v>59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60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