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<sst xmlns="http://schemas.openxmlformats.org/spreadsheetml/2006/main" count="1716" uniqueCount="84">
  <si>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</si>
  <si>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</si>
  <si>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</si>
  <si>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</si>
  <si>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</si>
  <si>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</si>
  <si>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</si>
  <si>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</si>
  <si>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</si>
  <si>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</si>
  <si>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</si>
  <si>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</si>
  <si>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</si>
  <si>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</si>
  <si>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</si>
  <si>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</si>
  <si>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1.1</t>
  </si>
  <si>
    <t>日経225先物</t>
  </si>
  <si>
    <t>Nikkei 225 Futures</t>
  </si>
  <si>
    <t>2</t>
  </si>
  <si>
    <t>3</t>
  </si>
  <si>
    <t>4</t>
  </si>
  <si>
    <t>5</t>
  </si>
  <si>
    <t>6</t>
  </si>
  <si>
    <t>●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</si>
  <si>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</si>
  <si>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</si>
  <si>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</si>
  <si>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</si>
  <si>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</si>
  <si>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</si>
  <si>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</si>
  <si>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</si>
  <si>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</si>
  <si>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</si>
  <si>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</si>
  <si>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</si>
  <si>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</si>
  <si>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</si>
  <si>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</si>
  <si>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</si>
  <si>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</si>
  <si>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</si>
  <si>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</si>
  <si>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</si>
  <si>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</si>
  <si>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</si>
  <si>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◎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</si>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</sst>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32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/>
      <c r="F6" s="10"/>
      <c r="G6" s="2"/>
      <c r="H6" s="10"/>
      <c r="I6" s="2"/>
      <c r="J6" s="10"/>
      <c r="K6" s="2"/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 t="n">
        <f>74055</f>
        <v>74055.0</v>
      </c>
      <c r="F9" s="10"/>
      <c r="G9" s="2" t="n">
        <f>2020980034553</f>
        <v>2.020980034553E12</v>
      </c>
      <c r="H9" s="10"/>
      <c r="I9" s="2" t="n">
        <f>7229</f>
        <v>7229.0</v>
      </c>
      <c r="J9" s="10"/>
      <c r="K9" s="2" t="n">
        <f>304966</f>
        <v>304966.0</v>
      </c>
    </row>
    <row r="10">
      <c r="A10" s="8" t="s">
        <v>22</v>
      </c>
      <c r="B10" s="9" t="s">
        <v>17</v>
      </c>
      <c r="C10" s="9" t="s">
        <v>18</v>
      </c>
      <c r="D10" s="10"/>
      <c r="E10" s="2" t="n">
        <f>65508</f>
        <v>65508.0</v>
      </c>
      <c r="F10" s="10"/>
      <c r="G10" s="2" t="n">
        <f>1780381039580</f>
        <v>1.78038103958E12</v>
      </c>
      <c r="H10" s="10"/>
      <c r="I10" s="2" t="n">
        <f>7605</f>
        <v>7605.0</v>
      </c>
      <c r="J10" s="10"/>
      <c r="K10" s="2" t="n">
        <f>305256</f>
        <v>305256.0</v>
      </c>
    </row>
    <row r="11">
      <c r="A11" s="8" t="s">
        <v>23</v>
      </c>
      <c r="B11" s="9" t="s">
        <v>17</v>
      </c>
      <c r="C11" s="9" t="s">
        <v>18</v>
      </c>
      <c r="D11" s="10"/>
      <c r="E11" s="2" t="n">
        <f>71616</f>
        <v>71616.0</v>
      </c>
      <c r="F11" s="10"/>
      <c r="G11" s="2" t="n">
        <f>1937988408598</f>
        <v>1.937988408598E12</v>
      </c>
      <c r="H11" s="10"/>
      <c r="I11" s="2" t="n">
        <f>6116</f>
        <v>6116.0</v>
      </c>
      <c r="J11" s="10" t="s">
        <v>24</v>
      </c>
      <c r="K11" s="2" t="n">
        <f>302125</f>
        <v>302125.0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82159</f>
        <v>82159.0</v>
      </c>
      <c r="F12" s="10"/>
      <c r="G12" s="2" t="n">
        <f>2248721084960</f>
        <v>2.24872108496E12</v>
      </c>
      <c r="H12" s="10"/>
      <c r="I12" s="2" t="n">
        <f>7299</f>
        <v>7299.0</v>
      </c>
      <c r="J12" s="10"/>
      <c r="K12" s="2" t="n">
        <f>303804</f>
        <v>303804.0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91843</f>
        <v>91843.0</v>
      </c>
      <c r="F13" s="10"/>
      <c r="G13" s="2" t="n">
        <f>2556905170100</f>
        <v>2.5569051701E12</v>
      </c>
      <c r="H13" s="10"/>
      <c r="I13" s="2" t="n">
        <f>11873</f>
        <v>11873.0</v>
      </c>
      <c r="J13" s="10"/>
      <c r="K13" s="2" t="n">
        <f>306825</f>
        <v>306825.0</v>
      </c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30</v>
      </c>
      <c r="B17" s="9" t="s">
        <v>17</v>
      </c>
      <c r="C17" s="9" t="s">
        <v>18</v>
      </c>
      <c r="D17" s="10"/>
      <c r="E17" s="2" t="n">
        <f>81717</f>
        <v>81717.0</v>
      </c>
      <c r="F17" s="10"/>
      <c r="G17" s="2" t="n">
        <f>2298715356130</f>
        <v>2.29871535613E12</v>
      </c>
      <c r="H17" s="10"/>
      <c r="I17" s="2" t="n">
        <f>9664</f>
        <v>9664.0</v>
      </c>
      <c r="J17" s="10"/>
      <c r="K17" s="2" t="n">
        <f>306609</f>
        <v>306609.0</v>
      </c>
    </row>
    <row r="18">
      <c r="A18" s="8" t="s">
        <v>31</v>
      </c>
      <c r="B18" s="9" t="s">
        <v>17</v>
      </c>
      <c r="C18" s="9" t="s">
        <v>18</v>
      </c>
      <c r="D18" s="10"/>
      <c r="E18" s="2" t="n">
        <f>59536</f>
        <v>59536.0</v>
      </c>
      <c r="F18" s="10"/>
      <c r="G18" s="2" t="n">
        <f>1684179078820</f>
        <v>1.68417907882E12</v>
      </c>
      <c r="H18" s="10"/>
      <c r="I18" s="2" t="n">
        <f>5720</f>
        <v>5720.0</v>
      </c>
      <c r="J18" s="10"/>
      <c r="K18" s="2" t="n">
        <f>307150</f>
        <v>307150.0</v>
      </c>
    </row>
    <row r="19">
      <c r="A19" s="8" t="s">
        <v>32</v>
      </c>
      <c r="B19" s="9" t="s">
        <v>17</v>
      </c>
      <c r="C19" s="9" t="s">
        <v>18</v>
      </c>
      <c r="D19" s="10"/>
      <c r="E19" s="2" t="n">
        <f>103744</f>
        <v>103744.0</v>
      </c>
      <c r="F19" s="10"/>
      <c r="G19" s="2" t="n">
        <f>2975983061535</f>
        <v>2.975983061535E12</v>
      </c>
      <c r="H19" s="10"/>
      <c r="I19" s="2" t="n">
        <f>11756</f>
        <v>11756.0</v>
      </c>
      <c r="J19" s="10"/>
      <c r="K19" s="2" t="n">
        <f>311093</f>
        <v>311093.0</v>
      </c>
    </row>
    <row r="20">
      <c r="A20" s="8" t="s">
        <v>33</v>
      </c>
      <c r="B20" s="9" t="s">
        <v>17</v>
      </c>
      <c r="C20" s="9" t="s">
        <v>18</v>
      </c>
      <c r="D20" s="10"/>
      <c r="E20" s="2" t="n">
        <f>74583</f>
        <v>74583.0</v>
      </c>
      <c r="F20" s="10"/>
      <c r="G20" s="2" t="n">
        <f>2138121981250</f>
        <v>2.13812198125E12</v>
      </c>
      <c r="H20" s="10"/>
      <c r="I20" s="2" t="n">
        <f>8974</f>
        <v>8974.0</v>
      </c>
      <c r="J20" s="10"/>
      <c r="K20" s="2" t="n">
        <f>312699</f>
        <v>312699.0</v>
      </c>
    </row>
    <row r="21">
      <c r="A21" s="8" t="s">
        <v>34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35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36</v>
      </c>
      <c r="B23" s="9" t="s">
        <v>17</v>
      </c>
      <c r="C23" s="9" t="s">
        <v>18</v>
      </c>
      <c r="D23" s="10"/>
      <c r="E23" s="2" t="n">
        <f>63166</f>
        <v>63166.0</v>
      </c>
      <c r="F23" s="10"/>
      <c r="G23" s="2" t="n">
        <f>1785751719531</f>
        <v>1.785751719531E12</v>
      </c>
      <c r="H23" s="10"/>
      <c r="I23" s="2" t="n">
        <f>7817</f>
        <v>7817.0</v>
      </c>
      <c r="J23" s="10"/>
      <c r="K23" s="2" t="n">
        <f>314335</f>
        <v>314335.0</v>
      </c>
    </row>
    <row r="24">
      <c r="A24" s="8" t="s">
        <v>37</v>
      </c>
      <c r="B24" s="9" t="s">
        <v>17</v>
      </c>
      <c r="C24" s="9" t="s">
        <v>18</v>
      </c>
      <c r="D24" s="10"/>
      <c r="E24" s="2" t="n">
        <f>55349</f>
        <v>55349.0</v>
      </c>
      <c r="F24" s="10"/>
      <c r="G24" s="2" t="n">
        <f>1578528038210</f>
        <v>1.57852803821E12</v>
      </c>
      <c r="H24" s="10"/>
      <c r="I24" s="2" t="n">
        <f>7596</f>
        <v>7596.0</v>
      </c>
      <c r="J24" s="10"/>
      <c r="K24" s="2" t="n">
        <f>315182</f>
        <v>315182.0</v>
      </c>
    </row>
    <row r="25">
      <c r="A25" s="8" t="s">
        <v>38</v>
      </c>
      <c r="B25" s="9" t="s">
        <v>17</v>
      </c>
      <c r="C25" s="9" t="s">
        <v>18</v>
      </c>
      <c r="D25" s="10"/>
      <c r="E25" s="2" t="n">
        <f>67820</f>
        <v>67820.0</v>
      </c>
      <c r="F25" s="10"/>
      <c r="G25" s="2" t="n">
        <f>1936208251710</f>
        <v>1.93620825171E12</v>
      </c>
      <c r="H25" s="10"/>
      <c r="I25" s="2" t="n">
        <f>7557</f>
        <v>7557.0</v>
      </c>
      <c r="J25" s="10"/>
      <c r="K25" s="2" t="n">
        <f>319097</f>
        <v>319097.0</v>
      </c>
    </row>
    <row r="26">
      <c r="A26" s="8" t="s">
        <v>39</v>
      </c>
      <c r="B26" s="9" t="s">
        <v>17</v>
      </c>
      <c r="C26" s="9" t="s">
        <v>18</v>
      </c>
      <c r="D26" s="10" t="s">
        <v>24</v>
      </c>
      <c r="E26" s="2" t="n">
        <f>48595</f>
        <v>48595.0</v>
      </c>
      <c r="F26" s="10" t="s">
        <v>24</v>
      </c>
      <c r="G26" s="2" t="n">
        <f>1393414921870</f>
        <v>1.39341492187E12</v>
      </c>
      <c r="H26" s="10"/>
      <c r="I26" s="2" t="n">
        <f>5903</f>
        <v>5903.0</v>
      </c>
      <c r="J26" s="10"/>
      <c r="K26" s="2" t="n">
        <f>315391</f>
        <v>315391.0</v>
      </c>
    </row>
    <row r="27">
      <c r="A27" s="8" t="s">
        <v>40</v>
      </c>
      <c r="B27" s="9" t="s">
        <v>17</v>
      </c>
      <c r="C27" s="9" t="s">
        <v>18</v>
      </c>
      <c r="D27" s="10"/>
      <c r="E27" s="2" t="n">
        <f>51011</f>
        <v>51011.0</v>
      </c>
      <c r="F27" s="10"/>
      <c r="G27" s="2" t="n">
        <f>1459021639285</f>
        <v>1.459021639285E12</v>
      </c>
      <c r="H27" s="10" t="s">
        <v>24</v>
      </c>
      <c r="I27" s="2" t="n">
        <f>4191</f>
        <v>4191.0</v>
      </c>
      <c r="J27" s="10"/>
      <c r="K27" s="2" t="n">
        <f>314580</f>
        <v>314580.0</v>
      </c>
    </row>
    <row r="28">
      <c r="A28" s="8" t="s">
        <v>41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42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43</v>
      </c>
      <c r="B30" s="9" t="s">
        <v>17</v>
      </c>
      <c r="C30" s="9" t="s">
        <v>18</v>
      </c>
      <c r="D30" s="10"/>
      <c r="E30" s="2" t="n">
        <f>51174</f>
        <v>51174.0</v>
      </c>
      <c r="F30" s="10"/>
      <c r="G30" s="2" t="n">
        <f>1465517832810</f>
        <v>1.46551783281E12</v>
      </c>
      <c r="H30" s="10"/>
      <c r="I30" s="2" t="n">
        <f>4487</f>
        <v>4487.0</v>
      </c>
      <c r="J30" s="10"/>
      <c r="K30" s="2" t="n">
        <f>313003</f>
        <v>313003.0</v>
      </c>
    </row>
    <row r="31">
      <c r="A31" s="8" t="s">
        <v>44</v>
      </c>
      <c r="B31" s="9" t="s">
        <v>17</v>
      </c>
      <c r="C31" s="9" t="s">
        <v>18</v>
      </c>
      <c r="D31" s="10"/>
      <c r="E31" s="2" t="n">
        <f>60191</f>
        <v>60191.0</v>
      </c>
      <c r="F31" s="10"/>
      <c r="G31" s="2" t="n">
        <f>1722157979250</f>
        <v>1.72215797925E12</v>
      </c>
      <c r="H31" s="10"/>
      <c r="I31" s="2" t="n">
        <f>5695</f>
        <v>5695.0</v>
      </c>
      <c r="J31" s="10"/>
      <c r="K31" s="2" t="n">
        <f>317383</f>
        <v>317383.0</v>
      </c>
    </row>
    <row r="32">
      <c r="A32" s="8" t="s">
        <v>45</v>
      </c>
      <c r="B32" s="9" t="s">
        <v>17</v>
      </c>
      <c r="C32" s="9" t="s">
        <v>18</v>
      </c>
      <c r="D32" s="10"/>
      <c r="E32" s="2" t="n">
        <f>51539</f>
        <v>51539.0</v>
      </c>
      <c r="F32" s="10"/>
      <c r="G32" s="2" t="n">
        <f>1473939019540</f>
        <v>1.47393901954E12</v>
      </c>
      <c r="H32" s="10"/>
      <c r="I32" s="2" t="n">
        <f>7752</f>
        <v>7752.0</v>
      </c>
      <c r="J32" s="10"/>
      <c r="K32" s="2" t="n">
        <f>315255</f>
        <v>315255.0</v>
      </c>
    </row>
    <row r="33">
      <c r="A33" s="8" t="s">
        <v>46</v>
      </c>
      <c r="B33" s="9" t="s">
        <v>17</v>
      </c>
      <c r="C33" s="9" t="s">
        <v>18</v>
      </c>
      <c r="D33" s="10"/>
      <c r="E33" s="2" t="n">
        <f>101505</f>
        <v>101505.0</v>
      </c>
      <c r="F33" s="10"/>
      <c r="G33" s="2" t="n">
        <f>2865499090185</f>
        <v>2.865499090185E12</v>
      </c>
      <c r="H33" s="10" t="s">
        <v>47</v>
      </c>
      <c r="I33" s="2" t="n">
        <f>15205</f>
        <v>15205.0</v>
      </c>
      <c r="J33" s="10"/>
      <c r="K33" s="2" t="n">
        <f>321813</f>
        <v>321813.0</v>
      </c>
    </row>
    <row r="34">
      <c r="A34" s="8" t="s">
        <v>48</v>
      </c>
      <c r="B34" s="9" t="s">
        <v>17</v>
      </c>
      <c r="C34" s="9" t="s">
        <v>18</v>
      </c>
      <c r="D34" s="10" t="s">
        <v>47</v>
      </c>
      <c r="E34" s="2" t="n">
        <f>112497</f>
        <v>112497.0</v>
      </c>
      <c r="F34" s="10" t="s">
        <v>47</v>
      </c>
      <c r="G34" s="2" t="n">
        <f>3148573335322</f>
        <v>3.148573335322E12</v>
      </c>
      <c r="H34" s="10"/>
      <c r="I34" s="2" t="n">
        <f>13040</f>
        <v>13040.0</v>
      </c>
      <c r="J34" s="10" t="s">
        <v>47</v>
      </c>
      <c r="K34" s="2" t="n">
        <f>326605</f>
        <v>326605.0</v>
      </c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/>
      <c r="F36" s="10"/>
      <c r="G36" s="2"/>
      <c r="H36" s="10"/>
      <c r="I36" s="2"/>
      <c r="J36" s="10"/>
      <c r="K36" s="2"/>
    </row>
    <row r="37">
      <c r="A37" s="8" t="s">
        <v>16</v>
      </c>
      <c r="B37" s="9" t="s">
        <v>51</v>
      </c>
      <c r="C37" s="9" t="s">
        <v>52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19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20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21</v>
      </c>
      <c r="B40" s="9" t="s">
        <v>51</v>
      </c>
      <c r="C40" s="9" t="s">
        <v>52</v>
      </c>
      <c r="D40" s="10"/>
      <c r="E40" s="2" t="n">
        <f>935331</f>
        <v>935331.0</v>
      </c>
      <c r="F40" s="10"/>
      <c r="G40" s="2" t="n">
        <f>2553948571634</f>
        <v>2.553948571634E12</v>
      </c>
      <c r="H40" s="10"/>
      <c r="I40" s="2" t="n">
        <f>116097</f>
        <v>116097.0</v>
      </c>
      <c r="J40" s="10"/>
      <c r="K40" s="2" t="n">
        <f>374995</f>
        <v>374995.0</v>
      </c>
    </row>
    <row r="41">
      <c r="A41" s="8" t="s">
        <v>22</v>
      </c>
      <c r="B41" s="9" t="s">
        <v>51</v>
      </c>
      <c r="C41" s="9" t="s">
        <v>52</v>
      </c>
      <c r="D41" s="10"/>
      <c r="E41" s="2" t="n">
        <f>865311</f>
        <v>865311.0</v>
      </c>
      <c r="F41" s="10"/>
      <c r="G41" s="2" t="n">
        <f>2353927361358</f>
        <v>2.353927361358E12</v>
      </c>
      <c r="H41" s="10"/>
      <c r="I41" s="2" t="n">
        <f>117513</f>
        <v>117513.0</v>
      </c>
      <c r="J41" s="10"/>
      <c r="K41" s="2" t="n">
        <f>396862</f>
        <v>396862.0</v>
      </c>
    </row>
    <row r="42">
      <c r="A42" s="8" t="s">
        <v>23</v>
      </c>
      <c r="B42" s="9" t="s">
        <v>51</v>
      </c>
      <c r="C42" s="9" t="s">
        <v>52</v>
      </c>
      <c r="D42" s="10"/>
      <c r="E42" s="2" t="n">
        <f>1016490</f>
        <v>1016490.0</v>
      </c>
      <c r="F42" s="10"/>
      <c r="G42" s="2" t="n">
        <f>2751857888642</f>
        <v>2.751857888642E12</v>
      </c>
      <c r="H42" s="10"/>
      <c r="I42" s="2" t="n">
        <f>122745</f>
        <v>122745.0</v>
      </c>
      <c r="J42" s="10"/>
      <c r="K42" s="2" t="n">
        <f>405944</f>
        <v>405944.0</v>
      </c>
    </row>
    <row r="43">
      <c r="A43" s="8" t="s">
        <v>25</v>
      </c>
      <c r="B43" s="9" t="s">
        <v>51</v>
      </c>
      <c r="C43" s="9" t="s">
        <v>52</v>
      </c>
      <c r="D43" s="10"/>
      <c r="E43" s="2" t="n">
        <f>1099837</f>
        <v>1099837.0</v>
      </c>
      <c r="F43" s="10"/>
      <c r="G43" s="2" t="n">
        <f>3006964071857</f>
        <v>3.006964071857E12</v>
      </c>
      <c r="H43" s="10"/>
      <c r="I43" s="2" t="n">
        <f>133881</f>
        <v>133881.0</v>
      </c>
      <c r="J43" s="10"/>
      <c r="K43" s="2" t="n">
        <f>419315</f>
        <v>419315.0</v>
      </c>
    </row>
    <row r="44">
      <c r="A44" s="8" t="s">
        <v>26</v>
      </c>
      <c r="B44" s="9" t="s">
        <v>51</v>
      </c>
      <c r="C44" s="9" t="s">
        <v>52</v>
      </c>
      <c r="D44" s="10"/>
      <c r="E44" s="2" t="n">
        <f>1014837</f>
        <v>1014837.0</v>
      </c>
      <c r="F44" s="10"/>
      <c r="G44" s="2" t="n">
        <f>2819276920926</f>
        <v>2.819276920926E12</v>
      </c>
      <c r="H44" s="10"/>
      <c r="I44" s="2" t="n">
        <f>141756</f>
        <v>141756.0</v>
      </c>
      <c r="J44" s="10" t="s">
        <v>47</v>
      </c>
      <c r="K44" s="2" t="n">
        <f>439085</f>
        <v>439085.0</v>
      </c>
    </row>
    <row r="45">
      <c r="A45" s="8" t="s">
        <v>27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28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29</v>
      </c>
      <c r="B47" s="9" t="s">
        <v>51</v>
      </c>
      <c r="C47" s="9" t="s">
        <v>52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30</v>
      </c>
      <c r="B48" s="9" t="s">
        <v>51</v>
      </c>
      <c r="C48" s="9" t="s">
        <v>52</v>
      </c>
      <c r="D48" s="10"/>
      <c r="E48" s="2" t="n">
        <f>1003574</f>
        <v>1003574.0</v>
      </c>
      <c r="F48" s="10"/>
      <c r="G48" s="2" t="n">
        <f>2823887446468</f>
        <v>2.823887446468E12</v>
      </c>
      <c r="H48" s="10"/>
      <c r="I48" s="2" t="n">
        <f>136122</f>
        <v>136122.0</v>
      </c>
      <c r="J48" s="10" t="s">
        <v>24</v>
      </c>
      <c r="K48" s="2" t="n">
        <f>293922</f>
        <v>293922.0</v>
      </c>
    </row>
    <row r="49">
      <c r="A49" s="8" t="s">
        <v>31</v>
      </c>
      <c r="B49" s="9" t="s">
        <v>51</v>
      </c>
      <c r="C49" s="9" t="s">
        <v>52</v>
      </c>
      <c r="D49" s="10"/>
      <c r="E49" s="2" t="n">
        <f>743918</f>
        <v>743918.0</v>
      </c>
      <c r="F49" s="10"/>
      <c r="G49" s="2" t="n">
        <f>2102610588893</f>
        <v>2.102610588893E12</v>
      </c>
      <c r="H49" s="10"/>
      <c r="I49" s="2" t="n">
        <f>103191</f>
        <v>103191.0</v>
      </c>
      <c r="J49" s="10"/>
      <c r="K49" s="2" t="n">
        <f>295551</f>
        <v>295551.0</v>
      </c>
    </row>
    <row r="50">
      <c r="A50" s="8" t="s">
        <v>32</v>
      </c>
      <c r="B50" s="9" t="s">
        <v>51</v>
      </c>
      <c r="C50" s="9" t="s">
        <v>52</v>
      </c>
      <c r="D50" s="10"/>
      <c r="E50" s="2" t="n">
        <f>1166531</f>
        <v>1166531.0</v>
      </c>
      <c r="F50" s="10"/>
      <c r="G50" s="2" t="n">
        <f>3343098880925</f>
        <v>3.343098880925E12</v>
      </c>
      <c r="H50" s="10"/>
      <c r="I50" s="2" t="n">
        <f>173458</f>
        <v>173458.0</v>
      </c>
      <c r="J50" s="10"/>
      <c r="K50" s="2" t="n">
        <f>308260</f>
        <v>308260.0</v>
      </c>
    </row>
    <row r="51">
      <c r="A51" s="8" t="s">
        <v>33</v>
      </c>
      <c r="B51" s="9" t="s">
        <v>51</v>
      </c>
      <c r="C51" s="9" t="s">
        <v>52</v>
      </c>
      <c r="D51" s="10"/>
      <c r="E51" s="2" t="n">
        <f>914021</f>
        <v>914021.0</v>
      </c>
      <c r="F51" s="10"/>
      <c r="G51" s="2" t="n">
        <f>2623640867675</f>
        <v>2.623640867675E12</v>
      </c>
      <c r="H51" s="10"/>
      <c r="I51" s="2" t="n">
        <f>128056</f>
        <v>128056.0</v>
      </c>
      <c r="J51" s="10"/>
      <c r="K51" s="2" t="n">
        <f>319300</f>
        <v>319300.0</v>
      </c>
    </row>
    <row r="52">
      <c r="A52" s="8" t="s">
        <v>34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35</v>
      </c>
      <c r="B53" s="9" t="s">
        <v>51</v>
      </c>
      <c r="C53" s="9" t="s">
        <v>52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36</v>
      </c>
      <c r="B54" s="9" t="s">
        <v>51</v>
      </c>
      <c r="C54" s="9" t="s">
        <v>52</v>
      </c>
      <c r="D54" s="10"/>
      <c r="E54" s="2" t="n">
        <f>933131</f>
        <v>933131.0</v>
      </c>
      <c r="F54" s="10"/>
      <c r="G54" s="2" t="n">
        <f>2640398024799</f>
        <v>2.640398024799E12</v>
      </c>
      <c r="H54" s="10"/>
      <c r="I54" s="2" t="n">
        <f>137272</f>
        <v>137272.0</v>
      </c>
      <c r="J54" s="10"/>
      <c r="K54" s="2" t="n">
        <f>323194</f>
        <v>323194.0</v>
      </c>
    </row>
    <row r="55">
      <c r="A55" s="8" t="s">
        <v>37</v>
      </c>
      <c r="B55" s="9" t="s">
        <v>51</v>
      </c>
      <c r="C55" s="9" t="s">
        <v>52</v>
      </c>
      <c r="D55" s="10"/>
      <c r="E55" s="2" t="n">
        <f>651825</f>
        <v>651825.0</v>
      </c>
      <c r="F55" s="10"/>
      <c r="G55" s="2" t="n">
        <f>1858267073725</f>
        <v>1.858267073725E12</v>
      </c>
      <c r="H55" s="10"/>
      <c r="I55" s="2" t="n">
        <f>98399</f>
        <v>98399.0</v>
      </c>
      <c r="J55" s="10"/>
      <c r="K55" s="2" t="n">
        <f>329649</f>
        <v>329649.0</v>
      </c>
    </row>
    <row r="56">
      <c r="A56" s="8" t="s">
        <v>38</v>
      </c>
      <c r="B56" s="9" t="s">
        <v>51</v>
      </c>
      <c r="C56" s="9" t="s">
        <v>52</v>
      </c>
      <c r="D56" s="10"/>
      <c r="E56" s="2" t="n">
        <f>870936</f>
        <v>870936.0</v>
      </c>
      <c r="F56" s="10"/>
      <c r="G56" s="2" t="n">
        <f>2490207271854</f>
        <v>2.490207271854E12</v>
      </c>
      <c r="H56" s="10"/>
      <c r="I56" s="2" t="n">
        <f>134483</f>
        <v>134483.0</v>
      </c>
      <c r="J56" s="10"/>
      <c r="K56" s="2" t="n">
        <f>342278</f>
        <v>342278.0</v>
      </c>
    </row>
    <row r="57">
      <c r="A57" s="8" t="s">
        <v>39</v>
      </c>
      <c r="B57" s="9" t="s">
        <v>51</v>
      </c>
      <c r="C57" s="9" t="s">
        <v>52</v>
      </c>
      <c r="D57" s="10"/>
      <c r="E57" s="2" t="n">
        <f>662296</f>
        <v>662296.0</v>
      </c>
      <c r="F57" s="10"/>
      <c r="G57" s="2" t="n">
        <f>1898929982738</f>
        <v>1.898929982738E12</v>
      </c>
      <c r="H57" s="10"/>
      <c r="I57" s="2" t="n">
        <f>100173</f>
        <v>100173.0</v>
      </c>
      <c r="J57" s="10"/>
      <c r="K57" s="2" t="n">
        <f>350749</f>
        <v>350749.0</v>
      </c>
    </row>
    <row r="58">
      <c r="A58" s="8" t="s">
        <v>40</v>
      </c>
      <c r="B58" s="9" t="s">
        <v>51</v>
      </c>
      <c r="C58" s="9" t="s">
        <v>52</v>
      </c>
      <c r="D58" s="10" t="s">
        <v>24</v>
      </c>
      <c r="E58" s="2" t="n">
        <f>630725</f>
        <v>630725.0</v>
      </c>
      <c r="F58" s="10" t="s">
        <v>24</v>
      </c>
      <c r="G58" s="2" t="n">
        <f>1805341088351</f>
        <v>1.805341088351E12</v>
      </c>
      <c r="H58" s="10" t="s">
        <v>24</v>
      </c>
      <c r="I58" s="2" t="n">
        <f>92336</f>
        <v>92336.0</v>
      </c>
      <c r="J58" s="10"/>
      <c r="K58" s="2" t="n">
        <f>362420</f>
        <v>362420.0</v>
      </c>
    </row>
    <row r="59">
      <c r="A59" s="8" t="s">
        <v>41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42</v>
      </c>
      <c r="B60" s="9" t="s">
        <v>51</v>
      </c>
      <c r="C60" s="9" t="s">
        <v>52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43</v>
      </c>
      <c r="B61" s="9" t="s">
        <v>51</v>
      </c>
      <c r="C61" s="9" t="s">
        <v>52</v>
      </c>
      <c r="D61" s="10"/>
      <c r="E61" s="2" t="n">
        <f>716685</f>
        <v>716685.0</v>
      </c>
      <c r="F61" s="10"/>
      <c r="G61" s="2" t="n">
        <f>2050109803515</f>
        <v>2.050109803515E12</v>
      </c>
      <c r="H61" s="10"/>
      <c r="I61" s="2" t="n">
        <f>110084</f>
        <v>110084.0</v>
      </c>
      <c r="J61" s="10"/>
      <c r="K61" s="2" t="n">
        <f>363856</f>
        <v>363856.0</v>
      </c>
    </row>
    <row r="62">
      <c r="A62" s="8" t="s">
        <v>44</v>
      </c>
      <c r="B62" s="9" t="s">
        <v>51</v>
      </c>
      <c r="C62" s="9" t="s">
        <v>52</v>
      </c>
      <c r="D62" s="10"/>
      <c r="E62" s="2" t="n">
        <f>879493</f>
        <v>879493.0</v>
      </c>
      <c r="F62" s="10"/>
      <c r="G62" s="2" t="n">
        <f>2517433588334</f>
        <v>2.517433588334E12</v>
      </c>
      <c r="H62" s="10"/>
      <c r="I62" s="2" t="n">
        <f>127885</f>
        <v>127885.0</v>
      </c>
      <c r="J62" s="10"/>
      <c r="K62" s="2" t="n">
        <f>370806</f>
        <v>370806.0</v>
      </c>
    </row>
    <row r="63">
      <c r="A63" s="8" t="s">
        <v>45</v>
      </c>
      <c r="B63" s="9" t="s">
        <v>51</v>
      </c>
      <c r="C63" s="9" t="s">
        <v>52</v>
      </c>
      <c r="D63" s="10"/>
      <c r="E63" s="2" t="n">
        <f>658508</f>
        <v>658508.0</v>
      </c>
      <c r="F63" s="10"/>
      <c r="G63" s="2" t="n">
        <f>1886687246900</f>
        <v>1.8866872469E12</v>
      </c>
      <c r="H63" s="10"/>
      <c r="I63" s="2" t="n">
        <f>96605</f>
        <v>96605.0</v>
      </c>
      <c r="J63" s="10"/>
      <c r="K63" s="2" t="n">
        <f>366444</f>
        <v>366444.0</v>
      </c>
    </row>
    <row r="64">
      <c r="A64" s="8" t="s">
        <v>46</v>
      </c>
      <c r="B64" s="9" t="s">
        <v>51</v>
      </c>
      <c r="C64" s="9" t="s">
        <v>52</v>
      </c>
      <c r="D64" s="10"/>
      <c r="E64" s="2" t="n">
        <f>1417787</f>
        <v>1417787.0</v>
      </c>
      <c r="F64" s="10"/>
      <c r="G64" s="2" t="n">
        <f>4011462424502</f>
        <v>4.011462424502E12</v>
      </c>
      <c r="H64" s="10"/>
      <c r="I64" s="2" t="n">
        <f>186437</f>
        <v>186437.0</v>
      </c>
      <c r="J64" s="10"/>
      <c r="K64" s="2" t="n">
        <f>383107</f>
        <v>383107.0</v>
      </c>
    </row>
    <row r="65">
      <c r="A65" s="8" t="s">
        <v>48</v>
      </c>
      <c r="B65" s="9" t="s">
        <v>51</v>
      </c>
      <c r="C65" s="9" t="s">
        <v>52</v>
      </c>
      <c r="D65" s="10" t="s">
        <v>47</v>
      </c>
      <c r="E65" s="2" t="n">
        <f>1554956</f>
        <v>1554956.0</v>
      </c>
      <c r="F65" s="10" t="s">
        <v>47</v>
      </c>
      <c r="G65" s="2" t="n">
        <f>4362751579498</f>
        <v>4.362751579498E12</v>
      </c>
      <c r="H65" s="10" t="s">
        <v>47</v>
      </c>
      <c r="I65" s="2" t="n">
        <f>239272</f>
        <v>239272.0</v>
      </c>
      <c r="J65" s="10"/>
      <c r="K65" s="2" t="n">
        <f>388484</f>
        <v>388484.0</v>
      </c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16</v>
      </c>
      <c r="B68" s="9" t="s">
        <v>53</v>
      </c>
      <c r="C68" s="9" t="s">
        <v>54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19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20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21</v>
      </c>
      <c r="B71" s="9" t="s">
        <v>53</v>
      </c>
      <c r="C71" s="9" t="s">
        <v>54</v>
      </c>
      <c r="D71" s="10"/>
      <c r="E71" s="2" t="n">
        <f>70562</f>
        <v>70562.0</v>
      </c>
      <c r="F71" s="10"/>
      <c r="G71" s="2" t="n">
        <f>1265046029300</f>
        <v>1.2650460293E12</v>
      </c>
      <c r="H71" s="10"/>
      <c r="I71" s="2" t="n">
        <f>13193</f>
        <v>13193.0</v>
      </c>
      <c r="J71" s="10"/>
      <c r="K71" s="2" t="n">
        <f>516369</f>
        <v>516369.0</v>
      </c>
    </row>
    <row r="72">
      <c r="A72" s="8" t="s">
        <v>22</v>
      </c>
      <c r="B72" s="9" t="s">
        <v>53</v>
      </c>
      <c r="C72" s="9" t="s">
        <v>54</v>
      </c>
      <c r="D72" s="10"/>
      <c r="E72" s="2" t="n">
        <f>57655</f>
        <v>57655.0</v>
      </c>
      <c r="F72" s="10"/>
      <c r="G72" s="2" t="n">
        <f>1032686604600</f>
        <v>1.0326866046E12</v>
      </c>
      <c r="H72" s="10"/>
      <c r="I72" s="2" t="n">
        <f>11698</f>
        <v>11698.0</v>
      </c>
      <c r="J72" s="10"/>
      <c r="K72" s="2" t="n">
        <f>513812</f>
        <v>513812.0</v>
      </c>
    </row>
    <row r="73">
      <c r="A73" s="8" t="s">
        <v>23</v>
      </c>
      <c r="B73" s="9" t="s">
        <v>53</v>
      </c>
      <c r="C73" s="9" t="s">
        <v>54</v>
      </c>
      <c r="D73" s="10"/>
      <c r="E73" s="2" t="n">
        <f>58979</f>
        <v>58979.0</v>
      </c>
      <c r="F73" s="10"/>
      <c r="G73" s="2" t="n">
        <f>1057964068248</f>
        <v>1.057964068248E12</v>
      </c>
      <c r="H73" s="10"/>
      <c r="I73" s="2" t="n">
        <f>11001</f>
        <v>11001.0</v>
      </c>
      <c r="J73" s="10"/>
      <c r="K73" s="2" t="n">
        <f>516920</f>
        <v>516920.0</v>
      </c>
    </row>
    <row r="74">
      <c r="A74" s="8" t="s">
        <v>25</v>
      </c>
      <c r="B74" s="9" t="s">
        <v>53</v>
      </c>
      <c r="C74" s="9" t="s">
        <v>54</v>
      </c>
      <c r="D74" s="10" t="s">
        <v>47</v>
      </c>
      <c r="E74" s="2" t="n">
        <f>95604</f>
        <v>95604.0</v>
      </c>
      <c r="F74" s="10" t="s">
        <v>47</v>
      </c>
      <c r="G74" s="2" t="n">
        <f>1744250806750</f>
        <v>1.74425080675E12</v>
      </c>
      <c r="H74" s="10"/>
      <c r="I74" s="2" t="n">
        <f>13524</f>
        <v>13524.0</v>
      </c>
      <c r="J74" s="10"/>
      <c r="K74" s="2" t="n">
        <f>521584</f>
        <v>521584.0</v>
      </c>
    </row>
    <row r="75">
      <c r="A75" s="8" t="s">
        <v>26</v>
      </c>
      <c r="B75" s="9" t="s">
        <v>53</v>
      </c>
      <c r="C75" s="9" t="s">
        <v>54</v>
      </c>
      <c r="D75" s="10"/>
      <c r="E75" s="2" t="n">
        <f>91558</f>
        <v>91558.0</v>
      </c>
      <c r="F75" s="10"/>
      <c r="G75" s="2" t="n">
        <f>1685921864498</f>
        <v>1.685921864498E12</v>
      </c>
      <c r="H75" s="10"/>
      <c r="I75" s="2" t="n">
        <f>16708</f>
        <v>16708.0</v>
      </c>
      <c r="J75" s="10"/>
      <c r="K75" s="2" t="n">
        <f>522981</f>
        <v>522981.0</v>
      </c>
    </row>
    <row r="76">
      <c r="A76" s="8" t="s">
        <v>27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28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29</v>
      </c>
      <c r="B78" s="9" t="s">
        <v>53</v>
      </c>
      <c r="C78" s="9" t="s">
        <v>54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30</v>
      </c>
      <c r="B79" s="9" t="s">
        <v>53</v>
      </c>
      <c r="C79" s="9" t="s">
        <v>54</v>
      </c>
      <c r="D79" s="10"/>
      <c r="E79" s="2" t="n">
        <f>60409</f>
        <v>60409.0</v>
      </c>
      <c r="F79" s="10"/>
      <c r="G79" s="2" t="n">
        <f>1120479373700</f>
        <v>1.1204793737E12</v>
      </c>
      <c r="H79" s="10"/>
      <c r="I79" s="2" t="n">
        <f>14316</f>
        <v>14316.0</v>
      </c>
      <c r="J79" s="10" t="s">
        <v>47</v>
      </c>
      <c r="K79" s="2" t="n">
        <f>523859</f>
        <v>523859.0</v>
      </c>
    </row>
    <row r="80">
      <c r="A80" s="8" t="s">
        <v>31</v>
      </c>
      <c r="B80" s="9" t="s">
        <v>53</v>
      </c>
      <c r="C80" s="9" t="s">
        <v>54</v>
      </c>
      <c r="D80" s="10"/>
      <c r="E80" s="2" t="n">
        <f>51347</f>
        <v>51347.0</v>
      </c>
      <c r="F80" s="10"/>
      <c r="G80" s="2" t="n">
        <f>954482932302</f>
        <v>9.54482932302E11</v>
      </c>
      <c r="H80" s="10"/>
      <c r="I80" s="2" t="n">
        <f>8414</f>
        <v>8414.0</v>
      </c>
      <c r="J80" s="10"/>
      <c r="K80" s="2" t="n">
        <f>519739</f>
        <v>519739.0</v>
      </c>
    </row>
    <row r="81">
      <c r="A81" s="8" t="s">
        <v>32</v>
      </c>
      <c r="B81" s="9" t="s">
        <v>53</v>
      </c>
      <c r="C81" s="9" t="s">
        <v>54</v>
      </c>
      <c r="D81" s="10"/>
      <c r="E81" s="2" t="n">
        <f>66140</f>
        <v>66140.0</v>
      </c>
      <c r="F81" s="10"/>
      <c r="G81" s="2" t="n">
        <f>1238049067000</f>
        <v>1.238049067E12</v>
      </c>
      <c r="H81" s="10"/>
      <c r="I81" s="2" t="n">
        <f>10401</f>
        <v>10401.0</v>
      </c>
      <c r="J81" s="10"/>
      <c r="K81" s="2" t="n">
        <f>520782</f>
        <v>520782.0</v>
      </c>
    </row>
    <row r="82">
      <c r="A82" s="8" t="s">
        <v>33</v>
      </c>
      <c r="B82" s="9" t="s">
        <v>53</v>
      </c>
      <c r="C82" s="9" t="s">
        <v>54</v>
      </c>
      <c r="D82" s="10"/>
      <c r="E82" s="2" t="n">
        <f>67484</f>
        <v>67484.0</v>
      </c>
      <c r="F82" s="10"/>
      <c r="G82" s="2" t="n">
        <f>1258879637800</f>
        <v>1.2588796378E12</v>
      </c>
      <c r="H82" s="10"/>
      <c r="I82" s="2" t="n">
        <f>11425</f>
        <v>11425.0</v>
      </c>
      <c r="J82" s="10"/>
      <c r="K82" s="2" t="n">
        <f>520555</f>
        <v>520555.0</v>
      </c>
    </row>
    <row r="83">
      <c r="A83" s="8" t="s">
        <v>34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35</v>
      </c>
      <c r="B84" s="9" t="s">
        <v>53</v>
      </c>
      <c r="C84" s="9" t="s">
        <v>54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36</v>
      </c>
      <c r="B85" s="9" t="s">
        <v>53</v>
      </c>
      <c r="C85" s="9" t="s">
        <v>54</v>
      </c>
      <c r="D85" s="10"/>
      <c r="E85" s="2" t="n">
        <f>47927</f>
        <v>47927.0</v>
      </c>
      <c r="F85" s="10"/>
      <c r="G85" s="2" t="n">
        <f>884823781500</f>
        <v>8.848237815E11</v>
      </c>
      <c r="H85" s="10" t="s">
        <v>24</v>
      </c>
      <c r="I85" s="2" t="n">
        <f>6014</f>
        <v>6014.0</v>
      </c>
      <c r="J85" s="10"/>
      <c r="K85" s="2" t="n">
        <f>516386</f>
        <v>516386.0</v>
      </c>
    </row>
    <row r="86">
      <c r="A86" s="8" t="s">
        <v>37</v>
      </c>
      <c r="B86" s="9" t="s">
        <v>53</v>
      </c>
      <c r="C86" s="9" t="s">
        <v>54</v>
      </c>
      <c r="D86" s="10"/>
      <c r="E86" s="2" t="n">
        <f>45540</f>
        <v>45540.0</v>
      </c>
      <c r="F86" s="10"/>
      <c r="G86" s="2" t="n">
        <f>843944795315</f>
        <v>8.43944795315E11</v>
      </c>
      <c r="H86" s="10"/>
      <c r="I86" s="2" t="n">
        <f>6872</f>
        <v>6872.0</v>
      </c>
      <c r="J86" s="10"/>
      <c r="K86" s="2" t="n">
        <f>514541</f>
        <v>514541.0</v>
      </c>
    </row>
    <row r="87">
      <c r="A87" s="8" t="s">
        <v>38</v>
      </c>
      <c r="B87" s="9" t="s">
        <v>53</v>
      </c>
      <c r="C87" s="9" t="s">
        <v>54</v>
      </c>
      <c r="D87" s="10"/>
      <c r="E87" s="2" t="n">
        <f>55534</f>
        <v>55534.0</v>
      </c>
      <c r="F87" s="10"/>
      <c r="G87" s="2" t="n">
        <f>1026852924114</f>
        <v>1.026852924114E12</v>
      </c>
      <c r="H87" s="10"/>
      <c r="I87" s="2" t="n">
        <f>10149</f>
        <v>10149.0</v>
      </c>
      <c r="J87" s="10"/>
      <c r="K87" s="2" t="n">
        <f>515948</f>
        <v>515948.0</v>
      </c>
    </row>
    <row r="88">
      <c r="A88" s="8" t="s">
        <v>39</v>
      </c>
      <c r="B88" s="9" t="s">
        <v>53</v>
      </c>
      <c r="C88" s="9" t="s">
        <v>54</v>
      </c>
      <c r="D88" s="10"/>
      <c r="E88" s="2" t="n">
        <f>53464</f>
        <v>53464.0</v>
      </c>
      <c r="F88" s="10"/>
      <c r="G88" s="2" t="n">
        <f>994010958750</f>
        <v>9.9401095875E11</v>
      </c>
      <c r="H88" s="10"/>
      <c r="I88" s="2" t="n">
        <f>7331</f>
        <v>7331.0</v>
      </c>
      <c r="J88" s="10"/>
      <c r="K88" s="2" t="n">
        <f>515126</f>
        <v>515126.0</v>
      </c>
    </row>
    <row r="89">
      <c r="A89" s="8" t="s">
        <v>40</v>
      </c>
      <c r="B89" s="9" t="s">
        <v>53</v>
      </c>
      <c r="C89" s="9" t="s">
        <v>54</v>
      </c>
      <c r="D89" s="10"/>
      <c r="E89" s="2" t="n">
        <f>46582</f>
        <v>46582.0</v>
      </c>
      <c r="F89" s="10"/>
      <c r="G89" s="2" t="n">
        <f>863098106102</f>
        <v>8.63098106102E11</v>
      </c>
      <c r="H89" s="10"/>
      <c r="I89" s="2" t="n">
        <f>12071</f>
        <v>12071.0</v>
      </c>
      <c r="J89" s="10"/>
      <c r="K89" s="2" t="n">
        <f>513456</f>
        <v>513456.0</v>
      </c>
    </row>
    <row r="90">
      <c r="A90" s="8" t="s">
        <v>41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42</v>
      </c>
      <c r="B91" s="9" t="s">
        <v>53</v>
      </c>
      <c r="C91" s="9" t="s">
        <v>54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43</v>
      </c>
      <c r="B92" s="9" t="s">
        <v>53</v>
      </c>
      <c r="C92" s="9" t="s">
        <v>54</v>
      </c>
      <c r="D92" s="10" t="s">
        <v>24</v>
      </c>
      <c r="E92" s="2" t="n">
        <f>43893</f>
        <v>43893.0</v>
      </c>
      <c r="F92" s="10" t="s">
        <v>24</v>
      </c>
      <c r="G92" s="2" t="n">
        <f>814215996800</f>
        <v>8.142159968E11</v>
      </c>
      <c r="H92" s="10"/>
      <c r="I92" s="2" t="n">
        <f>7658</f>
        <v>7658.0</v>
      </c>
      <c r="J92" s="10" t="s">
        <v>24</v>
      </c>
      <c r="K92" s="2" t="n">
        <f>509339</f>
        <v>509339.0</v>
      </c>
    </row>
    <row r="93">
      <c r="A93" s="8" t="s">
        <v>44</v>
      </c>
      <c r="B93" s="9" t="s">
        <v>53</v>
      </c>
      <c r="C93" s="9" t="s">
        <v>54</v>
      </c>
      <c r="D93" s="10"/>
      <c r="E93" s="2" t="n">
        <f>55837</f>
        <v>55837.0</v>
      </c>
      <c r="F93" s="10"/>
      <c r="G93" s="2" t="n">
        <f>1032908240350</f>
        <v>1.03290824035E12</v>
      </c>
      <c r="H93" s="10"/>
      <c r="I93" s="2" t="n">
        <f>14986</f>
        <v>14986.0</v>
      </c>
      <c r="J93" s="10"/>
      <c r="K93" s="2" t="n">
        <f>512669</f>
        <v>512669.0</v>
      </c>
    </row>
    <row r="94">
      <c r="A94" s="8" t="s">
        <v>45</v>
      </c>
      <c r="B94" s="9" t="s">
        <v>53</v>
      </c>
      <c r="C94" s="9" t="s">
        <v>54</v>
      </c>
      <c r="D94" s="10"/>
      <c r="E94" s="2" t="n">
        <f>53013</f>
        <v>53013.0</v>
      </c>
      <c r="F94" s="10"/>
      <c r="G94" s="2" t="n">
        <f>984833707150</f>
        <v>9.8483370715E11</v>
      </c>
      <c r="H94" s="10"/>
      <c r="I94" s="2" t="n">
        <f>10626</f>
        <v>10626.0</v>
      </c>
      <c r="J94" s="10"/>
      <c r="K94" s="2" t="n">
        <f>512179</f>
        <v>512179.0</v>
      </c>
    </row>
    <row r="95">
      <c r="A95" s="8" t="s">
        <v>46</v>
      </c>
      <c r="B95" s="9" t="s">
        <v>53</v>
      </c>
      <c r="C95" s="9" t="s">
        <v>54</v>
      </c>
      <c r="D95" s="10"/>
      <c r="E95" s="2" t="n">
        <f>90920</f>
        <v>90920.0</v>
      </c>
      <c r="F95" s="10"/>
      <c r="G95" s="2" t="n">
        <f>1670708315500</f>
        <v>1.6707083155E12</v>
      </c>
      <c r="H95" s="10"/>
      <c r="I95" s="2" t="n">
        <f>16554</f>
        <v>16554.0</v>
      </c>
      <c r="J95" s="10"/>
      <c r="K95" s="2" t="n">
        <f>512523</f>
        <v>512523.0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93614</f>
        <v>93614.0</v>
      </c>
      <c r="F96" s="10"/>
      <c r="G96" s="2" t="n">
        <f>1708363153158</f>
        <v>1.708363153158E12</v>
      </c>
      <c r="H96" s="10" t="s">
        <v>47</v>
      </c>
      <c r="I96" s="2" t="n">
        <f>16771</f>
        <v>16771.0</v>
      </c>
      <c r="J96" s="10"/>
      <c r="K96" s="2" t="n">
        <f>513177</f>
        <v>513177.0</v>
      </c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16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19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20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32380</f>
        <v>32380.0</v>
      </c>
      <c r="F102" s="10"/>
      <c r="G102" s="2" t="n">
        <f>58071880950</f>
        <v>5.807188095E10</v>
      </c>
      <c r="H102" s="10"/>
      <c r="I102" s="2" t="n">
        <f>4086</f>
        <v>4086.0</v>
      </c>
      <c r="J102" s="10"/>
      <c r="K102" s="2" t="n">
        <f>39847</f>
        <v>39847.0</v>
      </c>
    </row>
    <row r="103">
      <c r="A103" s="8" t="s">
        <v>22</v>
      </c>
      <c r="B103" s="9" t="s">
        <v>55</v>
      </c>
      <c r="C103" s="9" t="s">
        <v>56</v>
      </c>
      <c r="D103" s="10"/>
      <c r="E103" s="2" t="n">
        <f>27712</f>
        <v>27712.0</v>
      </c>
      <c r="F103" s="10"/>
      <c r="G103" s="2" t="n">
        <f>49669141750</f>
        <v>4.966914175E10</v>
      </c>
      <c r="H103" s="10"/>
      <c r="I103" s="2" t="n">
        <f>3350</f>
        <v>3350.0</v>
      </c>
      <c r="J103" s="10" t="s">
        <v>24</v>
      </c>
      <c r="K103" s="2" t="n">
        <f>38585</f>
        <v>38585.0</v>
      </c>
    </row>
    <row r="104">
      <c r="A104" s="8" t="s">
        <v>23</v>
      </c>
      <c r="B104" s="9" t="s">
        <v>55</v>
      </c>
      <c r="C104" s="9" t="s">
        <v>56</v>
      </c>
      <c r="D104" s="10"/>
      <c r="E104" s="2" t="n">
        <f>30976</f>
        <v>30976.0</v>
      </c>
      <c r="F104" s="10"/>
      <c r="G104" s="2" t="n">
        <f>55550607650</f>
        <v>5.555060765E10</v>
      </c>
      <c r="H104" s="10"/>
      <c r="I104" s="2" t="n">
        <f>2888</f>
        <v>2888.0</v>
      </c>
      <c r="J104" s="10"/>
      <c r="K104" s="2" t="n">
        <f>38859</f>
        <v>38859.0</v>
      </c>
    </row>
    <row r="105">
      <c r="A105" s="8" t="s">
        <v>25</v>
      </c>
      <c r="B105" s="9" t="s">
        <v>55</v>
      </c>
      <c r="C105" s="9" t="s">
        <v>56</v>
      </c>
      <c r="D105" s="10"/>
      <c r="E105" s="2" t="n">
        <f>40450</f>
        <v>40450.0</v>
      </c>
      <c r="F105" s="10"/>
      <c r="G105" s="2" t="n">
        <f>73731535475</f>
        <v>7.3731535475E10</v>
      </c>
      <c r="H105" s="10"/>
      <c r="I105" s="2" t="n">
        <f>4745</f>
        <v>4745.0</v>
      </c>
      <c r="J105" s="10"/>
      <c r="K105" s="2" t="n">
        <f>45716</f>
        <v>45716.0</v>
      </c>
    </row>
    <row r="106">
      <c r="A106" s="8" t="s">
        <v>26</v>
      </c>
      <c r="B106" s="9" t="s">
        <v>55</v>
      </c>
      <c r="C106" s="9" t="s">
        <v>56</v>
      </c>
      <c r="D106" s="10"/>
      <c r="E106" s="2" t="n">
        <f>38108</f>
        <v>38108.0</v>
      </c>
      <c r="F106" s="10"/>
      <c r="G106" s="2" t="n">
        <f>70050068770</f>
        <v>7.005006877E10</v>
      </c>
      <c r="H106" s="10"/>
      <c r="I106" s="2" t="n">
        <f>4265</f>
        <v>4265.0</v>
      </c>
      <c r="J106" s="10"/>
      <c r="K106" s="2" t="n">
        <f>50810</f>
        <v>50810.0</v>
      </c>
    </row>
    <row r="107">
      <c r="A107" s="8" t="s">
        <v>27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28</v>
      </c>
      <c r="B108" s="9" t="s">
        <v>55</v>
      </c>
      <c r="C108" s="9" t="s">
        <v>56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29</v>
      </c>
      <c r="B109" s="9" t="s">
        <v>55</v>
      </c>
      <c r="C109" s="9" t="s">
        <v>56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30</v>
      </c>
      <c r="B110" s="9" t="s">
        <v>55</v>
      </c>
      <c r="C110" s="9" t="s">
        <v>56</v>
      </c>
      <c r="D110" s="10"/>
      <c r="E110" s="2" t="n">
        <f>32304</f>
        <v>32304.0</v>
      </c>
      <c r="F110" s="10"/>
      <c r="G110" s="2" t="n">
        <f>59913197375</f>
        <v>5.9913197375E10</v>
      </c>
      <c r="H110" s="10"/>
      <c r="I110" s="2" t="n">
        <f>2844</f>
        <v>2844.0</v>
      </c>
      <c r="J110" s="10"/>
      <c r="K110" s="2" t="n">
        <f>51818</f>
        <v>51818.0</v>
      </c>
    </row>
    <row r="111">
      <c r="A111" s="8" t="s">
        <v>31</v>
      </c>
      <c r="B111" s="9" t="s">
        <v>55</v>
      </c>
      <c r="C111" s="9" t="s">
        <v>56</v>
      </c>
      <c r="D111" s="10" t="s">
        <v>24</v>
      </c>
      <c r="E111" s="2" t="n">
        <f>23395</f>
        <v>23395.0</v>
      </c>
      <c r="F111" s="10" t="s">
        <v>24</v>
      </c>
      <c r="G111" s="2" t="n">
        <f>43460363050</f>
        <v>4.346036305E10</v>
      </c>
      <c r="H111" s="10"/>
      <c r="I111" s="2" t="n">
        <f>1869</f>
        <v>1869.0</v>
      </c>
      <c r="J111" s="10"/>
      <c r="K111" s="2" t="n">
        <f>52711</f>
        <v>52711.0</v>
      </c>
    </row>
    <row r="112">
      <c r="A112" s="8" t="s">
        <v>32</v>
      </c>
      <c r="B112" s="9" t="s">
        <v>55</v>
      </c>
      <c r="C112" s="9" t="s">
        <v>56</v>
      </c>
      <c r="D112" s="10"/>
      <c r="E112" s="2" t="n">
        <f>39572</f>
        <v>39572.0</v>
      </c>
      <c r="F112" s="10"/>
      <c r="G112" s="2" t="n">
        <f>74054439150</f>
        <v>7.405443915E10</v>
      </c>
      <c r="H112" s="10"/>
      <c r="I112" s="2" t="n">
        <f>3179</f>
        <v>3179.0</v>
      </c>
      <c r="J112" s="10" t="s">
        <v>47</v>
      </c>
      <c r="K112" s="2" t="n">
        <f>55837</f>
        <v>55837.0</v>
      </c>
    </row>
    <row r="113">
      <c r="A113" s="8" t="s">
        <v>33</v>
      </c>
      <c r="B113" s="9" t="s">
        <v>55</v>
      </c>
      <c r="C113" s="9" t="s">
        <v>56</v>
      </c>
      <c r="D113" s="10"/>
      <c r="E113" s="2" t="n">
        <f>32914</f>
        <v>32914.0</v>
      </c>
      <c r="F113" s="10"/>
      <c r="G113" s="2" t="n">
        <f>61442013250</f>
        <v>6.144201325E10</v>
      </c>
      <c r="H113" s="10"/>
      <c r="I113" s="2" t="n">
        <f>3042</f>
        <v>3042.0</v>
      </c>
      <c r="J113" s="10"/>
      <c r="K113" s="2" t="n">
        <f>54382</f>
        <v>54382.0</v>
      </c>
    </row>
    <row r="114">
      <c r="A114" s="8" t="s">
        <v>34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35</v>
      </c>
      <c r="B115" s="9" t="s">
        <v>55</v>
      </c>
      <c r="C115" s="9" t="s">
        <v>56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36</v>
      </c>
      <c r="B116" s="9" t="s">
        <v>55</v>
      </c>
      <c r="C116" s="9" t="s">
        <v>56</v>
      </c>
      <c r="D116" s="10"/>
      <c r="E116" s="2" t="n">
        <f>24036</f>
        <v>24036.0</v>
      </c>
      <c r="F116" s="10"/>
      <c r="G116" s="2" t="n">
        <f>44372129300</f>
        <v>4.43721293E10</v>
      </c>
      <c r="H116" s="10"/>
      <c r="I116" s="2" t="n">
        <f>2383</f>
        <v>2383.0</v>
      </c>
      <c r="J116" s="10"/>
      <c r="K116" s="2" t="n">
        <f>53697</f>
        <v>53697.0</v>
      </c>
    </row>
    <row r="117">
      <c r="A117" s="8" t="s">
        <v>37</v>
      </c>
      <c r="B117" s="9" t="s">
        <v>55</v>
      </c>
      <c r="C117" s="9" t="s">
        <v>56</v>
      </c>
      <c r="D117" s="10"/>
      <c r="E117" s="2" t="n">
        <f>23712</f>
        <v>23712.0</v>
      </c>
      <c r="F117" s="10"/>
      <c r="G117" s="2" t="n">
        <f>43922541450</f>
        <v>4.392254145E10</v>
      </c>
      <c r="H117" s="10" t="s">
        <v>24</v>
      </c>
      <c r="I117" s="2" t="n">
        <f>1553</f>
        <v>1553.0</v>
      </c>
      <c r="J117" s="10"/>
      <c r="K117" s="2" t="n">
        <f>53473</f>
        <v>53473.0</v>
      </c>
    </row>
    <row r="118">
      <c r="A118" s="8" t="s">
        <v>38</v>
      </c>
      <c r="B118" s="9" t="s">
        <v>55</v>
      </c>
      <c r="C118" s="9" t="s">
        <v>56</v>
      </c>
      <c r="D118" s="10"/>
      <c r="E118" s="2" t="n">
        <f>31673</f>
        <v>31673.0</v>
      </c>
      <c r="F118" s="10"/>
      <c r="G118" s="2" t="n">
        <f>58585740140</f>
        <v>5.858574014E10</v>
      </c>
      <c r="H118" s="10"/>
      <c r="I118" s="2" t="n">
        <f>2483</f>
        <v>2483.0</v>
      </c>
      <c r="J118" s="10"/>
      <c r="K118" s="2" t="n">
        <f>52317</f>
        <v>52317.0</v>
      </c>
    </row>
    <row r="119">
      <c r="A119" s="8" t="s">
        <v>39</v>
      </c>
      <c r="B119" s="9" t="s">
        <v>55</v>
      </c>
      <c r="C119" s="9" t="s">
        <v>56</v>
      </c>
      <c r="D119" s="10"/>
      <c r="E119" s="2" t="n">
        <f>31013</f>
        <v>31013.0</v>
      </c>
      <c r="F119" s="10"/>
      <c r="G119" s="2" t="n">
        <f>57663078575</f>
        <v>5.7663078575E10</v>
      </c>
      <c r="H119" s="10"/>
      <c r="I119" s="2" t="n">
        <f>2233</f>
        <v>2233.0</v>
      </c>
      <c r="J119" s="10"/>
      <c r="K119" s="2" t="n">
        <f>55085</f>
        <v>55085.0</v>
      </c>
    </row>
    <row r="120">
      <c r="A120" s="8" t="s">
        <v>40</v>
      </c>
      <c r="B120" s="9" t="s">
        <v>55</v>
      </c>
      <c r="C120" s="9" t="s">
        <v>56</v>
      </c>
      <c r="D120" s="10"/>
      <c r="E120" s="2" t="n">
        <f>26716</f>
        <v>26716.0</v>
      </c>
      <c r="F120" s="10"/>
      <c r="G120" s="2" t="n">
        <f>49505368520</f>
        <v>4.950536852E10</v>
      </c>
      <c r="H120" s="10"/>
      <c r="I120" s="2" t="n">
        <f>1776</f>
        <v>1776.0</v>
      </c>
      <c r="J120" s="10"/>
      <c r="K120" s="2" t="n">
        <f>53336</f>
        <v>53336.0</v>
      </c>
    </row>
    <row r="121">
      <c r="A121" s="8" t="s">
        <v>41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42</v>
      </c>
      <c r="B122" s="9" t="s">
        <v>55</v>
      </c>
      <c r="C122" s="9" t="s">
        <v>56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43</v>
      </c>
      <c r="B123" s="9" t="s">
        <v>55</v>
      </c>
      <c r="C123" s="9" t="s">
        <v>56</v>
      </c>
      <c r="D123" s="10"/>
      <c r="E123" s="2" t="n">
        <f>24828</f>
        <v>24828.0</v>
      </c>
      <c r="F123" s="10"/>
      <c r="G123" s="2" t="n">
        <f>46030754625</f>
        <v>4.6030754625E10</v>
      </c>
      <c r="H123" s="10"/>
      <c r="I123" s="2" t="n">
        <f>1660</f>
        <v>1660.0</v>
      </c>
      <c r="J123" s="10"/>
      <c r="K123" s="2" t="n">
        <f>51856</f>
        <v>51856.0</v>
      </c>
    </row>
    <row r="124">
      <c r="A124" s="8" t="s">
        <v>44</v>
      </c>
      <c r="B124" s="9" t="s">
        <v>55</v>
      </c>
      <c r="C124" s="9" t="s">
        <v>56</v>
      </c>
      <c r="D124" s="10"/>
      <c r="E124" s="2" t="n">
        <f>33386</f>
        <v>33386.0</v>
      </c>
      <c r="F124" s="10"/>
      <c r="G124" s="2" t="n">
        <f>61792111900</f>
        <v>6.17921119E10</v>
      </c>
      <c r="H124" s="10"/>
      <c r="I124" s="2" t="n">
        <f>2928</f>
        <v>2928.0</v>
      </c>
      <c r="J124" s="10"/>
      <c r="K124" s="2" t="n">
        <f>51606</f>
        <v>51606.0</v>
      </c>
    </row>
    <row r="125">
      <c r="A125" s="8" t="s">
        <v>45</v>
      </c>
      <c r="B125" s="9" t="s">
        <v>55</v>
      </c>
      <c r="C125" s="9" t="s">
        <v>56</v>
      </c>
      <c r="D125" s="10"/>
      <c r="E125" s="2" t="n">
        <f>30483</f>
        <v>30483.0</v>
      </c>
      <c r="F125" s="10"/>
      <c r="G125" s="2" t="n">
        <f>56620841475</f>
        <v>5.6620841475E10</v>
      </c>
      <c r="H125" s="10"/>
      <c r="I125" s="2" t="n">
        <f>2905</f>
        <v>2905.0</v>
      </c>
      <c r="J125" s="10"/>
      <c r="K125" s="2" t="n">
        <f>53625</f>
        <v>53625.0</v>
      </c>
    </row>
    <row r="126">
      <c r="A126" s="8" t="s">
        <v>46</v>
      </c>
      <c r="B126" s="9" t="s">
        <v>55</v>
      </c>
      <c r="C126" s="9" t="s">
        <v>56</v>
      </c>
      <c r="D126" s="10"/>
      <c r="E126" s="2" t="n">
        <f>45797</f>
        <v>45797.0</v>
      </c>
      <c r="F126" s="10"/>
      <c r="G126" s="2" t="n">
        <f>84181044075</f>
        <v>8.4181044075E10</v>
      </c>
      <c r="H126" s="10"/>
      <c r="I126" s="2" t="n">
        <f>3739</f>
        <v>3739.0</v>
      </c>
      <c r="J126" s="10"/>
      <c r="K126" s="2" t="n">
        <f>51930</f>
        <v>51930.0</v>
      </c>
    </row>
    <row r="127">
      <c r="A127" s="8" t="s">
        <v>48</v>
      </c>
      <c r="B127" s="9" t="s">
        <v>55</v>
      </c>
      <c r="C127" s="9" t="s">
        <v>56</v>
      </c>
      <c r="D127" s="10" t="s">
        <v>47</v>
      </c>
      <c r="E127" s="2" t="n">
        <f>57934</f>
        <v>57934.0</v>
      </c>
      <c r="F127" s="10" t="s">
        <v>47</v>
      </c>
      <c r="G127" s="2" t="n">
        <f>105849191575</f>
        <v>1.05849191575E11</v>
      </c>
      <c r="H127" s="10" t="s">
        <v>47</v>
      </c>
      <c r="I127" s="2" t="n">
        <f>5440</f>
        <v>5440.0</v>
      </c>
      <c r="J127" s="10"/>
      <c r="K127" s="2" t="n">
        <f>49134</f>
        <v>49134.0</v>
      </c>
    </row>
    <row r="128">
      <c r="A128" s="8" t="s">
        <v>49</v>
      </c>
      <c r="B128" s="9" t="s">
        <v>55</v>
      </c>
      <c r="C128" s="9" t="s">
        <v>56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55</v>
      </c>
      <c r="C129" s="9" t="s">
        <v>56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16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19</v>
      </c>
      <c r="B131" s="9" t="s">
        <v>57</v>
      </c>
      <c r="C131" s="9" t="s">
        <v>58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20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18388</f>
        <v>18388.0</v>
      </c>
      <c r="F133" s="10"/>
      <c r="G133" s="2" t="n">
        <f>29875402700</f>
        <v>2.98754027E10</v>
      </c>
      <c r="H133" s="10"/>
      <c r="I133" s="2" t="n">
        <f>1039</f>
        <v>1039.0</v>
      </c>
      <c r="J133" s="10" t="s">
        <v>24</v>
      </c>
      <c r="K133" s="2" t="n">
        <f>71938</f>
        <v>71938.0</v>
      </c>
    </row>
    <row r="134">
      <c r="A134" s="8" t="s">
        <v>22</v>
      </c>
      <c r="B134" s="9" t="s">
        <v>57</v>
      </c>
      <c r="C134" s="9" t="s">
        <v>58</v>
      </c>
      <c r="D134" s="10"/>
      <c r="E134" s="2" t="n">
        <f>15615</f>
        <v>15615.0</v>
      </c>
      <c r="F134" s="10"/>
      <c r="G134" s="2" t="n">
        <f>25340437600</f>
        <v>2.53404376E10</v>
      </c>
      <c r="H134" s="10"/>
      <c r="I134" s="2" t="n">
        <f>706</f>
        <v>706.0</v>
      </c>
      <c r="J134" s="10"/>
      <c r="K134" s="2" t="n">
        <f>73938</f>
        <v>73938.0</v>
      </c>
    </row>
    <row r="135">
      <c r="A135" s="8" t="s">
        <v>23</v>
      </c>
      <c r="B135" s="9" t="s">
        <v>57</v>
      </c>
      <c r="C135" s="9" t="s">
        <v>58</v>
      </c>
      <c r="D135" s="10"/>
      <c r="E135" s="2" t="n">
        <f>16624</f>
        <v>16624.0</v>
      </c>
      <c r="F135" s="10"/>
      <c r="G135" s="2" t="n">
        <f>26990642000</f>
        <v>2.6990642E10</v>
      </c>
      <c r="H135" s="10"/>
      <c r="I135" s="2" t="n">
        <f>939</f>
        <v>939.0</v>
      </c>
      <c r="J135" s="10"/>
      <c r="K135" s="2" t="n">
        <f>74084</f>
        <v>74084.0</v>
      </c>
    </row>
    <row r="136">
      <c r="A136" s="8" t="s">
        <v>25</v>
      </c>
      <c r="B136" s="9" t="s">
        <v>57</v>
      </c>
      <c r="C136" s="9" t="s">
        <v>58</v>
      </c>
      <c r="D136" s="10"/>
      <c r="E136" s="2" t="n">
        <f>20936</f>
        <v>20936.0</v>
      </c>
      <c r="F136" s="10"/>
      <c r="G136" s="2" t="n">
        <f>34575681000</f>
        <v>3.4575681E10</v>
      </c>
      <c r="H136" s="10"/>
      <c r="I136" s="2" t="n">
        <f>967</f>
        <v>967.0</v>
      </c>
      <c r="J136" s="10"/>
      <c r="K136" s="2" t="n">
        <f>75817</f>
        <v>75817.0</v>
      </c>
    </row>
    <row r="137">
      <c r="A137" s="8" t="s">
        <v>26</v>
      </c>
      <c r="B137" s="9" t="s">
        <v>57</v>
      </c>
      <c r="C137" s="9" t="s">
        <v>58</v>
      </c>
      <c r="D137" s="10" t="s">
        <v>47</v>
      </c>
      <c r="E137" s="2" t="n">
        <f>28623</f>
        <v>28623.0</v>
      </c>
      <c r="F137" s="10" t="s">
        <v>47</v>
      </c>
      <c r="G137" s="2" t="n">
        <f>47856849484</f>
        <v>4.7856849484E10</v>
      </c>
      <c r="H137" s="10"/>
      <c r="I137" s="2" t="n">
        <f>711</f>
        <v>711.0</v>
      </c>
      <c r="J137" s="10"/>
      <c r="K137" s="2" t="n">
        <f>78210</f>
        <v>78210.0</v>
      </c>
    </row>
    <row r="138">
      <c r="A138" s="8" t="s">
        <v>27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28</v>
      </c>
      <c r="B139" s="9" t="s">
        <v>57</v>
      </c>
      <c r="C139" s="9" t="s">
        <v>58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29</v>
      </c>
      <c r="B140" s="9" t="s">
        <v>57</v>
      </c>
      <c r="C140" s="9" t="s">
        <v>58</v>
      </c>
      <c r="D140" s="10"/>
      <c r="E140" s="2"/>
      <c r="F140" s="10"/>
      <c r="G140" s="2"/>
      <c r="H140" s="10"/>
      <c r="I140" s="2"/>
      <c r="J140" s="10"/>
      <c r="K140" s="2"/>
    </row>
    <row r="141">
      <c r="A141" s="8" t="s">
        <v>30</v>
      </c>
      <c r="B141" s="9" t="s">
        <v>57</v>
      </c>
      <c r="C141" s="9" t="s">
        <v>58</v>
      </c>
      <c r="D141" s="10"/>
      <c r="E141" s="2" t="n">
        <f>18642</f>
        <v>18642.0</v>
      </c>
      <c r="F141" s="10"/>
      <c r="G141" s="2" t="n">
        <f>31365508280</f>
        <v>3.136550828E10</v>
      </c>
      <c r="H141" s="10"/>
      <c r="I141" s="2" t="n">
        <f>861</f>
        <v>861.0</v>
      </c>
      <c r="J141" s="10"/>
      <c r="K141" s="2" t="n">
        <f>78628</f>
        <v>78628.0</v>
      </c>
    </row>
    <row r="142">
      <c r="A142" s="8" t="s">
        <v>31</v>
      </c>
      <c r="B142" s="9" t="s">
        <v>57</v>
      </c>
      <c r="C142" s="9" t="s">
        <v>58</v>
      </c>
      <c r="D142" s="10"/>
      <c r="E142" s="2" t="n">
        <f>15098</f>
        <v>15098.0</v>
      </c>
      <c r="F142" s="10"/>
      <c r="G142" s="2" t="n">
        <f>25458578374</f>
        <v>2.5458578374E10</v>
      </c>
      <c r="H142" s="10"/>
      <c r="I142" s="2" t="n">
        <f>606</f>
        <v>606.0</v>
      </c>
      <c r="J142" s="10"/>
      <c r="K142" s="2" t="n">
        <f>79754</f>
        <v>79754.0</v>
      </c>
    </row>
    <row r="143">
      <c r="A143" s="8" t="s">
        <v>32</v>
      </c>
      <c r="B143" s="9" t="s">
        <v>57</v>
      </c>
      <c r="C143" s="9" t="s">
        <v>58</v>
      </c>
      <c r="D143" s="10"/>
      <c r="E143" s="2" t="n">
        <f>21801</f>
        <v>21801.0</v>
      </c>
      <c r="F143" s="10"/>
      <c r="G143" s="2" t="n">
        <f>37028427138</f>
        <v>3.7028427138E10</v>
      </c>
      <c r="H143" s="10"/>
      <c r="I143" s="2" t="n">
        <f>744</f>
        <v>744.0</v>
      </c>
      <c r="J143" s="10"/>
      <c r="K143" s="2" t="n">
        <f>80166</f>
        <v>80166.0</v>
      </c>
    </row>
    <row r="144">
      <c r="A144" s="8" t="s">
        <v>33</v>
      </c>
      <c r="B144" s="9" t="s">
        <v>57</v>
      </c>
      <c r="C144" s="9" t="s">
        <v>58</v>
      </c>
      <c r="D144" s="10"/>
      <c r="E144" s="2" t="n">
        <f>23582</f>
        <v>23582.0</v>
      </c>
      <c r="F144" s="10"/>
      <c r="G144" s="2" t="n">
        <f>39910031704</f>
        <v>3.9910031704E10</v>
      </c>
      <c r="H144" s="10"/>
      <c r="I144" s="2" t="n">
        <f>565</f>
        <v>565.0</v>
      </c>
      <c r="J144" s="10"/>
      <c r="K144" s="2" t="n">
        <f>81268</f>
        <v>81268.0</v>
      </c>
    </row>
    <row r="145">
      <c r="A145" s="8" t="s">
        <v>34</v>
      </c>
      <c r="B145" s="9" t="s">
        <v>57</v>
      </c>
      <c r="C145" s="9" t="s">
        <v>58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35</v>
      </c>
      <c r="B146" s="9" t="s">
        <v>57</v>
      </c>
      <c r="C146" s="9" t="s">
        <v>58</v>
      </c>
      <c r="D146" s="10"/>
      <c r="E146" s="2"/>
      <c r="F146" s="10"/>
      <c r="G146" s="2"/>
      <c r="H146" s="10"/>
      <c r="I146" s="2"/>
      <c r="J146" s="10"/>
      <c r="K146" s="2"/>
    </row>
    <row r="147">
      <c r="A147" s="8" t="s">
        <v>36</v>
      </c>
      <c r="B147" s="9" t="s">
        <v>57</v>
      </c>
      <c r="C147" s="9" t="s">
        <v>58</v>
      </c>
      <c r="D147" s="10"/>
      <c r="E147" s="2" t="n">
        <f>15532</f>
        <v>15532.0</v>
      </c>
      <c r="F147" s="10"/>
      <c r="G147" s="2" t="n">
        <f>26038703160</f>
        <v>2.603870316E10</v>
      </c>
      <c r="H147" s="10"/>
      <c r="I147" s="2" t="n">
        <f>781</f>
        <v>781.0</v>
      </c>
      <c r="J147" s="10"/>
      <c r="K147" s="2" t="n">
        <f>81730</f>
        <v>81730.0</v>
      </c>
    </row>
    <row r="148">
      <c r="A148" s="8" t="s">
        <v>37</v>
      </c>
      <c r="B148" s="9" t="s">
        <v>57</v>
      </c>
      <c r="C148" s="9" t="s">
        <v>58</v>
      </c>
      <c r="D148" s="10"/>
      <c r="E148" s="2" t="n">
        <f>13568</f>
        <v>13568.0</v>
      </c>
      <c r="F148" s="10"/>
      <c r="G148" s="2" t="n">
        <f>22824952000</f>
        <v>2.2824952E10</v>
      </c>
      <c r="H148" s="10" t="s">
        <v>24</v>
      </c>
      <c r="I148" s="2" t="n">
        <f>220</f>
        <v>220.0</v>
      </c>
      <c r="J148" s="10"/>
      <c r="K148" s="2" t="n">
        <f>83027</f>
        <v>83027.0</v>
      </c>
    </row>
    <row r="149">
      <c r="A149" s="8" t="s">
        <v>38</v>
      </c>
      <c r="B149" s="9" t="s">
        <v>57</v>
      </c>
      <c r="C149" s="9" t="s">
        <v>58</v>
      </c>
      <c r="D149" s="10"/>
      <c r="E149" s="2" t="n">
        <f>14911</f>
        <v>14911.0</v>
      </c>
      <c r="F149" s="10"/>
      <c r="G149" s="2" t="n">
        <f>25044858500</f>
        <v>2.50448585E10</v>
      </c>
      <c r="H149" s="10"/>
      <c r="I149" s="2" t="n">
        <f>688</f>
        <v>688.0</v>
      </c>
      <c r="J149" s="10"/>
      <c r="K149" s="2" t="n">
        <f>83836</f>
        <v>83836.0</v>
      </c>
    </row>
    <row r="150">
      <c r="A150" s="8" t="s">
        <v>39</v>
      </c>
      <c r="B150" s="9" t="s">
        <v>57</v>
      </c>
      <c r="C150" s="9" t="s">
        <v>58</v>
      </c>
      <c r="D150" s="10"/>
      <c r="E150" s="2" t="n">
        <f>16665</f>
        <v>16665.0</v>
      </c>
      <c r="F150" s="10"/>
      <c r="G150" s="2" t="n">
        <f>28122436094</f>
        <v>2.8122436094E10</v>
      </c>
      <c r="H150" s="10"/>
      <c r="I150" s="2" t="n">
        <f>1022</f>
        <v>1022.0</v>
      </c>
      <c r="J150" s="10"/>
      <c r="K150" s="2" t="n">
        <f>84834</f>
        <v>84834.0</v>
      </c>
    </row>
    <row r="151">
      <c r="A151" s="8" t="s">
        <v>40</v>
      </c>
      <c r="B151" s="9" t="s">
        <v>57</v>
      </c>
      <c r="C151" s="9" t="s">
        <v>58</v>
      </c>
      <c r="D151" s="10"/>
      <c r="E151" s="2" t="n">
        <f>13871</f>
        <v>13871.0</v>
      </c>
      <c r="F151" s="10"/>
      <c r="G151" s="2" t="n">
        <f>23349521580</f>
        <v>2.334952158E10</v>
      </c>
      <c r="H151" s="10"/>
      <c r="I151" s="2" t="n">
        <f>846</f>
        <v>846.0</v>
      </c>
      <c r="J151" s="10"/>
      <c r="K151" s="2" t="n">
        <f>85925</f>
        <v>85925.0</v>
      </c>
    </row>
    <row r="152">
      <c r="A152" s="8" t="s">
        <v>41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42</v>
      </c>
      <c r="B153" s="9" t="s">
        <v>57</v>
      </c>
      <c r="C153" s="9" t="s">
        <v>58</v>
      </c>
      <c r="D153" s="10"/>
      <c r="E153" s="2"/>
      <c r="F153" s="10"/>
      <c r="G153" s="2"/>
      <c r="H153" s="10"/>
      <c r="I153" s="2"/>
      <c r="J153" s="10"/>
      <c r="K153" s="2"/>
    </row>
    <row r="154">
      <c r="A154" s="8" t="s">
        <v>43</v>
      </c>
      <c r="B154" s="9" t="s">
        <v>57</v>
      </c>
      <c r="C154" s="9" t="s">
        <v>58</v>
      </c>
      <c r="D154" s="10" t="s">
        <v>24</v>
      </c>
      <c r="E154" s="2" t="n">
        <f>12136</f>
        <v>12136.0</v>
      </c>
      <c r="F154" s="10" t="s">
        <v>24</v>
      </c>
      <c r="G154" s="2" t="n">
        <f>20456733600</f>
        <v>2.04567336E10</v>
      </c>
      <c r="H154" s="10"/>
      <c r="I154" s="2" t="n">
        <f>428</f>
        <v>428.0</v>
      </c>
      <c r="J154" s="10"/>
      <c r="K154" s="2" t="n">
        <f>86120</f>
        <v>86120.0</v>
      </c>
    </row>
    <row r="155">
      <c r="A155" s="8" t="s">
        <v>44</v>
      </c>
      <c r="B155" s="9" t="s">
        <v>57</v>
      </c>
      <c r="C155" s="9" t="s">
        <v>58</v>
      </c>
      <c r="D155" s="10"/>
      <c r="E155" s="2" t="n">
        <f>14532</f>
        <v>14532.0</v>
      </c>
      <c r="F155" s="10"/>
      <c r="G155" s="2" t="n">
        <f>24443791000</f>
        <v>2.4443791E10</v>
      </c>
      <c r="H155" s="10"/>
      <c r="I155" s="2" t="n">
        <f>352</f>
        <v>352.0</v>
      </c>
      <c r="J155" s="10" t="s">
        <v>47</v>
      </c>
      <c r="K155" s="2" t="n">
        <f>87057</f>
        <v>87057.0</v>
      </c>
    </row>
    <row r="156">
      <c r="A156" s="8" t="s">
        <v>45</v>
      </c>
      <c r="B156" s="9" t="s">
        <v>57</v>
      </c>
      <c r="C156" s="9" t="s">
        <v>58</v>
      </c>
      <c r="D156" s="10"/>
      <c r="E156" s="2" t="n">
        <f>18287</f>
        <v>18287.0</v>
      </c>
      <c r="F156" s="10"/>
      <c r="G156" s="2" t="n">
        <f>30873529481</f>
        <v>3.0873529481E10</v>
      </c>
      <c r="H156" s="10"/>
      <c r="I156" s="2" t="n">
        <f>378</f>
        <v>378.0</v>
      </c>
      <c r="J156" s="10"/>
      <c r="K156" s="2" t="n">
        <f>84598</f>
        <v>84598.0</v>
      </c>
    </row>
    <row r="157">
      <c r="A157" s="8" t="s">
        <v>46</v>
      </c>
      <c r="B157" s="9" t="s">
        <v>57</v>
      </c>
      <c r="C157" s="9" t="s">
        <v>58</v>
      </c>
      <c r="D157" s="10"/>
      <c r="E157" s="2" t="n">
        <f>24325</f>
        <v>24325.0</v>
      </c>
      <c r="F157" s="10"/>
      <c r="G157" s="2" t="n">
        <f>40618203824</f>
        <v>4.0618203824E10</v>
      </c>
      <c r="H157" s="10"/>
      <c r="I157" s="2" t="n">
        <f>535</f>
        <v>535.0</v>
      </c>
      <c r="J157" s="10"/>
      <c r="K157" s="2" t="n">
        <f>85604</f>
        <v>85604.0</v>
      </c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28012</f>
        <v>28012.0</v>
      </c>
      <c r="F158" s="10"/>
      <c r="G158" s="2" t="n">
        <f>46469098064</f>
        <v>4.6469098064E10</v>
      </c>
      <c r="H158" s="10" t="s">
        <v>47</v>
      </c>
      <c r="I158" s="2" t="n">
        <f>1183</f>
        <v>1183.0</v>
      </c>
      <c r="J158" s="10"/>
      <c r="K158" s="2" t="n">
        <f>84260</f>
        <v>84260.0</v>
      </c>
    </row>
    <row r="159">
      <c r="A159" s="8" t="s">
        <v>49</v>
      </c>
      <c r="B159" s="9" t="s">
        <v>57</v>
      </c>
      <c r="C159" s="9" t="s">
        <v>58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57</v>
      </c>
      <c r="C160" s="9" t="s">
        <v>58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16</v>
      </c>
      <c r="B161" s="9" t="s">
        <v>59</v>
      </c>
      <c r="C161" s="9" t="s">
        <v>60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19</v>
      </c>
      <c r="B162" s="9" t="s">
        <v>59</v>
      </c>
      <c r="C162" s="9" t="s">
        <v>60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20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21</v>
      </c>
      <c r="B164" s="9" t="s">
        <v>59</v>
      </c>
      <c r="C164" s="9" t="s">
        <v>60</v>
      </c>
      <c r="D164" s="10" t="s">
        <v>24</v>
      </c>
      <c r="E164" s="2" t="str">
        <f>"－"</f>
        <v>－</v>
      </c>
      <c r="F164" s="10" t="s">
        <v>24</v>
      </c>
      <c r="G164" s="2" t="str">
        <f>"－"</f>
        <v>－</v>
      </c>
      <c r="H164" s="10" t="s">
        <v>61</v>
      </c>
      <c r="I164" s="2" t="str">
        <f>"－"</f>
        <v>－</v>
      </c>
      <c r="J164" s="10" t="s">
        <v>24</v>
      </c>
      <c r="K164" s="2" t="n">
        <f>61</f>
        <v>61.0</v>
      </c>
    </row>
    <row r="165">
      <c r="A165" s="8" t="s">
        <v>22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61</f>
        <v>61.0</v>
      </c>
    </row>
    <row r="166">
      <c r="A166" s="8" t="s">
        <v>23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61</f>
        <v>61.0</v>
      </c>
    </row>
    <row r="167">
      <c r="A167" s="8" t="s">
        <v>25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61</f>
        <v>61.0</v>
      </c>
    </row>
    <row r="168">
      <c r="A168" s="8" t="s">
        <v>26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61</f>
        <v>61.0</v>
      </c>
    </row>
    <row r="169">
      <c r="A169" s="8" t="s">
        <v>27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28</v>
      </c>
      <c r="B170" s="9" t="s">
        <v>59</v>
      </c>
      <c r="C170" s="9" t="s">
        <v>60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29</v>
      </c>
      <c r="B171" s="9" t="s">
        <v>59</v>
      </c>
      <c r="C171" s="9" t="s">
        <v>60</v>
      </c>
      <c r="D171" s="10"/>
      <c r="E171" s="2"/>
      <c r="F171" s="10"/>
      <c r="G171" s="2"/>
      <c r="H171" s="10"/>
      <c r="I171" s="2"/>
      <c r="J171" s="10"/>
      <c r="K171" s="2"/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61</f>
        <v>61.0</v>
      </c>
    </row>
    <row r="173">
      <c r="A173" s="8" t="s">
        <v>31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61</f>
        <v>61.0</v>
      </c>
    </row>
    <row r="174">
      <c r="A174" s="8" t="s">
        <v>32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61</f>
        <v>61.0</v>
      </c>
    </row>
    <row r="175">
      <c r="A175" s="8" t="s">
        <v>33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61</f>
        <v>61.0</v>
      </c>
    </row>
    <row r="176">
      <c r="A176" s="8" t="s">
        <v>34</v>
      </c>
      <c r="B176" s="9" t="s">
        <v>59</v>
      </c>
      <c r="C176" s="9" t="s">
        <v>60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35</v>
      </c>
      <c r="B177" s="9" t="s">
        <v>59</v>
      </c>
      <c r="C177" s="9" t="s">
        <v>60</v>
      </c>
      <c r="D177" s="10"/>
      <c r="E177" s="2"/>
      <c r="F177" s="10"/>
      <c r="G177" s="2"/>
      <c r="H177" s="10"/>
      <c r="I177" s="2"/>
      <c r="J177" s="10"/>
      <c r="K177" s="2"/>
    </row>
    <row r="178">
      <c r="A178" s="8" t="s">
        <v>36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61</f>
        <v>61.0</v>
      </c>
    </row>
    <row r="179">
      <c r="A179" s="8" t="s">
        <v>37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61</f>
        <v>61.0</v>
      </c>
    </row>
    <row r="180">
      <c r="A180" s="8" t="s">
        <v>38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61</f>
        <v>61.0</v>
      </c>
    </row>
    <row r="181">
      <c r="A181" s="8" t="s">
        <v>39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61</f>
        <v>61.0</v>
      </c>
    </row>
    <row r="182">
      <c r="A182" s="8" t="s">
        <v>40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61</f>
        <v>61.0</v>
      </c>
    </row>
    <row r="183">
      <c r="A183" s="8" t="s">
        <v>41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42</v>
      </c>
      <c r="B184" s="9" t="s">
        <v>59</v>
      </c>
      <c r="C184" s="9" t="s">
        <v>60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43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61</f>
        <v>61.0</v>
      </c>
    </row>
    <row r="186">
      <c r="A186" s="8" t="s">
        <v>44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61</f>
        <v>61.0</v>
      </c>
    </row>
    <row r="187">
      <c r="A187" s="8" t="s">
        <v>45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61</f>
        <v>61.0</v>
      </c>
    </row>
    <row r="188">
      <c r="A188" s="8" t="s">
        <v>46</v>
      </c>
      <c r="B188" s="9" t="s">
        <v>59</v>
      </c>
      <c r="C188" s="9" t="s">
        <v>60</v>
      </c>
      <c r="D188" s="10" t="s">
        <v>47</v>
      </c>
      <c r="E188" s="2" t="n">
        <f>1</f>
        <v>1.0</v>
      </c>
      <c r="F188" s="10" t="s">
        <v>47</v>
      </c>
      <c r="G188" s="2" t="n">
        <f>860000</f>
        <v>860000.0</v>
      </c>
      <c r="H188" s="10"/>
      <c r="I188" s="2" t="str">
        <f>"－"</f>
        <v>－</v>
      </c>
      <c r="J188" s="10" t="s">
        <v>47</v>
      </c>
      <c r="K188" s="2" t="n">
        <f>62</f>
        <v>62.0</v>
      </c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62</f>
        <v>62.0</v>
      </c>
    </row>
    <row r="190">
      <c r="A190" s="8" t="s">
        <v>49</v>
      </c>
      <c r="B190" s="9" t="s">
        <v>59</v>
      </c>
      <c r="C190" s="9" t="s">
        <v>60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59</v>
      </c>
      <c r="C191" s="9" t="s">
        <v>60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16</v>
      </c>
      <c r="B192" s="9" t="s">
        <v>62</v>
      </c>
      <c r="C192" s="9" t="s">
        <v>63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19</v>
      </c>
      <c r="B193" s="9" t="s">
        <v>62</v>
      </c>
      <c r="C193" s="9" t="s">
        <v>63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20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21</v>
      </c>
      <c r="B195" s="9" t="s">
        <v>62</v>
      </c>
      <c r="C195" s="9" t="s">
        <v>63</v>
      </c>
      <c r="D195" s="10" t="s">
        <v>24</v>
      </c>
      <c r="E195" s="2" t="str">
        <f>"－"</f>
        <v>－</v>
      </c>
      <c r="F195" s="10" t="s">
        <v>24</v>
      </c>
      <c r="G195" s="2" t="str">
        <f>"－"</f>
        <v>－</v>
      </c>
      <c r="H195" s="10" t="s">
        <v>24</v>
      </c>
      <c r="I195" s="2" t="str">
        <f>"－"</f>
        <v>－</v>
      </c>
      <c r="J195" s="10" t="s">
        <v>24</v>
      </c>
      <c r="K195" s="2" t="n">
        <f>38118</f>
        <v>38118.0</v>
      </c>
    </row>
    <row r="196">
      <c r="A196" s="8" t="s">
        <v>22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38118</f>
        <v>38118.0</v>
      </c>
    </row>
    <row r="197">
      <c r="A197" s="8" t="s">
        <v>23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38118</f>
        <v>38118.0</v>
      </c>
    </row>
    <row r="198">
      <c r="A198" s="8" t="s">
        <v>25</v>
      </c>
      <c r="B198" s="9" t="s">
        <v>62</v>
      </c>
      <c r="C198" s="9" t="s">
        <v>63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38118</f>
        <v>38118.0</v>
      </c>
    </row>
    <row r="199">
      <c r="A199" s="8" t="s">
        <v>26</v>
      </c>
      <c r="B199" s="9" t="s">
        <v>62</v>
      </c>
      <c r="C199" s="9" t="s">
        <v>63</v>
      </c>
      <c r="D199" s="10" t="s">
        <v>47</v>
      </c>
      <c r="E199" s="2" t="n">
        <f>820</f>
        <v>820.0</v>
      </c>
      <c r="F199" s="10" t="s">
        <v>47</v>
      </c>
      <c r="G199" s="2" t="n">
        <f>1039351640</f>
        <v>1.03935164E9</v>
      </c>
      <c r="H199" s="10" t="s">
        <v>47</v>
      </c>
      <c r="I199" s="2" t="n">
        <f>820</f>
        <v>820.0</v>
      </c>
      <c r="J199" s="10" t="s">
        <v>47</v>
      </c>
      <c r="K199" s="2" t="n">
        <f>38938</f>
        <v>38938.0</v>
      </c>
    </row>
    <row r="200">
      <c r="A200" s="8" t="s">
        <v>27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28</v>
      </c>
      <c r="B201" s="9" t="s">
        <v>62</v>
      </c>
      <c r="C201" s="9" t="s">
        <v>63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29</v>
      </c>
      <c r="B202" s="9" t="s">
        <v>62</v>
      </c>
      <c r="C202" s="9" t="s">
        <v>63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30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38938</f>
        <v>38938.0</v>
      </c>
    </row>
    <row r="204">
      <c r="A204" s="8" t="s">
        <v>31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38938</f>
        <v>38938.0</v>
      </c>
    </row>
    <row r="205">
      <c r="A205" s="8" t="s">
        <v>32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38938</f>
        <v>38938.0</v>
      </c>
    </row>
    <row r="206">
      <c r="A206" s="8" t="s">
        <v>33</v>
      </c>
      <c r="B206" s="9" t="s">
        <v>62</v>
      </c>
      <c r="C206" s="9" t="s">
        <v>63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38938</f>
        <v>38938.0</v>
      </c>
    </row>
    <row r="207">
      <c r="A207" s="8" t="s">
        <v>34</v>
      </c>
      <c r="B207" s="9" t="s">
        <v>62</v>
      </c>
      <c r="C207" s="9" t="s">
        <v>63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35</v>
      </c>
      <c r="B208" s="9" t="s">
        <v>62</v>
      </c>
      <c r="C208" s="9" t="s">
        <v>63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36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38938</f>
        <v>38938.0</v>
      </c>
    </row>
    <row r="210">
      <c r="A210" s="8" t="s">
        <v>37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38938</f>
        <v>38938.0</v>
      </c>
    </row>
    <row r="211">
      <c r="A211" s="8" t="s">
        <v>38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38938</f>
        <v>38938.0</v>
      </c>
    </row>
    <row r="212">
      <c r="A212" s="8" t="s">
        <v>39</v>
      </c>
      <c r="B212" s="9" t="s">
        <v>62</v>
      </c>
      <c r="C212" s="9" t="s">
        <v>63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38938</f>
        <v>38938.0</v>
      </c>
    </row>
    <row r="213">
      <c r="A213" s="8" t="s">
        <v>40</v>
      </c>
      <c r="B213" s="9" t="s">
        <v>62</v>
      </c>
      <c r="C213" s="9" t="s">
        <v>63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38938</f>
        <v>38938.0</v>
      </c>
    </row>
    <row r="214">
      <c r="A214" s="8" t="s">
        <v>41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42</v>
      </c>
      <c r="B215" s="9" t="s">
        <v>62</v>
      </c>
      <c r="C215" s="9" t="s">
        <v>63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43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38938</f>
        <v>38938.0</v>
      </c>
    </row>
    <row r="217">
      <c r="A217" s="8" t="s">
        <v>44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38938</f>
        <v>38938.0</v>
      </c>
    </row>
    <row r="218">
      <c r="A218" s="8" t="s">
        <v>45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38938</f>
        <v>38938.0</v>
      </c>
    </row>
    <row r="219">
      <c r="A219" s="8" t="s">
        <v>46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38938</f>
        <v>38938.0</v>
      </c>
    </row>
    <row r="220">
      <c r="A220" s="8" t="s">
        <v>48</v>
      </c>
      <c r="B220" s="9" t="s">
        <v>62</v>
      </c>
      <c r="C220" s="9" t="s">
        <v>63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38938</f>
        <v>38938.0</v>
      </c>
    </row>
    <row r="221">
      <c r="A221" s="8" t="s">
        <v>49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62</v>
      </c>
      <c r="C222" s="9" t="s">
        <v>63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16</v>
      </c>
      <c r="B223" s="9" t="s">
        <v>64</v>
      </c>
      <c r="C223" s="9" t="s">
        <v>65</v>
      </c>
      <c r="D223" s="10"/>
      <c r="E223" s="2"/>
      <c r="F223" s="10"/>
      <c r="G223" s="2"/>
      <c r="H223" s="10"/>
      <c r="I223" s="2"/>
      <c r="J223" s="10"/>
      <c r="K223" s="2"/>
    </row>
    <row r="224">
      <c r="A224" s="8" t="s">
        <v>19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20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21</v>
      </c>
      <c r="B226" s="9" t="s">
        <v>64</v>
      </c>
      <c r="C226" s="9" t="s">
        <v>65</v>
      </c>
      <c r="D226" s="10"/>
      <c r="E226" s="2" t="n">
        <f>1149</f>
        <v>1149.0</v>
      </c>
      <c r="F226" s="10"/>
      <c r="G226" s="2" t="n">
        <f>2004345540</f>
        <v>2.00434554E9</v>
      </c>
      <c r="H226" s="10"/>
      <c r="I226" s="2" t="n">
        <f>33</f>
        <v>33.0</v>
      </c>
      <c r="J226" s="10"/>
      <c r="K226" s="2" t="n">
        <f>62983</f>
        <v>62983.0</v>
      </c>
    </row>
    <row r="227">
      <c r="A227" s="8" t="s">
        <v>22</v>
      </c>
      <c r="B227" s="9" t="s">
        <v>64</v>
      </c>
      <c r="C227" s="9" t="s">
        <v>65</v>
      </c>
      <c r="D227" s="10"/>
      <c r="E227" s="2" t="n">
        <f>656</f>
        <v>656.0</v>
      </c>
      <c r="F227" s="10"/>
      <c r="G227" s="2" t="n">
        <f>1148869260</f>
        <v>1.14886926E9</v>
      </c>
      <c r="H227" s="10"/>
      <c r="I227" s="2" t="n">
        <f>16</f>
        <v>16.0</v>
      </c>
      <c r="J227" s="10"/>
      <c r="K227" s="2" t="n">
        <f>62969</f>
        <v>62969.0</v>
      </c>
    </row>
    <row r="228">
      <c r="A228" s="8" t="s">
        <v>23</v>
      </c>
      <c r="B228" s="9" t="s">
        <v>64</v>
      </c>
      <c r="C228" s="9" t="s">
        <v>65</v>
      </c>
      <c r="D228" s="10"/>
      <c r="E228" s="2" t="n">
        <f>806</f>
        <v>806.0</v>
      </c>
      <c r="F228" s="10"/>
      <c r="G228" s="2" t="n">
        <f>1415535000</f>
        <v>1.415535E9</v>
      </c>
      <c r="H228" s="10"/>
      <c r="I228" s="2" t="n">
        <f>54</f>
        <v>54.0</v>
      </c>
      <c r="J228" s="10"/>
      <c r="K228" s="2" t="n">
        <f>63036</f>
        <v>63036.0</v>
      </c>
    </row>
    <row r="229">
      <c r="A229" s="8" t="s">
        <v>25</v>
      </c>
      <c r="B229" s="9" t="s">
        <v>64</v>
      </c>
      <c r="C229" s="9" t="s">
        <v>65</v>
      </c>
      <c r="D229" s="10"/>
      <c r="E229" s="2" t="n">
        <f>651</f>
        <v>651.0</v>
      </c>
      <c r="F229" s="10"/>
      <c r="G229" s="2" t="n">
        <f>1141503340</f>
        <v>1.14150334E9</v>
      </c>
      <c r="H229" s="10"/>
      <c r="I229" s="2" t="n">
        <f>51</f>
        <v>51.0</v>
      </c>
      <c r="J229" s="10"/>
      <c r="K229" s="2" t="n">
        <f>62955</f>
        <v>62955.0</v>
      </c>
    </row>
    <row r="230">
      <c r="A230" s="8" t="s">
        <v>26</v>
      </c>
      <c r="B230" s="9" t="s">
        <v>64</v>
      </c>
      <c r="C230" s="9" t="s">
        <v>65</v>
      </c>
      <c r="D230" s="10" t="s">
        <v>24</v>
      </c>
      <c r="E230" s="2" t="n">
        <f>206</f>
        <v>206.0</v>
      </c>
      <c r="F230" s="10" t="s">
        <v>24</v>
      </c>
      <c r="G230" s="2" t="n">
        <f>362012340</f>
        <v>3.6201234E8</v>
      </c>
      <c r="H230" s="10"/>
      <c r="I230" s="2" t="n">
        <f>17</f>
        <v>17.0</v>
      </c>
      <c r="J230" s="10"/>
      <c r="K230" s="2" t="n">
        <f>62913</f>
        <v>62913.0</v>
      </c>
    </row>
    <row r="231">
      <c r="A231" s="8" t="s">
        <v>27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28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29</v>
      </c>
      <c r="B233" s="9" t="s">
        <v>64</v>
      </c>
      <c r="C233" s="9" t="s">
        <v>65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425</f>
        <v>425.0</v>
      </c>
      <c r="F234" s="10"/>
      <c r="G234" s="2" t="n">
        <f>749499640</f>
        <v>7.4949964E8</v>
      </c>
      <c r="H234" s="10"/>
      <c r="I234" s="2" t="n">
        <f>8</f>
        <v>8.0</v>
      </c>
      <c r="J234" s="10"/>
      <c r="K234" s="2" t="n">
        <f>62838</f>
        <v>62838.0</v>
      </c>
    </row>
    <row r="235">
      <c r="A235" s="8" t="s">
        <v>31</v>
      </c>
      <c r="B235" s="9" t="s">
        <v>64</v>
      </c>
      <c r="C235" s="9" t="s">
        <v>65</v>
      </c>
      <c r="D235" s="10" t="s">
        <v>47</v>
      </c>
      <c r="E235" s="2" t="n">
        <f>5716</f>
        <v>5716.0</v>
      </c>
      <c r="F235" s="10" t="s">
        <v>47</v>
      </c>
      <c r="G235" s="2" t="n">
        <f>9981342360</f>
        <v>9.98134236E9</v>
      </c>
      <c r="H235" s="10" t="s">
        <v>47</v>
      </c>
      <c r="I235" s="2" t="n">
        <f>3105</f>
        <v>3105.0</v>
      </c>
      <c r="J235" s="10"/>
      <c r="K235" s="2" t="n">
        <f>64752</f>
        <v>64752.0</v>
      </c>
    </row>
    <row r="236">
      <c r="A236" s="8" t="s">
        <v>32</v>
      </c>
      <c r="B236" s="9" t="s">
        <v>64</v>
      </c>
      <c r="C236" s="9" t="s">
        <v>65</v>
      </c>
      <c r="D236" s="10"/>
      <c r="E236" s="2" t="n">
        <f>1447</f>
        <v>1447.0</v>
      </c>
      <c r="F236" s="10"/>
      <c r="G236" s="2" t="n">
        <f>2531934880</f>
        <v>2.53193488E9</v>
      </c>
      <c r="H236" s="10" t="s">
        <v>24</v>
      </c>
      <c r="I236" s="2" t="str">
        <f>"－"</f>
        <v>－</v>
      </c>
      <c r="J236" s="10" t="s">
        <v>47</v>
      </c>
      <c r="K236" s="2" t="n">
        <f>65017</f>
        <v>65017.0</v>
      </c>
    </row>
    <row r="237">
      <c r="A237" s="8" t="s">
        <v>33</v>
      </c>
      <c r="B237" s="9" t="s">
        <v>64</v>
      </c>
      <c r="C237" s="9" t="s">
        <v>65</v>
      </c>
      <c r="D237" s="10"/>
      <c r="E237" s="2" t="n">
        <f>2714</f>
        <v>2714.0</v>
      </c>
      <c r="F237" s="10"/>
      <c r="G237" s="2" t="n">
        <f>4716401000</f>
        <v>4.716401E9</v>
      </c>
      <c r="H237" s="10"/>
      <c r="I237" s="2" t="n">
        <f>49</f>
        <v>49.0</v>
      </c>
      <c r="J237" s="10"/>
      <c r="K237" s="2" t="n">
        <f>63237</f>
        <v>63237.0</v>
      </c>
    </row>
    <row r="238">
      <c r="A238" s="8" t="s">
        <v>34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35</v>
      </c>
      <c r="B239" s="9" t="s">
        <v>64</v>
      </c>
      <c r="C239" s="9" t="s">
        <v>65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36</v>
      </c>
      <c r="B240" s="9" t="s">
        <v>64</v>
      </c>
      <c r="C240" s="9" t="s">
        <v>65</v>
      </c>
      <c r="D240" s="10"/>
      <c r="E240" s="2" t="n">
        <f>696</f>
        <v>696.0</v>
      </c>
      <c r="F240" s="10"/>
      <c r="G240" s="2" t="n">
        <f>1216830500</f>
        <v>1.2168305E9</v>
      </c>
      <c r="H240" s="10"/>
      <c r="I240" s="2" t="n">
        <f>9</f>
        <v>9.0</v>
      </c>
      <c r="J240" s="10"/>
      <c r="K240" s="2" t="n">
        <f>62975</f>
        <v>62975.0</v>
      </c>
    </row>
    <row r="241">
      <c r="A241" s="8" t="s">
        <v>37</v>
      </c>
      <c r="B241" s="9" t="s">
        <v>64</v>
      </c>
      <c r="C241" s="9" t="s">
        <v>65</v>
      </c>
      <c r="D241" s="10"/>
      <c r="E241" s="2" t="n">
        <f>1034</f>
        <v>1034.0</v>
      </c>
      <c r="F241" s="10"/>
      <c r="G241" s="2" t="n">
        <f>1820350000</f>
        <v>1.82035E9</v>
      </c>
      <c r="H241" s="10"/>
      <c r="I241" s="2" t="n">
        <f>38</f>
        <v>38.0</v>
      </c>
      <c r="J241" s="10"/>
      <c r="K241" s="2" t="n">
        <f>62849</f>
        <v>62849.0</v>
      </c>
    </row>
    <row r="242">
      <c r="A242" s="8" t="s">
        <v>38</v>
      </c>
      <c r="B242" s="9" t="s">
        <v>64</v>
      </c>
      <c r="C242" s="9" t="s">
        <v>65</v>
      </c>
      <c r="D242" s="10"/>
      <c r="E242" s="2" t="n">
        <f>2840</f>
        <v>2840.0</v>
      </c>
      <c r="F242" s="10"/>
      <c r="G242" s="2" t="n">
        <f>5029654000</f>
        <v>5.029654E9</v>
      </c>
      <c r="H242" s="10"/>
      <c r="I242" s="2" t="n">
        <f>3</f>
        <v>3.0</v>
      </c>
      <c r="J242" s="10"/>
      <c r="K242" s="2" t="n">
        <f>60724</f>
        <v>60724.0</v>
      </c>
    </row>
    <row r="243">
      <c r="A243" s="8" t="s">
        <v>39</v>
      </c>
      <c r="B243" s="9" t="s">
        <v>64</v>
      </c>
      <c r="C243" s="9" t="s">
        <v>65</v>
      </c>
      <c r="D243" s="10"/>
      <c r="E243" s="2" t="n">
        <f>491</f>
        <v>491.0</v>
      </c>
      <c r="F243" s="10"/>
      <c r="G243" s="2" t="n">
        <f>875403760</f>
        <v>8.7540376E8</v>
      </c>
      <c r="H243" s="10"/>
      <c r="I243" s="2" t="str">
        <f>"－"</f>
        <v>－</v>
      </c>
      <c r="J243" s="10"/>
      <c r="K243" s="2" t="n">
        <f>60736</f>
        <v>60736.0</v>
      </c>
    </row>
    <row r="244">
      <c r="A244" s="8" t="s">
        <v>40</v>
      </c>
      <c r="B244" s="9" t="s">
        <v>64</v>
      </c>
      <c r="C244" s="9" t="s">
        <v>65</v>
      </c>
      <c r="D244" s="10"/>
      <c r="E244" s="2" t="n">
        <f>339</f>
        <v>339.0</v>
      </c>
      <c r="F244" s="10"/>
      <c r="G244" s="2" t="n">
        <f>603781900</f>
        <v>6.037819E8</v>
      </c>
      <c r="H244" s="10"/>
      <c r="I244" s="2" t="n">
        <f>4</f>
        <v>4.0</v>
      </c>
      <c r="J244" s="10"/>
      <c r="K244" s="2" t="n">
        <f>60986</f>
        <v>60986.0</v>
      </c>
    </row>
    <row r="245">
      <c r="A245" s="8" t="s">
        <v>41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42</v>
      </c>
      <c r="B246" s="9" t="s">
        <v>64</v>
      </c>
      <c r="C246" s="9" t="s">
        <v>65</v>
      </c>
      <c r="D246" s="10"/>
      <c r="E246" s="2"/>
      <c r="F246" s="10"/>
      <c r="G246" s="2"/>
      <c r="H246" s="10"/>
      <c r="I246" s="2"/>
      <c r="J246" s="10"/>
      <c r="K246" s="2"/>
    </row>
    <row r="247">
      <c r="A247" s="8" t="s">
        <v>43</v>
      </c>
      <c r="B247" s="9" t="s">
        <v>64</v>
      </c>
      <c r="C247" s="9" t="s">
        <v>65</v>
      </c>
      <c r="D247" s="10"/>
      <c r="E247" s="2" t="n">
        <f>1186</f>
        <v>1186.0</v>
      </c>
      <c r="F247" s="10"/>
      <c r="G247" s="2" t="n">
        <f>2119835680</f>
        <v>2.11983568E9</v>
      </c>
      <c r="H247" s="10"/>
      <c r="I247" s="2" t="n">
        <f>18</f>
        <v>18.0</v>
      </c>
      <c r="J247" s="10" t="s">
        <v>24</v>
      </c>
      <c r="K247" s="2" t="n">
        <f>60651</f>
        <v>60651.0</v>
      </c>
    </row>
    <row r="248">
      <c r="A248" s="8" t="s">
        <v>44</v>
      </c>
      <c r="B248" s="9" t="s">
        <v>64</v>
      </c>
      <c r="C248" s="9" t="s">
        <v>65</v>
      </c>
      <c r="D248" s="10"/>
      <c r="E248" s="2" t="n">
        <f>2289</f>
        <v>2289.0</v>
      </c>
      <c r="F248" s="10"/>
      <c r="G248" s="2" t="n">
        <f>4082171950</f>
        <v>4.08217195E9</v>
      </c>
      <c r="H248" s="10"/>
      <c r="I248" s="2" t="n">
        <f>8</f>
        <v>8.0</v>
      </c>
      <c r="J248" s="10"/>
      <c r="K248" s="2" t="n">
        <f>61458</f>
        <v>61458.0</v>
      </c>
    </row>
    <row r="249">
      <c r="A249" s="8" t="s">
        <v>45</v>
      </c>
      <c r="B249" s="9" t="s">
        <v>64</v>
      </c>
      <c r="C249" s="9" t="s">
        <v>65</v>
      </c>
      <c r="D249" s="10"/>
      <c r="E249" s="2" t="n">
        <f>2722</f>
        <v>2722.0</v>
      </c>
      <c r="F249" s="10"/>
      <c r="G249" s="2" t="n">
        <f>4892851960</f>
        <v>4.89285196E9</v>
      </c>
      <c r="H249" s="10"/>
      <c r="I249" s="2" t="n">
        <f>97</f>
        <v>97.0</v>
      </c>
      <c r="J249" s="10"/>
      <c r="K249" s="2" t="n">
        <f>60750</f>
        <v>60750.0</v>
      </c>
    </row>
    <row r="250">
      <c r="A250" s="8" t="s">
        <v>46</v>
      </c>
      <c r="B250" s="9" t="s">
        <v>64</v>
      </c>
      <c r="C250" s="9" t="s">
        <v>65</v>
      </c>
      <c r="D250" s="10"/>
      <c r="E250" s="2" t="n">
        <f>3118</f>
        <v>3118.0</v>
      </c>
      <c r="F250" s="10"/>
      <c r="G250" s="2" t="n">
        <f>5637015000</f>
        <v>5.637015E9</v>
      </c>
      <c r="H250" s="10"/>
      <c r="I250" s="2" t="n">
        <f>81</f>
        <v>81.0</v>
      </c>
      <c r="J250" s="10"/>
      <c r="K250" s="2" t="n">
        <f>61438</f>
        <v>61438.0</v>
      </c>
    </row>
    <row r="251">
      <c r="A251" s="8" t="s">
        <v>48</v>
      </c>
      <c r="B251" s="9" t="s">
        <v>64</v>
      </c>
      <c r="C251" s="9" t="s">
        <v>65</v>
      </c>
      <c r="D251" s="10"/>
      <c r="E251" s="2" t="n">
        <f>1380</f>
        <v>1380.0</v>
      </c>
      <c r="F251" s="10"/>
      <c r="G251" s="2" t="n">
        <f>2520814490</f>
        <v>2.52081449E9</v>
      </c>
      <c r="H251" s="10"/>
      <c r="I251" s="2" t="n">
        <f>28</f>
        <v>28.0</v>
      </c>
      <c r="J251" s="10"/>
      <c r="K251" s="2" t="n">
        <f>60823</f>
        <v>60823.0</v>
      </c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/>
      <c r="F253" s="10"/>
      <c r="G253" s="2"/>
      <c r="H253" s="10"/>
      <c r="I253" s="2"/>
      <c r="J253" s="10"/>
      <c r="K253" s="2"/>
    </row>
    <row r="254">
      <c r="A254" s="8" t="s">
        <v>16</v>
      </c>
      <c r="B254" s="9" t="s">
        <v>66</v>
      </c>
      <c r="C254" s="9" t="s">
        <v>67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19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20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21</v>
      </c>
      <c r="B257" s="9" t="s">
        <v>66</v>
      </c>
      <c r="C257" s="9" t="s">
        <v>67</v>
      </c>
      <c r="D257" s="10" t="s">
        <v>61</v>
      </c>
      <c r="E257" s="2" t="str">
        <f>"－"</f>
        <v>－</v>
      </c>
      <c r="F257" s="10" t="s">
        <v>61</v>
      </c>
      <c r="G257" s="2" t="str">
        <f>"－"</f>
        <v>－</v>
      </c>
      <c r="H257" s="10" t="s">
        <v>61</v>
      </c>
      <c r="I257" s="2" t="str">
        <f>"－"</f>
        <v>－</v>
      </c>
      <c r="J257" s="10" t="s">
        <v>61</v>
      </c>
      <c r="K257" s="2" t="str">
        <f>"－"</f>
        <v>－</v>
      </c>
    </row>
    <row r="258">
      <c r="A258" s="8" t="s">
        <v>22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23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27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28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29</v>
      </c>
      <c r="B264" s="9" t="s">
        <v>66</v>
      </c>
      <c r="C264" s="9" t="s">
        <v>67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31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32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33</v>
      </c>
      <c r="B268" s="9" t="s">
        <v>66</v>
      </c>
      <c r="C268" s="9" t="s">
        <v>67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34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35</v>
      </c>
      <c r="B270" s="9" t="s">
        <v>66</v>
      </c>
      <c r="C270" s="9" t="s">
        <v>67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36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37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38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39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40</v>
      </c>
      <c r="B275" s="9" t="s">
        <v>66</v>
      </c>
      <c r="C275" s="9" t="s">
        <v>67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41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42</v>
      </c>
      <c r="B277" s="9" t="s">
        <v>66</v>
      </c>
      <c r="C277" s="9" t="s">
        <v>67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43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44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45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46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16</v>
      </c>
      <c r="B285" s="9" t="s">
        <v>68</v>
      </c>
      <c r="C285" s="9" t="s">
        <v>69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19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20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21</v>
      </c>
      <c r="B288" s="9" t="s">
        <v>68</v>
      </c>
      <c r="C288" s="9" t="s">
        <v>69</v>
      </c>
      <c r="D288" s="10"/>
      <c r="E288" s="2" t="n">
        <f>5480</f>
        <v>5480.0</v>
      </c>
      <c r="F288" s="10"/>
      <c r="G288" s="2" t="n">
        <f>6520087210</f>
        <v>6.52008721E9</v>
      </c>
      <c r="H288" s="10" t="s">
        <v>47</v>
      </c>
      <c r="I288" s="2" t="n">
        <f>695</f>
        <v>695.0</v>
      </c>
      <c r="J288" s="10" t="s">
        <v>24</v>
      </c>
      <c r="K288" s="2" t="n">
        <f>19950</f>
        <v>19950.0</v>
      </c>
    </row>
    <row r="289">
      <c r="A289" s="8" t="s">
        <v>22</v>
      </c>
      <c r="B289" s="9" t="s">
        <v>68</v>
      </c>
      <c r="C289" s="9" t="s">
        <v>69</v>
      </c>
      <c r="D289" s="10"/>
      <c r="E289" s="2" t="n">
        <f>5427</f>
        <v>5427.0</v>
      </c>
      <c r="F289" s="10"/>
      <c r="G289" s="2" t="n">
        <f>6484953440</f>
        <v>6.48495344E9</v>
      </c>
      <c r="H289" s="10"/>
      <c r="I289" s="2" t="n">
        <f>680</f>
        <v>680.0</v>
      </c>
      <c r="J289" s="10"/>
      <c r="K289" s="2" t="n">
        <f>20301</f>
        <v>20301.0</v>
      </c>
    </row>
    <row r="290">
      <c r="A290" s="8" t="s">
        <v>23</v>
      </c>
      <c r="B290" s="9" t="s">
        <v>68</v>
      </c>
      <c r="C290" s="9" t="s">
        <v>69</v>
      </c>
      <c r="D290" s="10"/>
      <c r="E290" s="2" t="n">
        <f>5495</f>
        <v>5495.0</v>
      </c>
      <c r="F290" s="10"/>
      <c r="G290" s="2" t="n">
        <f>6606462680</f>
        <v>6.60646268E9</v>
      </c>
      <c r="H290" s="10"/>
      <c r="I290" s="2" t="n">
        <f>368</f>
        <v>368.0</v>
      </c>
      <c r="J290" s="10"/>
      <c r="K290" s="2" t="n">
        <f>20651</f>
        <v>20651.0</v>
      </c>
    </row>
    <row r="291">
      <c r="A291" s="8" t="s">
        <v>25</v>
      </c>
      <c r="B291" s="9" t="s">
        <v>68</v>
      </c>
      <c r="C291" s="9" t="s">
        <v>69</v>
      </c>
      <c r="D291" s="10"/>
      <c r="E291" s="2" t="n">
        <f>4879</f>
        <v>4879.0</v>
      </c>
      <c r="F291" s="10"/>
      <c r="G291" s="2" t="n">
        <f>5836616800</f>
        <v>5.8366168E9</v>
      </c>
      <c r="H291" s="10"/>
      <c r="I291" s="2" t="n">
        <f>418</f>
        <v>418.0</v>
      </c>
      <c r="J291" s="10"/>
      <c r="K291" s="2" t="n">
        <f>20983</f>
        <v>20983.0</v>
      </c>
    </row>
    <row r="292">
      <c r="A292" s="8" t="s">
        <v>26</v>
      </c>
      <c r="B292" s="9" t="s">
        <v>68</v>
      </c>
      <c r="C292" s="9" t="s">
        <v>69</v>
      </c>
      <c r="D292" s="10"/>
      <c r="E292" s="2" t="n">
        <f>4495</f>
        <v>4495.0</v>
      </c>
      <c r="F292" s="10"/>
      <c r="G292" s="2" t="n">
        <f>5446195500</f>
        <v>5.4461955E9</v>
      </c>
      <c r="H292" s="10"/>
      <c r="I292" s="2" t="n">
        <f>412</f>
        <v>412.0</v>
      </c>
      <c r="J292" s="10"/>
      <c r="K292" s="2" t="n">
        <f>20783</f>
        <v>20783.0</v>
      </c>
    </row>
    <row r="293">
      <c r="A293" s="8" t="s">
        <v>27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28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29</v>
      </c>
      <c r="B295" s="9" t="s">
        <v>68</v>
      </c>
      <c r="C295" s="9" t="s">
        <v>69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30</v>
      </c>
      <c r="B296" s="9" t="s">
        <v>68</v>
      </c>
      <c r="C296" s="9" t="s">
        <v>69</v>
      </c>
      <c r="D296" s="10"/>
      <c r="E296" s="2" t="n">
        <f>3257</f>
        <v>3257.0</v>
      </c>
      <c r="F296" s="10"/>
      <c r="G296" s="2" t="n">
        <f>3944736320</f>
        <v>3.94473632E9</v>
      </c>
      <c r="H296" s="10"/>
      <c r="I296" s="2" t="n">
        <f>293</f>
        <v>293.0</v>
      </c>
      <c r="J296" s="10"/>
      <c r="K296" s="2" t="n">
        <f>21058</f>
        <v>21058.0</v>
      </c>
    </row>
    <row r="297">
      <c r="A297" s="8" t="s">
        <v>31</v>
      </c>
      <c r="B297" s="9" t="s">
        <v>68</v>
      </c>
      <c r="C297" s="9" t="s">
        <v>69</v>
      </c>
      <c r="D297" s="10"/>
      <c r="E297" s="2" t="n">
        <f>3220</f>
        <v>3220.0</v>
      </c>
      <c r="F297" s="10"/>
      <c r="G297" s="2" t="n">
        <f>3915973300</f>
        <v>3.9159733E9</v>
      </c>
      <c r="H297" s="10"/>
      <c r="I297" s="2" t="n">
        <f>168</f>
        <v>168.0</v>
      </c>
      <c r="J297" s="10"/>
      <c r="K297" s="2" t="n">
        <f>21281</f>
        <v>21281.0</v>
      </c>
    </row>
    <row r="298">
      <c r="A298" s="8" t="s">
        <v>32</v>
      </c>
      <c r="B298" s="9" t="s">
        <v>68</v>
      </c>
      <c r="C298" s="9" t="s">
        <v>69</v>
      </c>
      <c r="D298" s="10"/>
      <c r="E298" s="2" t="n">
        <f>5216</f>
        <v>5216.0</v>
      </c>
      <c r="F298" s="10"/>
      <c r="G298" s="2" t="n">
        <f>6306014510</f>
        <v>6.30601451E9</v>
      </c>
      <c r="H298" s="10"/>
      <c r="I298" s="2" t="n">
        <f>375</f>
        <v>375.0</v>
      </c>
      <c r="J298" s="10"/>
      <c r="K298" s="2" t="n">
        <f>21410</f>
        <v>21410.0</v>
      </c>
    </row>
    <row r="299">
      <c r="A299" s="8" t="s">
        <v>33</v>
      </c>
      <c r="B299" s="9" t="s">
        <v>68</v>
      </c>
      <c r="C299" s="9" t="s">
        <v>69</v>
      </c>
      <c r="D299" s="10"/>
      <c r="E299" s="2" t="n">
        <f>3562</f>
        <v>3562.0</v>
      </c>
      <c r="F299" s="10"/>
      <c r="G299" s="2" t="n">
        <f>4273585800</f>
        <v>4.2735858E9</v>
      </c>
      <c r="H299" s="10"/>
      <c r="I299" s="2" t="n">
        <f>303</f>
        <v>303.0</v>
      </c>
      <c r="J299" s="10" t="s">
        <v>47</v>
      </c>
      <c r="K299" s="2" t="n">
        <f>21428</f>
        <v>21428.0</v>
      </c>
    </row>
    <row r="300">
      <c r="A300" s="8" t="s">
        <v>34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35</v>
      </c>
      <c r="B301" s="9" t="s">
        <v>68</v>
      </c>
      <c r="C301" s="9" t="s">
        <v>69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36</v>
      </c>
      <c r="B302" s="9" t="s">
        <v>68</v>
      </c>
      <c r="C302" s="9" t="s">
        <v>69</v>
      </c>
      <c r="D302" s="10"/>
      <c r="E302" s="2" t="n">
        <f>2788</f>
        <v>2788.0</v>
      </c>
      <c r="F302" s="10"/>
      <c r="G302" s="2" t="n">
        <f>3368502320</f>
        <v>3.36850232E9</v>
      </c>
      <c r="H302" s="10"/>
      <c r="I302" s="2" t="n">
        <f>237</f>
        <v>237.0</v>
      </c>
      <c r="J302" s="10"/>
      <c r="K302" s="2" t="n">
        <f>21334</f>
        <v>21334.0</v>
      </c>
    </row>
    <row r="303">
      <c r="A303" s="8" t="s">
        <v>37</v>
      </c>
      <c r="B303" s="9" t="s">
        <v>68</v>
      </c>
      <c r="C303" s="9" t="s">
        <v>69</v>
      </c>
      <c r="D303" s="10"/>
      <c r="E303" s="2" t="n">
        <f>2841</f>
        <v>2841.0</v>
      </c>
      <c r="F303" s="10"/>
      <c r="G303" s="2" t="n">
        <f>3463368850</f>
        <v>3.46336885E9</v>
      </c>
      <c r="H303" s="10"/>
      <c r="I303" s="2" t="n">
        <f>172</f>
        <v>172.0</v>
      </c>
      <c r="J303" s="10"/>
      <c r="K303" s="2" t="n">
        <f>21382</f>
        <v>21382.0</v>
      </c>
    </row>
    <row r="304">
      <c r="A304" s="8" t="s">
        <v>38</v>
      </c>
      <c r="B304" s="9" t="s">
        <v>68</v>
      </c>
      <c r="C304" s="9" t="s">
        <v>69</v>
      </c>
      <c r="D304" s="10" t="s">
        <v>24</v>
      </c>
      <c r="E304" s="2" t="n">
        <f>2503</f>
        <v>2503.0</v>
      </c>
      <c r="F304" s="10" t="s">
        <v>24</v>
      </c>
      <c r="G304" s="2" t="n">
        <f>3065563790</f>
        <v>3.06556379E9</v>
      </c>
      <c r="H304" s="10" t="s">
        <v>24</v>
      </c>
      <c r="I304" s="2" t="n">
        <f>114</f>
        <v>114.0</v>
      </c>
      <c r="J304" s="10"/>
      <c r="K304" s="2" t="n">
        <f>21270</f>
        <v>21270.0</v>
      </c>
    </row>
    <row r="305">
      <c r="A305" s="8" t="s">
        <v>39</v>
      </c>
      <c r="B305" s="9" t="s">
        <v>68</v>
      </c>
      <c r="C305" s="9" t="s">
        <v>69</v>
      </c>
      <c r="D305" s="10"/>
      <c r="E305" s="2" t="n">
        <f>5049</f>
        <v>5049.0</v>
      </c>
      <c r="F305" s="10"/>
      <c r="G305" s="2" t="n">
        <f>6361023840</f>
        <v>6.36102384E9</v>
      </c>
      <c r="H305" s="10"/>
      <c r="I305" s="2" t="n">
        <f>402</f>
        <v>402.0</v>
      </c>
      <c r="J305" s="10"/>
      <c r="K305" s="2" t="n">
        <f>20901</f>
        <v>20901.0</v>
      </c>
    </row>
    <row r="306">
      <c r="A306" s="8" t="s">
        <v>40</v>
      </c>
      <c r="B306" s="9" t="s">
        <v>68</v>
      </c>
      <c r="C306" s="9" t="s">
        <v>69</v>
      </c>
      <c r="D306" s="10"/>
      <c r="E306" s="2" t="n">
        <f>3721</f>
        <v>3721.0</v>
      </c>
      <c r="F306" s="10"/>
      <c r="G306" s="2" t="n">
        <f>4757303880</f>
        <v>4.75730388E9</v>
      </c>
      <c r="H306" s="10"/>
      <c r="I306" s="2" t="n">
        <f>576</f>
        <v>576.0</v>
      </c>
      <c r="J306" s="10"/>
      <c r="K306" s="2" t="n">
        <f>20982</f>
        <v>20982.0</v>
      </c>
    </row>
    <row r="307">
      <c r="A307" s="8" t="s">
        <v>41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42</v>
      </c>
      <c r="B308" s="9" t="s">
        <v>68</v>
      </c>
      <c r="C308" s="9" t="s">
        <v>69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43</v>
      </c>
      <c r="B309" s="9" t="s">
        <v>68</v>
      </c>
      <c r="C309" s="9" t="s">
        <v>69</v>
      </c>
      <c r="D309" s="10"/>
      <c r="E309" s="2" t="n">
        <f>3582</f>
        <v>3582.0</v>
      </c>
      <c r="F309" s="10"/>
      <c r="G309" s="2" t="n">
        <f>4628695250</f>
        <v>4.62869525E9</v>
      </c>
      <c r="H309" s="10"/>
      <c r="I309" s="2" t="n">
        <f>331</f>
        <v>331.0</v>
      </c>
      <c r="J309" s="10"/>
      <c r="K309" s="2" t="n">
        <f>20619</f>
        <v>20619.0</v>
      </c>
    </row>
    <row r="310">
      <c r="A310" s="8" t="s">
        <v>44</v>
      </c>
      <c r="B310" s="9" t="s">
        <v>68</v>
      </c>
      <c r="C310" s="9" t="s">
        <v>69</v>
      </c>
      <c r="D310" s="10"/>
      <c r="E310" s="2" t="n">
        <f>4466</f>
        <v>4466.0</v>
      </c>
      <c r="F310" s="10"/>
      <c r="G310" s="2" t="n">
        <f>5674785350</f>
        <v>5.67478535E9</v>
      </c>
      <c r="H310" s="10"/>
      <c r="I310" s="2" t="n">
        <f>409</f>
        <v>409.0</v>
      </c>
      <c r="J310" s="10"/>
      <c r="K310" s="2" t="n">
        <f>20742</f>
        <v>20742.0</v>
      </c>
    </row>
    <row r="311">
      <c r="A311" s="8" t="s">
        <v>45</v>
      </c>
      <c r="B311" s="9" t="s">
        <v>68</v>
      </c>
      <c r="C311" s="9" t="s">
        <v>69</v>
      </c>
      <c r="D311" s="10"/>
      <c r="E311" s="2" t="n">
        <f>3319</f>
        <v>3319.0</v>
      </c>
      <c r="F311" s="10"/>
      <c r="G311" s="2" t="n">
        <f>4183095280</f>
        <v>4.18309528E9</v>
      </c>
      <c r="H311" s="10"/>
      <c r="I311" s="2" t="n">
        <f>282</f>
        <v>282.0</v>
      </c>
      <c r="J311" s="10"/>
      <c r="K311" s="2" t="n">
        <f>20701</f>
        <v>20701.0</v>
      </c>
    </row>
    <row r="312">
      <c r="A312" s="8" t="s">
        <v>46</v>
      </c>
      <c r="B312" s="9" t="s">
        <v>68</v>
      </c>
      <c r="C312" s="9" t="s">
        <v>69</v>
      </c>
      <c r="D312" s="10"/>
      <c r="E312" s="2" t="n">
        <f>4318</f>
        <v>4318.0</v>
      </c>
      <c r="F312" s="10"/>
      <c r="G312" s="2" t="n">
        <f>5324720250</f>
        <v>5.32472025E9</v>
      </c>
      <c r="H312" s="10"/>
      <c r="I312" s="2" t="n">
        <f>363</f>
        <v>363.0</v>
      </c>
      <c r="J312" s="10"/>
      <c r="K312" s="2" t="n">
        <f>20831</f>
        <v>20831.0</v>
      </c>
    </row>
    <row r="313">
      <c r="A313" s="8" t="s">
        <v>48</v>
      </c>
      <c r="B313" s="9" t="s">
        <v>68</v>
      </c>
      <c r="C313" s="9" t="s">
        <v>69</v>
      </c>
      <c r="D313" s="10" t="s">
        <v>47</v>
      </c>
      <c r="E313" s="2" t="n">
        <f>5920</f>
        <v>5920.0</v>
      </c>
      <c r="F313" s="10" t="s">
        <v>47</v>
      </c>
      <c r="G313" s="2" t="n">
        <f>7201707260</f>
        <v>7.20170726E9</v>
      </c>
      <c r="H313" s="10"/>
      <c r="I313" s="2" t="n">
        <f>432</f>
        <v>432.0</v>
      </c>
      <c r="J313" s="10"/>
      <c r="K313" s="2" t="n">
        <f>20522</f>
        <v>20522.0</v>
      </c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16</v>
      </c>
      <c r="B316" s="9" t="s">
        <v>70</v>
      </c>
      <c r="C316" s="9" t="s">
        <v>71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19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20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787</f>
        <v>787.0</v>
      </c>
      <c r="F319" s="10"/>
      <c r="G319" s="2" t="n">
        <f>2390204700</f>
        <v>2.3902047E9</v>
      </c>
      <c r="H319" s="10"/>
      <c r="I319" s="2" t="n">
        <f>245</f>
        <v>245.0</v>
      </c>
      <c r="J319" s="10"/>
      <c r="K319" s="2" t="n">
        <f>1053</f>
        <v>1053.0</v>
      </c>
    </row>
    <row r="320">
      <c r="A320" s="8" t="s">
        <v>22</v>
      </c>
      <c r="B320" s="9" t="s">
        <v>70</v>
      </c>
      <c r="C320" s="9" t="s">
        <v>71</v>
      </c>
      <c r="D320" s="10"/>
      <c r="E320" s="2" t="n">
        <f>1216</f>
        <v>1216.0</v>
      </c>
      <c r="F320" s="10"/>
      <c r="G320" s="2" t="n">
        <f>3662936800</f>
        <v>3.6629368E9</v>
      </c>
      <c r="H320" s="10"/>
      <c r="I320" s="2" t="n">
        <f>431</f>
        <v>431.0</v>
      </c>
      <c r="J320" s="10" t="s">
        <v>24</v>
      </c>
      <c r="K320" s="2" t="n">
        <f>986</f>
        <v>986.0</v>
      </c>
    </row>
    <row r="321">
      <c r="A321" s="8" t="s">
        <v>23</v>
      </c>
      <c r="B321" s="9" t="s">
        <v>70</v>
      </c>
      <c r="C321" s="9" t="s">
        <v>71</v>
      </c>
      <c r="D321" s="10"/>
      <c r="E321" s="2" t="n">
        <f>1569</f>
        <v>1569.0</v>
      </c>
      <c r="F321" s="10"/>
      <c r="G321" s="2" t="n">
        <f>4729913000</f>
        <v>4.729913E9</v>
      </c>
      <c r="H321" s="10"/>
      <c r="I321" s="2" t="n">
        <f>837</f>
        <v>837.0</v>
      </c>
      <c r="J321" s="10"/>
      <c r="K321" s="2" t="n">
        <f>1045</f>
        <v>1045.0</v>
      </c>
    </row>
    <row r="322">
      <c r="A322" s="8" t="s">
        <v>25</v>
      </c>
      <c r="B322" s="9" t="s">
        <v>70</v>
      </c>
      <c r="C322" s="9" t="s">
        <v>71</v>
      </c>
      <c r="D322" s="10" t="s">
        <v>47</v>
      </c>
      <c r="E322" s="2" t="n">
        <f>6568</f>
        <v>6568.0</v>
      </c>
      <c r="F322" s="10" t="s">
        <v>47</v>
      </c>
      <c r="G322" s="2" t="n">
        <f>20201214200</f>
        <v>2.02012142E10</v>
      </c>
      <c r="H322" s="10" t="s">
        <v>47</v>
      </c>
      <c r="I322" s="2" t="n">
        <f>871</f>
        <v>871.0</v>
      </c>
      <c r="J322" s="10" t="s">
        <v>47</v>
      </c>
      <c r="K322" s="2" t="n">
        <f>5420</f>
        <v>5420.0</v>
      </c>
    </row>
    <row r="323">
      <c r="A323" s="8" t="s">
        <v>26</v>
      </c>
      <c r="B323" s="9" t="s">
        <v>70</v>
      </c>
      <c r="C323" s="9" t="s">
        <v>71</v>
      </c>
      <c r="D323" s="10"/>
      <c r="E323" s="2" t="n">
        <f>4952</f>
        <v>4952.0</v>
      </c>
      <c r="F323" s="10"/>
      <c r="G323" s="2" t="n">
        <f>15408477700</f>
        <v>1.54084777E10</v>
      </c>
      <c r="H323" s="10"/>
      <c r="I323" s="2" t="n">
        <f>312</f>
        <v>312.0</v>
      </c>
      <c r="J323" s="10"/>
      <c r="K323" s="2" t="n">
        <f>1362</f>
        <v>1362.0</v>
      </c>
    </row>
    <row r="324">
      <c r="A324" s="8" t="s">
        <v>27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28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29</v>
      </c>
      <c r="B326" s="9" t="s">
        <v>70</v>
      </c>
      <c r="C326" s="9" t="s">
        <v>71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3070</f>
        <v>3070.0</v>
      </c>
      <c r="F327" s="10"/>
      <c r="G327" s="2" t="n">
        <f>9485282900</f>
        <v>9.4852829E9</v>
      </c>
      <c r="H327" s="10"/>
      <c r="I327" s="2" t="n">
        <f>424</f>
        <v>424.0</v>
      </c>
      <c r="J327" s="10"/>
      <c r="K327" s="2" t="n">
        <f>3320</f>
        <v>3320.0</v>
      </c>
    </row>
    <row r="328">
      <c r="A328" s="8" t="s">
        <v>31</v>
      </c>
      <c r="B328" s="9" t="s">
        <v>70</v>
      </c>
      <c r="C328" s="9" t="s">
        <v>71</v>
      </c>
      <c r="D328" s="10" t="s">
        <v>24</v>
      </c>
      <c r="E328" s="2" t="n">
        <f>539</f>
        <v>539.0</v>
      </c>
      <c r="F328" s="10" t="s">
        <v>24</v>
      </c>
      <c r="G328" s="2" t="n">
        <f>1666661600</f>
        <v>1.6666616E9</v>
      </c>
      <c r="H328" s="10"/>
      <c r="I328" s="2" t="n">
        <f>177</f>
        <v>177.0</v>
      </c>
      <c r="J328" s="10"/>
      <c r="K328" s="2" t="n">
        <f>3286</f>
        <v>3286.0</v>
      </c>
    </row>
    <row r="329">
      <c r="A329" s="8" t="s">
        <v>32</v>
      </c>
      <c r="B329" s="9" t="s">
        <v>70</v>
      </c>
      <c r="C329" s="9" t="s">
        <v>71</v>
      </c>
      <c r="D329" s="10"/>
      <c r="E329" s="2" t="n">
        <f>563</f>
        <v>563.0</v>
      </c>
      <c r="F329" s="10"/>
      <c r="G329" s="2" t="n">
        <f>1744078900</f>
        <v>1.7440789E9</v>
      </c>
      <c r="H329" s="10"/>
      <c r="I329" s="2" t="n">
        <f>163</f>
        <v>163.0</v>
      </c>
      <c r="J329" s="10"/>
      <c r="K329" s="2" t="n">
        <f>3196</f>
        <v>3196.0</v>
      </c>
    </row>
    <row r="330">
      <c r="A330" s="8" t="s">
        <v>33</v>
      </c>
      <c r="B330" s="9" t="s">
        <v>70</v>
      </c>
      <c r="C330" s="9" t="s">
        <v>71</v>
      </c>
      <c r="D330" s="10"/>
      <c r="E330" s="2" t="n">
        <f>866</f>
        <v>866.0</v>
      </c>
      <c r="F330" s="10"/>
      <c r="G330" s="2" t="n">
        <f>2677726800</f>
        <v>2.6777268E9</v>
      </c>
      <c r="H330" s="10"/>
      <c r="I330" s="2" t="n">
        <f>284</f>
        <v>284.0</v>
      </c>
      <c r="J330" s="10"/>
      <c r="K330" s="2" t="n">
        <f>3125</f>
        <v>3125.0</v>
      </c>
    </row>
    <row r="331">
      <c r="A331" s="8" t="s">
        <v>34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35</v>
      </c>
      <c r="B332" s="9" t="s">
        <v>70</v>
      </c>
      <c r="C332" s="9" t="s">
        <v>71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36</v>
      </c>
      <c r="B333" s="9" t="s">
        <v>70</v>
      </c>
      <c r="C333" s="9" t="s">
        <v>71</v>
      </c>
      <c r="D333" s="10"/>
      <c r="E333" s="2" t="n">
        <f>578</f>
        <v>578.0</v>
      </c>
      <c r="F333" s="10"/>
      <c r="G333" s="2" t="n">
        <f>1772175200</f>
        <v>1.7721752E9</v>
      </c>
      <c r="H333" s="10"/>
      <c r="I333" s="2" t="n">
        <f>171</f>
        <v>171.0</v>
      </c>
      <c r="J333" s="10"/>
      <c r="K333" s="2" t="n">
        <f>3196</f>
        <v>3196.0</v>
      </c>
    </row>
    <row r="334">
      <c r="A334" s="8" t="s">
        <v>37</v>
      </c>
      <c r="B334" s="9" t="s">
        <v>70</v>
      </c>
      <c r="C334" s="9" t="s">
        <v>71</v>
      </c>
      <c r="D334" s="10"/>
      <c r="E334" s="2" t="n">
        <f>1286</f>
        <v>1286.0</v>
      </c>
      <c r="F334" s="10"/>
      <c r="G334" s="2" t="n">
        <f>3966237800</f>
        <v>3.9662378E9</v>
      </c>
      <c r="H334" s="10" t="s">
        <v>24</v>
      </c>
      <c r="I334" s="2" t="n">
        <f>119</f>
        <v>119.0</v>
      </c>
      <c r="J334" s="10"/>
      <c r="K334" s="2" t="n">
        <f>4206</f>
        <v>4206.0</v>
      </c>
    </row>
    <row r="335">
      <c r="A335" s="8" t="s">
        <v>38</v>
      </c>
      <c r="B335" s="9" t="s">
        <v>70</v>
      </c>
      <c r="C335" s="9" t="s">
        <v>71</v>
      </c>
      <c r="D335" s="10"/>
      <c r="E335" s="2" t="n">
        <f>1662</f>
        <v>1662.0</v>
      </c>
      <c r="F335" s="10"/>
      <c r="G335" s="2" t="n">
        <f>5121435900</f>
        <v>5.1214359E9</v>
      </c>
      <c r="H335" s="10"/>
      <c r="I335" s="2" t="n">
        <f>194</f>
        <v>194.0</v>
      </c>
      <c r="J335" s="10"/>
      <c r="K335" s="2" t="n">
        <f>3244</f>
        <v>3244.0</v>
      </c>
    </row>
    <row r="336">
      <c r="A336" s="8" t="s">
        <v>39</v>
      </c>
      <c r="B336" s="9" t="s">
        <v>70</v>
      </c>
      <c r="C336" s="9" t="s">
        <v>71</v>
      </c>
      <c r="D336" s="10"/>
      <c r="E336" s="2" t="n">
        <f>2825</f>
        <v>2825.0</v>
      </c>
      <c r="F336" s="10"/>
      <c r="G336" s="2" t="n">
        <f>8782658100</f>
        <v>8.7826581E9</v>
      </c>
      <c r="H336" s="10"/>
      <c r="I336" s="2" t="n">
        <f>249</f>
        <v>249.0</v>
      </c>
      <c r="J336" s="10"/>
      <c r="K336" s="2" t="n">
        <f>1266</f>
        <v>1266.0</v>
      </c>
    </row>
    <row r="337">
      <c r="A337" s="8" t="s">
        <v>40</v>
      </c>
      <c r="B337" s="9" t="s">
        <v>70</v>
      </c>
      <c r="C337" s="9" t="s">
        <v>71</v>
      </c>
      <c r="D337" s="10"/>
      <c r="E337" s="2" t="n">
        <f>2589</f>
        <v>2589.0</v>
      </c>
      <c r="F337" s="10"/>
      <c r="G337" s="2" t="n">
        <f>8018210900</f>
        <v>8.0182109E9</v>
      </c>
      <c r="H337" s="10"/>
      <c r="I337" s="2" t="n">
        <f>241</f>
        <v>241.0</v>
      </c>
      <c r="J337" s="10"/>
      <c r="K337" s="2" t="n">
        <f>3314</f>
        <v>3314.0</v>
      </c>
    </row>
    <row r="338">
      <c r="A338" s="8" t="s">
        <v>41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42</v>
      </c>
      <c r="B339" s="9" t="s">
        <v>70</v>
      </c>
      <c r="C339" s="9" t="s">
        <v>71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43</v>
      </c>
      <c r="B340" s="9" t="s">
        <v>70</v>
      </c>
      <c r="C340" s="9" t="s">
        <v>71</v>
      </c>
      <c r="D340" s="10"/>
      <c r="E340" s="2" t="n">
        <f>754</f>
        <v>754.0</v>
      </c>
      <c r="F340" s="10"/>
      <c r="G340" s="2" t="n">
        <f>2328798500</f>
        <v>2.3287985E9</v>
      </c>
      <c r="H340" s="10"/>
      <c r="I340" s="2" t="n">
        <f>291</f>
        <v>291.0</v>
      </c>
      <c r="J340" s="10"/>
      <c r="K340" s="2" t="n">
        <f>3336</f>
        <v>3336.0</v>
      </c>
    </row>
    <row r="341">
      <c r="A341" s="8" t="s">
        <v>44</v>
      </c>
      <c r="B341" s="9" t="s">
        <v>70</v>
      </c>
      <c r="C341" s="9" t="s">
        <v>71</v>
      </c>
      <c r="D341" s="10"/>
      <c r="E341" s="2" t="n">
        <f>1891</f>
        <v>1891.0</v>
      </c>
      <c r="F341" s="10"/>
      <c r="G341" s="2" t="n">
        <f>5806147700</f>
        <v>5.8061477E9</v>
      </c>
      <c r="H341" s="10"/>
      <c r="I341" s="2" t="n">
        <f>224</f>
        <v>224.0</v>
      </c>
      <c r="J341" s="10"/>
      <c r="K341" s="2" t="n">
        <f>4287</f>
        <v>4287.0</v>
      </c>
    </row>
    <row r="342">
      <c r="A342" s="8" t="s">
        <v>45</v>
      </c>
      <c r="B342" s="9" t="s">
        <v>70</v>
      </c>
      <c r="C342" s="9" t="s">
        <v>71</v>
      </c>
      <c r="D342" s="10"/>
      <c r="E342" s="2" t="n">
        <f>605</f>
        <v>605.0</v>
      </c>
      <c r="F342" s="10"/>
      <c r="G342" s="2" t="n">
        <f>1866044800</f>
        <v>1.8660448E9</v>
      </c>
      <c r="H342" s="10"/>
      <c r="I342" s="2" t="n">
        <f>168</f>
        <v>168.0</v>
      </c>
      <c r="J342" s="10"/>
      <c r="K342" s="2" t="n">
        <f>4279</f>
        <v>4279.0</v>
      </c>
    </row>
    <row r="343">
      <c r="A343" s="8" t="s">
        <v>46</v>
      </c>
      <c r="B343" s="9" t="s">
        <v>70</v>
      </c>
      <c r="C343" s="9" t="s">
        <v>71</v>
      </c>
      <c r="D343" s="10"/>
      <c r="E343" s="2" t="n">
        <f>1456</f>
        <v>1456.0</v>
      </c>
      <c r="F343" s="10"/>
      <c r="G343" s="2" t="n">
        <f>4412595300</f>
        <v>4.4125953E9</v>
      </c>
      <c r="H343" s="10"/>
      <c r="I343" s="2" t="n">
        <f>213</f>
        <v>213.0</v>
      </c>
      <c r="J343" s="10"/>
      <c r="K343" s="2" t="n">
        <f>4213</f>
        <v>4213.0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2796</f>
        <v>2796.0</v>
      </c>
      <c r="F344" s="10"/>
      <c r="G344" s="2" t="n">
        <f>8485348100</f>
        <v>8.4853481E9</v>
      </c>
      <c r="H344" s="10"/>
      <c r="I344" s="2" t="n">
        <f>524</f>
        <v>524.0</v>
      </c>
      <c r="J344" s="10"/>
      <c r="K344" s="2" t="n">
        <f>3212</f>
        <v>3212.0</v>
      </c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16</v>
      </c>
      <c r="B347" s="9" t="s">
        <v>72</v>
      </c>
      <c r="C347" s="9" t="s">
        <v>73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19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20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21</v>
      </c>
      <c r="B350" s="9" t="s">
        <v>72</v>
      </c>
      <c r="C350" s="9" t="s">
        <v>73</v>
      </c>
      <c r="D350" s="10" t="s">
        <v>24</v>
      </c>
      <c r="E350" s="2" t="str">
        <f>"－"</f>
        <v>－</v>
      </c>
      <c r="F350" s="10" t="s">
        <v>24</v>
      </c>
      <c r="G350" s="2" t="str">
        <f>"－"</f>
        <v>－</v>
      </c>
      <c r="H350" s="10" t="s">
        <v>24</v>
      </c>
      <c r="I350" s="2" t="str">
        <f>"－"</f>
        <v>－</v>
      </c>
      <c r="J350" s="10" t="s">
        <v>24</v>
      </c>
      <c r="K350" s="2" t="str">
        <f>"－"</f>
        <v>－</v>
      </c>
    </row>
    <row r="351">
      <c r="A351" s="8" t="s">
        <v>22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23</v>
      </c>
      <c r="B352" s="9" t="s">
        <v>72</v>
      </c>
      <c r="C352" s="9" t="s">
        <v>73</v>
      </c>
      <c r="D352" s="10"/>
      <c r="E352" s="2" t="n">
        <f>40</f>
        <v>40.0</v>
      </c>
      <c r="F352" s="10"/>
      <c r="G352" s="2" t="n">
        <f>59661000</f>
        <v>5.9661E7</v>
      </c>
      <c r="H352" s="10" t="s">
        <v>47</v>
      </c>
      <c r="I352" s="2" t="n">
        <f>40</f>
        <v>40.0</v>
      </c>
      <c r="J352" s="10"/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2" t="n">
        <f>45</f>
        <v>45.0</v>
      </c>
      <c r="F354" s="10"/>
      <c r="G354" s="2" t="n">
        <f>68865600</f>
        <v>6.88656E7</v>
      </c>
      <c r="H354" s="10"/>
      <c r="I354" s="2" t="n">
        <f>29</f>
        <v>29.0</v>
      </c>
      <c r="J354" s="10"/>
      <c r="K354" s="2" t="n">
        <f>5</f>
        <v>5.0</v>
      </c>
    </row>
    <row r="355">
      <c r="A355" s="8" t="s">
        <v>27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28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29</v>
      </c>
      <c r="B357" s="9" t="s">
        <v>72</v>
      </c>
      <c r="C357" s="9" t="s">
        <v>73</v>
      </c>
      <c r="D357" s="10"/>
      <c r="E357" s="2"/>
      <c r="F357" s="10"/>
      <c r="G357" s="2"/>
      <c r="H357" s="10"/>
      <c r="I357" s="2"/>
      <c r="J357" s="10"/>
      <c r="K357" s="2"/>
    </row>
    <row r="358">
      <c r="A358" s="8" t="s">
        <v>30</v>
      </c>
      <c r="B358" s="9" t="s">
        <v>72</v>
      </c>
      <c r="C358" s="9" t="s">
        <v>73</v>
      </c>
      <c r="D358" s="10" t="s">
        <v>47</v>
      </c>
      <c r="E358" s="2" t="n">
        <f>115</f>
        <v>115.0</v>
      </c>
      <c r="F358" s="10" t="s">
        <v>47</v>
      </c>
      <c r="G358" s="2" t="n">
        <f>178337000</f>
        <v>1.78337E8</v>
      </c>
      <c r="H358" s="10"/>
      <c r="I358" s="2" t="n">
        <f>35</f>
        <v>35.0</v>
      </c>
      <c r="J358" s="10"/>
      <c r="K358" s="2" t="n">
        <f>5</f>
        <v>5.0</v>
      </c>
    </row>
    <row r="359">
      <c r="A359" s="8" t="s">
        <v>31</v>
      </c>
      <c r="B359" s="9" t="s">
        <v>72</v>
      </c>
      <c r="C359" s="9" t="s">
        <v>73</v>
      </c>
      <c r="D359" s="10"/>
      <c r="E359" s="2" t="n">
        <f>25</f>
        <v>25.0</v>
      </c>
      <c r="F359" s="10"/>
      <c r="G359" s="2" t="n">
        <f>39288500</f>
        <v>3.92885E7</v>
      </c>
      <c r="H359" s="10"/>
      <c r="I359" s="2" t="n">
        <f>20</f>
        <v>20.0</v>
      </c>
      <c r="J359" s="10"/>
      <c r="K359" s="2" t="n">
        <f>4</f>
        <v>4.0</v>
      </c>
    </row>
    <row r="360">
      <c r="A360" s="8" t="s">
        <v>32</v>
      </c>
      <c r="B360" s="9" t="s">
        <v>72</v>
      </c>
      <c r="C360" s="9" t="s">
        <v>73</v>
      </c>
      <c r="D360" s="10"/>
      <c r="E360" s="2" t="n">
        <f>44</f>
        <v>44.0</v>
      </c>
      <c r="F360" s="10"/>
      <c r="G360" s="2" t="n">
        <f>68956300</f>
        <v>6.89563E7</v>
      </c>
      <c r="H360" s="10"/>
      <c r="I360" s="2" t="n">
        <f>29</f>
        <v>29.0</v>
      </c>
      <c r="J360" s="10"/>
      <c r="K360" s="2" t="n">
        <f>5</f>
        <v>5.0</v>
      </c>
    </row>
    <row r="361">
      <c r="A361" s="8" t="s">
        <v>33</v>
      </c>
      <c r="B361" s="9" t="s">
        <v>72</v>
      </c>
      <c r="C361" s="9" t="s">
        <v>73</v>
      </c>
      <c r="D361" s="10"/>
      <c r="E361" s="2" t="n">
        <f>10</f>
        <v>10.0</v>
      </c>
      <c r="F361" s="10"/>
      <c r="G361" s="2" t="n">
        <f>15708500</f>
        <v>1.57085E7</v>
      </c>
      <c r="H361" s="10"/>
      <c r="I361" s="2" t="n">
        <f>10</f>
        <v>10.0</v>
      </c>
      <c r="J361" s="10"/>
      <c r="K361" s="2" t="n">
        <f>5</f>
        <v>5.0</v>
      </c>
    </row>
    <row r="362">
      <c r="A362" s="8" t="s">
        <v>34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35</v>
      </c>
      <c r="B363" s="9" t="s">
        <v>72</v>
      </c>
      <c r="C363" s="9" t="s">
        <v>73</v>
      </c>
      <c r="D363" s="10"/>
      <c r="E363" s="2"/>
      <c r="F363" s="10"/>
      <c r="G363" s="2"/>
      <c r="H363" s="10"/>
      <c r="I363" s="2"/>
      <c r="J363" s="10"/>
      <c r="K363" s="2"/>
    </row>
    <row r="364">
      <c r="A364" s="8" t="s">
        <v>36</v>
      </c>
      <c r="B364" s="9" t="s">
        <v>72</v>
      </c>
      <c r="C364" s="9" t="s">
        <v>73</v>
      </c>
      <c r="D364" s="10"/>
      <c r="E364" s="2" t="n">
        <f>25</f>
        <v>25.0</v>
      </c>
      <c r="F364" s="10"/>
      <c r="G364" s="2" t="n">
        <f>38591000</f>
        <v>3.8591E7</v>
      </c>
      <c r="H364" s="10"/>
      <c r="I364" s="2" t="n">
        <f>20</f>
        <v>20.0</v>
      </c>
      <c r="J364" s="10"/>
      <c r="K364" s="2" t="n">
        <f>5</f>
        <v>5.0</v>
      </c>
    </row>
    <row r="365">
      <c r="A365" s="8" t="s">
        <v>37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n">
        <f>5</f>
        <v>5.0</v>
      </c>
    </row>
    <row r="366">
      <c r="A366" s="8" t="s">
        <v>38</v>
      </c>
      <c r="B366" s="9" t="s">
        <v>72</v>
      </c>
      <c r="C366" s="9" t="s">
        <v>73</v>
      </c>
      <c r="D366" s="10"/>
      <c r="E366" s="2" t="n">
        <f>5</f>
        <v>5.0</v>
      </c>
      <c r="F366" s="10"/>
      <c r="G366" s="2" t="n">
        <f>7853500</f>
        <v>7853500.0</v>
      </c>
      <c r="H366" s="10"/>
      <c r="I366" s="2" t="n">
        <f>5</f>
        <v>5.0</v>
      </c>
      <c r="J366" s="10" t="s">
        <v>47</v>
      </c>
      <c r="K366" s="2" t="n">
        <f>10</f>
        <v>10.0</v>
      </c>
    </row>
    <row r="367">
      <c r="A367" s="8" t="s">
        <v>39</v>
      </c>
      <c r="B367" s="9" t="s">
        <v>72</v>
      </c>
      <c r="C367" s="9" t="s">
        <v>73</v>
      </c>
      <c r="D367" s="10"/>
      <c r="E367" s="2" t="n">
        <f>10</f>
        <v>10.0</v>
      </c>
      <c r="F367" s="10"/>
      <c r="G367" s="2" t="n">
        <f>16035500</f>
        <v>1.60355E7</v>
      </c>
      <c r="H367" s="10"/>
      <c r="I367" s="2" t="n">
        <f>10</f>
        <v>10.0</v>
      </c>
      <c r="J367" s="10"/>
      <c r="K367" s="2" t="n">
        <f>5</f>
        <v>5.0</v>
      </c>
    </row>
    <row r="368">
      <c r="A368" s="8" t="s">
        <v>40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n">
        <f>5</f>
        <v>5.0</v>
      </c>
    </row>
    <row r="369">
      <c r="A369" s="8" t="s">
        <v>41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42</v>
      </c>
      <c r="B370" s="9" t="s">
        <v>72</v>
      </c>
      <c r="C370" s="9" t="s">
        <v>73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43</v>
      </c>
      <c r="B371" s="9" t="s">
        <v>72</v>
      </c>
      <c r="C371" s="9" t="s">
        <v>73</v>
      </c>
      <c r="D371" s="10"/>
      <c r="E371" s="2" t="n">
        <f>5</f>
        <v>5.0</v>
      </c>
      <c r="F371" s="10"/>
      <c r="G371" s="2" t="n">
        <f>7913000</f>
        <v>7913000.0</v>
      </c>
      <c r="H371" s="10"/>
      <c r="I371" s="2" t="n">
        <f>5</f>
        <v>5.0</v>
      </c>
      <c r="J371" s="10"/>
      <c r="K371" s="2" t="str">
        <f>"－"</f>
        <v>－</v>
      </c>
    </row>
    <row r="372">
      <c r="A372" s="8" t="s">
        <v>44</v>
      </c>
      <c r="B372" s="9" t="s">
        <v>72</v>
      </c>
      <c r="C372" s="9" t="s">
        <v>73</v>
      </c>
      <c r="D372" s="10"/>
      <c r="E372" s="2" t="n">
        <f>10</f>
        <v>10.0</v>
      </c>
      <c r="F372" s="10"/>
      <c r="G372" s="2" t="n">
        <f>15787000</f>
        <v>1.5787E7</v>
      </c>
      <c r="H372" s="10"/>
      <c r="I372" s="2" t="n">
        <f>10</f>
        <v>10.0</v>
      </c>
      <c r="J372" s="10"/>
      <c r="K372" s="2" t="str">
        <f>"－"</f>
        <v>－</v>
      </c>
    </row>
    <row r="373">
      <c r="A373" s="8" t="s">
        <v>45</v>
      </c>
      <c r="B373" s="9" t="s">
        <v>72</v>
      </c>
      <c r="C373" s="9" t="s">
        <v>73</v>
      </c>
      <c r="D373" s="10"/>
      <c r="E373" s="2" t="n">
        <f>5</f>
        <v>5.0</v>
      </c>
      <c r="F373" s="10"/>
      <c r="G373" s="2" t="n">
        <f>7838500</f>
        <v>7838500.0</v>
      </c>
      <c r="H373" s="10"/>
      <c r="I373" s="2" t="n">
        <f>5</f>
        <v>5.0</v>
      </c>
      <c r="J373" s="10"/>
      <c r="K373" s="2" t="n">
        <f>5</f>
        <v>5.0</v>
      </c>
    </row>
    <row r="374">
      <c r="A374" s="8" t="s">
        <v>46</v>
      </c>
      <c r="B374" s="9" t="s">
        <v>72</v>
      </c>
      <c r="C374" s="9" t="s">
        <v>73</v>
      </c>
      <c r="D374" s="10"/>
      <c r="E374" s="2" t="n">
        <f>25</f>
        <v>25.0</v>
      </c>
      <c r="F374" s="10"/>
      <c r="G374" s="2" t="n">
        <f>38428500</f>
        <v>3.84285E7</v>
      </c>
      <c r="H374" s="10"/>
      <c r="I374" s="2" t="n">
        <f>25</f>
        <v>25.0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 t="n">
        <f>5</f>
        <v>5.0</v>
      </c>
      <c r="F375" s="10"/>
      <c r="G375" s="2" t="n">
        <f>7659500</f>
        <v>7659500.0</v>
      </c>
      <c r="H375" s="10"/>
      <c r="I375" s="2" t="n">
        <f>5</f>
        <v>5.0</v>
      </c>
      <c r="J375" s="10"/>
      <c r="K375" s="2" t="n">
        <f>5</f>
        <v>5.0</v>
      </c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16</v>
      </c>
      <c r="B378" s="9" t="s">
        <v>74</v>
      </c>
      <c r="C378" s="9" t="s">
        <v>75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19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20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21</v>
      </c>
      <c r="B381" s="9" t="s">
        <v>74</v>
      </c>
      <c r="C381" s="9" t="s">
        <v>75</v>
      </c>
      <c r="D381" s="10" t="s">
        <v>24</v>
      </c>
      <c r="E381" s="2" t="str">
        <f>"－"</f>
        <v>－</v>
      </c>
      <c r="F381" s="10" t="s">
        <v>24</v>
      </c>
      <c r="G381" s="2" t="str">
        <f>"－"</f>
        <v>－</v>
      </c>
      <c r="H381" s="10" t="s">
        <v>61</v>
      </c>
      <c r="I381" s="2" t="str">
        <f>"－"</f>
        <v>－</v>
      </c>
      <c r="J381" s="10" t="s">
        <v>24</v>
      </c>
      <c r="K381" s="2" t="str">
        <f>"－"</f>
        <v>－</v>
      </c>
    </row>
    <row r="382">
      <c r="A382" s="8" t="s">
        <v>22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23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28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29</v>
      </c>
      <c r="B388" s="9" t="s">
        <v>74</v>
      </c>
      <c r="C388" s="9" t="s">
        <v>75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30</v>
      </c>
      <c r="B389" s="9" t="s">
        <v>74</v>
      </c>
      <c r="C389" s="9" t="s">
        <v>75</v>
      </c>
      <c r="D389" s="10"/>
      <c r="E389" s="2" t="n">
        <f>5</f>
        <v>5.0</v>
      </c>
      <c r="F389" s="10"/>
      <c r="G389" s="2" t="n">
        <f>10675000</f>
        <v>1.0675E7</v>
      </c>
      <c r="H389" s="10"/>
      <c r="I389" s="2" t="str">
        <f>"－"</f>
        <v>－</v>
      </c>
      <c r="J389" s="10"/>
      <c r="K389" s="2" t="n">
        <f>5</f>
        <v>5.0</v>
      </c>
    </row>
    <row r="390">
      <c r="A390" s="8" t="s">
        <v>31</v>
      </c>
      <c r="B390" s="9" t="s">
        <v>74</v>
      </c>
      <c r="C390" s="9" t="s">
        <v>75</v>
      </c>
      <c r="D390" s="10"/>
      <c r="E390" s="2" t="n">
        <f>5</f>
        <v>5.0</v>
      </c>
      <c r="F390" s="10"/>
      <c r="G390" s="2" t="n">
        <f>10887500</f>
        <v>1.08875E7</v>
      </c>
      <c r="H390" s="10"/>
      <c r="I390" s="2" t="str">
        <f>"－"</f>
        <v>－</v>
      </c>
      <c r="J390" s="10"/>
      <c r="K390" s="2" t="n">
        <f>10</f>
        <v>10.0</v>
      </c>
    </row>
    <row r="391">
      <c r="A391" s="8" t="s">
        <v>32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n">
        <f>10</f>
        <v>10.0</v>
      </c>
    </row>
    <row r="392">
      <c r="A392" s="8" t="s">
        <v>33</v>
      </c>
      <c r="B392" s="9" t="s">
        <v>74</v>
      </c>
      <c r="C392" s="9" t="s">
        <v>75</v>
      </c>
      <c r="D392" s="10"/>
      <c r="E392" s="2" t="n">
        <f>10</f>
        <v>10.0</v>
      </c>
      <c r="F392" s="10"/>
      <c r="G392" s="2" t="n">
        <f>21935000</f>
        <v>2.1935E7</v>
      </c>
      <c r="H392" s="10"/>
      <c r="I392" s="2" t="str">
        <f>"－"</f>
        <v>－</v>
      </c>
      <c r="J392" s="10" t="s">
        <v>47</v>
      </c>
      <c r="K392" s="2" t="n">
        <f>20</f>
        <v>20.0</v>
      </c>
    </row>
    <row r="393">
      <c r="A393" s="8" t="s">
        <v>34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35</v>
      </c>
      <c r="B394" s="9" t="s">
        <v>74</v>
      </c>
      <c r="C394" s="9" t="s">
        <v>75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36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n">
        <f>20</f>
        <v>20.0</v>
      </c>
    </row>
    <row r="396">
      <c r="A396" s="8" t="s">
        <v>37</v>
      </c>
      <c r="B396" s="9" t="s">
        <v>74</v>
      </c>
      <c r="C396" s="9" t="s">
        <v>75</v>
      </c>
      <c r="D396" s="10"/>
      <c r="E396" s="2" t="n">
        <f>10</f>
        <v>10.0</v>
      </c>
      <c r="F396" s="10"/>
      <c r="G396" s="2" t="n">
        <f>22745000</f>
        <v>2.2745E7</v>
      </c>
      <c r="H396" s="10"/>
      <c r="I396" s="2" t="str">
        <f>"－"</f>
        <v>－</v>
      </c>
      <c r="J396" s="10"/>
      <c r="K396" s="2" t="n">
        <f>20</f>
        <v>20.0</v>
      </c>
    </row>
    <row r="397">
      <c r="A397" s="8" t="s">
        <v>38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n">
        <f>20</f>
        <v>20.0</v>
      </c>
    </row>
    <row r="398">
      <c r="A398" s="8" t="s">
        <v>39</v>
      </c>
      <c r="B398" s="9" t="s">
        <v>74</v>
      </c>
      <c r="C398" s="9" t="s">
        <v>75</v>
      </c>
      <c r="D398" s="10"/>
      <c r="E398" s="2" t="n">
        <f>5</f>
        <v>5.0</v>
      </c>
      <c r="F398" s="10"/>
      <c r="G398" s="2" t="n">
        <f>11767500</f>
        <v>1.17675E7</v>
      </c>
      <c r="H398" s="10"/>
      <c r="I398" s="2" t="str">
        <f>"－"</f>
        <v>－</v>
      </c>
      <c r="J398" s="10"/>
      <c r="K398" s="2" t="n">
        <f>15</f>
        <v>15.0</v>
      </c>
    </row>
    <row r="399">
      <c r="A399" s="8" t="s">
        <v>40</v>
      </c>
      <c r="B399" s="9" t="s">
        <v>74</v>
      </c>
      <c r="C399" s="9" t="s">
        <v>75</v>
      </c>
      <c r="D399" s="10"/>
      <c r="E399" s="2" t="n">
        <f>5</f>
        <v>5.0</v>
      </c>
      <c r="F399" s="10"/>
      <c r="G399" s="2" t="n">
        <f>11630000</f>
        <v>1.163E7</v>
      </c>
      <c r="H399" s="10"/>
      <c r="I399" s="2" t="str">
        <f>"－"</f>
        <v>－</v>
      </c>
      <c r="J399" s="10"/>
      <c r="K399" s="2" t="n">
        <f>10</f>
        <v>10.0</v>
      </c>
    </row>
    <row r="400">
      <c r="A400" s="8" t="s">
        <v>41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42</v>
      </c>
      <c r="B401" s="9" t="s">
        <v>74</v>
      </c>
      <c r="C401" s="9" t="s">
        <v>75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43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n">
        <f>10</f>
        <v>10.0</v>
      </c>
    </row>
    <row r="403">
      <c r="A403" s="8" t="s">
        <v>44</v>
      </c>
      <c r="B403" s="9" t="s">
        <v>74</v>
      </c>
      <c r="C403" s="9" t="s">
        <v>75</v>
      </c>
      <c r="D403" s="10"/>
      <c r="E403" s="2" t="n">
        <f>5</f>
        <v>5.0</v>
      </c>
      <c r="F403" s="10"/>
      <c r="G403" s="2" t="n">
        <f>11677500</f>
        <v>1.16775E7</v>
      </c>
      <c r="H403" s="10"/>
      <c r="I403" s="2" t="str">
        <f>"－"</f>
        <v>－</v>
      </c>
      <c r="J403" s="10"/>
      <c r="K403" s="2" t="n">
        <f>15</f>
        <v>15.0</v>
      </c>
    </row>
    <row r="404">
      <c r="A404" s="8" t="s">
        <v>45</v>
      </c>
      <c r="B404" s="9" t="s">
        <v>74</v>
      </c>
      <c r="C404" s="9" t="s">
        <v>75</v>
      </c>
      <c r="D404" s="10" t="s">
        <v>47</v>
      </c>
      <c r="E404" s="2" t="n">
        <f>15</f>
        <v>15.0</v>
      </c>
      <c r="F404" s="10" t="s">
        <v>47</v>
      </c>
      <c r="G404" s="2" t="n">
        <f>34549500</f>
        <v>3.45495E7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46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16</v>
      </c>
      <c r="B409" s="9" t="s">
        <v>76</v>
      </c>
      <c r="C409" s="9" t="s">
        <v>77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19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20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21</v>
      </c>
      <c r="B412" s="9" t="s">
        <v>76</v>
      </c>
      <c r="C412" s="9" t="s">
        <v>77</v>
      </c>
      <c r="D412" s="10" t="s">
        <v>24</v>
      </c>
      <c r="E412" s="2" t="str">
        <f>"－"</f>
        <v>－</v>
      </c>
      <c r="F412" s="10" t="s">
        <v>24</v>
      </c>
      <c r="G412" s="2" t="str">
        <f>"－"</f>
        <v>－</v>
      </c>
      <c r="H412" s="10" t="s">
        <v>61</v>
      </c>
      <c r="I412" s="2" t="str">
        <f>"－"</f>
        <v>－</v>
      </c>
      <c r="J412" s="10" t="s">
        <v>61</v>
      </c>
      <c r="K412" s="2" t="n">
        <f>30320</f>
        <v>30320.0</v>
      </c>
    </row>
    <row r="413">
      <c r="A413" s="8" t="s">
        <v>22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30320</f>
        <v>30320.0</v>
      </c>
    </row>
    <row r="414">
      <c r="A414" s="8" t="s">
        <v>23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30320</f>
        <v>30320.0</v>
      </c>
    </row>
    <row r="415">
      <c r="A415" s="8" t="s">
        <v>25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30320</f>
        <v>30320.0</v>
      </c>
    </row>
    <row r="416">
      <c r="A416" s="8" t="s">
        <v>26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30320</f>
        <v>30320.0</v>
      </c>
    </row>
    <row r="417">
      <c r="A417" s="8" t="s">
        <v>27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28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29</v>
      </c>
      <c r="B419" s="9" t="s">
        <v>76</v>
      </c>
      <c r="C419" s="9" t="s">
        <v>77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30320</f>
        <v>30320.0</v>
      </c>
    </row>
    <row r="421">
      <c r="A421" s="8" t="s">
        <v>31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30320</f>
        <v>30320.0</v>
      </c>
    </row>
    <row r="422">
      <c r="A422" s="8" t="s">
        <v>32</v>
      </c>
      <c r="B422" s="9" t="s">
        <v>76</v>
      </c>
      <c r="C422" s="9" t="s">
        <v>77</v>
      </c>
      <c r="D422" s="10" t="s">
        <v>47</v>
      </c>
      <c r="E422" s="2" t="n">
        <f>10</f>
        <v>10.0</v>
      </c>
      <c r="F422" s="10" t="s">
        <v>47</v>
      </c>
      <c r="G422" s="2" t="n">
        <f>4330000</f>
        <v>4330000.0</v>
      </c>
      <c r="H422" s="10"/>
      <c r="I422" s="2" t="str">
        <f>"－"</f>
        <v>－</v>
      </c>
      <c r="J422" s="10"/>
      <c r="K422" s="2" t="n">
        <f>30320</f>
        <v>30320.0</v>
      </c>
    </row>
    <row r="423">
      <c r="A423" s="8" t="s">
        <v>33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30320</f>
        <v>30320.0</v>
      </c>
    </row>
    <row r="424">
      <c r="A424" s="8" t="s">
        <v>34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35</v>
      </c>
      <c r="B425" s="9" t="s">
        <v>76</v>
      </c>
      <c r="C425" s="9" t="s">
        <v>77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36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30320</f>
        <v>30320.0</v>
      </c>
    </row>
    <row r="427">
      <c r="A427" s="8" t="s">
        <v>37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30320</f>
        <v>30320.0</v>
      </c>
    </row>
    <row r="428">
      <c r="A428" s="8" t="s">
        <v>38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30320</f>
        <v>30320.0</v>
      </c>
    </row>
    <row r="429">
      <c r="A429" s="8" t="s">
        <v>39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30320</f>
        <v>30320.0</v>
      </c>
    </row>
    <row r="430">
      <c r="A430" s="8" t="s">
        <v>40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30320</f>
        <v>30320.0</v>
      </c>
    </row>
    <row r="431">
      <c r="A431" s="8" t="s">
        <v>41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42</v>
      </c>
      <c r="B432" s="9" t="s">
        <v>76</v>
      </c>
      <c r="C432" s="9" t="s">
        <v>77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43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30320</f>
        <v>30320.0</v>
      </c>
    </row>
    <row r="434">
      <c r="A434" s="8" t="s">
        <v>44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30320</f>
        <v>30320.0</v>
      </c>
    </row>
    <row r="435">
      <c r="A435" s="8" t="s">
        <v>45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30320</f>
        <v>30320.0</v>
      </c>
    </row>
    <row r="436">
      <c r="A436" s="8" t="s">
        <v>46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30320</f>
        <v>30320.0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30320</f>
        <v>30320.0</v>
      </c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16</v>
      </c>
      <c r="B440" s="9" t="s">
        <v>78</v>
      </c>
      <c r="C440" s="9" t="s">
        <v>79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19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20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21</v>
      </c>
      <c r="B443" s="9" t="s">
        <v>78</v>
      </c>
      <c r="C443" s="9" t="s">
        <v>79</v>
      </c>
      <c r="D443" s="10" t="s">
        <v>61</v>
      </c>
      <c r="E443" s="2" t="str">
        <f>"－"</f>
        <v>－</v>
      </c>
      <c r="F443" s="10" t="s">
        <v>61</v>
      </c>
      <c r="G443" s="2" t="str">
        <f>"－"</f>
        <v>－</v>
      </c>
      <c r="H443" s="10" t="s">
        <v>61</v>
      </c>
      <c r="I443" s="2" t="str">
        <f>"－"</f>
        <v>－</v>
      </c>
      <c r="J443" s="10" t="s">
        <v>61</v>
      </c>
      <c r="K443" s="2" t="str">
        <f>"－"</f>
        <v>－</v>
      </c>
    </row>
    <row r="444">
      <c r="A444" s="8" t="s">
        <v>22</v>
      </c>
      <c r="B444" s="9" t="s">
        <v>78</v>
      </c>
      <c r="C444" s="9" t="s">
        <v>79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str">
        <f>"－"</f>
        <v>－</v>
      </c>
    </row>
    <row r="445">
      <c r="A445" s="8" t="s">
        <v>23</v>
      </c>
      <c r="B445" s="9" t="s">
        <v>78</v>
      </c>
      <c r="C445" s="9" t="s">
        <v>79</v>
      </c>
      <c r="D445" s="10"/>
      <c r="E445" s="2" t="str">
        <f>"－"</f>
        <v>－</v>
      </c>
      <c r="F445" s="10"/>
      <c r="G445" s="2" t="str">
        <f>"－"</f>
        <v>－</v>
      </c>
      <c r="H445" s="10"/>
      <c r="I445" s="2" t="str">
        <f>"－"</f>
        <v>－</v>
      </c>
      <c r="J445" s="10"/>
      <c r="K445" s="2" t="str">
        <f>"－"</f>
        <v>－</v>
      </c>
    </row>
    <row r="446">
      <c r="A446" s="8" t="s">
        <v>25</v>
      </c>
      <c r="B446" s="9" t="s">
        <v>78</v>
      </c>
      <c r="C446" s="9" t="s">
        <v>79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str">
        <f>"－"</f>
        <v>－</v>
      </c>
    </row>
    <row r="447">
      <c r="A447" s="8" t="s">
        <v>26</v>
      </c>
      <c r="B447" s="9" t="s">
        <v>78</v>
      </c>
      <c r="C447" s="9" t="s">
        <v>79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str">
        <f>"－"</f>
        <v>－</v>
      </c>
    </row>
    <row r="448">
      <c r="A448" s="8" t="s">
        <v>27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28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29</v>
      </c>
      <c r="B450" s="9" t="s">
        <v>78</v>
      </c>
      <c r="C450" s="9" t="s">
        <v>79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30</v>
      </c>
      <c r="B451" s="9" t="s">
        <v>78</v>
      </c>
      <c r="C451" s="9" t="s">
        <v>79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31</v>
      </c>
      <c r="B452" s="9" t="s">
        <v>78</v>
      </c>
      <c r="C452" s="9" t="s">
        <v>79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str">
        <f>"－"</f>
        <v>－</v>
      </c>
    </row>
    <row r="453">
      <c r="A453" s="8" t="s">
        <v>32</v>
      </c>
      <c r="B453" s="9" t="s">
        <v>78</v>
      </c>
      <c r="C453" s="9" t="s">
        <v>79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str">
        <f>"－"</f>
        <v>－</v>
      </c>
    </row>
    <row r="454">
      <c r="A454" s="8" t="s">
        <v>33</v>
      </c>
      <c r="B454" s="9" t="s">
        <v>78</v>
      </c>
      <c r="C454" s="9" t="s">
        <v>79</v>
      </c>
      <c r="D454" s="10"/>
      <c r="E454" s="2" t="str">
        <f>"－"</f>
        <v>－</v>
      </c>
      <c r="F454" s="10"/>
      <c r="G454" s="2" t="str">
        <f>"－"</f>
        <v>－</v>
      </c>
      <c r="H454" s="10"/>
      <c r="I454" s="2" t="str">
        <f>"－"</f>
        <v>－</v>
      </c>
      <c r="J454" s="10"/>
      <c r="K454" s="2" t="str">
        <f>"－"</f>
        <v>－</v>
      </c>
    </row>
    <row r="455">
      <c r="A455" s="8" t="s">
        <v>34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35</v>
      </c>
      <c r="B456" s="9" t="s">
        <v>78</v>
      </c>
      <c r="C456" s="9" t="s">
        <v>79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36</v>
      </c>
      <c r="B457" s="9" t="s">
        <v>78</v>
      </c>
      <c r="C457" s="9" t="s">
        <v>79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str">
        <f>"－"</f>
        <v>－</v>
      </c>
    </row>
    <row r="458">
      <c r="A458" s="8" t="s">
        <v>37</v>
      </c>
      <c r="B458" s="9" t="s">
        <v>78</v>
      </c>
      <c r="C458" s="9" t="s">
        <v>79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str">
        <f>"－"</f>
        <v>－</v>
      </c>
    </row>
    <row r="459">
      <c r="A459" s="8" t="s">
        <v>38</v>
      </c>
      <c r="B459" s="9" t="s">
        <v>78</v>
      </c>
      <c r="C459" s="9" t="s">
        <v>79</v>
      </c>
      <c r="D459" s="10"/>
      <c r="E459" s="2" t="str">
        <f>"－"</f>
        <v>－</v>
      </c>
      <c r="F459" s="10"/>
      <c r="G459" s="2" t="str">
        <f>"－"</f>
        <v>－</v>
      </c>
      <c r="H459" s="10"/>
      <c r="I459" s="2" t="str">
        <f>"－"</f>
        <v>－</v>
      </c>
      <c r="J459" s="10"/>
      <c r="K459" s="2" t="str">
        <f>"－"</f>
        <v>－</v>
      </c>
    </row>
    <row r="460">
      <c r="A460" s="8" t="s">
        <v>39</v>
      </c>
      <c r="B460" s="9" t="s">
        <v>78</v>
      </c>
      <c r="C460" s="9" t="s">
        <v>79</v>
      </c>
      <c r="D460" s="10"/>
      <c r="E460" s="2" t="str">
        <f>"－"</f>
        <v>－</v>
      </c>
      <c r="F460" s="10"/>
      <c r="G460" s="2" t="str">
        <f>"－"</f>
        <v>－</v>
      </c>
      <c r="H460" s="10"/>
      <c r="I460" s="2" t="str">
        <f>"－"</f>
        <v>－</v>
      </c>
      <c r="J460" s="10"/>
      <c r="K460" s="2" t="str">
        <f>"－"</f>
        <v>－</v>
      </c>
    </row>
    <row r="461">
      <c r="A461" s="8" t="s">
        <v>40</v>
      </c>
      <c r="B461" s="9" t="s">
        <v>78</v>
      </c>
      <c r="C461" s="9" t="s">
        <v>79</v>
      </c>
      <c r="D461" s="10"/>
      <c r="E461" s="2" t="str">
        <f>"－"</f>
        <v>－</v>
      </c>
      <c r="F461" s="10"/>
      <c r="G461" s="2" t="str">
        <f>"－"</f>
        <v>－</v>
      </c>
      <c r="H461" s="10"/>
      <c r="I461" s="2" t="str">
        <f>"－"</f>
        <v>－</v>
      </c>
      <c r="J461" s="10"/>
      <c r="K461" s="2" t="str">
        <f>"－"</f>
        <v>－</v>
      </c>
    </row>
    <row r="462">
      <c r="A462" s="8" t="s">
        <v>41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42</v>
      </c>
      <c r="B463" s="9" t="s">
        <v>78</v>
      </c>
      <c r="C463" s="9" t="s">
        <v>79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43</v>
      </c>
      <c r="B464" s="9" t="s">
        <v>78</v>
      </c>
      <c r="C464" s="9" t="s">
        <v>79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str">
        <f>"－"</f>
        <v>－</v>
      </c>
    </row>
    <row r="465">
      <c r="A465" s="8" t="s">
        <v>44</v>
      </c>
      <c r="B465" s="9" t="s">
        <v>78</v>
      </c>
      <c r="C465" s="9" t="s">
        <v>79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str">
        <f>"－"</f>
        <v>－</v>
      </c>
    </row>
    <row r="466">
      <c r="A466" s="8" t="s">
        <v>45</v>
      </c>
      <c r="B466" s="9" t="s">
        <v>78</v>
      </c>
      <c r="C466" s="9" t="s">
        <v>79</v>
      </c>
      <c r="D466" s="10"/>
      <c r="E466" s="2" t="str">
        <f>"－"</f>
        <v>－</v>
      </c>
      <c r="F466" s="10"/>
      <c r="G466" s="2" t="str">
        <f>"－"</f>
        <v>－</v>
      </c>
      <c r="H466" s="10"/>
      <c r="I466" s="2" t="str">
        <f>"－"</f>
        <v>－</v>
      </c>
      <c r="J466" s="10"/>
      <c r="K466" s="2" t="str">
        <f>"－"</f>
        <v>－</v>
      </c>
    </row>
    <row r="467">
      <c r="A467" s="8" t="s">
        <v>46</v>
      </c>
      <c r="B467" s="9" t="s">
        <v>78</v>
      </c>
      <c r="C467" s="9" t="s">
        <v>79</v>
      </c>
      <c r="D467" s="10"/>
      <c r="E467" s="2" t="str">
        <f>"－"</f>
        <v>－</v>
      </c>
      <c r="F467" s="10"/>
      <c r="G467" s="2" t="str">
        <f>"－"</f>
        <v>－</v>
      </c>
      <c r="H467" s="10"/>
      <c r="I467" s="2" t="str">
        <f>"－"</f>
        <v>－</v>
      </c>
      <c r="J467" s="10"/>
      <c r="K467" s="2" t="str">
        <f>"－"</f>
        <v>－</v>
      </c>
    </row>
    <row r="468">
      <c r="A468" s="8" t="s">
        <v>48</v>
      </c>
      <c r="B468" s="9" t="s">
        <v>78</v>
      </c>
      <c r="C468" s="9" t="s">
        <v>79</v>
      </c>
      <c r="D468" s="10"/>
      <c r="E468" s="2" t="str">
        <f>"－"</f>
        <v>－</v>
      </c>
      <c r="F468" s="10"/>
      <c r="G468" s="2" t="str">
        <f>"－"</f>
        <v>－</v>
      </c>
      <c r="H468" s="10"/>
      <c r="I468" s="2" t="str">
        <f>"－"</f>
        <v>－</v>
      </c>
      <c r="J468" s="10"/>
      <c r="K468" s="2" t="str">
        <f>"－"</f>
        <v>－</v>
      </c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 t="s">
        <v>61</v>
      </c>
      <c r="E474" s="2" t="str">
        <f>"－"</f>
        <v>－</v>
      </c>
      <c r="F474" s="10" t="s">
        <v>61</v>
      </c>
      <c r="G474" s="2" t="str">
        <f>"－"</f>
        <v>－</v>
      </c>
      <c r="H474" s="10" t="s">
        <v>61</v>
      </c>
      <c r="I474" s="2" t="str">
        <f>"－"</f>
        <v>－</v>
      </c>
      <c r="J474" s="10" t="s">
        <v>61</v>
      </c>
      <c r="K474" s="2" t="str">
        <f>"－"</f>
        <v>－</v>
      </c>
    </row>
    <row r="475">
      <c r="A475" s="8" t="s">
        <v>22</v>
      </c>
      <c r="B475" s="9" t="s">
        <v>80</v>
      </c>
      <c r="C475" s="9" t="s">
        <v>81</v>
      </c>
      <c r="D475" s="10"/>
      <c r="E475" s="2" t="str">
        <f>"－"</f>
        <v>－</v>
      </c>
      <c r="F475" s="10"/>
      <c r="G475" s="2" t="str">
        <f>"－"</f>
        <v>－</v>
      </c>
      <c r="H475" s="10"/>
      <c r="I475" s="2" t="str">
        <f>"－"</f>
        <v>－</v>
      </c>
      <c r="J475" s="10"/>
      <c r="K475" s="2" t="str">
        <f>"－"</f>
        <v>－</v>
      </c>
    </row>
    <row r="476">
      <c r="A476" s="8" t="s">
        <v>23</v>
      </c>
      <c r="B476" s="9" t="s">
        <v>80</v>
      </c>
      <c r="C476" s="9" t="s">
        <v>81</v>
      </c>
      <c r="D476" s="10"/>
      <c r="E476" s="2" t="str">
        <f>"－"</f>
        <v>－</v>
      </c>
      <c r="F476" s="10"/>
      <c r="G476" s="2" t="str">
        <f>"－"</f>
        <v>－</v>
      </c>
      <c r="H476" s="10"/>
      <c r="I476" s="2" t="str">
        <f>"－"</f>
        <v>－</v>
      </c>
      <c r="J476" s="10"/>
      <c r="K476" s="2" t="str">
        <f>"－"</f>
        <v>－</v>
      </c>
    </row>
    <row r="477">
      <c r="A477" s="8" t="s">
        <v>25</v>
      </c>
      <c r="B477" s="9" t="s">
        <v>80</v>
      </c>
      <c r="C477" s="9" t="s">
        <v>81</v>
      </c>
      <c r="D477" s="10"/>
      <c r="E477" s="2" t="str">
        <f>"－"</f>
        <v>－</v>
      </c>
      <c r="F477" s="10"/>
      <c r="G477" s="2" t="str">
        <f>"－"</f>
        <v>－</v>
      </c>
      <c r="H477" s="10"/>
      <c r="I477" s="2" t="str">
        <f>"－"</f>
        <v>－</v>
      </c>
      <c r="J477" s="10"/>
      <c r="K477" s="2" t="str">
        <f>"－"</f>
        <v>－</v>
      </c>
    </row>
    <row r="478">
      <c r="A478" s="8" t="s">
        <v>26</v>
      </c>
      <c r="B478" s="9" t="s">
        <v>80</v>
      </c>
      <c r="C478" s="9" t="s">
        <v>81</v>
      </c>
      <c r="D478" s="10"/>
      <c r="E478" s="2" t="str">
        <f>"－"</f>
        <v>－</v>
      </c>
      <c r="F478" s="10"/>
      <c r="G478" s="2" t="str">
        <f>"－"</f>
        <v>－</v>
      </c>
      <c r="H478" s="10"/>
      <c r="I478" s="2" t="str">
        <f>"－"</f>
        <v>－</v>
      </c>
      <c r="J478" s="10"/>
      <c r="K478" s="2" t="str">
        <f>"－"</f>
        <v>－</v>
      </c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 t="str">
        <f>"－"</f>
        <v>－</v>
      </c>
      <c r="F482" s="10"/>
      <c r="G482" s="2" t="str">
        <f>"－"</f>
        <v>－</v>
      </c>
      <c r="H482" s="10"/>
      <c r="I482" s="2" t="str">
        <f>"－"</f>
        <v>－</v>
      </c>
      <c r="J482" s="10"/>
      <c r="K482" s="2" t="str">
        <f>"－"</f>
        <v>－</v>
      </c>
    </row>
    <row r="483">
      <c r="A483" s="8" t="s">
        <v>31</v>
      </c>
      <c r="B483" s="9" t="s">
        <v>80</v>
      </c>
      <c r="C483" s="9" t="s">
        <v>81</v>
      </c>
      <c r="D483" s="10"/>
      <c r="E483" s="2" t="str">
        <f>"－"</f>
        <v>－</v>
      </c>
      <c r="F483" s="10"/>
      <c r="G483" s="2" t="str">
        <f>"－"</f>
        <v>－</v>
      </c>
      <c r="H483" s="10"/>
      <c r="I483" s="2" t="str">
        <f>"－"</f>
        <v>－</v>
      </c>
      <c r="J483" s="10"/>
      <c r="K483" s="2" t="str">
        <f>"－"</f>
        <v>－</v>
      </c>
    </row>
    <row r="484">
      <c r="A484" s="8" t="s">
        <v>32</v>
      </c>
      <c r="B484" s="9" t="s">
        <v>80</v>
      </c>
      <c r="C484" s="9" t="s">
        <v>81</v>
      </c>
      <c r="D484" s="10"/>
      <c r="E484" s="2" t="str">
        <f>"－"</f>
        <v>－</v>
      </c>
      <c r="F484" s="10"/>
      <c r="G484" s="2" t="str">
        <f>"－"</f>
        <v>－</v>
      </c>
      <c r="H484" s="10"/>
      <c r="I484" s="2" t="str">
        <f>"－"</f>
        <v>－</v>
      </c>
      <c r="J484" s="10"/>
      <c r="K484" s="2" t="str">
        <f>"－"</f>
        <v>－</v>
      </c>
    </row>
    <row r="485">
      <c r="A485" s="8" t="s">
        <v>33</v>
      </c>
      <c r="B485" s="9" t="s">
        <v>80</v>
      </c>
      <c r="C485" s="9" t="s">
        <v>81</v>
      </c>
      <c r="D485" s="10"/>
      <c r="E485" s="2" t="str">
        <f>"－"</f>
        <v>－</v>
      </c>
      <c r="F485" s="10"/>
      <c r="G485" s="2" t="str">
        <f>"－"</f>
        <v>－</v>
      </c>
      <c r="H485" s="10"/>
      <c r="I485" s="2" t="str">
        <f>"－"</f>
        <v>－</v>
      </c>
      <c r="J485" s="10"/>
      <c r="K485" s="2" t="str">
        <f>"－"</f>
        <v>－</v>
      </c>
    </row>
    <row r="486">
      <c r="A486" s="8" t="s">
        <v>34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35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36</v>
      </c>
      <c r="B488" s="9" t="s">
        <v>80</v>
      </c>
      <c r="C488" s="9" t="s">
        <v>81</v>
      </c>
      <c r="D488" s="10"/>
      <c r="E488" s="2" t="str">
        <f>"－"</f>
        <v>－</v>
      </c>
      <c r="F488" s="10"/>
      <c r="G488" s="2" t="str">
        <f>"－"</f>
        <v>－</v>
      </c>
      <c r="H488" s="10"/>
      <c r="I488" s="2" t="str">
        <f>"－"</f>
        <v>－</v>
      </c>
      <c r="J488" s="10"/>
      <c r="K488" s="2" t="str">
        <f>"－"</f>
        <v>－</v>
      </c>
    </row>
    <row r="489">
      <c r="A489" s="8" t="s">
        <v>37</v>
      </c>
      <c r="B489" s="9" t="s">
        <v>80</v>
      </c>
      <c r="C489" s="9" t="s">
        <v>81</v>
      </c>
      <c r="D489" s="10"/>
      <c r="E489" s="2" t="str">
        <f>"－"</f>
        <v>－</v>
      </c>
      <c r="F489" s="10"/>
      <c r="G489" s="2" t="str">
        <f>"－"</f>
        <v>－</v>
      </c>
      <c r="H489" s="10"/>
      <c r="I489" s="2" t="str">
        <f>"－"</f>
        <v>－</v>
      </c>
      <c r="J489" s="10"/>
      <c r="K489" s="2" t="str">
        <f>"－"</f>
        <v>－</v>
      </c>
    </row>
    <row r="490">
      <c r="A490" s="8" t="s">
        <v>38</v>
      </c>
      <c r="B490" s="9" t="s">
        <v>80</v>
      </c>
      <c r="C490" s="9" t="s">
        <v>81</v>
      </c>
      <c r="D490" s="10"/>
      <c r="E490" s="2" t="str">
        <f>"－"</f>
        <v>－</v>
      </c>
      <c r="F490" s="10"/>
      <c r="G490" s="2" t="str">
        <f>"－"</f>
        <v>－</v>
      </c>
      <c r="H490" s="10"/>
      <c r="I490" s="2" t="str">
        <f>"－"</f>
        <v>－</v>
      </c>
      <c r="J490" s="10"/>
      <c r="K490" s="2" t="str">
        <f>"－"</f>
        <v>－</v>
      </c>
    </row>
    <row r="491">
      <c r="A491" s="8" t="s">
        <v>39</v>
      </c>
      <c r="B491" s="9" t="s">
        <v>80</v>
      </c>
      <c r="C491" s="9" t="s">
        <v>81</v>
      </c>
      <c r="D491" s="10"/>
      <c r="E491" s="2" t="str">
        <f>"－"</f>
        <v>－</v>
      </c>
      <c r="F491" s="10"/>
      <c r="G491" s="2" t="str">
        <f>"－"</f>
        <v>－</v>
      </c>
      <c r="H491" s="10"/>
      <c r="I491" s="2" t="str">
        <f>"－"</f>
        <v>－</v>
      </c>
      <c r="J491" s="10"/>
      <c r="K491" s="2" t="str">
        <f>"－"</f>
        <v>－</v>
      </c>
    </row>
    <row r="492">
      <c r="A492" s="8" t="s">
        <v>40</v>
      </c>
      <c r="B492" s="9" t="s">
        <v>80</v>
      </c>
      <c r="C492" s="9" t="s">
        <v>81</v>
      </c>
      <c r="D492" s="10"/>
      <c r="E492" s="2" t="str">
        <f>"－"</f>
        <v>－</v>
      </c>
      <c r="F492" s="10"/>
      <c r="G492" s="2" t="str">
        <f>"－"</f>
        <v>－</v>
      </c>
      <c r="H492" s="10"/>
      <c r="I492" s="2" t="str">
        <f>"－"</f>
        <v>－</v>
      </c>
      <c r="J492" s="10"/>
      <c r="K492" s="2" t="str">
        <f>"－"</f>
        <v>－</v>
      </c>
    </row>
    <row r="493">
      <c r="A493" s="8" t="s">
        <v>41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42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43</v>
      </c>
      <c r="B495" s="9" t="s">
        <v>80</v>
      </c>
      <c r="C495" s="9" t="s">
        <v>81</v>
      </c>
      <c r="D495" s="10"/>
      <c r="E495" s="2" t="str">
        <f>"－"</f>
        <v>－</v>
      </c>
      <c r="F495" s="10"/>
      <c r="G495" s="2" t="str">
        <f>"－"</f>
        <v>－</v>
      </c>
      <c r="H495" s="10"/>
      <c r="I495" s="2" t="str">
        <f>"－"</f>
        <v>－</v>
      </c>
      <c r="J495" s="10"/>
      <c r="K495" s="2" t="str">
        <f>"－"</f>
        <v>－</v>
      </c>
    </row>
    <row r="496">
      <c r="A496" s="8" t="s">
        <v>44</v>
      </c>
      <c r="B496" s="9" t="s">
        <v>80</v>
      </c>
      <c r="C496" s="9" t="s">
        <v>81</v>
      </c>
      <c r="D496" s="10"/>
      <c r="E496" s="2" t="str">
        <f>"－"</f>
        <v>－</v>
      </c>
      <c r="F496" s="10"/>
      <c r="G496" s="2" t="str">
        <f>"－"</f>
        <v>－</v>
      </c>
      <c r="H496" s="10"/>
      <c r="I496" s="2" t="str">
        <f>"－"</f>
        <v>－</v>
      </c>
      <c r="J496" s="10"/>
      <c r="K496" s="2" t="str">
        <f>"－"</f>
        <v>－</v>
      </c>
    </row>
    <row r="497">
      <c r="A497" s="8" t="s">
        <v>45</v>
      </c>
      <c r="B497" s="9" t="s">
        <v>80</v>
      </c>
      <c r="C497" s="9" t="s">
        <v>81</v>
      </c>
      <c r="D497" s="10"/>
      <c r="E497" s="2" t="str">
        <f>"－"</f>
        <v>－</v>
      </c>
      <c r="F497" s="10"/>
      <c r="G497" s="2" t="str">
        <f>"－"</f>
        <v>－</v>
      </c>
      <c r="H497" s="10"/>
      <c r="I497" s="2" t="str">
        <f>"－"</f>
        <v>－</v>
      </c>
      <c r="J497" s="10"/>
      <c r="K497" s="2" t="str">
        <f>"－"</f>
        <v>－</v>
      </c>
    </row>
    <row r="498">
      <c r="A498" s="8" t="s">
        <v>46</v>
      </c>
      <c r="B498" s="9" t="s">
        <v>80</v>
      </c>
      <c r="C498" s="9" t="s">
        <v>81</v>
      </c>
      <c r="D498" s="10"/>
      <c r="E498" s="2" t="str">
        <f>"－"</f>
        <v>－</v>
      </c>
      <c r="F498" s="10"/>
      <c r="G498" s="2" t="str">
        <f>"－"</f>
        <v>－</v>
      </c>
      <c r="H498" s="10"/>
      <c r="I498" s="2" t="str">
        <f>"－"</f>
        <v>－</v>
      </c>
      <c r="J498" s="10"/>
      <c r="K498" s="2" t="str">
        <f>"－"</f>
        <v>－</v>
      </c>
    </row>
    <row r="499">
      <c r="A499" s="8" t="s">
        <v>48</v>
      </c>
      <c r="B499" s="9" t="s">
        <v>80</v>
      </c>
      <c r="C499" s="9" t="s">
        <v>81</v>
      </c>
      <c r="D499" s="10"/>
      <c r="E499" s="2" t="str">
        <f>"－"</f>
        <v>－</v>
      </c>
      <c r="F499" s="10"/>
      <c r="G499" s="2" t="str">
        <f>"－"</f>
        <v>－</v>
      </c>
      <c r="H499" s="10"/>
      <c r="I499" s="2" t="str">
        <f>"－"</f>
        <v>－</v>
      </c>
      <c r="J499" s="10"/>
      <c r="K499" s="2" t="str">
        <f>"－"</f>
        <v>－</v>
      </c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  <row r="502">
      <c r="A502" s="8" t="s">
        <v>16</v>
      </c>
      <c r="B502" s="9" t="s">
        <v>82</v>
      </c>
      <c r="C502" s="9" t="s">
        <v>83</v>
      </c>
      <c r="D502" s="10"/>
      <c r="E502" s="2"/>
      <c r="F502" s="10"/>
      <c r="G502" s="2"/>
      <c r="H502" s="10"/>
      <c r="I502" s="2"/>
      <c r="J502" s="10"/>
      <c r="K502" s="2"/>
    </row>
    <row r="503">
      <c r="A503" s="8" t="s">
        <v>19</v>
      </c>
      <c r="B503" s="9" t="s">
        <v>82</v>
      </c>
      <c r="C503" s="9" t="s">
        <v>83</v>
      </c>
      <c r="D503" s="10"/>
      <c r="E503" s="2"/>
      <c r="F503" s="10"/>
      <c r="G503" s="2"/>
      <c r="H503" s="10"/>
      <c r="I503" s="2"/>
      <c r="J503" s="10"/>
      <c r="K503" s="2"/>
    </row>
    <row r="504">
      <c r="A504" s="8" t="s">
        <v>20</v>
      </c>
      <c r="B504" s="9" t="s">
        <v>82</v>
      </c>
      <c r="C504" s="9" t="s">
        <v>83</v>
      </c>
      <c r="D504" s="10"/>
      <c r="E504" s="2"/>
      <c r="F504" s="10"/>
      <c r="G504" s="2"/>
      <c r="H504" s="10"/>
      <c r="I504" s="2"/>
      <c r="J504" s="10"/>
      <c r="K504" s="2"/>
    </row>
    <row r="505">
      <c r="A505" s="8" t="s">
        <v>21</v>
      </c>
      <c r="B505" s="9" t="s">
        <v>82</v>
      </c>
      <c r="C505" s="9" t="s">
        <v>83</v>
      </c>
      <c r="D505" s="10"/>
      <c r="E505" s="2" t="n">
        <f>248</f>
        <v>248.0</v>
      </c>
      <c r="F505" s="10"/>
      <c r="G505" s="2" t="n">
        <f>51667500</f>
        <v>5.16675E7</v>
      </c>
      <c r="H505" s="10" t="s">
        <v>61</v>
      </c>
      <c r="I505" s="2" t="str">
        <f>"－"</f>
        <v>－</v>
      </c>
      <c r="J505" s="10" t="s">
        <v>47</v>
      </c>
      <c r="K505" s="2" t="n">
        <f>1057</f>
        <v>1057.0</v>
      </c>
    </row>
    <row r="506">
      <c r="A506" s="8" t="s">
        <v>22</v>
      </c>
      <c r="B506" s="9" t="s">
        <v>82</v>
      </c>
      <c r="C506" s="9" t="s">
        <v>83</v>
      </c>
      <c r="D506" s="10"/>
      <c r="E506" s="2" t="n">
        <f>180</f>
        <v>180.0</v>
      </c>
      <c r="F506" s="10"/>
      <c r="G506" s="2" t="n">
        <f>39441500</f>
        <v>3.94415E7</v>
      </c>
      <c r="H506" s="10"/>
      <c r="I506" s="2" t="str">
        <f>"－"</f>
        <v>－</v>
      </c>
      <c r="J506" s="10"/>
      <c r="K506" s="2" t="n">
        <f>952</f>
        <v>952.0</v>
      </c>
    </row>
    <row r="507">
      <c r="A507" s="8" t="s">
        <v>23</v>
      </c>
      <c r="B507" s="9" t="s">
        <v>82</v>
      </c>
      <c r="C507" s="9" t="s">
        <v>83</v>
      </c>
      <c r="D507" s="10"/>
      <c r="E507" s="2" t="n">
        <f>92</f>
        <v>92.0</v>
      </c>
      <c r="F507" s="10"/>
      <c r="G507" s="2" t="n">
        <f>20738500</f>
        <v>2.07385E7</v>
      </c>
      <c r="H507" s="10"/>
      <c r="I507" s="2" t="str">
        <f>"－"</f>
        <v>－</v>
      </c>
      <c r="J507" s="10"/>
      <c r="K507" s="2" t="n">
        <f>988</f>
        <v>988.0</v>
      </c>
    </row>
    <row r="508">
      <c r="A508" s="8" t="s">
        <v>25</v>
      </c>
      <c r="B508" s="9" t="s">
        <v>82</v>
      </c>
      <c r="C508" s="9" t="s">
        <v>83</v>
      </c>
      <c r="D508" s="10"/>
      <c r="E508" s="2" t="n">
        <f>194</f>
        <v>194.0</v>
      </c>
      <c r="F508" s="10"/>
      <c r="G508" s="2" t="n">
        <f>41425500</f>
        <v>4.14255E7</v>
      </c>
      <c r="H508" s="10"/>
      <c r="I508" s="2" t="str">
        <f>"－"</f>
        <v>－</v>
      </c>
      <c r="J508" s="10"/>
      <c r="K508" s="2" t="n">
        <f>1017</f>
        <v>1017.0</v>
      </c>
    </row>
    <row r="509">
      <c r="A509" s="8" t="s">
        <v>26</v>
      </c>
      <c r="B509" s="9" t="s">
        <v>82</v>
      </c>
      <c r="C509" s="9" t="s">
        <v>83</v>
      </c>
      <c r="D509" s="10" t="s">
        <v>24</v>
      </c>
      <c r="E509" s="2" t="n">
        <f>21</f>
        <v>21.0</v>
      </c>
      <c r="F509" s="10" t="s">
        <v>24</v>
      </c>
      <c r="G509" s="2" t="n">
        <f>4540500</f>
        <v>4540500.0</v>
      </c>
      <c r="H509" s="10"/>
      <c r="I509" s="2" t="str">
        <f>"－"</f>
        <v>－</v>
      </c>
      <c r="J509" s="10"/>
      <c r="K509" s="2" t="n">
        <f>1011</f>
        <v>1011.0</v>
      </c>
    </row>
    <row r="510">
      <c r="A510" s="8" t="s">
        <v>27</v>
      </c>
      <c r="B510" s="9" t="s">
        <v>82</v>
      </c>
      <c r="C510" s="9" t="s">
        <v>83</v>
      </c>
      <c r="D510" s="10"/>
      <c r="E510" s="2"/>
      <c r="F510" s="10"/>
      <c r="G510" s="2"/>
      <c r="H510" s="10"/>
      <c r="I510" s="2"/>
      <c r="J510" s="10"/>
      <c r="K510" s="2"/>
    </row>
    <row r="511">
      <c r="A511" s="8" t="s">
        <v>28</v>
      </c>
      <c r="B511" s="9" t="s">
        <v>82</v>
      </c>
      <c r="C511" s="9" t="s">
        <v>83</v>
      </c>
      <c r="D511" s="10"/>
      <c r="E511" s="2"/>
      <c r="F511" s="10"/>
      <c r="G511" s="2"/>
      <c r="H511" s="10"/>
      <c r="I511" s="2"/>
      <c r="J511" s="10"/>
      <c r="K511" s="2"/>
    </row>
    <row r="512">
      <c r="A512" s="8" t="s">
        <v>29</v>
      </c>
      <c r="B512" s="9" t="s">
        <v>82</v>
      </c>
      <c r="C512" s="9" t="s">
        <v>83</v>
      </c>
      <c r="D512" s="10"/>
      <c r="E512" s="2"/>
      <c r="F512" s="10"/>
      <c r="G512" s="2"/>
      <c r="H512" s="10"/>
      <c r="I512" s="2"/>
      <c r="J512" s="10"/>
      <c r="K512" s="2"/>
    </row>
    <row r="513">
      <c r="A513" s="8" t="s">
        <v>30</v>
      </c>
      <c r="B513" s="9" t="s">
        <v>82</v>
      </c>
      <c r="C513" s="9" t="s">
        <v>83</v>
      </c>
      <c r="D513" s="10"/>
      <c r="E513" s="2" t="n">
        <f>77</f>
        <v>77.0</v>
      </c>
      <c r="F513" s="10"/>
      <c r="G513" s="2" t="n">
        <f>17660000</f>
        <v>1.766E7</v>
      </c>
      <c r="H513" s="10"/>
      <c r="I513" s="2" t="str">
        <f>"－"</f>
        <v>－</v>
      </c>
      <c r="J513" s="10"/>
      <c r="K513" s="2" t="n">
        <f>991</f>
        <v>991.0</v>
      </c>
    </row>
    <row r="514">
      <c r="A514" s="8" t="s">
        <v>31</v>
      </c>
      <c r="B514" s="9" t="s">
        <v>82</v>
      </c>
      <c r="C514" s="9" t="s">
        <v>83</v>
      </c>
      <c r="D514" s="10"/>
      <c r="E514" s="2" t="n">
        <f>305</f>
        <v>305.0</v>
      </c>
      <c r="F514" s="10"/>
      <c r="G514" s="2" t="n">
        <f>68689500</f>
        <v>6.86895E7</v>
      </c>
      <c r="H514" s="10"/>
      <c r="I514" s="2" t="str">
        <f>"－"</f>
        <v>－</v>
      </c>
      <c r="J514" s="10"/>
      <c r="K514" s="2" t="n">
        <f>867</f>
        <v>867.0</v>
      </c>
    </row>
    <row r="515">
      <c r="A515" s="8" t="s">
        <v>32</v>
      </c>
      <c r="B515" s="9" t="s">
        <v>82</v>
      </c>
      <c r="C515" s="9" t="s">
        <v>83</v>
      </c>
      <c r="D515" s="10"/>
      <c r="E515" s="2" t="n">
        <f>310</f>
        <v>310.0</v>
      </c>
      <c r="F515" s="10"/>
      <c r="G515" s="2" t="n">
        <f>71061000</f>
        <v>7.1061E7</v>
      </c>
      <c r="H515" s="10"/>
      <c r="I515" s="2" t="str">
        <f>"－"</f>
        <v>－</v>
      </c>
      <c r="J515" s="10" t="s">
        <v>24</v>
      </c>
      <c r="K515" s="2" t="n">
        <f>141</f>
        <v>141.0</v>
      </c>
    </row>
    <row r="516">
      <c r="A516" s="8" t="s">
        <v>33</v>
      </c>
      <c r="B516" s="9" t="s">
        <v>82</v>
      </c>
      <c r="C516" s="9" t="s">
        <v>83</v>
      </c>
      <c r="D516" s="10"/>
      <c r="E516" s="2" t="n">
        <f>254</f>
        <v>254.0</v>
      </c>
      <c r="F516" s="10"/>
      <c r="G516" s="2" t="n">
        <f>59090500</f>
        <v>5.90905E7</v>
      </c>
      <c r="H516" s="10"/>
      <c r="I516" s="2" t="str">
        <f>"－"</f>
        <v>－</v>
      </c>
      <c r="J516" s="10"/>
      <c r="K516" s="2" t="n">
        <f>248</f>
        <v>248.0</v>
      </c>
    </row>
    <row r="517">
      <c r="A517" s="8" t="s">
        <v>34</v>
      </c>
      <c r="B517" s="9" t="s">
        <v>82</v>
      </c>
      <c r="C517" s="9" t="s">
        <v>83</v>
      </c>
      <c r="D517" s="10"/>
      <c r="E517" s="2"/>
      <c r="F517" s="10"/>
      <c r="G517" s="2"/>
      <c r="H517" s="10"/>
      <c r="I517" s="2"/>
      <c r="J517" s="10"/>
      <c r="K517" s="2"/>
    </row>
    <row r="518">
      <c r="A518" s="8" t="s">
        <v>35</v>
      </c>
      <c r="B518" s="9" t="s">
        <v>82</v>
      </c>
      <c r="C518" s="9" t="s">
        <v>83</v>
      </c>
      <c r="D518" s="10"/>
      <c r="E518" s="2"/>
      <c r="F518" s="10"/>
      <c r="G518" s="2"/>
      <c r="H518" s="10"/>
      <c r="I518" s="2"/>
      <c r="J518" s="10"/>
      <c r="K518" s="2"/>
    </row>
    <row r="519">
      <c r="A519" s="8" t="s">
        <v>36</v>
      </c>
      <c r="B519" s="9" t="s">
        <v>82</v>
      </c>
      <c r="C519" s="9" t="s">
        <v>83</v>
      </c>
      <c r="D519" s="10"/>
      <c r="E519" s="2" t="n">
        <f>144</f>
        <v>144.0</v>
      </c>
      <c r="F519" s="10"/>
      <c r="G519" s="2" t="n">
        <f>34082500</f>
        <v>3.40825E7</v>
      </c>
      <c r="H519" s="10"/>
      <c r="I519" s="2" t="str">
        <f>"－"</f>
        <v>－</v>
      </c>
      <c r="J519" s="10"/>
      <c r="K519" s="2" t="n">
        <f>224</f>
        <v>224.0</v>
      </c>
    </row>
    <row r="520">
      <c r="A520" s="8" t="s">
        <v>37</v>
      </c>
      <c r="B520" s="9" t="s">
        <v>82</v>
      </c>
      <c r="C520" s="9" t="s">
        <v>83</v>
      </c>
      <c r="D520" s="10"/>
      <c r="E520" s="2" t="n">
        <f>92</f>
        <v>92.0</v>
      </c>
      <c r="F520" s="10"/>
      <c r="G520" s="2" t="n">
        <f>21848500</f>
        <v>2.18485E7</v>
      </c>
      <c r="H520" s="10"/>
      <c r="I520" s="2" t="str">
        <f>"－"</f>
        <v>－</v>
      </c>
      <c r="J520" s="10"/>
      <c r="K520" s="2" t="n">
        <f>286</f>
        <v>286.0</v>
      </c>
    </row>
    <row r="521">
      <c r="A521" s="8" t="s">
        <v>38</v>
      </c>
      <c r="B521" s="9" t="s">
        <v>82</v>
      </c>
      <c r="C521" s="9" t="s">
        <v>83</v>
      </c>
      <c r="D521" s="10"/>
      <c r="E521" s="2" t="n">
        <f>43</f>
        <v>43.0</v>
      </c>
      <c r="F521" s="10"/>
      <c r="G521" s="2" t="n">
        <f>10317000</f>
        <v>1.0317E7</v>
      </c>
      <c r="H521" s="10"/>
      <c r="I521" s="2" t="str">
        <f>"－"</f>
        <v>－</v>
      </c>
      <c r="J521" s="10"/>
      <c r="K521" s="2" t="n">
        <f>286</f>
        <v>286.0</v>
      </c>
    </row>
    <row r="522">
      <c r="A522" s="8" t="s">
        <v>39</v>
      </c>
      <c r="B522" s="9" t="s">
        <v>82</v>
      </c>
      <c r="C522" s="9" t="s">
        <v>83</v>
      </c>
      <c r="D522" s="10"/>
      <c r="E522" s="2" t="n">
        <f>131</f>
        <v>131.0</v>
      </c>
      <c r="F522" s="10"/>
      <c r="G522" s="2" t="n">
        <f>30686000</f>
        <v>3.0686E7</v>
      </c>
      <c r="H522" s="10"/>
      <c r="I522" s="2" t="str">
        <f>"－"</f>
        <v>－</v>
      </c>
      <c r="J522" s="10"/>
      <c r="K522" s="2" t="n">
        <f>269</f>
        <v>269.0</v>
      </c>
    </row>
    <row r="523">
      <c r="A523" s="8" t="s">
        <v>40</v>
      </c>
      <c r="B523" s="9" t="s">
        <v>82</v>
      </c>
      <c r="C523" s="9" t="s">
        <v>83</v>
      </c>
      <c r="D523" s="10"/>
      <c r="E523" s="2" t="n">
        <f>114</f>
        <v>114.0</v>
      </c>
      <c r="F523" s="10"/>
      <c r="G523" s="2" t="n">
        <f>26003000</f>
        <v>2.6003E7</v>
      </c>
      <c r="H523" s="10"/>
      <c r="I523" s="2" t="str">
        <f>"－"</f>
        <v>－</v>
      </c>
      <c r="J523" s="10"/>
      <c r="K523" s="2" t="n">
        <f>286</f>
        <v>286.0</v>
      </c>
    </row>
    <row r="524">
      <c r="A524" s="8" t="s">
        <v>41</v>
      </c>
      <c r="B524" s="9" t="s">
        <v>82</v>
      </c>
      <c r="C524" s="9" t="s">
        <v>83</v>
      </c>
      <c r="D524" s="10"/>
      <c r="E524" s="2"/>
      <c r="F524" s="10"/>
      <c r="G524" s="2"/>
      <c r="H524" s="10"/>
      <c r="I524" s="2"/>
      <c r="J524" s="10"/>
      <c r="K524" s="2"/>
    </row>
    <row r="525">
      <c r="A525" s="8" t="s">
        <v>42</v>
      </c>
      <c r="B525" s="9" t="s">
        <v>82</v>
      </c>
      <c r="C525" s="9" t="s">
        <v>83</v>
      </c>
      <c r="D525" s="10"/>
      <c r="E525" s="2"/>
      <c r="F525" s="10"/>
      <c r="G525" s="2"/>
      <c r="H525" s="10"/>
      <c r="I525" s="2"/>
      <c r="J525" s="10"/>
      <c r="K525" s="2"/>
    </row>
    <row r="526">
      <c r="A526" s="8" t="s">
        <v>43</v>
      </c>
      <c r="B526" s="9" t="s">
        <v>82</v>
      </c>
      <c r="C526" s="9" t="s">
        <v>83</v>
      </c>
      <c r="D526" s="10"/>
      <c r="E526" s="2" t="n">
        <f>52</f>
        <v>52.0</v>
      </c>
      <c r="F526" s="10"/>
      <c r="G526" s="2" t="n">
        <f>11690500</f>
        <v>1.16905E7</v>
      </c>
      <c r="H526" s="10"/>
      <c r="I526" s="2" t="str">
        <f>"－"</f>
        <v>－</v>
      </c>
      <c r="J526" s="10"/>
      <c r="K526" s="2" t="n">
        <f>316</f>
        <v>316.0</v>
      </c>
    </row>
    <row r="527">
      <c r="A527" s="8" t="s">
        <v>44</v>
      </c>
      <c r="B527" s="9" t="s">
        <v>82</v>
      </c>
      <c r="C527" s="9" t="s">
        <v>83</v>
      </c>
      <c r="D527" s="10"/>
      <c r="E527" s="2" t="n">
        <f>257</f>
        <v>257.0</v>
      </c>
      <c r="F527" s="10"/>
      <c r="G527" s="2" t="n">
        <f>58717000</f>
        <v>5.8717E7</v>
      </c>
      <c r="H527" s="10"/>
      <c r="I527" s="2" t="str">
        <f>"－"</f>
        <v>－</v>
      </c>
      <c r="J527" s="10"/>
      <c r="K527" s="2" t="n">
        <f>410</f>
        <v>410.0</v>
      </c>
    </row>
    <row r="528">
      <c r="A528" s="8" t="s">
        <v>45</v>
      </c>
      <c r="B528" s="9" t="s">
        <v>82</v>
      </c>
      <c r="C528" s="9" t="s">
        <v>83</v>
      </c>
      <c r="D528" s="10"/>
      <c r="E528" s="2" t="n">
        <f>210</f>
        <v>210.0</v>
      </c>
      <c r="F528" s="10"/>
      <c r="G528" s="2" t="n">
        <f>48772000</f>
        <v>4.8772E7</v>
      </c>
      <c r="H528" s="10"/>
      <c r="I528" s="2" t="str">
        <f>"－"</f>
        <v>－</v>
      </c>
      <c r="J528" s="10"/>
      <c r="K528" s="2" t="n">
        <f>480</f>
        <v>480.0</v>
      </c>
    </row>
    <row r="529">
      <c r="A529" s="8" t="s">
        <v>46</v>
      </c>
      <c r="B529" s="9" t="s">
        <v>82</v>
      </c>
      <c r="C529" s="9" t="s">
        <v>83</v>
      </c>
      <c r="D529" s="10" t="s">
        <v>47</v>
      </c>
      <c r="E529" s="2" t="n">
        <f>693</f>
        <v>693.0</v>
      </c>
      <c r="F529" s="10" t="s">
        <v>47</v>
      </c>
      <c r="G529" s="2" t="n">
        <f>180194500</f>
        <v>1.801945E8</v>
      </c>
      <c r="H529" s="10"/>
      <c r="I529" s="2" t="str">
        <f>"－"</f>
        <v>－</v>
      </c>
      <c r="J529" s="10"/>
      <c r="K529" s="2" t="n">
        <f>705</f>
        <v>705.0</v>
      </c>
    </row>
    <row r="530">
      <c r="A530" s="8" t="s">
        <v>48</v>
      </c>
      <c r="B530" s="9" t="s">
        <v>82</v>
      </c>
      <c r="C530" s="9" t="s">
        <v>83</v>
      </c>
      <c r="D530" s="10"/>
      <c r="E530" s="2" t="n">
        <f>353</f>
        <v>353.0</v>
      </c>
      <c r="F530" s="10"/>
      <c r="G530" s="2" t="n">
        <f>93909500</f>
        <v>9.39095E7</v>
      </c>
      <c r="H530" s="10"/>
      <c r="I530" s="2" t="str">
        <f>"－"</f>
        <v>－</v>
      </c>
      <c r="J530" s="10"/>
      <c r="K530" s="2" t="n">
        <f>760</f>
        <v>760.0</v>
      </c>
    </row>
    <row r="531">
      <c r="A531" s="8" t="s">
        <v>49</v>
      </c>
      <c r="B531" s="9" t="s">
        <v>82</v>
      </c>
      <c r="C531" s="9" t="s">
        <v>83</v>
      </c>
      <c r="D531" s="10"/>
      <c r="E531" s="2"/>
      <c r="F531" s="10"/>
      <c r="G531" s="2"/>
      <c r="H531" s="10"/>
      <c r="I531" s="2"/>
      <c r="J531" s="10"/>
      <c r="K531" s="2"/>
    </row>
    <row r="532">
      <c r="A532" s="8" t="s">
        <v>50</v>
      </c>
      <c r="B532" s="9" t="s">
        <v>82</v>
      </c>
      <c r="C532" s="9" t="s">
        <v>83</v>
      </c>
      <c r="D532" s="10"/>
      <c r="E532" s="2"/>
      <c r="F532" s="10"/>
      <c r="G532" s="2"/>
      <c r="H532" s="10"/>
      <c r="I532" s="2"/>
      <c r="J532" s="10"/>
      <c r="K532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