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<sst xmlns="http://schemas.openxmlformats.org/spreadsheetml/2006/main" count="512" uniqueCount="68">
  <si>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</si>
  <si>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</si>
  <si>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</si>
  <si>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</si>
  <si>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</si>
  <si>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</si>
  <si>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</si>
  <si>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</si>
  <si>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</si>
  <si>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</si>
  <si>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</si>
  <si>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</si>
  <si>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</si>
  <si>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</si>
  <si>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</si>
  <si>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</si>
  <si>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</si>
  <si>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</si>
  <si>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</si>
  <si>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</si>
  <si>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</si>
  <si>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</si>
  <si>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</si>
  <si>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</si>
  <si>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</si>
  <si>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</si>
  <si>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1.1</t>
  </si>
  <si>
    <t>日経225オプション</t>
  </si>
  <si>
    <t>Nikkei 225 Options</t>
  </si>
  <si>
    <t>2</t>
  </si>
  <si>
    <t>3</t>
  </si>
  <si>
    <t>4</t>
  </si>
  <si>
    <t>5</t>
  </si>
  <si>
    <t>●</t>
  </si>
  <si>
    <t>6</t>
  </si>
  <si>
    <t>7</t>
  </si>
  <si>
    <t>8</t>
  </si>
  <si>
    <t>9</t>
  </si>
  <si>
    <t>10</t>
  </si>
  <si>
    <t>11</t>
  </si>
  <si>
    <t>12</t>
  </si>
  <si>
    <t>◎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</si>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</sst>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33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/>
      <c r="F10" s="23"/>
      <c r="G10" s="25"/>
      <c r="H10" s="23"/>
      <c r="I10" s="26"/>
      <c r="J10" s="24"/>
      <c r="K10" s="25"/>
      <c r="L10" s="23"/>
      <c r="M10" s="25"/>
      <c r="N10" s="23"/>
      <c r="O10" s="26"/>
      <c r="P10" s="27"/>
      <c r="Q10" s="28"/>
      <c r="R10" s="29"/>
      <c r="S10" s="24"/>
      <c r="T10" s="25"/>
      <c r="U10" s="23"/>
      <c r="V10" s="25"/>
      <c r="W10" s="23"/>
      <c r="X10" s="26"/>
      <c r="Y10" s="24"/>
      <c r="Z10" s="25"/>
      <c r="AA10" s="23"/>
      <c r="AB10" s="25"/>
      <c r="AC10" s="23"/>
      <c r="AD10" s="26"/>
    </row>
    <row r="11">
      <c r="A11" s="30" t="s">
        <v>29</v>
      </c>
      <c r="B11" s="22" t="s">
        <v>27</v>
      </c>
      <c r="C11" s="22" t="s">
        <v>28</v>
      </c>
      <c r="D11" s="24"/>
      <c r="E11" s="25"/>
      <c r="F11" s="23"/>
      <c r="G11" s="25"/>
      <c r="H11" s="23"/>
      <c r="I11" s="26"/>
      <c r="J11" s="24"/>
      <c r="K11" s="25"/>
      <c r="L11" s="23"/>
      <c r="M11" s="25"/>
      <c r="N11" s="23"/>
      <c r="O11" s="26"/>
      <c r="P11" s="27"/>
      <c r="Q11" s="28"/>
      <c r="R11" s="29"/>
      <c r="S11" s="24"/>
      <c r="T11" s="25"/>
      <c r="U11" s="23"/>
      <c r="V11" s="25"/>
      <c r="W11" s="23"/>
      <c r="X11" s="26"/>
      <c r="Y11" s="24"/>
      <c r="Z11" s="25"/>
      <c r="AA11" s="23"/>
      <c r="AB11" s="25"/>
      <c r="AC11" s="23"/>
      <c r="AD11" s="26"/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/>
      <c r="E13" s="25" t="n">
        <f>66703</f>
        <v>66703.0</v>
      </c>
      <c r="F13" s="23"/>
      <c r="G13" s="25" t="n">
        <f>47680</f>
        <v>47680.0</v>
      </c>
      <c r="H13" s="23"/>
      <c r="I13" s="26" t="n">
        <f>114383</f>
        <v>114383.0</v>
      </c>
      <c r="J13" s="24"/>
      <c r="K13" s="25" t="n">
        <f>7598655380</f>
        <v>7.59865538E9</v>
      </c>
      <c r="L13" s="23"/>
      <c r="M13" s="25" t="n">
        <f>8408843000</f>
        <v>8.408843E9</v>
      </c>
      <c r="N13" s="23"/>
      <c r="O13" s="26" t="n">
        <f>16007498380</f>
        <v>1.600749838E10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11500</f>
        <v>11500.0</v>
      </c>
      <c r="U13" s="23"/>
      <c r="V13" s="25" t="n">
        <f>8525</f>
        <v>8525.0</v>
      </c>
      <c r="W13" s="23"/>
      <c r="X13" s="26" t="n">
        <f>20025</f>
        <v>20025.0</v>
      </c>
      <c r="Y13" s="24"/>
      <c r="Z13" s="25" t="n">
        <f>801592</f>
        <v>801592.0</v>
      </c>
      <c r="AA13" s="23"/>
      <c r="AB13" s="25" t="n">
        <f>480944</f>
        <v>480944.0</v>
      </c>
      <c r="AC13" s="23"/>
      <c r="AD13" s="26" t="n">
        <f>1282536</f>
        <v>1282536.0</v>
      </c>
    </row>
    <row r="14">
      <c r="A14" s="30" t="s">
        <v>32</v>
      </c>
      <c r="B14" s="22" t="s">
        <v>27</v>
      </c>
      <c r="C14" s="22" t="s">
        <v>28</v>
      </c>
      <c r="D14" s="24"/>
      <c r="E14" s="25" t="n">
        <f>65071</f>
        <v>65071.0</v>
      </c>
      <c r="F14" s="23"/>
      <c r="G14" s="25" t="n">
        <f>34125</f>
        <v>34125.0</v>
      </c>
      <c r="H14" s="23"/>
      <c r="I14" s="26" t="n">
        <f>99196</f>
        <v>99196.0</v>
      </c>
      <c r="J14" s="24" t="s">
        <v>33</v>
      </c>
      <c r="K14" s="25" t="n">
        <f>6815451000</f>
        <v>6.815451E9</v>
      </c>
      <c r="L14" s="23"/>
      <c r="M14" s="25" t="n">
        <f>6009640000</f>
        <v>6.00964E9</v>
      </c>
      <c r="N14" s="23" t="s">
        <v>33</v>
      </c>
      <c r="O14" s="26" t="n">
        <f>12825091000</f>
        <v>1.2825091E10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5438</f>
        <v>5438.0</v>
      </c>
      <c r="U14" s="23"/>
      <c r="V14" s="25" t="n">
        <f>3505</f>
        <v>3505.0</v>
      </c>
      <c r="W14" s="23"/>
      <c r="X14" s="26" t="n">
        <f>8943</f>
        <v>8943.0</v>
      </c>
      <c r="Y14" s="24"/>
      <c r="Z14" s="25" t="n">
        <f>805742</f>
        <v>805742.0</v>
      </c>
      <c r="AA14" s="23"/>
      <c r="AB14" s="25" t="n">
        <f>484290</f>
        <v>484290.0</v>
      </c>
      <c r="AC14" s="23"/>
      <c r="AD14" s="26" t="n">
        <f>1290032</f>
        <v>1290032.0</v>
      </c>
    </row>
    <row r="15">
      <c r="A15" s="30" t="s">
        <v>34</v>
      </c>
      <c r="B15" s="22" t="s">
        <v>27</v>
      </c>
      <c r="C15" s="22" t="s">
        <v>28</v>
      </c>
      <c r="D15" s="24"/>
      <c r="E15" s="25" t="n">
        <f>74944</f>
        <v>74944.0</v>
      </c>
      <c r="F15" s="23"/>
      <c r="G15" s="25" t="n">
        <f>43137</f>
        <v>43137.0</v>
      </c>
      <c r="H15" s="23"/>
      <c r="I15" s="26" t="n">
        <f>118081</f>
        <v>118081.0</v>
      </c>
      <c r="J15" s="24"/>
      <c r="K15" s="25" t="n">
        <f>16104648000</f>
        <v>1.6104648E10</v>
      </c>
      <c r="L15" s="23"/>
      <c r="M15" s="25" t="n">
        <f>7598612216</f>
        <v>7.598612216E9</v>
      </c>
      <c r="N15" s="23"/>
      <c r="O15" s="26" t="n">
        <f>23703260216</f>
        <v>2.3703260216E10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11150</f>
        <v>11150.0</v>
      </c>
      <c r="U15" s="23"/>
      <c r="V15" s="25" t="n">
        <f>8900</f>
        <v>8900.0</v>
      </c>
      <c r="W15" s="23"/>
      <c r="X15" s="26" t="n">
        <f>20050</f>
        <v>20050.0</v>
      </c>
      <c r="Y15" s="24"/>
      <c r="Z15" s="25" t="n">
        <f>813642</f>
        <v>813642.0</v>
      </c>
      <c r="AA15" s="23"/>
      <c r="AB15" s="25" t="n">
        <f>486695</f>
        <v>486695.0</v>
      </c>
      <c r="AC15" s="23"/>
      <c r="AD15" s="26" t="n">
        <f>1300337</f>
        <v>1300337.0</v>
      </c>
    </row>
    <row r="16">
      <c r="A16" s="30" t="s">
        <v>35</v>
      </c>
      <c r="B16" s="22" t="s">
        <v>27</v>
      </c>
      <c r="C16" s="22" t="s">
        <v>28</v>
      </c>
      <c r="D16" s="24"/>
      <c r="E16" s="25" t="n">
        <f>83149</f>
        <v>83149.0</v>
      </c>
      <c r="F16" s="23"/>
      <c r="G16" s="25" t="n">
        <f>53303</f>
        <v>53303.0</v>
      </c>
      <c r="H16" s="23"/>
      <c r="I16" s="26" t="n">
        <f>136452</f>
        <v>136452.0</v>
      </c>
      <c r="J16" s="24"/>
      <c r="K16" s="25" t="n">
        <f>9557551000</f>
        <v>9.557551E9</v>
      </c>
      <c r="L16" s="23"/>
      <c r="M16" s="25" t="n">
        <f>7044891820</f>
        <v>7.04489182E9</v>
      </c>
      <c r="N16" s="23"/>
      <c r="O16" s="26" t="n">
        <f>16602442820</f>
        <v>1.660244282E10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19162</f>
        <v>19162.0</v>
      </c>
      <c r="U16" s="23"/>
      <c r="V16" s="25" t="n">
        <f>9992</f>
        <v>9992.0</v>
      </c>
      <c r="W16" s="23"/>
      <c r="X16" s="26" t="n">
        <f>29154</f>
        <v>29154.0</v>
      </c>
      <c r="Y16" s="24"/>
      <c r="Z16" s="25" t="n">
        <f>827131</f>
        <v>827131.0</v>
      </c>
      <c r="AA16" s="23"/>
      <c r="AB16" s="25" t="n">
        <f>492906</f>
        <v>492906.0</v>
      </c>
      <c r="AC16" s="23"/>
      <c r="AD16" s="26" t="n">
        <f>1320037</f>
        <v>1320037.0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43243</f>
        <v>43243.0</v>
      </c>
      <c r="F17" s="23"/>
      <c r="G17" s="25" t="n">
        <f>43495</f>
        <v>43495.0</v>
      </c>
      <c r="H17" s="23"/>
      <c r="I17" s="26" t="n">
        <f>86738</f>
        <v>86738.0</v>
      </c>
      <c r="J17" s="24"/>
      <c r="K17" s="25" t="n">
        <f>10748696500</f>
        <v>1.07486965E10</v>
      </c>
      <c r="L17" s="23"/>
      <c r="M17" s="25" t="n">
        <f>24229438837</f>
        <v>2.4229438837E10</v>
      </c>
      <c r="N17" s="23"/>
      <c r="O17" s="26" t="n">
        <f>34978135337</f>
        <v>3.4978135337E10</v>
      </c>
      <c r="P17" s="27" t="n">
        <f>724</f>
        <v>724.0</v>
      </c>
      <c r="Q17" s="28" t="n">
        <f>43859</f>
        <v>43859.0</v>
      </c>
      <c r="R17" s="29" t="n">
        <f>44583</f>
        <v>44583.0</v>
      </c>
      <c r="S17" s="24"/>
      <c r="T17" s="25" t="n">
        <f>9070</f>
        <v>9070.0</v>
      </c>
      <c r="U17" s="23"/>
      <c r="V17" s="25" t="n">
        <f>10620</f>
        <v>10620.0</v>
      </c>
      <c r="W17" s="23"/>
      <c r="X17" s="26" t="n">
        <f>19690</f>
        <v>19690.0</v>
      </c>
      <c r="Y17" s="24" t="s">
        <v>33</v>
      </c>
      <c r="Z17" s="25" t="n">
        <f>688956</f>
        <v>688956.0</v>
      </c>
      <c r="AA17" s="23" t="s">
        <v>33</v>
      </c>
      <c r="AB17" s="25" t="n">
        <f>434129</f>
        <v>434129.0</v>
      </c>
      <c r="AC17" s="23" t="s">
        <v>33</v>
      </c>
      <c r="AD17" s="26" t="n">
        <f>1123085</f>
        <v>1123085.0</v>
      </c>
    </row>
    <row r="18">
      <c r="A18" s="30" t="s">
        <v>37</v>
      </c>
      <c r="B18" s="22" t="s">
        <v>27</v>
      </c>
      <c r="C18" s="22" t="s">
        <v>28</v>
      </c>
      <c r="D18" s="24"/>
      <c r="E18" s="25"/>
      <c r="F18" s="23"/>
      <c r="G18" s="25"/>
      <c r="H18" s="23"/>
      <c r="I18" s="26"/>
      <c r="J18" s="24"/>
      <c r="K18" s="25"/>
      <c r="L18" s="23"/>
      <c r="M18" s="25"/>
      <c r="N18" s="23"/>
      <c r="O18" s="26"/>
      <c r="P18" s="27"/>
      <c r="Q18" s="28"/>
      <c r="R18" s="29"/>
      <c r="S18" s="24"/>
      <c r="T18" s="25"/>
      <c r="U18" s="23"/>
      <c r="V18" s="25"/>
      <c r="W18" s="23"/>
      <c r="X18" s="26"/>
      <c r="Y18" s="24"/>
      <c r="Z18" s="25"/>
      <c r="AA18" s="23"/>
      <c r="AB18" s="25"/>
      <c r="AC18" s="23"/>
      <c r="AD18" s="26"/>
    </row>
    <row r="19">
      <c r="A19" s="30" t="s">
        <v>38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39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40</v>
      </c>
      <c r="B21" s="22" t="s">
        <v>27</v>
      </c>
      <c r="C21" s="22" t="s">
        <v>28</v>
      </c>
      <c r="D21" s="24"/>
      <c r="E21" s="25" t="n">
        <f>68404</f>
        <v>68404.0</v>
      </c>
      <c r="F21" s="23" t="s">
        <v>41</v>
      </c>
      <c r="G21" s="25" t="n">
        <f>73326</f>
        <v>73326.0</v>
      </c>
      <c r="H21" s="23"/>
      <c r="I21" s="26" t="n">
        <f>141730</f>
        <v>141730.0</v>
      </c>
      <c r="J21" s="24"/>
      <c r="K21" s="25" t="n">
        <f>17792016189</f>
        <v>1.7792016189E10</v>
      </c>
      <c r="L21" s="23" t="s">
        <v>41</v>
      </c>
      <c r="M21" s="25" t="n">
        <f>38621056160</f>
        <v>3.862105616E10</v>
      </c>
      <c r="N21" s="23" t="s">
        <v>41</v>
      </c>
      <c r="O21" s="26" t="n">
        <f>56413072349</f>
        <v>5.6413072349E10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17008</f>
        <v>17008.0</v>
      </c>
      <c r="U21" s="23" t="s">
        <v>41</v>
      </c>
      <c r="V21" s="25" t="n">
        <f>27826</f>
        <v>27826.0</v>
      </c>
      <c r="W21" s="23" t="s">
        <v>41</v>
      </c>
      <c r="X21" s="26" t="n">
        <f>44834</f>
        <v>44834.0</v>
      </c>
      <c r="Y21" s="24"/>
      <c r="Z21" s="25" t="n">
        <f>712554</f>
        <v>712554.0</v>
      </c>
      <c r="AA21" s="23"/>
      <c r="AB21" s="25" t="n">
        <f>455410</f>
        <v>455410.0</v>
      </c>
      <c r="AC21" s="23"/>
      <c r="AD21" s="26" t="n">
        <f>1167964</f>
        <v>1167964.0</v>
      </c>
    </row>
    <row r="22">
      <c r="A22" s="30" t="s">
        <v>42</v>
      </c>
      <c r="B22" s="22" t="s">
        <v>27</v>
      </c>
      <c r="C22" s="22" t="s">
        <v>28</v>
      </c>
      <c r="D22" s="24"/>
      <c r="E22" s="25" t="n">
        <f>55009</f>
        <v>55009.0</v>
      </c>
      <c r="F22" s="23"/>
      <c r="G22" s="25" t="n">
        <f>36732</f>
        <v>36732.0</v>
      </c>
      <c r="H22" s="23"/>
      <c r="I22" s="26" t="n">
        <f>91741</f>
        <v>91741.0</v>
      </c>
      <c r="J22" s="24"/>
      <c r="K22" s="25" t="n">
        <f>13365388900</f>
        <v>1.33653889E10</v>
      </c>
      <c r="L22" s="23"/>
      <c r="M22" s="25" t="n">
        <f>14338911350</f>
        <v>1.433891135E10</v>
      </c>
      <c r="N22" s="23"/>
      <c r="O22" s="26" t="n">
        <f>27704300250</f>
        <v>2.770430025E10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11770</f>
        <v>11770.0</v>
      </c>
      <c r="U22" s="23"/>
      <c r="V22" s="25" t="n">
        <f>5733</f>
        <v>5733.0</v>
      </c>
      <c r="W22" s="23"/>
      <c r="X22" s="26" t="n">
        <f>17503</f>
        <v>17503.0</v>
      </c>
      <c r="Y22" s="24"/>
      <c r="Z22" s="25" t="n">
        <f>722673</f>
        <v>722673.0</v>
      </c>
      <c r="AA22" s="23"/>
      <c r="AB22" s="25" t="n">
        <f>460346</f>
        <v>460346.0</v>
      </c>
      <c r="AC22" s="23"/>
      <c r="AD22" s="26" t="n">
        <f>1183019</f>
        <v>1183019.0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66871</f>
        <v>66871.0</v>
      </c>
      <c r="F23" s="23"/>
      <c r="G23" s="25" t="n">
        <f>58521</f>
        <v>58521.0</v>
      </c>
      <c r="H23" s="23"/>
      <c r="I23" s="26" t="n">
        <f>125392</f>
        <v>125392.0</v>
      </c>
      <c r="J23" s="24"/>
      <c r="K23" s="25" t="n">
        <f>18870474000</f>
        <v>1.8870474E10</v>
      </c>
      <c r="L23" s="23"/>
      <c r="M23" s="25" t="n">
        <f>26033660570</f>
        <v>2.603366057E10</v>
      </c>
      <c r="N23" s="23"/>
      <c r="O23" s="26" t="n">
        <f>44904134570</f>
        <v>4.490413457E10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12476</f>
        <v>12476.0</v>
      </c>
      <c r="U23" s="23"/>
      <c r="V23" s="25" t="n">
        <f>8009</f>
        <v>8009.0</v>
      </c>
      <c r="W23" s="23"/>
      <c r="X23" s="26" t="n">
        <f>20485</f>
        <v>20485.0</v>
      </c>
      <c r="Y23" s="24"/>
      <c r="Z23" s="25" t="n">
        <f>744132</f>
        <v>744132.0</v>
      </c>
      <c r="AA23" s="23"/>
      <c r="AB23" s="25" t="n">
        <f>467317</f>
        <v>467317.0</v>
      </c>
      <c r="AC23" s="23"/>
      <c r="AD23" s="26" t="n">
        <f>1211449</f>
        <v>1211449.0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64159</f>
        <v>64159.0</v>
      </c>
      <c r="F24" s="23"/>
      <c r="G24" s="25" t="n">
        <f>46699</f>
        <v>46699.0</v>
      </c>
      <c r="H24" s="23"/>
      <c r="I24" s="26" t="n">
        <f>110858</f>
        <v>110858.0</v>
      </c>
      <c r="J24" s="24" t="s">
        <v>41</v>
      </c>
      <c r="K24" s="25" t="n">
        <f>25423722217</f>
        <v>2.5423722217E10</v>
      </c>
      <c r="L24" s="23"/>
      <c r="M24" s="25" t="n">
        <f>20531182700</f>
        <v>2.05311827E10</v>
      </c>
      <c r="N24" s="23"/>
      <c r="O24" s="26" t="n">
        <f>45954904917</f>
        <v>4.5954904917E10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 t="s">
        <v>41</v>
      </c>
      <c r="T24" s="25" t="n">
        <f>23108</f>
        <v>23108.0</v>
      </c>
      <c r="U24" s="23"/>
      <c r="V24" s="25" t="n">
        <f>15548</f>
        <v>15548.0</v>
      </c>
      <c r="W24" s="23"/>
      <c r="X24" s="26" t="n">
        <f>38656</f>
        <v>38656.0</v>
      </c>
      <c r="Y24" s="24"/>
      <c r="Z24" s="25" t="n">
        <f>762897</f>
        <v>762897.0</v>
      </c>
      <c r="AA24" s="23"/>
      <c r="AB24" s="25" t="n">
        <f>475269</f>
        <v>475269.0</v>
      </c>
      <c r="AC24" s="23"/>
      <c r="AD24" s="26" t="n">
        <f>1238166</f>
        <v>1238166.0</v>
      </c>
    </row>
    <row r="25">
      <c r="A25" s="30" t="s">
        <v>45</v>
      </c>
      <c r="B25" s="22" t="s">
        <v>27</v>
      </c>
      <c r="C25" s="22" t="s">
        <v>28</v>
      </c>
      <c r="D25" s="24"/>
      <c r="E25" s="25"/>
      <c r="F25" s="23"/>
      <c r="G25" s="25"/>
      <c r="H25" s="23"/>
      <c r="I25" s="26"/>
      <c r="J25" s="24"/>
      <c r="K25" s="25"/>
      <c r="L25" s="23"/>
      <c r="M25" s="25"/>
      <c r="N25" s="23"/>
      <c r="O25" s="26"/>
      <c r="P25" s="27"/>
      <c r="Q25" s="28"/>
      <c r="R25" s="29"/>
      <c r="S25" s="24"/>
      <c r="T25" s="25"/>
      <c r="U25" s="23"/>
      <c r="V25" s="25"/>
      <c r="W25" s="23"/>
      <c r="X25" s="26"/>
      <c r="Y25" s="24"/>
      <c r="Z25" s="25"/>
      <c r="AA25" s="23"/>
      <c r="AB25" s="25"/>
      <c r="AC25" s="23"/>
      <c r="AD25" s="26"/>
    </row>
    <row r="26">
      <c r="A26" s="30" t="s">
        <v>46</v>
      </c>
      <c r="B26" s="22" t="s">
        <v>27</v>
      </c>
      <c r="C26" s="22" t="s">
        <v>28</v>
      </c>
      <c r="D26" s="24"/>
      <c r="E26" s="25"/>
      <c r="F26" s="23"/>
      <c r="G26" s="25"/>
      <c r="H26" s="23"/>
      <c r="I26" s="26"/>
      <c r="J26" s="24"/>
      <c r="K26" s="25"/>
      <c r="L26" s="23"/>
      <c r="M26" s="25"/>
      <c r="N26" s="23"/>
      <c r="O26" s="26"/>
      <c r="P26" s="27"/>
      <c r="Q26" s="28"/>
      <c r="R26" s="29"/>
      <c r="S26" s="24"/>
      <c r="T26" s="25"/>
      <c r="U26" s="23"/>
      <c r="V26" s="25"/>
      <c r="W26" s="23"/>
      <c r="X26" s="26"/>
      <c r="Y26" s="24"/>
      <c r="Z26" s="25"/>
      <c r="AA26" s="23"/>
      <c r="AB26" s="25"/>
      <c r="AC26" s="23"/>
      <c r="AD26" s="26"/>
    </row>
    <row r="27">
      <c r="A27" s="30" t="s">
        <v>47</v>
      </c>
      <c r="B27" s="22" t="s">
        <v>27</v>
      </c>
      <c r="C27" s="22" t="s">
        <v>28</v>
      </c>
      <c r="D27" s="24"/>
      <c r="E27" s="25" t="n">
        <f>58101</f>
        <v>58101.0</v>
      </c>
      <c r="F27" s="23"/>
      <c r="G27" s="25" t="n">
        <f>35014</f>
        <v>35014.0</v>
      </c>
      <c r="H27" s="23"/>
      <c r="I27" s="26" t="n">
        <f>93115</f>
        <v>93115.0</v>
      </c>
      <c r="J27" s="24"/>
      <c r="K27" s="25" t="n">
        <f>20181148794</f>
        <v>2.0181148794E10</v>
      </c>
      <c r="L27" s="23"/>
      <c r="M27" s="25" t="n">
        <f>14654981273</f>
        <v>1.4654981273E10</v>
      </c>
      <c r="N27" s="23"/>
      <c r="O27" s="26" t="n">
        <f>34836130067</f>
        <v>3.4836130067E10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12222</f>
        <v>12222.0</v>
      </c>
      <c r="U27" s="23"/>
      <c r="V27" s="25" t="n">
        <f>6276</f>
        <v>6276.0</v>
      </c>
      <c r="W27" s="23"/>
      <c r="X27" s="26" t="n">
        <f>18498</f>
        <v>18498.0</v>
      </c>
      <c r="Y27" s="24"/>
      <c r="Z27" s="25" t="n">
        <f>774769</f>
        <v>774769.0</v>
      </c>
      <c r="AA27" s="23"/>
      <c r="AB27" s="25" t="n">
        <f>483127</f>
        <v>483127.0</v>
      </c>
      <c r="AC27" s="23"/>
      <c r="AD27" s="26" t="n">
        <f>1257896</f>
        <v>1257896.0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51466</f>
        <v>51466.0</v>
      </c>
      <c r="F28" s="23"/>
      <c r="G28" s="25" t="n">
        <f>26277</f>
        <v>26277.0</v>
      </c>
      <c r="H28" s="23"/>
      <c r="I28" s="26" t="n">
        <f>77743</f>
        <v>77743.0</v>
      </c>
      <c r="J28" s="24"/>
      <c r="K28" s="25" t="n">
        <f>13807498900</f>
        <v>1.38074989E10</v>
      </c>
      <c r="L28" s="23"/>
      <c r="M28" s="25" t="n">
        <f>5661432500</f>
        <v>5.6614325E9</v>
      </c>
      <c r="N28" s="23"/>
      <c r="O28" s="26" t="n">
        <f>19468931400</f>
        <v>1.94689314E10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7336</f>
        <v>7336.0</v>
      </c>
      <c r="U28" s="23"/>
      <c r="V28" s="25" t="n">
        <f>3818</f>
        <v>3818.0</v>
      </c>
      <c r="W28" s="23"/>
      <c r="X28" s="26" t="n">
        <f>11154</f>
        <v>11154.0</v>
      </c>
      <c r="Y28" s="24"/>
      <c r="Z28" s="25" t="n">
        <f>790037</f>
        <v>790037.0</v>
      </c>
      <c r="AA28" s="23"/>
      <c r="AB28" s="25" t="n">
        <f>486072</f>
        <v>486072.0</v>
      </c>
      <c r="AC28" s="23"/>
      <c r="AD28" s="26" t="n">
        <f>1276109</f>
        <v>1276109.0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42512</f>
        <v>42512.0</v>
      </c>
      <c r="F29" s="23"/>
      <c r="G29" s="25" t="n">
        <f>29635</f>
        <v>29635.0</v>
      </c>
      <c r="H29" s="23"/>
      <c r="I29" s="26" t="n">
        <f>72147</f>
        <v>72147.0</v>
      </c>
      <c r="J29" s="24"/>
      <c r="K29" s="25" t="n">
        <f>12332203000</f>
        <v>1.2332203E10</v>
      </c>
      <c r="L29" s="23"/>
      <c r="M29" s="25" t="n">
        <f>10536958000</f>
        <v>1.0536958E10</v>
      </c>
      <c r="N29" s="23"/>
      <c r="O29" s="26" t="n">
        <f>22869161000</f>
        <v>2.2869161E10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6808</f>
        <v>6808.0</v>
      </c>
      <c r="U29" s="23"/>
      <c r="V29" s="25" t="n">
        <f>5406</f>
        <v>5406.0</v>
      </c>
      <c r="W29" s="23"/>
      <c r="X29" s="26" t="n">
        <f>12214</f>
        <v>12214.0</v>
      </c>
      <c r="Y29" s="24"/>
      <c r="Z29" s="25" t="n">
        <f>802491</f>
        <v>802491.0</v>
      </c>
      <c r="AA29" s="23"/>
      <c r="AB29" s="25" t="n">
        <f>494422</f>
        <v>494422.0</v>
      </c>
      <c r="AC29" s="23"/>
      <c r="AD29" s="26" t="n">
        <f>1296913</f>
        <v>1296913.0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69049</f>
        <v>69049.0</v>
      </c>
      <c r="F30" s="23"/>
      <c r="G30" s="25" t="n">
        <f>43741</f>
        <v>43741.0</v>
      </c>
      <c r="H30" s="23"/>
      <c r="I30" s="26" t="n">
        <f>112790</f>
        <v>112790.0</v>
      </c>
      <c r="J30" s="24"/>
      <c r="K30" s="25" t="n">
        <f>21865386380</f>
        <v>2.186538638E10</v>
      </c>
      <c r="L30" s="23"/>
      <c r="M30" s="25" t="n">
        <f>18544020000</f>
        <v>1.854402E10</v>
      </c>
      <c r="N30" s="23"/>
      <c r="O30" s="26" t="n">
        <f>40409406380</f>
        <v>4.040940638E10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16124</f>
        <v>16124.0</v>
      </c>
      <c r="U30" s="23"/>
      <c r="V30" s="25" t="n">
        <f>15080</f>
        <v>15080.0</v>
      </c>
      <c r="W30" s="23"/>
      <c r="X30" s="26" t="n">
        <f>31204</f>
        <v>31204.0</v>
      </c>
      <c r="Y30" s="24"/>
      <c r="Z30" s="25" t="n">
        <f>813297</f>
        <v>813297.0</v>
      </c>
      <c r="AA30" s="23"/>
      <c r="AB30" s="25" t="n">
        <f>504213</f>
        <v>504213.0</v>
      </c>
      <c r="AC30" s="23"/>
      <c r="AD30" s="26" t="n">
        <f>1317510</f>
        <v>1317510.0</v>
      </c>
    </row>
    <row r="31">
      <c r="A31" s="30" t="s">
        <v>51</v>
      </c>
      <c r="B31" s="22" t="s">
        <v>27</v>
      </c>
      <c r="C31" s="22" t="s">
        <v>28</v>
      </c>
      <c r="D31" s="24" t="s">
        <v>33</v>
      </c>
      <c r="E31" s="25" t="n">
        <f>39893</f>
        <v>39893.0</v>
      </c>
      <c r="F31" s="23"/>
      <c r="G31" s="25" t="n">
        <f>23421</f>
        <v>23421.0</v>
      </c>
      <c r="H31" s="23"/>
      <c r="I31" s="26" t="n">
        <f>63314</f>
        <v>63314.0</v>
      </c>
      <c r="J31" s="24"/>
      <c r="K31" s="25" t="n">
        <f>11218537530</f>
        <v>1.121853753E10</v>
      </c>
      <c r="L31" s="23"/>
      <c r="M31" s="25" t="n">
        <f>5863135800</f>
        <v>5.8631358E9</v>
      </c>
      <c r="N31" s="23"/>
      <c r="O31" s="26" t="n">
        <f>17081673330</f>
        <v>1.708167333E10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 t="s">
        <v>33</v>
      </c>
      <c r="T31" s="25" t="n">
        <f>4287</f>
        <v>4287.0</v>
      </c>
      <c r="U31" s="23"/>
      <c r="V31" s="25" t="n">
        <f>2306</f>
        <v>2306.0</v>
      </c>
      <c r="W31" s="23" t="s">
        <v>33</v>
      </c>
      <c r="X31" s="26" t="n">
        <f>6593</f>
        <v>6593.0</v>
      </c>
      <c r="Y31" s="24"/>
      <c r="Z31" s="25" t="n">
        <f>818859</f>
        <v>818859.0</v>
      </c>
      <c r="AA31" s="23"/>
      <c r="AB31" s="25" t="n">
        <f>506533</f>
        <v>506533.0</v>
      </c>
      <c r="AC31" s="23"/>
      <c r="AD31" s="26" t="n">
        <f>1325392</f>
        <v>1325392.0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/>
      <c r="F33" s="23"/>
      <c r="G33" s="25"/>
      <c r="H33" s="23"/>
      <c r="I33" s="26"/>
      <c r="J33" s="24"/>
      <c r="K33" s="25"/>
      <c r="L33" s="23"/>
      <c r="M33" s="25"/>
      <c r="N33" s="23"/>
      <c r="O33" s="26"/>
      <c r="P33" s="27"/>
      <c r="Q33" s="28"/>
      <c r="R33" s="29"/>
      <c r="S33" s="24"/>
      <c r="T33" s="25"/>
      <c r="U33" s="23"/>
      <c r="V33" s="25"/>
      <c r="W33" s="23"/>
      <c r="X33" s="26"/>
      <c r="Y33" s="24"/>
      <c r="Z33" s="25"/>
      <c r="AA33" s="23"/>
      <c r="AB33" s="25"/>
      <c r="AC33" s="23"/>
      <c r="AD33" s="26"/>
    </row>
    <row r="34">
      <c r="A34" s="30" t="s">
        <v>54</v>
      </c>
      <c r="B34" s="22" t="s">
        <v>27</v>
      </c>
      <c r="C34" s="22" t="s">
        <v>28</v>
      </c>
      <c r="D34" s="24"/>
      <c r="E34" s="25" t="n">
        <f>71539</f>
        <v>71539.0</v>
      </c>
      <c r="F34" s="23"/>
      <c r="G34" s="25" t="n">
        <f>29687</f>
        <v>29687.0</v>
      </c>
      <c r="H34" s="23"/>
      <c r="I34" s="26" t="n">
        <f>101226</f>
        <v>101226.0</v>
      </c>
      <c r="J34" s="24"/>
      <c r="K34" s="25" t="n">
        <f>14215991080</f>
        <v>1.421599108E10</v>
      </c>
      <c r="L34" s="23"/>
      <c r="M34" s="25" t="n">
        <f>6474643000</f>
        <v>6.474643E9</v>
      </c>
      <c r="N34" s="23"/>
      <c r="O34" s="26" t="n">
        <f>20690634080</f>
        <v>2.069063408E10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11472</f>
        <v>11472.0</v>
      </c>
      <c r="U34" s="23"/>
      <c r="V34" s="25" t="n">
        <f>4121</f>
        <v>4121.0</v>
      </c>
      <c r="W34" s="23"/>
      <c r="X34" s="26" t="n">
        <f>15593</f>
        <v>15593.0</v>
      </c>
      <c r="Y34" s="24"/>
      <c r="Z34" s="25" t="n">
        <f>829420</f>
        <v>829420.0</v>
      </c>
      <c r="AA34" s="23"/>
      <c r="AB34" s="25" t="n">
        <f>507429</f>
        <v>507429.0</v>
      </c>
      <c r="AC34" s="23"/>
      <c r="AD34" s="26" t="n">
        <f>1336849</f>
        <v>1336849.0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69837</f>
        <v>69837.0</v>
      </c>
      <c r="F35" s="23"/>
      <c r="G35" s="25" t="n">
        <f>24604</f>
        <v>24604.0</v>
      </c>
      <c r="H35" s="23"/>
      <c r="I35" s="26" t="n">
        <f>94441</f>
        <v>94441.0</v>
      </c>
      <c r="J35" s="24"/>
      <c r="K35" s="25" t="n">
        <f>16915866637</f>
        <v>1.6915866637E10</v>
      </c>
      <c r="L35" s="23" t="s">
        <v>33</v>
      </c>
      <c r="M35" s="25" t="n">
        <f>5041915200</f>
        <v>5.0419152E9</v>
      </c>
      <c r="N35" s="23"/>
      <c r="O35" s="26" t="n">
        <f>21957781837</f>
        <v>2.1957781837E10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10441</f>
        <v>10441.0</v>
      </c>
      <c r="U35" s="23"/>
      <c r="V35" s="25" t="n">
        <f>3418</f>
        <v>3418.0</v>
      </c>
      <c r="W35" s="23"/>
      <c r="X35" s="26" t="n">
        <f>13859</f>
        <v>13859.0</v>
      </c>
      <c r="Y35" s="24"/>
      <c r="Z35" s="25" t="n">
        <f>844738</f>
        <v>844738.0</v>
      </c>
      <c r="AA35" s="23"/>
      <c r="AB35" s="25" t="n">
        <f>510764</f>
        <v>510764.0</v>
      </c>
      <c r="AC35" s="23"/>
      <c r="AD35" s="26" t="n">
        <f>1355502</f>
        <v>1355502.0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45850</f>
        <v>45850.0</v>
      </c>
      <c r="F36" s="23" t="s">
        <v>33</v>
      </c>
      <c r="G36" s="25" t="n">
        <f>15467</f>
        <v>15467.0</v>
      </c>
      <c r="H36" s="23" t="s">
        <v>33</v>
      </c>
      <c r="I36" s="26" t="n">
        <f>61317</f>
        <v>61317.0</v>
      </c>
      <c r="J36" s="24"/>
      <c r="K36" s="25" t="n">
        <f>14744692698</f>
        <v>1.4744692698E10</v>
      </c>
      <c r="L36" s="23"/>
      <c r="M36" s="25" t="n">
        <f>6391890450</f>
        <v>6.39189045E9</v>
      </c>
      <c r="N36" s="23"/>
      <c r="O36" s="26" t="n">
        <f>21136583148</f>
        <v>2.1136583148E10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12352</f>
        <v>12352.0</v>
      </c>
      <c r="U36" s="23" t="s">
        <v>33</v>
      </c>
      <c r="V36" s="25" t="n">
        <f>1471</f>
        <v>1471.0</v>
      </c>
      <c r="W36" s="23"/>
      <c r="X36" s="26" t="n">
        <f>13823</f>
        <v>13823.0</v>
      </c>
      <c r="Y36" s="24"/>
      <c r="Z36" s="25" t="n">
        <f>848606</f>
        <v>848606.0</v>
      </c>
      <c r="AA36" s="23"/>
      <c r="AB36" s="25" t="n">
        <f>510628</f>
        <v>510628.0</v>
      </c>
      <c r="AC36" s="23"/>
      <c r="AD36" s="26" t="n">
        <f>1359234</f>
        <v>1359234.0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70970</f>
        <v>70970.0</v>
      </c>
      <c r="F37" s="23"/>
      <c r="G37" s="25" t="n">
        <f>46037</f>
        <v>46037.0</v>
      </c>
      <c r="H37" s="23"/>
      <c r="I37" s="26" t="n">
        <f>117007</f>
        <v>117007.0</v>
      </c>
      <c r="J37" s="24"/>
      <c r="K37" s="25" t="n">
        <f>16544948000</f>
        <v>1.6544948E10</v>
      </c>
      <c r="L37" s="23"/>
      <c r="M37" s="25" t="n">
        <f>14255590000</f>
        <v>1.425559E10</v>
      </c>
      <c r="N37" s="23"/>
      <c r="O37" s="26" t="n">
        <f>30800538000</f>
        <v>3.0800538E10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11127</f>
        <v>11127.0</v>
      </c>
      <c r="U37" s="23"/>
      <c r="V37" s="25" t="n">
        <f>13077</f>
        <v>13077.0</v>
      </c>
      <c r="W37" s="23"/>
      <c r="X37" s="26" t="n">
        <f>24204</f>
        <v>24204.0</v>
      </c>
      <c r="Y37" s="24"/>
      <c r="Z37" s="25" t="n">
        <f>857125</f>
        <v>857125.0</v>
      </c>
      <c r="AA37" s="23"/>
      <c r="AB37" s="25" t="n">
        <f>519087</f>
        <v>519087.0</v>
      </c>
      <c r="AC37" s="23"/>
      <c r="AD37" s="26" t="n">
        <f>1376212</f>
        <v>1376212.0</v>
      </c>
    </row>
    <row r="38">
      <c r="A38" s="30" t="s">
        <v>58</v>
      </c>
      <c r="B38" s="22" t="s">
        <v>27</v>
      </c>
      <c r="C38" s="22" t="s">
        <v>28</v>
      </c>
      <c r="D38" s="24" t="s">
        <v>41</v>
      </c>
      <c r="E38" s="25" t="n">
        <f>83657</f>
        <v>83657.0</v>
      </c>
      <c r="F38" s="23"/>
      <c r="G38" s="25" t="n">
        <f>59009</f>
        <v>59009.0</v>
      </c>
      <c r="H38" s="23" t="s">
        <v>41</v>
      </c>
      <c r="I38" s="26" t="n">
        <f>142666</f>
        <v>142666.0</v>
      </c>
      <c r="J38" s="24"/>
      <c r="K38" s="25" t="n">
        <f>16796276318</f>
        <v>1.6796276318E10</v>
      </c>
      <c r="L38" s="23"/>
      <c r="M38" s="25" t="n">
        <f>14990955400</f>
        <v>1.49909554E10</v>
      </c>
      <c r="N38" s="23"/>
      <c r="O38" s="26" t="n">
        <f>31787231718</f>
        <v>3.1787231718E10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11653</f>
        <v>11653.0</v>
      </c>
      <c r="U38" s="23"/>
      <c r="V38" s="25" t="n">
        <f>12260</f>
        <v>12260.0</v>
      </c>
      <c r="W38" s="23"/>
      <c r="X38" s="26" t="n">
        <f>23913</f>
        <v>23913.0</v>
      </c>
      <c r="Y38" s="24" t="s">
        <v>41</v>
      </c>
      <c r="Z38" s="25" t="n">
        <f>862041</f>
        <v>862041.0</v>
      </c>
      <c r="AA38" s="23" t="s">
        <v>41</v>
      </c>
      <c r="AB38" s="25" t="n">
        <f>520940</f>
        <v>520940.0</v>
      </c>
      <c r="AC38" s="23" t="s">
        <v>41</v>
      </c>
      <c r="AD38" s="26" t="n">
        <f>1382981</f>
        <v>1382981.0</v>
      </c>
    </row>
    <row r="39">
      <c r="A39" s="30" t="s">
        <v>59</v>
      </c>
      <c r="B39" s="22" t="s">
        <v>27</v>
      </c>
      <c r="C39" s="22" t="s">
        <v>28</v>
      </c>
      <c r="D39" s="24"/>
      <c r="E39" s="25"/>
      <c r="F39" s="23"/>
      <c r="G39" s="25"/>
      <c r="H39" s="23"/>
      <c r="I39" s="26"/>
      <c r="J39" s="24"/>
      <c r="K39" s="25"/>
      <c r="L39" s="23"/>
      <c r="M39" s="25"/>
      <c r="N39" s="23"/>
      <c r="O39" s="26"/>
      <c r="P39" s="27"/>
      <c r="Q39" s="28"/>
      <c r="R39" s="29"/>
      <c r="S39" s="24"/>
      <c r="T39" s="25"/>
      <c r="U39" s="23"/>
      <c r="V39" s="25"/>
      <c r="W39" s="23"/>
      <c r="X39" s="26"/>
      <c r="Y39" s="24"/>
      <c r="Z39" s="25"/>
      <c r="AA39" s="23"/>
      <c r="AB39" s="25"/>
      <c r="AC39" s="23"/>
      <c r="AD39" s="26"/>
    </row>
    <row r="40">
      <c r="A40" s="30" t="s">
        <v>60</v>
      </c>
      <c r="B40" s="22" t="s">
        <v>27</v>
      </c>
      <c r="C40" s="22" t="s">
        <v>28</v>
      </c>
      <c r="D40" s="24"/>
      <c r="E40" s="25"/>
      <c r="F40" s="23"/>
      <c r="G40" s="25"/>
      <c r="H40" s="23"/>
      <c r="I40" s="26"/>
      <c r="J40" s="24"/>
      <c r="K40" s="25"/>
      <c r="L40" s="23"/>
      <c r="M40" s="25"/>
      <c r="N40" s="23"/>
      <c r="O40" s="26"/>
      <c r="P40" s="27"/>
      <c r="Q40" s="28"/>
      <c r="R40" s="29"/>
      <c r="S40" s="24"/>
      <c r="T40" s="25"/>
      <c r="U40" s="23"/>
      <c r="V40" s="25"/>
      <c r="W40" s="23"/>
      <c r="X40" s="26"/>
      <c r="Y40" s="24"/>
      <c r="Z40" s="25"/>
      <c r="AA40" s="23"/>
      <c r="AB40" s="25"/>
      <c r="AC40" s="23"/>
      <c r="AD40" s="26"/>
    </row>
    <row r="41">
      <c r="A41" s="30" t="s">
        <v>26</v>
      </c>
      <c r="B41" s="22" t="s">
        <v>61</v>
      </c>
      <c r="C41" s="22" t="s">
        <v>62</v>
      </c>
      <c r="D41" s="24"/>
      <c r="E41" s="25"/>
      <c r="F41" s="23"/>
      <c r="G41" s="25"/>
      <c r="H41" s="23"/>
      <c r="I41" s="26"/>
      <c r="J41" s="24"/>
      <c r="K41" s="25"/>
      <c r="L41" s="23"/>
      <c r="M41" s="25"/>
      <c r="N41" s="23"/>
      <c r="O41" s="26"/>
      <c r="P41" s="27"/>
      <c r="Q41" s="28"/>
      <c r="R41" s="29"/>
      <c r="S41" s="24"/>
      <c r="T41" s="25"/>
      <c r="U41" s="23"/>
      <c r="V41" s="25"/>
      <c r="W41" s="23"/>
      <c r="X41" s="26"/>
      <c r="Y41" s="24"/>
      <c r="Z41" s="25"/>
      <c r="AA41" s="23"/>
      <c r="AB41" s="25"/>
      <c r="AC41" s="23"/>
      <c r="AD41" s="26"/>
    </row>
    <row r="42">
      <c r="A42" s="30" t="s">
        <v>29</v>
      </c>
      <c r="B42" s="22" t="s">
        <v>61</v>
      </c>
      <c r="C42" s="22" t="s">
        <v>62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30</v>
      </c>
      <c r="B43" s="22" t="s">
        <v>61</v>
      </c>
      <c r="C43" s="22" t="s">
        <v>62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31</v>
      </c>
      <c r="B44" s="22" t="s">
        <v>61</v>
      </c>
      <c r="C44" s="22" t="s">
        <v>62</v>
      </c>
      <c r="D44" s="24"/>
      <c r="E44" s="25" t="n">
        <f>1181</f>
        <v>1181.0</v>
      </c>
      <c r="F44" s="23" t="s">
        <v>33</v>
      </c>
      <c r="G44" s="25" t="n">
        <f>23</f>
        <v>23.0</v>
      </c>
      <c r="H44" s="23"/>
      <c r="I44" s="26" t="n">
        <f>1204</f>
        <v>1204.0</v>
      </c>
      <c r="J44" s="24" t="s">
        <v>41</v>
      </c>
      <c r="K44" s="25" t="n">
        <f>359678000</f>
        <v>3.59678E8</v>
      </c>
      <c r="L44" s="23" t="s">
        <v>33</v>
      </c>
      <c r="M44" s="25" t="n">
        <f>1680000</f>
        <v>1680000.0</v>
      </c>
      <c r="N44" s="23" t="s">
        <v>41</v>
      </c>
      <c r="O44" s="26" t="n">
        <f>361358000</f>
        <v>3.61358E8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 t="s">
        <v>33</v>
      </c>
      <c r="T44" s="25" t="n">
        <f>2</f>
        <v>2.0</v>
      </c>
      <c r="U44" s="23"/>
      <c r="V44" s="25" t="n">
        <f>7</f>
        <v>7.0</v>
      </c>
      <c r="W44" s="23"/>
      <c r="X44" s="26" t="n">
        <f>9</f>
        <v>9.0</v>
      </c>
      <c r="Y44" s="24"/>
      <c r="Z44" s="25" t="n">
        <f>1477</f>
        <v>1477.0</v>
      </c>
      <c r="AA44" s="23" t="s">
        <v>33</v>
      </c>
      <c r="AB44" s="25" t="n">
        <f>743</f>
        <v>743.0</v>
      </c>
      <c r="AC44" s="23"/>
      <c r="AD44" s="26" t="n">
        <f>2220</f>
        <v>2220.0</v>
      </c>
    </row>
    <row r="45">
      <c r="A45" s="30" t="s">
        <v>32</v>
      </c>
      <c r="B45" s="22" t="s">
        <v>61</v>
      </c>
      <c r="C45" s="22" t="s">
        <v>62</v>
      </c>
      <c r="D45" s="24"/>
      <c r="E45" s="25" t="n">
        <f>232</f>
        <v>232.0</v>
      </c>
      <c r="F45" s="23"/>
      <c r="G45" s="25" t="n">
        <f>1065</f>
        <v>1065.0</v>
      </c>
      <c r="H45" s="23"/>
      <c r="I45" s="26" t="n">
        <f>1297</f>
        <v>1297.0</v>
      </c>
      <c r="J45" s="24"/>
      <c r="K45" s="25" t="n">
        <f>22726000</f>
        <v>2.2726E7</v>
      </c>
      <c r="L45" s="23" t="s">
        <v>41</v>
      </c>
      <c r="M45" s="25" t="n">
        <f>257933000</f>
        <v>2.57933E8</v>
      </c>
      <c r="N45" s="23"/>
      <c r="O45" s="26" t="n">
        <f>280659000</f>
        <v>2.80659E8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2</f>
        <v>2.0</v>
      </c>
      <c r="U45" s="23" t="s">
        <v>33</v>
      </c>
      <c r="V45" s="25" t="n">
        <f>6</f>
        <v>6.0</v>
      </c>
      <c r="W45" s="23" t="s">
        <v>33</v>
      </c>
      <c r="X45" s="26" t="n">
        <f>8</f>
        <v>8.0</v>
      </c>
      <c r="Y45" s="24"/>
      <c r="Z45" s="25" t="n">
        <f>1670</f>
        <v>1670.0</v>
      </c>
      <c r="AA45" s="23"/>
      <c r="AB45" s="25" t="n">
        <f>1771</f>
        <v>1771.0</v>
      </c>
      <c r="AC45" s="23"/>
      <c r="AD45" s="26" t="n">
        <f>3441</f>
        <v>3441.0</v>
      </c>
    </row>
    <row r="46">
      <c r="A46" s="30" t="s">
        <v>34</v>
      </c>
      <c r="B46" s="22" t="s">
        <v>61</v>
      </c>
      <c r="C46" s="22" t="s">
        <v>62</v>
      </c>
      <c r="D46" s="24" t="s">
        <v>33</v>
      </c>
      <c r="E46" s="25" t="n">
        <f>121</f>
        <v>121.0</v>
      </c>
      <c r="F46" s="23"/>
      <c r="G46" s="25" t="n">
        <f>92</f>
        <v>92.0</v>
      </c>
      <c r="H46" s="23" t="s">
        <v>33</v>
      </c>
      <c r="I46" s="26" t="n">
        <f>213</f>
        <v>213.0</v>
      </c>
      <c r="J46" s="24" t="s">
        <v>33</v>
      </c>
      <c r="K46" s="25" t="n">
        <f>8594000</f>
        <v>8594000.0</v>
      </c>
      <c r="L46" s="23"/>
      <c r="M46" s="25" t="n">
        <f>6222000</f>
        <v>6222000.0</v>
      </c>
      <c r="N46" s="23" t="s">
        <v>33</v>
      </c>
      <c r="O46" s="26" t="n">
        <f>14816000</f>
        <v>1.4816E7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4</f>
        <v>4.0</v>
      </c>
      <c r="U46" s="23"/>
      <c r="V46" s="25" t="n">
        <f>15</f>
        <v>15.0</v>
      </c>
      <c r="W46" s="23"/>
      <c r="X46" s="26" t="n">
        <f>19</f>
        <v>19.0</v>
      </c>
      <c r="Y46" s="24"/>
      <c r="Z46" s="25" t="n">
        <f>1738</f>
        <v>1738.0</v>
      </c>
      <c r="AA46" s="23"/>
      <c r="AB46" s="25" t="n">
        <f>1806</f>
        <v>1806.0</v>
      </c>
      <c r="AC46" s="23"/>
      <c r="AD46" s="26" t="n">
        <f>3544</f>
        <v>3544.0</v>
      </c>
    </row>
    <row r="47">
      <c r="A47" s="30" t="s">
        <v>35</v>
      </c>
      <c r="B47" s="22" t="s">
        <v>61</v>
      </c>
      <c r="C47" s="22" t="s">
        <v>62</v>
      </c>
      <c r="D47" s="24"/>
      <c r="E47" s="25" t="n">
        <f>476</f>
        <v>476.0</v>
      </c>
      <c r="F47" s="23"/>
      <c r="G47" s="25" t="n">
        <f>147</f>
        <v>147.0</v>
      </c>
      <c r="H47" s="23"/>
      <c r="I47" s="26" t="n">
        <f>623</f>
        <v>623.0</v>
      </c>
      <c r="J47" s="24"/>
      <c r="K47" s="25" t="n">
        <f>32052000</f>
        <v>3.2052E7</v>
      </c>
      <c r="L47" s="23"/>
      <c r="M47" s="25" t="n">
        <f>13070000</f>
        <v>1.307E7</v>
      </c>
      <c r="N47" s="23"/>
      <c r="O47" s="26" t="n">
        <f>45122000</f>
        <v>4.5122E7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30</f>
        <v>30.0</v>
      </c>
      <c r="U47" s="23"/>
      <c r="V47" s="25" t="n">
        <f>20</f>
        <v>20.0</v>
      </c>
      <c r="W47" s="23"/>
      <c r="X47" s="26" t="n">
        <f>50</f>
        <v>50.0</v>
      </c>
      <c r="Y47" s="24"/>
      <c r="Z47" s="25" t="n">
        <f>1989</f>
        <v>1989.0</v>
      </c>
      <c r="AA47" s="23"/>
      <c r="AB47" s="25" t="n">
        <f>1859</f>
        <v>1859.0</v>
      </c>
      <c r="AC47" s="23"/>
      <c r="AD47" s="26" t="n">
        <f>3848</f>
        <v>3848.0</v>
      </c>
    </row>
    <row r="48">
      <c r="A48" s="30" t="s">
        <v>36</v>
      </c>
      <c r="B48" s="22" t="s">
        <v>61</v>
      </c>
      <c r="C48" s="22" t="s">
        <v>62</v>
      </c>
      <c r="D48" s="24"/>
      <c r="E48" s="25" t="n">
        <f>1872</f>
        <v>1872.0</v>
      </c>
      <c r="F48" s="23"/>
      <c r="G48" s="25" t="n">
        <f>623</f>
        <v>623.0</v>
      </c>
      <c r="H48" s="23"/>
      <c r="I48" s="26" t="n">
        <f>2495</f>
        <v>2495.0</v>
      </c>
      <c r="J48" s="24"/>
      <c r="K48" s="25" t="n">
        <f>71855000</f>
        <v>7.1855E7</v>
      </c>
      <c r="L48" s="23"/>
      <c r="M48" s="25" t="n">
        <f>174021000</f>
        <v>1.74021E8</v>
      </c>
      <c r="N48" s="23"/>
      <c r="O48" s="26" t="n">
        <f>245876000</f>
        <v>2.45876E8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 t="s">
        <v>41</v>
      </c>
      <c r="T48" s="25" t="n">
        <f>779</f>
        <v>779.0</v>
      </c>
      <c r="U48" s="23" t="s">
        <v>41</v>
      </c>
      <c r="V48" s="25" t="n">
        <f>288</f>
        <v>288.0</v>
      </c>
      <c r="W48" s="23" t="s">
        <v>41</v>
      </c>
      <c r="X48" s="26" t="n">
        <f>1067</f>
        <v>1067.0</v>
      </c>
      <c r="Y48" s="24"/>
      <c r="Z48" s="25" t="n">
        <f>3016</f>
        <v>3016.0</v>
      </c>
      <c r="AA48" s="23"/>
      <c r="AB48" s="25" t="n">
        <f>2195</f>
        <v>2195.0</v>
      </c>
      <c r="AC48" s="23"/>
      <c r="AD48" s="26" t="n">
        <f>5211</f>
        <v>5211.0</v>
      </c>
    </row>
    <row r="49">
      <c r="A49" s="30" t="s">
        <v>37</v>
      </c>
      <c r="B49" s="22" t="s">
        <v>61</v>
      </c>
      <c r="C49" s="22" t="s">
        <v>62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38</v>
      </c>
      <c r="B50" s="22" t="s">
        <v>61</v>
      </c>
      <c r="C50" s="22" t="s">
        <v>62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39</v>
      </c>
      <c r="B51" s="22" t="s">
        <v>61</v>
      </c>
      <c r="C51" s="22" t="s">
        <v>62</v>
      </c>
      <c r="D51" s="24"/>
      <c r="E51" s="25"/>
      <c r="F51" s="23"/>
      <c r="G51" s="25"/>
      <c r="H51" s="23"/>
      <c r="I51" s="26"/>
      <c r="J51" s="24"/>
      <c r="K51" s="25"/>
      <c r="L51" s="23"/>
      <c r="M51" s="25"/>
      <c r="N51" s="23"/>
      <c r="O51" s="26"/>
      <c r="P51" s="27"/>
      <c r="Q51" s="28"/>
      <c r="R51" s="29"/>
      <c r="S51" s="24"/>
      <c r="T51" s="25"/>
      <c r="U51" s="23"/>
      <c r="V51" s="25"/>
      <c r="W51" s="23"/>
      <c r="X51" s="26"/>
      <c r="Y51" s="24"/>
      <c r="Z51" s="25"/>
      <c r="AA51" s="23"/>
      <c r="AB51" s="25"/>
      <c r="AC51" s="23"/>
      <c r="AD51" s="26"/>
    </row>
    <row r="52">
      <c r="A52" s="30" t="s">
        <v>40</v>
      </c>
      <c r="B52" s="22" t="s">
        <v>61</v>
      </c>
      <c r="C52" s="22" t="s">
        <v>62</v>
      </c>
      <c r="D52" s="24"/>
      <c r="E52" s="25" t="n">
        <f>2637</f>
        <v>2637.0</v>
      </c>
      <c r="F52" s="23"/>
      <c r="G52" s="25" t="n">
        <f>687</f>
        <v>687.0</v>
      </c>
      <c r="H52" s="23"/>
      <c r="I52" s="26" t="n">
        <f>3324</f>
        <v>3324.0</v>
      </c>
      <c r="J52" s="24"/>
      <c r="K52" s="25" t="n">
        <f>75410000</f>
        <v>7.541E7</v>
      </c>
      <c r="L52" s="23"/>
      <c r="M52" s="25" t="n">
        <f>50653000</f>
        <v>5.0653E7</v>
      </c>
      <c r="N52" s="23"/>
      <c r="O52" s="26" t="n">
        <f>126063000</f>
        <v>1.26063E8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327</f>
        <v>327.0</v>
      </c>
      <c r="U52" s="23"/>
      <c r="V52" s="25" t="n">
        <f>60</f>
        <v>60.0</v>
      </c>
      <c r="W52" s="23"/>
      <c r="X52" s="26" t="n">
        <f>387</f>
        <v>387.0</v>
      </c>
      <c r="Y52" s="24"/>
      <c r="Z52" s="25" t="n">
        <f>4020</f>
        <v>4020.0</v>
      </c>
      <c r="AA52" s="23"/>
      <c r="AB52" s="25" t="n">
        <f>2531</f>
        <v>2531.0</v>
      </c>
      <c r="AC52" s="23"/>
      <c r="AD52" s="26" t="n">
        <f>6551</f>
        <v>6551.0</v>
      </c>
    </row>
    <row r="53">
      <c r="A53" s="30" t="s">
        <v>42</v>
      </c>
      <c r="B53" s="22" t="s">
        <v>61</v>
      </c>
      <c r="C53" s="22" t="s">
        <v>62</v>
      </c>
      <c r="D53" s="24"/>
      <c r="E53" s="25" t="n">
        <f>2052</f>
        <v>2052.0</v>
      </c>
      <c r="F53" s="23"/>
      <c r="G53" s="25" t="n">
        <f>875</f>
        <v>875.0</v>
      </c>
      <c r="H53" s="23"/>
      <c r="I53" s="26" t="n">
        <f>2927</f>
        <v>2927.0</v>
      </c>
      <c r="J53" s="24"/>
      <c r="K53" s="25" t="n">
        <f>54552000</f>
        <v>5.4552E7</v>
      </c>
      <c r="L53" s="23"/>
      <c r="M53" s="25" t="n">
        <f>45665000</f>
        <v>4.5665E7</v>
      </c>
      <c r="N53" s="23"/>
      <c r="O53" s="26" t="n">
        <f>100217000</f>
        <v>1.00217E8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153</f>
        <v>153.0</v>
      </c>
      <c r="U53" s="23"/>
      <c r="V53" s="25" t="n">
        <f>61</f>
        <v>61.0</v>
      </c>
      <c r="W53" s="23"/>
      <c r="X53" s="26" t="n">
        <f>214</f>
        <v>214.0</v>
      </c>
      <c r="Y53" s="24"/>
      <c r="Z53" s="25" t="n">
        <f>4566</f>
        <v>4566.0</v>
      </c>
      <c r="AA53" s="23"/>
      <c r="AB53" s="25" t="n">
        <f>2887</f>
        <v>2887.0</v>
      </c>
      <c r="AC53" s="23"/>
      <c r="AD53" s="26" t="n">
        <f>7453</f>
        <v>7453.0</v>
      </c>
    </row>
    <row r="54">
      <c r="A54" s="30" t="s">
        <v>43</v>
      </c>
      <c r="B54" s="22" t="s">
        <v>61</v>
      </c>
      <c r="C54" s="22" t="s">
        <v>62</v>
      </c>
      <c r="D54" s="24" t="s">
        <v>41</v>
      </c>
      <c r="E54" s="25" t="n">
        <f>3139</f>
        <v>3139.0</v>
      </c>
      <c r="F54" s="23" t="s">
        <v>41</v>
      </c>
      <c r="G54" s="25" t="n">
        <f>2453</f>
        <v>2453.0</v>
      </c>
      <c r="H54" s="23" t="s">
        <v>41</v>
      </c>
      <c r="I54" s="26" t="n">
        <f>5592</f>
        <v>5592.0</v>
      </c>
      <c r="J54" s="24"/>
      <c r="K54" s="25" t="n">
        <f>79931000</f>
        <v>7.9931E7</v>
      </c>
      <c r="L54" s="23"/>
      <c r="M54" s="25" t="n">
        <f>166059000</f>
        <v>1.66059E8</v>
      </c>
      <c r="N54" s="23"/>
      <c r="O54" s="26" t="n">
        <f>245990000</f>
        <v>2.4599E8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215</f>
        <v>215.0</v>
      </c>
      <c r="U54" s="23"/>
      <c r="V54" s="25" t="n">
        <f>175</f>
        <v>175.0</v>
      </c>
      <c r="W54" s="23"/>
      <c r="X54" s="26" t="n">
        <f>390</f>
        <v>390.0</v>
      </c>
      <c r="Y54" s="24" t="s">
        <v>41</v>
      </c>
      <c r="Z54" s="25" t="n">
        <f>5408</f>
        <v>5408.0</v>
      </c>
      <c r="AA54" s="23" t="s">
        <v>41</v>
      </c>
      <c r="AB54" s="25" t="n">
        <f>3597</f>
        <v>3597.0</v>
      </c>
      <c r="AC54" s="23" t="s">
        <v>41</v>
      </c>
      <c r="AD54" s="26" t="n">
        <f>9005</f>
        <v>9005.0</v>
      </c>
    </row>
    <row r="55">
      <c r="A55" s="30" t="s">
        <v>44</v>
      </c>
      <c r="B55" s="22" t="s">
        <v>61</v>
      </c>
      <c r="C55" s="22" t="s">
        <v>62</v>
      </c>
      <c r="D55" s="24"/>
      <c r="E55" s="25" t="n">
        <f>817</f>
        <v>817.0</v>
      </c>
      <c r="F55" s="23"/>
      <c r="G55" s="25" t="n">
        <f>729</f>
        <v>729.0</v>
      </c>
      <c r="H55" s="23"/>
      <c r="I55" s="26" t="n">
        <f>1546</f>
        <v>1546.0</v>
      </c>
      <c r="J55" s="24"/>
      <c r="K55" s="25" t="n">
        <f>43518000</f>
        <v>4.3518E7</v>
      </c>
      <c r="L55" s="23"/>
      <c r="M55" s="25" t="n">
        <f>63262000</f>
        <v>6.3262E7</v>
      </c>
      <c r="N55" s="23"/>
      <c r="O55" s="26" t="n">
        <f>106780000</f>
        <v>1.0678E8</v>
      </c>
      <c r="P55" s="27" t="n">
        <f>33</f>
        <v>33.0</v>
      </c>
      <c r="Q55" s="28" t="n">
        <f>1455</f>
        <v>1455.0</v>
      </c>
      <c r="R55" s="29" t="n">
        <f>1488</f>
        <v>1488.0</v>
      </c>
      <c r="S55" s="24"/>
      <c r="T55" s="25" t="n">
        <f>83</f>
        <v>83.0</v>
      </c>
      <c r="U55" s="23"/>
      <c r="V55" s="25" t="n">
        <f>37</f>
        <v>37.0</v>
      </c>
      <c r="W55" s="23"/>
      <c r="X55" s="26" t="n">
        <f>120</f>
        <v>120.0</v>
      </c>
      <c r="Y55" s="24"/>
      <c r="Z55" s="25" t="n">
        <f>884</f>
        <v>884.0</v>
      </c>
      <c r="AA55" s="23"/>
      <c r="AB55" s="25" t="n">
        <f>1293</f>
        <v>1293.0</v>
      </c>
      <c r="AC55" s="23"/>
      <c r="AD55" s="26" t="n">
        <f>2177</f>
        <v>2177.0</v>
      </c>
    </row>
    <row r="56">
      <c r="A56" s="30" t="s">
        <v>45</v>
      </c>
      <c r="B56" s="22" t="s">
        <v>61</v>
      </c>
      <c r="C56" s="22" t="s">
        <v>62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46</v>
      </c>
      <c r="B57" s="22" t="s">
        <v>61</v>
      </c>
      <c r="C57" s="22" t="s">
        <v>62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47</v>
      </c>
      <c r="B58" s="22" t="s">
        <v>61</v>
      </c>
      <c r="C58" s="22" t="s">
        <v>62</v>
      </c>
      <c r="D58" s="24"/>
      <c r="E58" s="25" t="n">
        <f>1429</f>
        <v>1429.0</v>
      </c>
      <c r="F58" s="23"/>
      <c r="G58" s="25" t="n">
        <f>1323</f>
        <v>1323.0</v>
      </c>
      <c r="H58" s="23"/>
      <c r="I58" s="26" t="n">
        <f>2752</f>
        <v>2752.0</v>
      </c>
      <c r="J58" s="24"/>
      <c r="K58" s="25" t="n">
        <f>68007000</f>
        <v>6.8007E7</v>
      </c>
      <c r="L58" s="23"/>
      <c r="M58" s="25" t="n">
        <f>65006000</f>
        <v>6.5006E7</v>
      </c>
      <c r="N58" s="23"/>
      <c r="O58" s="26" t="n">
        <f>133013000</f>
        <v>1.33013E8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125</f>
        <v>125.0</v>
      </c>
      <c r="U58" s="23"/>
      <c r="V58" s="25" t="n">
        <f>101</f>
        <v>101.0</v>
      </c>
      <c r="W58" s="23"/>
      <c r="X58" s="26" t="n">
        <f>226</f>
        <v>226.0</v>
      </c>
      <c r="Y58" s="24"/>
      <c r="Z58" s="25" t="n">
        <f>1773</f>
        <v>1773.0</v>
      </c>
      <c r="AA58" s="23"/>
      <c r="AB58" s="25" t="n">
        <f>1658</f>
        <v>1658.0</v>
      </c>
      <c r="AC58" s="23"/>
      <c r="AD58" s="26" t="n">
        <f>3431</f>
        <v>3431.0</v>
      </c>
    </row>
    <row r="59">
      <c r="A59" s="30" t="s">
        <v>48</v>
      </c>
      <c r="B59" s="22" t="s">
        <v>61</v>
      </c>
      <c r="C59" s="22" t="s">
        <v>62</v>
      </c>
      <c r="D59" s="24"/>
      <c r="E59" s="25" t="n">
        <f>1485</f>
        <v>1485.0</v>
      </c>
      <c r="F59" s="23"/>
      <c r="G59" s="25" t="n">
        <f>856</f>
        <v>856.0</v>
      </c>
      <c r="H59" s="23"/>
      <c r="I59" s="26" t="n">
        <f>2341</f>
        <v>2341.0</v>
      </c>
      <c r="J59" s="24"/>
      <c r="K59" s="25" t="n">
        <f>39988000</f>
        <v>3.9988E7</v>
      </c>
      <c r="L59" s="23"/>
      <c r="M59" s="25" t="n">
        <f>47234000</f>
        <v>4.7234E7</v>
      </c>
      <c r="N59" s="23"/>
      <c r="O59" s="26" t="n">
        <f>87222000</f>
        <v>8.7222E7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398</f>
        <v>398.0</v>
      </c>
      <c r="U59" s="23"/>
      <c r="V59" s="25" t="n">
        <f>62</f>
        <v>62.0</v>
      </c>
      <c r="W59" s="23"/>
      <c r="X59" s="26" t="n">
        <f>460</f>
        <v>460.0</v>
      </c>
      <c r="Y59" s="24"/>
      <c r="Z59" s="25" t="n">
        <f>2522</f>
        <v>2522.0</v>
      </c>
      <c r="AA59" s="23"/>
      <c r="AB59" s="25" t="n">
        <f>1826</f>
        <v>1826.0</v>
      </c>
      <c r="AC59" s="23"/>
      <c r="AD59" s="26" t="n">
        <f>4348</f>
        <v>4348.0</v>
      </c>
    </row>
    <row r="60">
      <c r="A60" s="30" t="s">
        <v>49</v>
      </c>
      <c r="B60" s="22" t="s">
        <v>61</v>
      </c>
      <c r="C60" s="22" t="s">
        <v>62</v>
      </c>
      <c r="D60" s="24"/>
      <c r="E60" s="25" t="n">
        <f>1980</f>
        <v>1980.0</v>
      </c>
      <c r="F60" s="23"/>
      <c r="G60" s="25" t="n">
        <f>1134</f>
        <v>1134.0</v>
      </c>
      <c r="H60" s="23"/>
      <c r="I60" s="26" t="n">
        <f>3114</f>
        <v>3114.0</v>
      </c>
      <c r="J60" s="24"/>
      <c r="K60" s="25" t="n">
        <f>55570000</f>
        <v>5.557E7</v>
      </c>
      <c r="L60" s="23"/>
      <c r="M60" s="25" t="n">
        <f>33930000</f>
        <v>3.393E7</v>
      </c>
      <c r="N60" s="23"/>
      <c r="O60" s="26" t="n">
        <f>89500000</f>
        <v>8.95E7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124</f>
        <v>124.0</v>
      </c>
      <c r="U60" s="23"/>
      <c r="V60" s="25" t="n">
        <f>71</f>
        <v>71.0</v>
      </c>
      <c r="W60" s="23"/>
      <c r="X60" s="26" t="n">
        <f>195</f>
        <v>195.0</v>
      </c>
      <c r="Y60" s="24"/>
      <c r="Z60" s="25" t="n">
        <f>3529</f>
        <v>3529.0</v>
      </c>
      <c r="AA60" s="23"/>
      <c r="AB60" s="25" t="n">
        <f>2257</f>
        <v>2257.0</v>
      </c>
      <c r="AC60" s="23"/>
      <c r="AD60" s="26" t="n">
        <f>5786</f>
        <v>5786.0</v>
      </c>
    </row>
    <row r="61">
      <c r="A61" s="30" t="s">
        <v>50</v>
      </c>
      <c r="B61" s="22" t="s">
        <v>61</v>
      </c>
      <c r="C61" s="22" t="s">
        <v>62</v>
      </c>
      <c r="D61" s="24"/>
      <c r="E61" s="25" t="n">
        <f>2421</f>
        <v>2421.0</v>
      </c>
      <c r="F61" s="23"/>
      <c r="G61" s="25" t="n">
        <f>1333</f>
        <v>1333.0</v>
      </c>
      <c r="H61" s="23"/>
      <c r="I61" s="26" t="n">
        <f>3754</f>
        <v>3754.0</v>
      </c>
      <c r="J61" s="24"/>
      <c r="K61" s="25" t="n">
        <f>40497000</f>
        <v>4.0497E7</v>
      </c>
      <c r="L61" s="23"/>
      <c r="M61" s="25" t="n">
        <f>40599000</f>
        <v>4.0599E7</v>
      </c>
      <c r="N61" s="23"/>
      <c r="O61" s="26" t="n">
        <f>81096000</f>
        <v>8.1096E7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214</f>
        <v>214.0</v>
      </c>
      <c r="U61" s="23"/>
      <c r="V61" s="25" t="n">
        <f>115</f>
        <v>115.0</v>
      </c>
      <c r="W61" s="23"/>
      <c r="X61" s="26" t="n">
        <f>329</f>
        <v>329.0</v>
      </c>
      <c r="Y61" s="24"/>
      <c r="Z61" s="25" t="n">
        <f>4162</f>
        <v>4162.0</v>
      </c>
      <c r="AA61" s="23"/>
      <c r="AB61" s="25" t="n">
        <f>2648</f>
        <v>2648.0</v>
      </c>
      <c r="AC61" s="23"/>
      <c r="AD61" s="26" t="n">
        <f>6810</f>
        <v>6810.0</v>
      </c>
    </row>
    <row r="62">
      <c r="A62" s="30" t="s">
        <v>51</v>
      </c>
      <c r="B62" s="22" t="s">
        <v>61</v>
      </c>
      <c r="C62" s="22" t="s">
        <v>62</v>
      </c>
      <c r="D62" s="24"/>
      <c r="E62" s="25" t="n">
        <f>711</f>
        <v>711.0</v>
      </c>
      <c r="F62" s="23"/>
      <c r="G62" s="25" t="n">
        <f>845</f>
        <v>845.0</v>
      </c>
      <c r="H62" s="23"/>
      <c r="I62" s="26" t="n">
        <f>1556</f>
        <v>1556.0</v>
      </c>
      <c r="J62" s="24"/>
      <c r="K62" s="25" t="n">
        <f>37897000</f>
        <v>3.7897E7</v>
      </c>
      <c r="L62" s="23"/>
      <c r="M62" s="25" t="n">
        <f>161343000</f>
        <v>1.61343E8</v>
      </c>
      <c r="N62" s="23"/>
      <c r="O62" s="26" t="n">
        <f>199240000</f>
        <v>1.9924E8</v>
      </c>
      <c r="P62" s="27" t="n">
        <f>139</f>
        <v>139.0</v>
      </c>
      <c r="Q62" s="28" t="n">
        <f>234</f>
        <v>234.0</v>
      </c>
      <c r="R62" s="29" t="n">
        <f>373</f>
        <v>373.0</v>
      </c>
      <c r="S62" s="24"/>
      <c r="T62" s="25" t="n">
        <f>35</f>
        <v>35.0</v>
      </c>
      <c r="U62" s="23"/>
      <c r="V62" s="25" t="n">
        <f>279</f>
        <v>279.0</v>
      </c>
      <c r="W62" s="23"/>
      <c r="X62" s="26" t="n">
        <f>314</f>
        <v>314.0</v>
      </c>
      <c r="Y62" s="24"/>
      <c r="Z62" s="25" t="n">
        <f>810</f>
        <v>810.0</v>
      </c>
      <c r="AA62" s="23"/>
      <c r="AB62" s="25" t="n">
        <f>1081</f>
        <v>1081.0</v>
      </c>
      <c r="AC62" s="23" t="s">
        <v>33</v>
      </c>
      <c r="AD62" s="26" t="n">
        <f>1891</f>
        <v>1891.0</v>
      </c>
    </row>
    <row r="63">
      <c r="A63" s="30" t="s">
        <v>52</v>
      </c>
      <c r="B63" s="22" t="s">
        <v>61</v>
      </c>
      <c r="C63" s="22" t="s">
        <v>62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53</v>
      </c>
      <c r="B64" s="22" t="s">
        <v>61</v>
      </c>
      <c r="C64" s="22" t="s">
        <v>62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54</v>
      </c>
      <c r="B65" s="22" t="s">
        <v>61</v>
      </c>
      <c r="C65" s="22" t="s">
        <v>62</v>
      </c>
      <c r="D65" s="24"/>
      <c r="E65" s="25" t="n">
        <f>1505</f>
        <v>1505.0</v>
      </c>
      <c r="F65" s="23"/>
      <c r="G65" s="25" t="n">
        <f>714</f>
        <v>714.0</v>
      </c>
      <c r="H65" s="23"/>
      <c r="I65" s="26" t="n">
        <f>2219</f>
        <v>2219.0</v>
      </c>
      <c r="J65" s="24"/>
      <c r="K65" s="25" t="n">
        <f>70969000</f>
        <v>7.0969E7</v>
      </c>
      <c r="L65" s="23"/>
      <c r="M65" s="25" t="n">
        <f>33635000</f>
        <v>3.3635E7</v>
      </c>
      <c r="N65" s="23"/>
      <c r="O65" s="26" t="n">
        <f>104604000</f>
        <v>1.04604E8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192</f>
        <v>192.0</v>
      </c>
      <c r="U65" s="23"/>
      <c r="V65" s="25" t="n">
        <f>51</f>
        <v>51.0</v>
      </c>
      <c r="W65" s="23"/>
      <c r="X65" s="26" t="n">
        <f>243</f>
        <v>243.0</v>
      </c>
      <c r="Y65" s="24"/>
      <c r="Z65" s="25" t="n">
        <f>1416</f>
        <v>1416.0</v>
      </c>
      <c r="AA65" s="23"/>
      <c r="AB65" s="25" t="n">
        <f>1529</f>
        <v>1529.0</v>
      </c>
      <c r="AC65" s="23"/>
      <c r="AD65" s="26" t="n">
        <f>2945</f>
        <v>2945.0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1085</f>
        <v>1085.0</v>
      </c>
      <c r="F66" s="23"/>
      <c r="G66" s="25" t="n">
        <f>623</f>
        <v>623.0</v>
      </c>
      <c r="H66" s="23"/>
      <c r="I66" s="26" t="n">
        <f>1708</f>
        <v>1708.0</v>
      </c>
      <c r="J66" s="24"/>
      <c r="K66" s="25" t="n">
        <f>57351000</f>
        <v>5.7351E7</v>
      </c>
      <c r="L66" s="23"/>
      <c r="M66" s="25" t="n">
        <f>28845000</f>
        <v>2.8845E7</v>
      </c>
      <c r="N66" s="23"/>
      <c r="O66" s="26" t="n">
        <f>86196000</f>
        <v>8.6196E7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182</f>
        <v>182.0</v>
      </c>
      <c r="U66" s="23"/>
      <c r="V66" s="25" t="n">
        <f>100</f>
        <v>100.0</v>
      </c>
      <c r="W66" s="23"/>
      <c r="X66" s="26" t="n">
        <f>282</f>
        <v>282.0</v>
      </c>
      <c r="Y66" s="24"/>
      <c r="Z66" s="25" t="n">
        <f>1943</f>
        <v>1943.0</v>
      </c>
      <c r="AA66" s="23"/>
      <c r="AB66" s="25" t="n">
        <f>1727</f>
        <v>1727.0</v>
      </c>
      <c r="AC66" s="23"/>
      <c r="AD66" s="26" t="n">
        <f>3670</f>
        <v>3670.0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1212</f>
        <v>1212.0</v>
      </c>
      <c r="F67" s="23"/>
      <c r="G67" s="25" t="n">
        <f>598</f>
        <v>598.0</v>
      </c>
      <c r="H67" s="23"/>
      <c r="I67" s="26" t="n">
        <f>1810</f>
        <v>1810.0</v>
      </c>
      <c r="J67" s="24"/>
      <c r="K67" s="25" t="n">
        <f>68774000</f>
        <v>6.8774E7</v>
      </c>
      <c r="L67" s="23"/>
      <c r="M67" s="25" t="n">
        <f>25444000</f>
        <v>2.5444E7</v>
      </c>
      <c r="N67" s="23"/>
      <c r="O67" s="26" t="n">
        <f>94218000</f>
        <v>9.4218E7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223</f>
        <v>223.0</v>
      </c>
      <c r="U67" s="23"/>
      <c r="V67" s="25" t="n">
        <f>68</f>
        <v>68.0</v>
      </c>
      <c r="W67" s="23"/>
      <c r="X67" s="26" t="n">
        <f>291</f>
        <v>291.0</v>
      </c>
      <c r="Y67" s="24"/>
      <c r="Z67" s="25" t="n">
        <f>2057</f>
        <v>2057.0</v>
      </c>
      <c r="AA67" s="23"/>
      <c r="AB67" s="25" t="n">
        <f>1961</f>
        <v>1961.0</v>
      </c>
      <c r="AC67" s="23"/>
      <c r="AD67" s="26" t="n">
        <f>4018</f>
        <v>4018.0</v>
      </c>
    </row>
    <row r="68">
      <c r="A68" s="30" t="s">
        <v>57</v>
      </c>
      <c r="B68" s="22" t="s">
        <v>61</v>
      </c>
      <c r="C68" s="22" t="s">
        <v>62</v>
      </c>
      <c r="D68" s="24"/>
      <c r="E68" s="25" t="n">
        <f>1814</f>
        <v>1814.0</v>
      </c>
      <c r="F68" s="23"/>
      <c r="G68" s="25" t="n">
        <f>2118</f>
        <v>2118.0</v>
      </c>
      <c r="H68" s="23"/>
      <c r="I68" s="26" t="n">
        <f>3932</f>
        <v>3932.0</v>
      </c>
      <c r="J68" s="24"/>
      <c r="K68" s="25" t="n">
        <f>96319000</f>
        <v>9.6319E7</v>
      </c>
      <c r="L68" s="23"/>
      <c r="M68" s="25" t="n">
        <f>86882000</f>
        <v>8.6882E7</v>
      </c>
      <c r="N68" s="23"/>
      <c r="O68" s="26" t="n">
        <f>183201000</f>
        <v>1.83201E8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101</f>
        <v>101.0</v>
      </c>
      <c r="U68" s="23"/>
      <c r="V68" s="25" t="n">
        <f>104</f>
        <v>104.0</v>
      </c>
      <c r="W68" s="23"/>
      <c r="X68" s="26" t="n">
        <f>205</f>
        <v>205.0</v>
      </c>
      <c r="Y68" s="24"/>
      <c r="Z68" s="25" t="n">
        <f>2441</f>
        <v>2441.0</v>
      </c>
      <c r="AA68" s="23"/>
      <c r="AB68" s="25" t="n">
        <f>2641</f>
        <v>2641.0</v>
      </c>
      <c r="AC68" s="23"/>
      <c r="AD68" s="26" t="n">
        <f>5082</f>
        <v>5082.0</v>
      </c>
    </row>
    <row r="69">
      <c r="A69" s="30" t="s">
        <v>58</v>
      </c>
      <c r="B69" s="22" t="s">
        <v>61</v>
      </c>
      <c r="C69" s="22" t="s">
        <v>62</v>
      </c>
      <c r="D69" s="24"/>
      <c r="E69" s="25" t="n">
        <f>502</f>
        <v>502.0</v>
      </c>
      <c r="F69" s="23"/>
      <c r="G69" s="25" t="n">
        <f>836</f>
        <v>836.0</v>
      </c>
      <c r="H69" s="23"/>
      <c r="I69" s="26" t="n">
        <f>1338</f>
        <v>1338.0</v>
      </c>
      <c r="J69" s="24"/>
      <c r="K69" s="25" t="n">
        <f>58876000</f>
        <v>5.8876E7</v>
      </c>
      <c r="L69" s="23"/>
      <c r="M69" s="25" t="n">
        <f>160861000</f>
        <v>1.60861E8</v>
      </c>
      <c r="N69" s="23"/>
      <c r="O69" s="26" t="n">
        <f>219737000</f>
        <v>2.19737E8</v>
      </c>
      <c r="P69" s="27" t="n">
        <f>173</f>
        <v>173.0</v>
      </c>
      <c r="Q69" s="28" t="n">
        <f>398</f>
        <v>398.0</v>
      </c>
      <c r="R69" s="29" t="n">
        <f>571</f>
        <v>571.0</v>
      </c>
      <c r="S69" s="24"/>
      <c r="T69" s="25" t="n">
        <f>19</f>
        <v>19.0</v>
      </c>
      <c r="U69" s="23"/>
      <c r="V69" s="25" t="n">
        <f>261</f>
        <v>261.0</v>
      </c>
      <c r="W69" s="23"/>
      <c r="X69" s="26" t="n">
        <f>280</f>
        <v>280.0</v>
      </c>
      <c r="Y69" s="24" t="s">
        <v>33</v>
      </c>
      <c r="Z69" s="25" t="n">
        <f>574</f>
        <v>574.0</v>
      </c>
      <c r="AA69" s="23"/>
      <c r="AB69" s="25" t="n">
        <f>1368</f>
        <v>1368.0</v>
      </c>
      <c r="AC69" s="23"/>
      <c r="AD69" s="26" t="n">
        <f>1942</f>
        <v>1942.0</v>
      </c>
    </row>
    <row r="70">
      <c r="A70" s="30" t="s">
        <v>59</v>
      </c>
      <c r="B70" s="22" t="s">
        <v>61</v>
      </c>
      <c r="C70" s="22" t="s">
        <v>62</v>
      </c>
      <c r="D70" s="24"/>
      <c r="E70" s="25"/>
      <c r="F70" s="23"/>
      <c r="G70" s="25"/>
      <c r="H70" s="23"/>
      <c r="I70" s="26"/>
      <c r="J70" s="24"/>
      <c r="K70" s="25"/>
      <c r="L70" s="23"/>
      <c r="M70" s="25"/>
      <c r="N70" s="23"/>
      <c r="O70" s="26"/>
      <c r="P70" s="27"/>
      <c r="Q70" s="28"/>
      <c r="R70" s="29"/>
      <c r="S70" s="24"/>
      <c r="T70" s="25"/>
      <c r="U70" s="23"/>
      <c r="V70" s="25"/>
      <c r="W70" s="23"/>
      <c r="X70" s="26"/>
      <c r="Y70" s="24"/>
      <c r="Z70" s="25"/>
      <c r="AA70" s="23"/>
      <c r="AB70" s="25"/>
      <c r="AC70" s="23"/>
      <c r="AD70" s="26"/>
    </row>
    <row r="71">
      <c r="A71" s="30" t="s">
        <v>60</v>
      </c>
      <c r="B71" s="22" t="s">
        <v>61</v>
      </c>
      <c r="C71" s="22" t="s">
        <v>62</v>
      </c>
      <c r="D71" s="24"/>
      <c r="E71" s="25"/>
      <c r="F71" s="23"/>
      <c r="G71" s="25"/>
      <c r="H71" s="23"/>
      <c r="I71" s="26"/>
      <c r="J71" s="24"/>
      <c r="K71" s="25"/>
      <c r="L71" s="23"/>
      <c r="M71" s="25"/>
      <c r="N71" s="23"/>
      <c r="O71" s="26"/>
      <c r="P71" s="27"/>
      <c r="Q71" s="28"/>
      <c r="R71" s="29"/>
      <c r="S71" s="24"/>
      <c r="T71" s="25"/>
      <c r="U71" s="23"/>
      <c r="V71" s="25"/>
      <c r="W71" s="23"/>
      <c r="X71" s="26"/>
      <c r="Y71" s="24"/>
      <c r="Z71" s="25"/>
      <c r="AA71" s="23"/>
      <c r="AB71" s="25"/>
      <c r="AC71" s="23"/>
      <c r="AD71" s="26"/>
    </row>
    <row r="72">
      <c r="A72" s="30" t="s">
        <v>26</v>
      </c>
      <c r="B72" s="22" t="s">
        <v>63</v>
      </c>
      <c r="C72" s="22" t="s">
        <v>64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29</v>
      </c>
      <c r="B73" s="22" t="s">
        <v>63</v>
      </c>
      <c r="C73" s="22" t="s">
        <v>64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30</v>
      </c>
      <c r="B74" s="22" t="s">
        <v>63</v>
      </c>
      <c r="C74" s="22" t="s">
        <v>64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31</v>
      </c>
      <c r="B75" s="22" t="s">
        <v>63</v>
      </c>
      <c r="C75" s="22" t="s">
        <v>64</v>
      </c>
      <c r="D75" s="24"/>
      <c r="E75" s="25" t="n">
        <f>140</f>
        <v>140.0</v>
      </c>
      <c r="F75" s="23"/>
      <c r="G75" s="25" t="n">
        <f>300</f>
        <v>300.0</v>
      </c>
      <c r="H75" s="23"/>
      <c r="I75" s="26" t="n">
        <f>440</f>
        <v>440.0</v>
      </c>
      <c r="J75" s="24"/>
      <c r="K75" s="25" t="n">
        <f>236740000</f>
        <v>2.3674E8</v>
      </c>
      <c r="L75" s="23"/>
      <c r="M75" s="25" t="n">
        <f>115500000</f>
        <v>1.155E8</v>
      </c>
      <c r="N75" s="23"/>
      <c r="O75" s="26" t="n">
        <f>352240000</f>
        <v>3.5224E8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 t="s">
        <v>33</v>
      </c>
      <c r="T75" s="25" t="str">
        <f>"－"</f>
        <v>－</v>
      </c>
      <c r="U75" s="23"/>
      <c r="V75" s="25" t="n">
        <f>300</f>
        <v>300.0</v>
      </c>
      <c r="W75" s="23"/>
      <c r="X75" s="26" t="n">
        <f>300</f>
        <v>300.0</v>
      </c>
      <c r="Y75" s="24"/>
      <c r="Z75" s="25" t="n">
        <f>64221</f>
        <v>64221.0</v>
      </c>
      <c r="AA75" s="23"/>
      <c r="AB75" s="25" t="n">
        <f>14438</f>
        <v>14438.0</v>
      </c>
      <c r="AC75" s="23"/>
      <c r="AD75" s="26" t="n">
        <f>78659</f>
        <v>78659.0</v>
      </c>
    </row>
    <row r="76">
      <c r="A76" s="30" t="s">
        <v>32</v>
      </c>
      <c r="B76" s="22" t="s">
        <v>63</v>
      </c>
      <c r="C76" s="22" t="s">
        <v>64</v>
      </c>
      <c r="D76" s="24"/>
      <c r="E76" s="25" t="n">
        <f>100</f>
        <v>100.0</v>
      </c>
      <c r="F76" s="23"/>
      <c r="G76" s="25" t="n">
        <f>400</f>
        <v>400.0</v>
      </c>
      <c r="H76" s="23"/>
      <c r="I76" s="26" t="n">
        <f>500</f>
        <v>500.0</v>
      </c>
      <c r="J76" s="24"/>
      <c r="K76" s="25" t="n">
        <f>1000000</f>
        <v>1000000.0</v>
      </c>
      <c r="L76" s="23"/>
      <c r="M76" s="25" t="n">
        <f>37300000</f>
        <v>3.73E7</v>
      </c>
      <c r="N76" s="23"/>
      <c r="O76" s="26" t="n">
        <f>38300000</f>
        <v>3.83E7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str">
        <f>"－"</f>
        <v>－</v>
      </c>
      <c r="U76" s="23" t="s">
        <v>33</v>
      </c>
      <c r="V76" s="25" t="str">
        <f>"－"</f>
        <v>－</v>
      </c>
      <c r="W76" s="23" t="s">
        <v>33</v>
      </c>
      <c r="X76" s="26" t="str">
        <f>"－"</f>
        <v>－</v>
      </c>
      <c r="Y76" s="24"/>
      <c r="Z76" s="25" t="n">
        <f>64321</f>
        <v>64321.0</v>
      </c>
      <c r="AA76" s="23"/>
      <c r="AB76" s="25" t="n">
        <f>14838</f>
        <v>14838.0</v>
      </c>
      <c r="AC76" s="23"/>
      <c r="AD76" s="26" t="n">
        <f>79159</f>
        <v>79159.0</v>
      </c>
    </row>
    <row r="77">
      <c r="A77" s="30" t="s">
        <v>34</v>
      </c>
      <c r="B77" s="22" t="s">
        <v>63</v>
      </c>
      <c r="C77" s="22" t="s">
        <v>64</v>
      </c>
      <c r="D77" s="24"/>
      <c r="E77" s="25" t="n">
        <f>200</f>
        <v>200.0</v>
      </c>
      <c r="F77" s="23"/>
      <c r="G77" s="25" t="n">
        <f>200</f>
        <v>200.0</v>
      </c>
      <c r="H77" s="23"/>
      <c r="I77" s="26" t="n">
        <f>400</f>
        <v>400.0</v>
      </c>
      <c r="J77" s="24"/>
      <c r="K77" s="25" t="n">
        <f>2000000</f>
        <v>2000000.0</v>
      </c>
      <c r="L77" s="23"/>
      <c r="M77" s="25" t="n">
        <f>2000000</f>
        <v>2000000.0</v>
      </c>
      <c r="N77" s="23"/>
      <c r="O77" s="26" t="n">
        <f>4000000</f>
        <v>4000000.0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str">
        <f>"－"</f>
        <v>－</v>
      </c>
      <c r="U77" s="23"/>
      <c r="V77" s="25" t="str">
        <f>"－"</f>
        <v>－</v>
      </c>
      <c r="W77" s="23"/>
      <c r="X77" s="26" t="str">
        <f>"－"</f>
        <v>－</v>
      </c>
      <c r="Y77" s="24"/>
      <c r="Z77" s="25" t="n">
        <f>64521</f>
        <v>64521.0</v>
      </c>
      <c r="AA77" s="23"/>
      <c r="AB77" s="25" t="n">
        <f>15038</f>
        <v>15038.0</v>
      </c>
      <c r="AC77" s="23"/>
      <c r="AD77" s="26" t="n">
        <f>79559</f>
        <v>79559.0</v>
      </c>
    </row>
    <row r="78">
      <c r="A78" s="30" t="s">
        <v>35</v>
      </c>
      <c r="B78" s="22" t="s">
        <v>63</v>
      </c>
      <c r="C78" s="22" t="s">
        <v>64</v>
      </c>
      <c r="D78" s="24"/>
      <c r="E78" s="25" t="n">
        <f>2547</f>
        <v>2547.0</v>
      </c>
      <c r="F78" s="23"/>
      <c r="G78" s="25" t="n">
        <f>1853</f>
        <v>1853.0</v>
      </c>
      <c r="H78" s="23"/>
      <c r="I78" s="26" t="n">
        <f>4400</f>
        <v>4400.0</v>
      </c>
      <c r="J78" s="24"/>
      <c r="K78" s="25" t="n">
        <f>359037222</f>
        <v>3.59037222E8</v>
      </c>
      <c r="L78" s="23"/>
      <c r="M78" s="25" t="n">
        <f>226680000</f>
        <v>2.2668E8</v>
      </c>
      <c r="N78" s="23"/>
      <c r="O78" s="26" t="n">
        <f>585717222</f>
        <v>5.85717222E8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str">
        <f>"－"</f>
        <v>－</v>
      </c>
      <c r="U78" s="23"/>
      <c r="V78" s="25" t="str">
        <f>"－"</f>
        <v>－</v>
      </c>
      <c r="W78" s="23"/>
      <c r="X78" s="26" t="str">
        <f>"－"</f>
        <v>－</v>
      </c>
      <c r="Y78" s="24"/>
      <c r="Z78" s="25" t="n">
        <f>66973</f>
        <v>66973.0</v>
      </c>
      <c r="AA78" s="23"/>
      <c r="AB78" s="25" t="n">
        <f>16296</f>
        <v>16296.0</v>
      </c>
      <c r="AC78" s="23"/>
      <c r="AD78" s="26" t="n">
        <f>83269</f>
        <v>83269.0</v>
      </c>
    </row>
    <row r="79">
      <c r="A79" s="30" t="s">
        <v>36</v>
      </c>
      <c r="B79" s="22" t="s">
        <v>63</v>
      </c>
      <c r="C79" s="22" t="s">
        <v>64</v>
      </c>
      <c r="D79" s="24"/>
      <c r="E79" s="25" t="n">
        <f>200</f>
        <v>200.0</v>
      </c>
      <c r="F79" s="23"/>
      <c r="G79" s="25" t="n">
        <f>700</f>
        <v>700.0</v>
      </c>
      <c r="H79" s="23"/>
      <c r="I79" s="26" t="n">
        <f>900</f>
        <v>900.0</v>
      </c>
      <c r="J79" s="24"/>
      <c r="K79" s="25" t="n">
        <f>38000000</f>
        <v>3.8E7</v>
      </c>
      <c r="L79" s="23"/>
      <c r="M79" s="25" t="n">
        <f>289100000</f>
        <v>2.891E8</v>
      </c>
      <c r="N79" s="23"/>
      <c r="O79" s="26" t="n">
        <f>327100000</f>
        <v>3.271E8</v>
      </c>
      <c r="P79" s="27" t="str">
        <f>"－"</f>
        <v>－</v>
      </c>
      <c r="Q79" s="28" t="n">
        <f>2258</f>
        <v>2258.0</v>
      </c>
      <c r="R79" s="29" t="n">
        <f>2258</f>
        <v>2258.0</v>
      </c>
      <c r="S79" s="24"/>
      <c r="T79" s="25" t="str">
        <f>"－"</f>
        <v>－</v>
      </c>
      <c r="U79" s="23"/>
      <c r="V79" s="25" t="str">
        <f>"－"</f>
        <v>－</v>
      </c>
      <c r="W79" s="23"/>
      <c r="X79" s="26" t="str">
        <f>"－"</f>
        <v>－</v>
      </c>
      <c r="Y79" s="24" t="s">
        <v>33</v>
      </c>
      <c r="Z79" s="25" t="n">
        <f>63207</f>
        <v>63207.0</v>
      </c>
      <c r="AA79" s="23" t="s">
        <v>33</v>
      </c>
      <c r="AB79" s="25" t="n">
        <f>13938</f>
        <v>13938.0</v>
      </c>
      <c r="AC79" s="23" t="s">
        <v>33</v>
      </c>
      <c r="AD79" s="26" t="n">
        <f>77145</f>
        <v>77145.0</v>
      </c>
    </row>
    <row r="80">
      <c r="A80" s="30" t="s">
        <v>37</v>
      </c>
      <c r="B80" s="22" t="s">
        <v>63</v>
      </c>
      <c r="C80" s="22" t="s">
        <v>64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38</v>
      </c>
      <c r="B81" s="22" t="s">
        <v>63</v>
      </c>
      <c r="C81" s="22" t="s">
        <v>64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39</v>
      </c>
      <c r="B82" s="22" t="s">
        <v>63</v>
      </c>
      <c r="C82" s="22" t="s">
        <v>64</v>
      </c>
      <c r="D82" s="24"/>
      <c r="E82" s="25"/>
      <c r="F82" s="23"/>
      <c r="G82" s="25"/>
      <c r="H82" s="23"/>
      <c r="I82" s="26"/>
      <c r="J82" s="24"/>
      <c r="K82" s="25"/>
      <c r="L82" s="23"/>
      <c r="M82" s="25"/>
      <c r="N82" s="23"/>
      <c r="O82" s="26"/>
      <c r="P82" s="27"/>
      <c r="Q82" s="28"/>
      <c r="R82" s="29"/>
      <c r="S82" s="24"/>
      <c r="T82" s="25"/>
      <c r="U82" s="23"/>
      <c r="V82" s="25"/>
      <c r="W82" s="23"/>
      <c r="X82" s="26"/>
      <c r="Y82" s="24"/>
      <c r="Z82" s="25"/>
      <c r="AA82" s="23"/>
      <c r="AB82" s="25"/>
      <c r="AC82" s="23"/>
      <c r="AD82" s="26"/>
    </row>
    <row r="83">
      <c r="A83" s="30" t="s">
        <v>40</v>
      </c>
      <c r="B83" s="22" t="s">
        <v>63</v>
      </c>
      <c r="C83" s="22" t="s">
        <v>64</v>
      </c>
      <c r="D83" s="24"/>
      <c r="E83" s="25" t="n">
        <f>800</f>
        <v>800.0</v>
      </c>
      <c r="F83" s="23"/>
      <c r="G83" s="25" t="n">
        <f>1530</f>
        <v>1530.0</v>
      </c>
      <c r="H83" s="23"/>
      <c r="I83" s="26" t="n">
        <f>2330</f>
        <v>2330.0</v>
      </c>
      <c r="J83" s="24"/>
      <c r="K83" s="25" t="n">
        <f>236710200</f>
        <v>2.367102E8</v>
      </c>
      <c r="L83" s="23"/>
      <c r="M83" s="25" t="n">
        <f>928182500</f>
        <v>9.281825E8</v>
      </c>
      <c r="N83" s="23"/>
      <c r="O83" s="26" t="n">
        <f>1164892700</f>
        <v>1.1648927E9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700</f>
        <v>700.0</v>
      </c>
      <c r="U83" s="23" t="s">
        <v>41</v>
      </c>
      <c r="V83" s="25" t="n">
        <f>1430</f>
        <v>1430.0</v>
      </c>
      <c r="W83" s="23"/>
      <c r="X83" s="26" t="n">
        <f>2130</f>
        <v>2130.0</v>
      </c>
      <c r="Y83" s="24"/>
      <c r="Z83" s="25" t="n">
        <f>64007</f>
        <v>64007.0</v>
      </c>
      <c r="AA83" s="23"/>
      <c r="AB83" s="25" t="n">
        <f>14888</f>
        <v>14888.0</v>
      </c>
      <c r="AC83" s="23"/>
      <c r="AD83" s="26" t="n">
        <f>78895</f>
        <v>78895.0</v>
      </c>
    </row>
    <row r="84">
      <c r="A84" s="30" t="s">
        <v>42</v>
      </c>
      <c r="B84" s="22" t="s">
        <v>63</v>
      </c>
      <c r="C84" s="22" t="s">
        <v>64</v>
      </c>
      <c r="D84" s="24" t="s">
        <v>33</v>
      </c>
      <c r="E84" s="25" t="str">
        <f>"－"</f>
        <v>－</v>
      </c>
      <c r="F84" s="23" t="s">
        <v>41</v>
      </c>
      <c r="G84" s="25" t="n">
        <f>2300</f>
        <v>2300.0</v>
      </c>
      <c r="H84" s="23"/>
      <c r="I84" s="26" t="n">
        <f>2300</f>
        <v>2300.0</v>
      </c>
      <c r="J84" s="24" t="s">
        <v>33</v>
      </c>
      <c r="K84" s="25" t="str">
        <f>"－"</f>
        <v>－</v>
      </c>
      <c r="L84" s="23" t="s">
        <v>41</v>
      </c>
      <c r="M84" s="25" t="n">
        <f>1159500000</f>
        <v>1.1595E9</v>
      </c>
      <c r="N84" s="23"/>
      <c r="O84" s="26" t="n">
        <f>1159500000</f>
        <v>1.1595E9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str">
        <f>"－"</f>
        <v>－</v>
      </c>
      <c r="U84" s="23"/>
      <c r="V84" s="25" t="n">
        <f>500</f>
        <v>500.0</v>
      </c>
      <c r="W84" s="23"/>
      <c r="X84" s="26" t="n">
        <f>500</f>
        <v>500.0</v>
      </c>
      <c r="Y84" s="24"/>
      <c r="Z84" s="25" t="n">
        <f>64007</f>
        <v>64007.0</v>
      </c>
      <c r="AA84" s="23"/>
      <c r="AB84" s="25" t="n">
        <f>16888</f>
        <v>16888.0</v>
      </c>
      <c r="AC84" s="23"/>
      <c r="AD84" s="26" t="n">
        <f>80895</f>
        <v>80895.0</v>
      </c>
    </row>
    <row r="85">
      <c r="A85" s="30" t="s">
        <v>43</v>
      </c>
      <c r="B85" s="22" t="s">
        <v>63</v>
      </c>
      <c r="C85" s="22" t="s">
        <v>64</v>
      </c>
      <c r="D85" s="24"/>
      <c r="E85" s="25" t="n">
        <f>625</f>
        <v>625.0</v>
      </c>
      <c r="F85" s="23" t="s">
        <v>33</v>
      </c>
      <c r="G85" s="25" t="str">
        <f>"－"</f>
        <v>－</v>
      </c>
      <c r="H85" s="23"/>
      <c r="I85" s="26" t="n">
        <f>625</f>
        <v>625.0</v>
      </c>
      <c r="J85" s="24"/>
      <c r="K85" s="25" t="n">
        <f>154681810</f>
        <v>1.5468181E8</v>
      </c>
      <c r="L85" s="23" t="s">
        <v>33</v>
      </c>
      <c r="M85" s="25" t="str">
        <f>"－"</f>
        <v>－</v>
      </c>
      <c r="N85" s="23"/>
      <c r="O85" s="26" t="n">
        <f>154681810</f>
        <v>1.5468181E8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n">
        <f>625</f>
        <v>625.0</v>
      </c>
      <c r="U85" s="23"/>
      <c r="V85" s="25" t="str">
        <f>"－"</f>
        <v>－</v>
      </c>
      <c r="W85" s="23"/>
      <c r="X85" s="26" t="n">
        <f>625</f>
        <v>625.0</v>
      </c>
      <c r="Y85" s="24"/>
      <c r="Z85" s="25" t="n">
        <f>64632</f>
        <v>64632.0</v>
      </c>
      <c r="AA85" s="23"/>
      <c r="AB85" s="25" t="n">
        <f>16888</f>
        <v>16888.0</v>
      </c>
      <c r="AC85" s="23"/>
      <c r="AD85" s="26" t="n">
        <f>81520</f>
        <v>81520.0</v>
      </c>
    </row>
    <row r="86">
      <c r="A86" s="30" t="s">
        <v>44</v>
      </c>
      <c r="B86" s="22" t="s">
        <v>63</v>
      </c>
      <c r="C86" s="22" t="s">
        <v>64</v>
      </c>
      <c r="D86" s="24"/>
      <c r="E86" s="25" t="n">
        <f>1727</f>
        <v>1727.0</v>
      </c>
      <c r="F86" s="23"/>
      <c r="G86" s="25" t="str">
        <f>"－"</f>
        <v>－</v>
      </c>
      <c r="H86" s="23"/>
      <c r="I86" s="26" t="n">
        <f>1727</f>
        <v>1727.0</v>
      </c>
      <c r="J86" s="24"/>
      <c r="K86" s="25" t="n">
        <f>231480125</f>
        <v>2.31480125E8</v>
      </c>
      <c r="L86" s="23"/>
      <c r="M86" s="25" t="str">
        <f>"－"</f>
        <v>－</v>
      </c>
      <c r="N86" s="23"/>
      <c r="O86" s="26" t="n">
        <f>231480125</f>
        <v>2.31480125E8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n">
        <f>1727</f>
        <v>1727.0</v>
      </c>
      <c r="U86" s="23"/>
      <c r="V86" s="25" t="str">
        <f>"－"</f>
        <v>－</v>
      </c>
      <c r="W86" s="23"/>
      <c r="X86" s="26" t="n">
        <f>1727</f>
        <v>1727.0</v>
      </c>
      <c r="Y86" s="24"/>
      <c r="Z86" s="25" t="n">
        <f>66359</f>
        <v>66359.0</v>
      </c>
      <c r="AA86" s="23"/>
      <c r="AB86" s="25" t="n">
        <f>16888</f>
        <v>16888.0</v>
      </c>
      <c r="AC86" s="23"/>
      <c r="AD86" s="26" t="n">
        <f>83247</f>
        <v>83247.0</v>
      </c>
    </row>
    <row r="87">
      <c r="A87" s="30" t="s">
        <v>45</v>
      </c>
      <c r="B87" s="22" t="s">
        <v>63</v>
      </c>
      <c r="C87" s="22" t="s">
        <v>64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46</v>
      </c>
      <c r="B88" s="22" t="s">
        <v>63</v>
      </c>
      <c r="C88" s="22" t="s">
        <v>64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47</v>
      </c>
      <c r="B89" s="22" t="s">
        <v>63</v>
      </c>
      <c r="C89" s="22" t="s">
        <v>64</v>
      </c>
      <c r="D89" s="24"/>
      <c r="E89" s="25" t="str">
        <f>"－"</f>
        <v>－</v>
      </c>
      <c r="F89" s="23"/>
      <c r="G89" s="25" t="n">
        <f>250</f>
        <v>250.0</v>
      </c>
      <c r="H89" s="23"/>
      <c r="I89" s="26" t="n">
        <f>250</f>
        <v>250.0</v>
      </c>
      <c r="J89" s="24"/>
      <c r="K89" s="25" t="str">
        <f>"－"</f>
        <v>－</v>
      </c>
      <c r="L89" s="23"/>
      <c r="M89" s="25" t="n">
        <f>137611500</f>
        <v>1.376115E8</v>
      </c>
      <c r="N89" s="23"/>
      <c r="O89" s="26" t="n">
        <f>137611500</f>
        <v>1.376115E8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str">
        <f>"－"</f>
        <v>－</v>
      </c>
      <c r="U89" s="23"/>
      <c r="V89" s="25" t="n">
        <f>250</f>
        <v>250.0</v>
      </c>
      <c r="W89" s="23"/>
      <c r="X89" s="26" t="n">
        <f>250</f>
        <v>250.0</v>
      </c>
      <c r="Y89" s="24"/>
      <c r="Z89" s="25" t="n">
        <f>66359</f>
        <v>66359.0</v>
      </c>
      <c r="AA89" s="23"/>
      <c r="AB89" s="25" t="n">
        <f>16638</f>
        <v>16638.0</v>
      </c>
      <c r="AC89" s="23"/>
      <c r="AD89" s="26" t="n">
        <f>82997</f>
        <v>82997.0</v>
      </c>
    </row>
    <row r="90">
      <c r="A90" s="30" t="s">
        <v>48</v>
      </c>
      <c r="B90" s="22" t="s">
        <v>63</v>
      </c>
      <c r="C90" s="22" t="s">
        <v>64</v>
      </c>
      <c r="D90" s="24" t="s">
        <v>41</v>
      </c>
      <c r="E90" s="25" t="n">
        <f>10400</f>
        <v>10400.0</v>
      </c>
      <c r="F90" s="23"/>
      <c r="G90" s="25" t="str">
        <f>"－"</f>
        <v>－</v>
      </c>
      <c r="H90" s="23" t="s">
        <v>41</v>
      </c>
      <c r="I90" s="26" t="n">
        <f>10400</f>
        <v>10400.0</v>
      </c>
      <c r="J90" s="24" t="s">
        <v>41</v>
      </c>
      <c r="K90" s="25" t="n">
        <f>4173490497</f>
        <v>4.173490497E9</v>
      </c>
      <c r="L90" s="23"/>
      <c r="M90" s="25" t="str">
        <f>"－"</f>
        <v>－</v>
      </c>
      <c r="N90" s="23" t="s">
        <v>41</v>
      </c>
      <c r="O90" s="26" t="n">
        <f>4173490497</f>
        <v>4.173490497E9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 t="s">
        <v>41</v>
      </c>
      <c r="T90" s="25" t="n">
        <f>10400</f>
        <v>10400.0</v>
      </c>
      <c r="U90" s="23"/>
      <c r="V90" s="25" t="str">
        <f>"－"</f>
        <v>－</v>
      </c>
      <c r="W90" s="23" t="s">
        <v>41</v>
      </c>
      <c r="X90" s="26" t="n">
        <f>10400</f>
        <v>10400.0</v>
      </c>
      <c r="Y90" s="24"/>
      <c r="Z90" s="25" t="n">
        <f>71347</f>
        <v>71347.0</v>
      </c>
      <c r="AA90" s="23"/>
      <c r="AB90" s="25" t="n">
        <f>16638</f>
        <v>16638.0</v>
      </c>
      <c r="AC90" s="23"/>
      <c r="AD90" s="26" t="n">
        <f>87985</f>
        <v>87985.0</v>
      </c>
    </row>
    <row r="91">
      <c r="A91" s="30" t="s">
        <v>49</v>
      </c>
      <c r="B91" s="22" t="s">
        <v>63</v>
      </c>
      <c r="C91" s="22" t="s">
        <v>64</v>
      </c>
      <c r="D91" s="24"/>
      <c r="E91" s="25" t="n">
        <f>750</f>
        <v>750.0</v>
      </c>
      <c r="F91" s="23"/>
      <c r="G91" s="25" t="str">
        <f>"－"</f>
        <v>－</v>
      </c>
      <c r="H91" s="23"/>
      <c r="I91" s="26" t="n">
        <f>750</f>
        <v>750.0</v>
      </c>
      <c r="J91" s="24"/>
      <c r="K91" s="25" t="n">
        <f>605250000</f>
        <v>6.0525E8</v>
      </c>
      <c r="L91" s="23"/>
      <c r="M91" s="25" t="str">
        <f>"－"</f>
        <v>－</v>
      </c>
      <c r="N91" s="23"/>
      <c r="O91" s="26" t="n">
        <f>605250000</f>
        <v>6.0525E8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str">
        <f>"－"</f>
        <v>－</v>
      </c>
      <c r="U91" s="23"/>
      <c r="V91" s="25" t="str">
        <f>"－"</f>
        <v>－</v>
      </c>
      <c r="W91" s="23"/>
      <c r="X91" s="26" t="str">
        <f>"－"</f>
        <v>－</v>
      </c>
      <c r="Y91" s="24"/>
      <c r="Z91" s="25" t="n">
        <f>72097</f>
        <v>72097.0</v>
      </c>
      <c r="AA91" s="23"/>
      <c r="AB91" s="25" t="n">
        <f>16638</f>
        <v>16638.0</v>
      </c>
      <c r="AC91" s="23"/>
      <c r="AD91" s="26" t="n">
        <f>88735</f>
        <v>88735.0</v>
      </c>
    </row>
    <row r="92">
      <c r="A92" s="30" t="s">
        <v>50</v>
      </c>
      <c r="B92" s="22" t="s">
        <v>63</v>
      </c>
      <c r="C92" s="22" t="s">
        <v>64</v>
      </c>
      <c r="D92" s="24"/>
      <c r="E92" s="25" t="n">
        <f>6940</f>
        <v>6940.0</v>
      </c>
      <c r="F92" s="23"/>
      <c r="G92" s="25" t="n">
        <f>500</f>
        <v>500.0</v>
      </c>
      <c r="H92" s="23"/>
      <c r="I92" s="26" t="n">
        <f>7440</f>
        <v>7440.0</v>
      </c>
      <c r="J92" s="24"/>
      <c r="K92" s="25" t="n">
        <f>2798428323</f>
        <v>2.798428323E9</v>
      </c>
      <c r="L92" s="23"/>
      <c r="M92" s="25" t="n">
        <f>79500000</f>
        <v>7.95E7</v>
      </c>
      <c r="N92" s="23"/>
      <c r="O92" s="26" t="n">
        <f>2877928323</f>
        <v>2.877928323E9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n">
        <f>6940</f>
        <v>6940.0</v>
      </c>
      <c r="U92" s="23"/>
      <c r="V92" s="25" t="str">
        <f>"－"</f>
        <v>－</v>
      </c>
      <c r="W92" s="23"/>
      <c r="X92" s="26" t="n">
        <f>6940</f>
        <v>6940.0</v>
      </c>
      <c r="Y92" s="24"/>
      <c r="Z92" s="25" t="n">
        <f>75567</f>
        <v>75567.0</v>
      </c>
      <c r="AA92" s="23"/>
      <c r="AB92" s="25" t="n">
        <f>16638</f>
        <v>16638.0</v>
      </c>
      <c r="AC92" s="23"/>
      <c r="AD92" s="26" t="n">
        <f>92205</f>
        <v>92205.0</v>
      </c>
    </row>
    <row r="93">
      <c r="A93" s="30" t="s">
        <v>51</v>
      </c>
      <c r="B93" s="22" t="s">
        <v>63</v>
      </c>
      <c r="C93" s="22" t="s">
        <v>64</v>
      </c>
      <c r="D93" s="24"/>
      <c r="E93" s="25" t="n">
        <f>170</f>
        <v>170.0</v>
      </c>
      <c r="F93" s="23"/>
      <c r="G93" s="25" t="str">
        <f>"－"</f>
        <v>－</v>
      </c>
      <c r="H93" s="23"/>
      <c r="I93" s="26" t="n">
        <f>170</f>
        <v>170.0</v>
      </c>
      <c r="J93" s="24"/>
      <c r="K93" s="25" t="n">
        <f>136340000</f>
        <v>1.3634E8</v>
      </c>
      <c r="L93" s="23"/>
      <c r="M93" s="25" t="str">
        <f>"－"</f>
        <v>－</v>
      </c>
      <c r="N93" s="23"/>
      <c r="O93" s="26" t="n">
        <f>136340000</f>
        <v>1.3634E8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str">
        <f>"－"</f>
        <v>－</v>
      </c>
      <c r="U93" s="23"/>
      <c r="V93" s="25" t="str">
        <f>"－"</f>
        <v>－</v>
      </c>
      <c r="W93" s="23"/>
      <c r="X93" s="26" t="str">
        <f>"－"</f>
        <v>－</v>
      </c>
      <c r="Y93" s="24"/>
      <c r="Z93" s="25" t="n">
        <f>75737</f>
        <v>75737.0</v>
      </c>
      <c r="AA93" s="23"/>
      <c r="AB93" s="25" t="n">
        <f>16638</f>
        <v>16638.0</v>
      </c>
      <c r="AC93" s="23"/>
      <c r="AD93" s="26" t="n">
        <f>92375</f>
        <v>92375.0</v>
      </c>
    </row>
    <row r="94">
      <c r="A94" s="30" t="s">
        <v>52</v>
      </c>
      <c r="B94" s="22" t="s">
        <v>63</v>
      </c>
      <c r="C94" s="22" t="s">
        <v>64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53</v>
      </c>
      <c r="B95" s="22" t="s">
        <v>63</v>
      </c>
      <c r="C95" s="22" t="s">
        <v>64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54</v>
      </c>
      <c r="B96" s="22" t="s">
        <v>63</v>
      </c>
      <c r="C96" s="22" t="s">
        <v>64</v>
      </c>
      <c r="D96" s="24"/>
      <c r="E96" s="25" t="n">
        <f>6264</f>
        <v>6264.0</v>
      </c>
      <c r="F96" s="23"/>
      <c r="G96" s="25" t="str">
        <f>"－"</f>
        <v>－</v>
      </c>
      <c r="H96" s="23"/>
      <c r="I96" s="26" t="n">
        <f>6264</f>
        <v>6264.0</v>
      </c>
      <c r="J96" s="24"/>
      <c r="K96" s="25" t="n">
        <f>2138988100</f>
        <v>2.1389881E9</v>
      </c>
      <c r="L96" s="23"/>
      <c r="M96" s="25" t="str">
        <f>"－"</f>
        <v>－</v>
      </c>
      <c r="N96" s="23"/>
      <c r="O96" s="26" t="n">
        <f>2138988100</f>
        <v>2.1389881E9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n">
        <f>6264</f>
        <v>6264.0</v>
      </c>
      <c r="U96" s="23"/>
      <c r="V96" s="25" t="str">
        <f>"－"</f>
        <v>－</v>
      </c>
      <c r="W96" s="23"/>
      <c r="X96" s="26" t="n">
        <f>6264</f>
        <v>6264.0</v>
      </c>
      <c r="Y96" s="24"/>
      <c r="Z96" s="25" t="n">
        <f>74921</f>
        <v>74921.0</v>
      </c>
      <c r="AA96" s="23"/>
      <c r="AB96" s="25" t="n">
        <f>16638</f>
        <v>16638.0</v>
      </c>
      <c r="AC96" s="23"/>
      <c r="AD96" s="26" t="n">
        <f>91559</f>
        <v>91559.0</v>
      </c>
    </row>
    <row r="97">
      <c r="A97" s="30" t="s">
        <v>55</v>
      </c>
      <c r="B97" s="22" t="s">
        <v>63</v>
      </c>
      <c r="C97" s="22" t="s">
        <v>64</v>
      </c>
      <c r="D97" s="24"/>
      <c r="E97" s="25" t="n">
        <f>560</f>
        <v>560.0</v>
      </c>
      <c r="F97" s="23"/>
      <c r="G97" s="25" t="n">
        <f>560</f>
        <v>560.0</v>
      </c>
      <c r="H97" s="23"/>
      <c r="I97" s="26" t="n">
        <f>1120</f>
        <v>1120.0</v>
      </c>
      <c r="J97" s="24"/>
      <c r="K97" s="25" t="n">
        <f>72800000</f>
        <v>7.28E7</v>
      </c>
      <c r="L97" s="23"/>
      <c r="M97" s="25" t="n">
        <f>73092300</f>
        <v>7.30923E7</v>
      </c>
      <c r="N97" s="23"/>
      <c r="O97" s="26" t="n">
        <f>145892300</f>
        <v>1.458923E8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n">
        <f>560</f>
        <v>560.0</v>
      </c>
      <c r="U97" s="23"/>
      <c r="V97" s="25" t="n">
        <f>560</f>
        <v>560.0</v>
      </c>
      <c r="W97" s="23"/>
      <c r="X97" s="26" t="n">
        <f>1120</f>
        <v>1120.0</v>
      </c>
      <c r="Y97" s="24"/>
      <c r="Z97" s="25" t="n">
        <f>75481</f>
        <v>75481.0</v>
      </c>
      <c r="AA97" s="23" t="s">
        <v>41</v>
      </c>
      <c r="AB97" s="25" t="n">
        <f>17198</f>
        <v>17198.0</v>
      </c>
      <c r="AC97" s="23"/>
      <c r="AD97" s="26" t="n">
        <f>92679</f>
        <v>92679.0</v>
      </c>
    </row>
    <row r="98">
      <c r="A98" s="30" t="s">
        <v>56</v>
      </c>
      <c r="B98" s="22" t="s">
        <v>63</v>
      </c>
      <c r="C98" s="22" t="s">
        <v>64</v>
      </c>
      <c r="D98" s="24"/>
      <c r="E98" s="25" t="n">
        <f>6109</f>
        <v>6109.0</v>
      </c>
      <c r="F98" s="23"/>
      <c r="G98" s="25" t="str">
        <f>"－"</f>
        <v>－</v>
      </c>
      <c r="H98" s="23"/>
      <c r="I98" s="26" t="n">
        <f>6109</f>
        <v>6109.0</v>
      </c>
      <c r="J98" s="24"/>
      <c r="K98" s="25" t="n">
        <f>1805641994</f>
        <v>1.805641994E9</v>
      </c>
      <c r="L98" s="23"/>
      <c r="M98" s="25" t="str">
        <f>"－"</f>
        <v>－</v>
      </c>
      <c r="N98" s="23"/>
      <c r="O98" s="26" t="n">
        <f>1805641994</f>
        <v>1.805641994E9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6109</f>
        <v>6109.0</v>
      </c>
      <c r="U98" s="23"/>
      <c r="V98" s="25" t="str">
        <f>"－"</f>
        <v>－</v>
      </c>
      <c r="W98" s="23"/>
      <c r="X98" s="26" t="n">
        <f>6109</f>
        <v>6109.0</v>
      </c>
      <c r="Y98" s="24" t="s">
        <v>41</v>
      </c>
      <c r="Z98" s="25" t="n">
        <f>78145</f>
        <v>78145.0</v>
      </c>
      <c r="AA98" s="23"/>
      <c r="AB98" s="25" t="n">
        <f>17198</f>
        <v>17198.0</v>
      </c>
      <c r="AC98" s="23" t="s">
        <v>41</v>
      </c>
      <c r="AD98" s="26" t="n">
        <f>95343</f>
        <v>95343.0</v>
      </c>
    </row>
    <row r="99">
      <c r="A99" s="30" t="s">
        <v>57</v>
      </c>
      <c r="B99" s="22" t="s">
        <v>63</v>
      </c>
      <c r="C99" s="22" t="s">
        <v>64</v>
      </c>
      <c r="D99" s="24"/>
      <c r="E99" s="25" t="str">
        <f>"－"</f>
        <v>－</v>
      </c>
      <c r="F99" s="23"/>
      <c r="G99" s="25" t="str">
        <f>"－"</f>
        <v>－</v>
      </c>
      <c r="H99" s="23" t="s">
        <v>33</v>
      </c>
      <c r="I99" s="26" t="str">
        <f>"－"</f>
        <v>－</v>
      </c>
      <c r="J99" s="24"/>
      <c r="K99" s="25" t="str">
        <f>"－"</f>
        <v>－</v>
      </c>
      <c r="L99" s="23"/>
      <c r="M99" s="25" t="str">
        <f>"－"</f>
        <v>－</v>
      </c>
      <c r="N99" s="23" t="s">
        <v>33</v>
      </c>
      <c r="O99" s="26" t="str">
        <f>"－"</f>
        <v>－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str">
        <f>"－"</f>
        <v>－</v>
      </c>
      <c r="W99" s="23"/>
      <c r="X99" s="26" t="str">
        <f>"－"</f>
        <v>－</v>
      </c>
      <c r="Y99" s="24"/>
      <c r="Z99" s="25" t="n">
        <f>78145</f>
        <v>78145.0</v>
      </c>
      <c r="AA99" s="23"/>
      <c r="AB99" s="25" t="n">
        <f>17198</f>
        <v>17198.0</v>
      </c>
      <c r="AC99" s="23"/>
      <c r="AD99" s="26" t="n">
        <f>95343</f>
        <v>95343.0</v>
      </c>
    </row>
    <row r="100">
      <c r="A100" s="30" t="s">
        <v>58</v>
      </c>
      <c r="B100" s="22" t="s">
        <v>63</v>
      </c>
      <c r="C100" s="22" t="s">
        <v>64</v>
      </c>
      <c r="D100" s="24"/>
      <c r="E100" s="25" t="str">
        <f>"－"</f>
        <v>－</v>
      </c>
      <c r="F100" s="23"/>
      <c r="G100" s="25" t="n">
        <f>96</f>
        <v>96.0</v>
      </c>
      <c r="H100" s="23"/>
      <c r="I100" s="26" t="n">
        <f>96</f>
        <v>96.0</v>
      </c>
      <c r="J100" s="24"/>
      <c r="K100" s="25" t="str">
        <f>"－"</f>
        <v>－</v>
      </c>
      <c r="L100" s="23"/>
      <c r="M100" s="25" t="n">
        <f>109684800</f>
        <v>1.096848E8</v>
      </c>
      <c r="N100" s="23"/>
      <c r="O100" s="26" t="n">
        <f>109684800</f>
        <v>1.096848E8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/>
      <c r="T100" s="25" t="str">
        <f>"－"</f>
        <v>－</v>
      </c>
      <c r="U100" s="23"/>
      <c r="V100" s="25" t="n">
        <f>96</f>
        <v>96.0</v>
      </c>
      <c r="W100" s="23"/>
      <c r="X100" s="26" t="n">
        <f>96</f>
        <v>96.0</v>
      </c>
      <c r="Y100" s="24"/>
      <c r="Z100" s="25" t="n">
        <f>78145</f>
        <v>78145.0</v>
      </c>
      <c r="AA100" s="23"/>
      <c r="AB100" s="25" t="n">
        <f>17198</f>
        <v>17198.0</v>
      </c>
      <c r="AC100" s="23"/>
      <c r="AD100" s="26" t="n">
        <f>95343</f>
        <v>95343.0</v>
      </c>
    </row>
    <row r="101">
      <c r="A101" s="30" t="s">
        <v>59</v>
      </c>
      <c r="B101" s="22" t="s">
        <v>63</v>
      </c>
      <c r="C101" s="22" t="s">
        <v>64</v>
      </c>
      <c r="D101" s="24"/>
      <c r="E101" s="25"/>
      <c r="F101" s="23"/>
      <c r="G101" s="25"/>
      <c r="H101" s="23"/>
      <c r="I101" s="26"/>
      <c r="J101" s="24"/>
      <c r="K101" s="25"/>
      <c r="L101" s="23"/>
      <c r="M101" s="25"/>
      <c r="N101" s="23"/>
      <c r="O101" s="26"/>
      <c r="P101" s="27"/>
      <c r="Q101" s="28"/>
      <c r="R101" s="29"/>
      <c r="S101" s="24"/>
      <c r="T101" s="25"/>
      <c r="U101" s="23"/>
      <c r="V101" s="25"/>
      <c r="W101" s="23"/>
      <c r="X101" s="26"/>
      <c r="Y101" s="24"/>
      <c r="Z101" s="25"/>
      <c r="AA101" s="23"/>
      <c r="AB101" s="25"/>
      <c r="AC101" s="23"/>
      <c r="AD101" s="26"/>
    </row>
    <row r="102">
      <c r="A102" s="30" t="s">
        <v>60</v>
      </c>
      <c r="B102" s="22" t="s">
        <v>63</v>
      </c>
      <c r="C102" s="22" t="s">
        <v>64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26</v>
      </c>
      <c r="B103" s="22" t="s">
        <v>65</v>
      </c>
      <c r="C103" s="22" t="s">
        <v>66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29</v>
      </c>
      <c r="B104" s="22" t="s">
        <v>65</v>
      </c>
      <c r="C104" s="22" t="s">
        <v>66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30</v>
      </c>
      <c r="B105" s="22" t="s">
        <v>65</v>
      </c>
      <c r="C105" s="22" t="s">
        <v>66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31</v>
      </c>
      <c r="B106" s="22" t="s">
        <v>65</v>
      </c>
      <c r="C106" s="22" t="s">
        <v>66</v>
      </c>
      <c r="D106" s="24" t="s">
        <v>67</v>
      </c>
      <c r="E106" s="25" t="str">
        <f>"－"</f>
        <v>－</v>
      </c>
      <c r="F106" s="23" t="s">
        <v>67</v>
      </c>
      <c r="G106" s="25" t="str">
        <f>"－"</f>
        <v>－</v>
      </c>
      <c r="H106" s="23" t="s">
        <v>67</v>
      </c>
      <c r="I106" s="26" t="str">
        <f>"－"</f>
        <v>－</v>
      </c>
      <c r="J106" s="24" t="s">
        <v>67</v>
      </c>
      <c r="K106" s="25" t="str">
        <f>"－"</f>
        <v>－</v>
      </c>
      <c r="L106" s="23" t="s">
        <v>67</v>
      </c>
      <c r="M106" s="25" t="str">
        <f>"－"</f>
        <v>－</v>
      </c>
      <c r="N106" s="23" t="s">
        <v>67</v>
      </c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 t="s">
        <v>67</v>
      </c>
      <c r="T106" s="25" t="str">
        <f>"－"</f>
        <v>－</v>
      </c>
      <c r="U106" s="23" t="s">
        <v>67</v>
      </c>
      <c r="V106" s="25" t="str">
        <f>"－"</f>
        <v>－</v>
      </c>
      <c r="W106" s="23" t="s">
        <v>67</v>
      </c>
      <c r="X106" s="26" t="str">
        <f>"－"</f>
        <v>－</v>
      </c>
      <c r="Y106" s="24" t="s">
        <v>67</v>
      </c>
      <c r="Z106" s="25" t="str">
        <f>"－"</f>
        <v>－</v>
      </c>
      <c r="AA106" s="23" t="s">
        <v>67</v>
      </c>
      <c r="AB106" s="25" t="str">
        <f>"－"</f>
        <v>－</v>
      </c>
      <c r="AC106" s="23" t="s">
        <v>67</v>
      </c>
      <c r="AD106" s="26" t="str">
        <f>"－"</f>
        <v>－</v>
      </c>
    </row>
    <row r="107">
      <c r="A107" s="30" t="s">
        <v>32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34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35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36</v>
      </c>
      <c r="B110" s="22" t="s">
        <v>65</v>
      </c>
      <c r="C110" s="22" t="s">
        <v>66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37</v>
      </c>
      <c r="B111" s="22" t="s">
        <v>65</v>
      </c>
      <c r="C111" s="22" t="s">
        <v>66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38</v>
      </c>
      <c r="B112" s="22" t="s">
        <v>65</v>
      </c>
      <c r="C112" s="22" t="s">
        <v>66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39</v>
      </c>
      <c r="B113" s="22" t="s">
        <v>65</v>
      </c>
      <c r="C113" s="22" t="s">
        <v>66</v>
      </c>
      <c r="D113" s="24"/>
      <c r="E113" s="25"/>
      <c r="F113" s="23"/>
      <c r="G113" s="25"/>
      <c r="H113" s="23"/>
      <c r="I113" s="26"/>
      <c r="J113" s="24"/>
      <c r="K113" s="25"/>
      <c r="L113" s="23"/>
      <c r="M113" s="25"/>
      <c r="N113" s="23"/>
      <c r="O113" s="26"/>
      <c r="P113" s="27"/>
      <c r="Q113" s="28"/>
      <c r="R113" s="29"/>
      <c r="S113" s="24"/>
      <c r="T113" s="25"/>
      <c r="U113" s="23"/>
      <c r="V113" s="25"/>
      <c r="W113" s="23"/>
      <c r="X113" s="26"/>
      <c r="Y113" s="24"/>
      <c r="Z113" s="25"/>
      <c r="AA113" s="23"/>
      <c r="AB113" s="25"/>
      <c r="AC113" s="23"/>
      <c r="AD113" s="26"/>
    </row>
    <row r="114">
      <c r="A114" s="30" t="s">
        <v>40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42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45</v>
      </c>
      <c r="B118" s="22" t="s">
        <v>65</v>
      </c>
      <c r="C118" s="22" t="s">
        <v>66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46</v>
      </c>
      <c r="B119" s="22" t="s">
        <v>65</v>
      </c>
      <c r="C119" s="22" t="s">
        <v>66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51</v>
      </c>
      <c r="B124" s="22" t="s">
        <v>65</v>
      </c>
      <c r="C124" s="22" t="s">
        <v>66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52</v>
      </c>
      <c r="B125" s="22" t="s">
        <v>65</v>
      </c>
      <c r="C125" s="22" t="s">
        <v>66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53</v>
      </c>
      <c r="B126" s="22" t="s">
        <v>65</v>
      </c>
      <c r="C126" s="22" t="s">
        <v>66</v>
      </c>
      <c r="D126" s="24"/>
      <c r="E126" s="25"/>
      <c r="F126" s="23"/>
      <c r="G126" s="25"/>
      <c r="H126" s="23"/>
      <c r="I126" s="26"/>
      <c r="J126" s="24"/>
      <c r="K126" s="25"/>
      <c r="L126" s="23"/>
      <c r="M126" s="25"/>
      <c r="N126" s="23"/>
      <c r="O126" s="26"/>
      <c r="P126" s="27"/>
      <c r="Q126" s="28"/>
      <c r="R126" s="29"/>
      <c r="S126" s="24"/>
      <c r="T126" s="25"/>
      <c r="U126" s="23"/>
      <c r="V126" s="25"/>
      <c r="W126" s="23"/>
      <c r="X126" s="26"/>
      <c r="Y126" s="24"/>
      <c r="Z126" s="25"/>
      <c r="AA126" s="23"/>
      <c r="AB126" s="25"/>
      <c r="AC126" s="23"/>
      <c r="AD126" s="26"/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 t="str">
        <f>"－"</f>
        <v>－</v>
      </c>
      <c r="F131" s="23"/>
      <c r="G131" s="25" t="str">
        <f>"－"</f>
        <v>－</v>
      </c>
      <c r="H131" s="23"/>
      <c r="I131" s="26" t="str">
        <f>"－"</f>
        <v>－</v>
      </c>
      <c r="J131" s="24"/>
      <c r="K131" s="25" t="str">
        <f>"－"</f>
        <v>－</v>
      </c>
      <c r="L131" s="23"/>
      <c r="M131" s="25" t="str">
        <f>"－"</f>
        <v>－</v>
      </c>
      <c r="N131" s="23"/>
      <c r="O131" s="26" t="str">
        <f>"－"</f>
        <v>－</v>
      </c>
      <c r="P131" s="27" t="str">
        <f>"－"</f>
        <v>－</v>
      </c>
      <c r="Q131" s="28" t="str">
        <f>"－"</f>
        <v>－</v>
      </c>
      <c r="R131" s="29" t="str">
        <f>"－"</f>
        <v>－</v>
      </c>
      <c r="S131" s="24"/>
      <c r="T131" s="25" t="str">
        <f>"－"</f>
        <v>－</v>
      </c>
      <c r="U131" s="23"/>
      <c r="V131" s="25" t="str">
        <f>"－"</f>
        <v>－</v>
      </c>
      <c r="W131" s="23"/>
      <c r="X131" s="26" t="str">
        <f>"－"</f>
        <v>－</v>
      </c>
      <c r="Y131" s="24"/>
      <c r="Z131" s="25" t="str">
        <f>"－"</f>
        <v>－</v>
      </c>
      <c r="AA131" s="23"/>
      <c r="AB131" s="25" t="str">
        <f>"－"</f>
        <v>－</v>
      </c>
      <c r="AC131" s="23"/>
      <c r="AD131" s="26" t="str">
        <f>"－"</f>
        <v>－</v>
      </c>
    </row>
    <row r="132">
      <c r="A132" s="30" t="s">
        <v>59</v>
      </c>
      <c r="B132" s="22" t="s">
        <v>65</v>
      </c>
      <c r="C132" s="22" t="s">
        <v>66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60</v>
      </c>
      <c r="B133" s="22" t="s">
        <v>65</v>
      </c>
      <c r="C133" s="22" t="s">
        <v>66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