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<sst xmlns="http://schemas.openxmlformats.org/spreadsheetml/2006/main" count="476" uniqueCount="65">
  <si>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</si>
  <si>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</si>
  <si>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</si>
  <si>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</si>
  <si>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</si>
  <si>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</si>
  <si>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</si>
  <si>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</si>
  <si>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</si>
  <si>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</si>
  <si>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</si>
  <si>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</si>
  <si>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</si>
  <si>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</si>
  <si>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</si>
  <si>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</si>
  <si>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</si>
  <si>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</si>
  <si>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</si>
  <si>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</si>
  <si>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</si>
  <si>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</si>
  <si>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</si>
  <si>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</si>
  <si>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</si>
  <si>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</si>
  <si>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2.1</t>
  </si>
  <si>
    <t>日経225オプション</t>
  </si>
  <si>
    <t>Nikkei 225 Options</t>
  </si>
  <si>
    <t>2</t>
  </si>
  <si>
    <t>3</t>
  </si>
  <si>
    <t>4</t>
  </si>
  <si>
    <t>●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</si>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</sst>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21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71734</f>
        <v>71734.0</v>
      </c>
      <c r="F10" s="23"/>
      <c r="G10" s="25" t="n">
        <f>52353</f>
        <v>52353.0</v>
      </c>
      <c r="H10" s="23"/>
      <c r="I10" s="26" t="n">
        <f>124087</f>
        <v>124087.0</v>
      </c>
      <c r="J10" s="24"/>
      <c r="K10" s="25" t="n">
        <f>14082690759</f>
        <v>1.4082690759E10</v>
      </c>
      <c r="L10" s="23"/>
      <c r="M10" s="25" t="n">
        <f>22363449340</f>
        <v>2.236344934E10</v>
      </c>
      <c r="N10" s="23"/>
      <c r="O10" s="26" t="n">
        <f>36446140099</f>
        <v>3.6446140099E10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15562</f>
        <v>15562.0</v>
      </c>
      <c r="U10" s="23"/>
      <c r="V10" s="25" t="n">
        <f>12506</f>
        <v>12506.0</v>
      </c>
      <c r="W10" s="23"/>
      <c r="X10" s="26" t="n">
        <f>28068</f>
        <v>28068.0</v>
      </c>
      <c r="Y10" s="24"/>
      <c r="Z10" s="25" t="n">
        <f>865327</f>
        <v>865327.0</v>
      </c>
      <c r="AA10" s="23"/>
      <c r="AB10" s="25" t="n">
        <f>525273</f>
        <v>525273.0</v>
      </c>
      <c r="AC10" s="23"/>
      <c r="AD10" s="26" t="n">
        <f>1390600</f>
        <v>1390600.0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78976</f>
        <v>78976.0</v>
      </c>
      <c r="F11" s="23"/>
      <c r="G11" s="25" t="n">
        <f>31152</f>
        <v>31152.0</v>
      </c>
      <c r="H11" s="23"/>
      <c r="I11" s="26" t="n">
        <f>110128</f>
        <v>110128.0</v>
      </c>
      <c r="J11" s="24"/>
      <c r="K11" s="25" t="n">
        <f>16294184656</f>
        <v>1.6294184656E10</v>
      </c>
      <c r="L11" s="23"/>
      <c r="M11" s="25" t="n">
        <f>6655164400</f>
        <v>6.6551644E9</v>
      </c>
      <c r="N11" s="23"/>
      <c r="O11" s="26" t="n">
        <f>22949349056</f>
        <v>2.2949349056E10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20265</f>
        <v>20265.0</v>
      </c>
      <c r="U11" s="23"/>
      <c r="V11" s="25" t="n">
        <f>5583</f>
        <v>5583.0</v>
      </c>
      <c r="W11" s="23"/>
      <c r="X11" s="26" t="n">
        <f>25848</f>
        <v>25848.0</v>
      </c>
      <c r="Y11" s="24"/>
      <c r="Z11" s="25" t="n">
        <f>879654</f>
        <v>879654.0</v>
      </c>
      <c r="AA11" s="23"/>
      <c r="AB11" s="25" t="n">
        <f>529354</f>
        <v>529354.0</v>
      </c>
      <c r="AC11" s="23"/>
      <c r="AD11" s="26" t="n">
        <f>1409008</f>
        <v>1409008.0</v>
      </c>
    </row>
    <row r="12">
      <c r="A12" s="30" t="s">
        <v>30</v>
      </c>
      <c r="B12" s="22" t="s">
        <v>27</v>
      </c>
      <c r="C12" s="22" t="s">
        <v>28</v>
      </c>
      <c r="D12" s="24"/>
      <c r="E12" s="25" t="n">
        <f>65854</f>
        <v>65854.0</v>
      </c>
      <c r="F12" s="23"/>
      <c r="G12" s="25" t="n">
        <f>40600</f>
        <v>40600.0</v>
      </c>
      <c r="H12" s="23"/>
      <c r="I12" s="26" t="n">
        <f>106454</f>
        <v>106454.0</v>
      </c>
      <c r="J12" s="24"/>
      <c r="K12" s="25" t="n">
        <f>13675865248</f>
        <v>1.3675865248E10</v>
      </c>
      <c r="L12" s="23"/>
      <c r="M12" s="25" t="n">
        <f>8610036000</f>
        <v>8.610036E9</v>
      </c>
      <c r="N12" s="23"/>
      <c r="O12" s="26" t="n">
        <f>22285901248</f>
        <v>2.2285901248E10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16977</f>
        <v>16977.0</v>
      </c>
      <c r="U12" s="23"/>
      <c r="V12" s="25" t="n">
        <f>9635</f>
        <v>9635.0</v>
      </c>
      <c r="W12" s="23"/>
      <c r="X12" s="26" t="n">
        <f>26612</f>
        <v>26612.0</v>
      </c>
      <c r="Y12" s="24"/>
      <c r="Z12" s="25" t="n">
        <f>885968</f>
        <v>885968.0</v>
      </c>
      <c r="AA12" s="23"/>
      <c r="AB12" s="25" t="n">
        <f>532936</f>
        <v>532936.0</v>
      </c>
      <c r="AC12" s="23"/>
      <c r="AD12" s="26" t="n">
        <f>1418904</f>
        <v>1418904.0</v>
      </c>
    </row>
    <row r="13">
      <c r="A13" s="30" t="s">
        <v>31</v>
      </c>
      <c r="B13" s="22" t="s">
        <v>27</v>
      </c>
      <c r="C13" s="22" t="s">
        <v>28</v>
      </c>
      <c r="D13" s="24"/>
      <c r="E13" s="25" t="n">
        <f>70599</f>
        <v>70599.0</v>
      </c>
      <c r="F13" s="23"/>
      <c r="G13" s="25" t="n">
        <f>36744</f>
        <v>36744.0</v>
      </c>
      <c r="H13" s="23"/>
      <c r="I13" s="26" t="n">
        <f>107343</f>
        <v>107343.0</v>
      </c>
      <c r="J13" s="24"/>
      <c r="K13" s="25" t="n">
        <f>15682691542</f>
        <v>1.5682691542E10</v>
      </c>
      <c r="L13" s="23" t="s">
        <v>32</v>
      </c>
      <c r="M13" s="25" t="n">
        <f>5611350000</f>
        <v>5.61135E9</v>
      </c>
      <c r="N13" s="23"/>
      <c r="O13" s="26" t="n">
        <f>21294041542</f>
        <v>2.1294041542E10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 t="s">
        <v>33</v>
      </c>
      <c r="T13" s="25" t="n">
        <f>20474</f>
        <v>20474.0</v>
      </c>
      <c r="U13" s="23"/>
      <c r="V13" s="25" t="n">
        <f>7354</f>
        <v>7354.0</v>
      </c>
      <c r="W13" s="23"/>
      <c r="X13" s="26" t="n">
        <f>27828</f>
        <v>27828.0</v>
      </c>
      <c r="Y13" s="24"/>
      <c r="Z13" s="25" t="n">
        <f>893033</f>
        <v>893033.0</v>
      </c>
      <c r="AA13" s="23"/>
      <c r="AB13" s="25" t="n">
        <f>534836</f>
        <v>534836.0</v>
      </c>
      <c r="AC13" s="23"/>
      <c r="AD13" s="26" t="n">
        <f>1427869</f>
        <v>1427869.0</v>
      </c>
    </row>
    <row r="14">
      <c r="A14" s="30" t="s">
        <v>34</v>
      </c>
      <c r="B14" s="22" t="s">
        <v>27</v>
      </c>
      <c r="C14" s="22" t="s">
        <v>28</v>
      </c>
      <c r="D14" s="24"/>
      <c r="E14" s="25" t="n">
        <f>55862</f>
        <v>55862.0</v>
      </c>
      <c r="F14" s="23"/>
      <c r="G14" s="25" t="n">
        <f>47474</f>
        <v>47474.0</v>
      </c>
      <c r="H14" s="23"/>
      <c r="I14" s="26" t="n">
        <f>103336</f>
        <v>103336.0</v>
      </c>
      <c r="J14" s="24" t="s">
        <v>32</v>
      </c>
      <c r="K14" s="25" t="n">
        <f>10012347260</f>
        <v>1.001234726E10</v>
      </c>
      <c r="L14" s="23"/>
      <c r="M14" s="25" t="n">
        <f>13753501810</f>
        <v>1.375350181E10</v>
      </c>
      <c r="N14" s="23"/>
      <c r="O14" s="26" t="n">
        <f>23765849070</f>
        <v>2.376584907E10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7689</f>
        <v>7689.0</v>
      </c>
      <c r="U14" s="23"/>
      <c r="V14" s="25" t="n">
        <f>8247</f>
        <v>8247.0</v>
      </c>
      <c r="W14" s="23"/>
      <c r="X14" s="26" t="n">
        <f>15936</f>
        <v>15936.0</v>
      </c>
      <c r="Y14" s="24"/>
      <c r="Z14" s="25" t="n">
        <f>897103</f>
        <v>897103.0</v>
      </c>
      <c r="AA14" s="23"/>
      <c r="AB14" s="25" t="n">
        <f>541999</f>
        <v>541999.0</v>
      </c>
      <c r="AC14" s="23"/>
      <c r="AD14" s="26" t="n">
        <f>1439102</f>
        <v>1439102.0</v>
      </c>
    </row>
    <row r="15">
      <c r="A15" s="30" t="s">
        <v>35</v>
      </c>
      <c r="B15" s="22" t="s">
        <v>27</v>
      </c>
      <c r="C15" s="22" t="s">
        <v>28</v>
      </c>
      <c r="D15" s="24"/>
      <c r="E15" s="25"/>
      <c r="F15" s="23"/>
      <c r="G15" s="25"/>
      <c r="H15" s="23"/>
      <c r="I15" s="26"/>
      <c r="J15" s="24"/>
      <c r="K15" s="25"/>
      <c r="L15" s="23"/>
      <c r="M15" s="25"/>
      <c r="N15" s="23"/>
      <c r="O15" s="26"/>
      <c r="P15" s="27"/>
      <c r="Q15" s="28"/>
      <c r="R15" s="29"/>
      <c r="S15" s="24"/>
      <c r="T15" s="25"/>
      <c r="U15" s="23"/>
      <c r="V15" s="25"/>
      <c r="W15" s="23"/>
      <c r="X15" s="26"/>
      <c r="Y15" s="24"/>
      <c r="Z15" s="25"/>
      <c r="AA15" s="23"/>
      <c r="AB15" s="25"/>
      <c r="AC15" s="23"/>
      <c r="AD15" s="26"/>
    </row>
    <row r="16">
      <c r="A16" s="30" t="s">
        <v>36</v>
      </c>
      <c r="B16" s="22" t="s">
        <v>27</v>
      </c>
      <c r="C16" s="22" t="s">
        <v>28</v>
      </c>
      <c r="D16" s="24"/>
      <c r="E16" s="25"/>
      <c r="F16" s="23"/>
      <c r="G16" s="25"/>
      <c r="H16" s="23"/>
      <c r="I16" s="26"/>
      <c r="J16" s="24"/>
      <c r="K16" s="25"/>
      <c r="L16" s="23"/>
      <c r="M16" s="25"/>
      <c r="N16" s="23"/>
      <c r="O16" s="26"/>
      <c r="P16" s="27"/>
      <c r="Q16" s="28"/>
      <c r="R16" s="29"/>
      <c r="S16" s="24"/>
      <c r="T16" s="25"/>
      <c r="U16" s="23"/>
      <c r="V16" s="25"/>
      <c r="W16" s="23"/>
      <c r="X16" s="26"/>
      <c r="Y16" s="24"/>
      <c r="Z16" s="25"/>
      <c r="AA16" s="23"/>
      <c r="AB16" s="25"/>
      <c r="AC16" s="23"/>
      <c r="AD16" s="26"/>
    </row>
    <row r="17">
      <c r="A17" s="30" t="s">
        <v>37</v>
      </c>
      <c r="B17" s="22" t="s">
        <v>27</v>
      </c>
      <c r="C17" s="22" t="s">
        <v>28</v>
      </c>
      <c r="D17" s="24"/>
      <c r="E17" s="25" t="n">
        <f>82070</f>
        <v>82070.0</v>
      </c>
      <c r="F17" s="23" t="s">
        <v>33</v>
      </c>
      <c r="G17" s="25" t="n">
        <f>81396</f>
        <v>81396.0</v>
      </c>
      <c r="H17" s="23"/>
      <c r="I17" s="26" t="n">
        <f>163466</f>
        <v>163466.0</v>
      </c>
      <c r="J17" s="24"/>
      <c r="K17" s="25" t="n">
        <f>13334161390</f>
        <v>1.333416139E10</v>
      </c>
      <c r="L17" s="23"/>
      <c r="M17" s="25" t="n">
        <f>23243909090</f>
        <v>2.324390909E10</v>
      </c>
      <c r="N17" s="23"/>
      <c r="O17" s="26" t="n">
        <f>36578070480</f>
        <v>3.657807048E10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11018</f>
        <v>11018.0</v>
      </c>
      <c r="U17" s="23"/>
      <c r="V17" s="25" t="n">
        <f>15624</f>
        <v>15624.0</v>
      </c>
      <c r="W17" s="23"/>
      <c r="X17" s="26" t="n">
        <f>26642</f>
        <v>26642.0</v>
      </c>
      <c r="Y17" s="24"/>
      <c r="Z17" s="25" t="n">
        <f>912971</f>
        <v>912971.0</v>
      </c>
      <c r="AA17" s="23"/>
      <c r="AB17" s="25" t="n">
        <f>549006</f>
        <v>549006.0</v>
      </c>
      <c r="AC17" s="23"/>
      <c r="AD17" s="26" t="n">
        <f>1461977</f>
        <v>1461977.0</v>
      </c>
    </row>
    <row r="18">
      <c r="A18" s="30" t="s">
        <v>38</v>
      </c>
      <c r="B18" s="22" t="s">
        <v>27</v>
      </c>
      <c r="C18" s="22" t="s">
        <v>28</v>
      </c>
      <c r="D18" s="24"/>
      <c r="E18" s="25" t="n">
        <f>74410</f>
        <v>74410.0</v>
      </c>
      <c r="F18" s="23"/>
      <c r="G18" s="25" t="n">
        <f>59395</f>
        <v>59395.0</v>
      </c>
      <c r="H18" s="23"/>
      <c r="I18" s="26" t="n">
        <f>133805</f>
        <v>133805.0</v>
      </c>
      <c r="J18" s="24"/>
      <c r="K18" s="25" t="n">
        <f>19619452840</f>
        <v>1.961945284E10</v>
      </c>
      <c r="L18" s="23"/>
      <c r="M18" s="25" t="n">
        <f>12812597000</f>
        <v>1.2812597E10</v>
      </c>
      <c r="N18" s="23"/>
      <c r="O18" s="26" t="n">
        <f>32432049840</f>
        <v>3.243204984E10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14823</f>
        <v>14823.0</v>
      </c>
      <c r="U18" s="23"/>
      <c r="V18" s="25" t="n">
        <f>11733</f>
        <v>11733.0</v>
      </c>
      <c r="W18" s="23"/>
      <c r="X18" s="26" t="n">
        <f>26556</f>
        <v>26556.0</v>
      </c>
      <c r="Y18" s="24"/>
      <c r="Z18" s="25" t="n">
        <f>930006</f>
        <v>930006.0</v>
      </c>
      <c r="AA18" s="23"/>
      <c r="AB18" s="25" t="n">
        <f>553164</f>
        <v>553164.0</v>
      </c>
      <c r="AC18" s="23"/>
      <c r="AD18" s="26" t="n">
        <f>1483170</f>
        <v>1483170.0</v>
      </c>
    </row>
    <row r="19">
      <c r="A19" s="30" t="s">
        <v>39</v>
      </c>
      <c r="B19" s="22" t="s">
        <v>27</v>
      </c>
      <c r="C19" s="22" t="s">
        <v>28</v>
      </c>
      <c r="D19" s="24"/>
      <c r="E19" s="25" t="n">
        <f>68319</f>
        <v>68319.0</v>
      </c>
      <c r="F19" s="23"/>
      <c r="G19" s="25" t="n">
        <f>60366</f>
        <v>60366.0</v>
      </c>
      <c r="H19" s="23"/>
      <c r="I19" s="26" t="n">
        <f>128685</f>
        <v>128685.0</v>
      </c>
      <c r="J19" s="24"/>
      <c r="K19" s="25" t="n">
        <f>12988340900</f>
        <v>1.29883409E10</v>
      </c>
      <c r="L19" s="23"/>
      <c r="M19" s="25" t="n">
        <f>18469369496</f>
        <v>1.8469369496E10</v>
      </c>
      <c r="N19" s="23"/>
      <c r="O19" s="26" t="n">
        <f>31457710396</f>
        <v>3.1457710396E10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13177</f>
        <v>13177.0</v>
      </c>
      <c r="U19" s="23"/>
      <c r="V19" s="25" t="n">
        <f>13214</f>
        <v>13214.0</v>
      </c>
      <c r="W19" s="23"/>
      <c r="X19" s="26" t="n">
        <f>26391</f>
        <v>26391.0</v>
      </c>
      <c r="Y19" s="24" t="s">
        <v>33</v>
      </c>
      <c r="Z19" s="25" t="n">
        <f>948111</f>
        <v>948111.0</v>
      </c>
      <c r="AA19" s="23"/>
      <c r="AB19" s="25" t="n">
        <f>561775</f>
        <v>561775.0</v>
      </c>
      <c r="AC19" s="23" t="s">
        <v>33</v>
      </c>
      <c r="AD19" s="26" t="n">
        <f>1509886</f>
        <v>1509886.0</v>
      </c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 t="s">
        <v>32</v>
      </c>
      <c r="E21" s="25" t="n">
        <f>45492</f>
        <v>45492.0</v>
      </c>
      <c r="F21" s="23" t="s">
        <v>32</v>
      </c>
      <c r="G21" s="25" t="n">
        <f>22170</f>
        <v>22170.0</v>
      </c>
      <c r="H21" s="23" t="s">
        <v>32</v>
      </c>
      <c r="I21" s="26" t="n">
        <f>67662</f>
        <v>67662.0</v>
      </c>
      <c r="J21" s="24"/>
      <c r="K21" s="25" t="n">
        <f>11655475500</f>
        <v>1.16554755E10</v>
      </c>
      <c r="L21" s="23"/>
      <c r="M21" s="25" t="n">
        <f>7151075350</f>
        <v>7.15107535E9</v>
      </c>
      <c r="N21" s="23"/>
      <c r="O21" s="26" t="n">
        <f>18806550850</f>
        <v>1.880655085E10</v>
      </c>
      <c r="P21" s="27" t="n">
        <f>79</f>
        <v>79.0</v>
      </c>
      <c r="Q21" s="28" t="n">
        <f>43867</f>
        <v>43867.0</v>
      </c>
      <c r="R21" s="29" t="n">
        <f>43946</f>
        <v>43946.0</v>
      </c>
      <c r="S21" s="24" t="s">
        <v>32</v>
      </c>
      <c r="T21" s="25" t="n">
        <f>3463</f>
        <v>3463.0</v>
      </c>
      <c r="U21" s="23" t="s">
        <v>32</v>
      </c>
      <c r="V21" s="25" t="n">
        <f>3829</f>
        <v>3829.0</v>
      </c>
      <c r="W21" s="23" t="s">
        <v>32</v>
      </c>
      <c r="X21" s="26" t="n">
        <f>7292</f>
        <v>7292.0</v>
      </c>
      <c r="Y21" s="24" t="s">
        <v>32</v>
      </c>
      <c r="Z21" s="25" t="n">
        <f>813632</f>
        <v>813632.0</v>
      </c>
      <c r="AA21" s="23" t="s">
        <v>32</v>
      </c>
      <c r="AB21" s="25" t="n">
        <f>505646</f>
        <v>505646.0</v>
      </c>
      <c r="AC21" s="23" t="s">
        <v>32</v>
      </c>
      <c r="AD21" s="26" t="n">
        <f>1319278</f>
        <v>1319278.0</v>
      </c>
    </row>
    <row r="22">
      <c r="A22" s="30" t="s">
        <v>42</v>
      </c>
      <c r="B22" s="22" t="s">
        <v>27</v>
      </c>
      <c r="C22" s="22" t="s">
        <v>28</v>
      </c>
      <c r="D22" s="24"/>
      <c r="E22" s="25"/>
      <c r="F22" s="23"/>
      <c r="G22" s="25"/>
      <c r="H22" s="23"/>
      <c r="I22" s="26"/>
      <c r="J22" s="24"/>
      <c r="K22" s="25"/>
      <c r="L22" s="23"/>
      <c r="M22" s="25"/>
      <c r="N22" s="23"/>
      <c r="O22" s="26"/>
      <c r="P22" s="27"/>
      <c r="Q22" s="28"/>
      <c r="R22" s="29"/>
      <c r="S22" s="24"/>
      <c r="T22" s="25"/>
      <c r="U22" s="23"/>
      <c r="V22" s="25"/>
      <c r="W22" s="23"/>
      <c r="X22" s="26"/>
      <c r="Y22" s="24"/>
      <c r="Z22" s="25"/>
      <c r="AA22" s="23"/>
      <c r="AB22" s="25"/>
      <c r="AC22" s="23"/>
      <c r="AD22" s="26"/>
    </row>
    <row r="23">
      <c r="A23" s="30" t="s">
        <v>43</v>
      </c>
      <c r="B23" s="22" t="s">
        <v>27</v>
      </c>
      <c r="C23" s="22" t="s">
        <v>28</v>
      </c>
      <c r="D23" s="24"/>
      <c r="E23" s="25"/>
      <c r="F23" s="23"/>
      <c r="G23" s="25"/>
      <c r="H23" s="23"/>
      <c r="I23" s="26"/>
      <c r="J23" s="24"/>
      <c r="K23" s="25"/>
      <c r="L23" s="23"/>
      <c r="M23" s="25"/>
      <c r="N23" s="23"/>
      <c r="O23" s="26"/>
      <c r="P23" s="27"/>
      <c r="Q23" s="28"/>
      <c r="R23" s="29"/>
      <c r="S23" s="24"/>
      <c r="T23" s="25"/>
      <c r="U23" s="23"/>
      <c r="V23" s="25"/>
      <c r="W23" s="23"/>
      <c r="X23" s="26"/>
      <c r="Y23" s="24"/>
      <c r="Z23" s="25"/>
      <c r="AA23" s="23"/>
      <c r="AB23" s="25"/>
      <c r="AC23" s="23"/>
      <c r="AD23" s="26"/>
    </row>
    <row r="24">
      <c r="A24" s="30" t="s">
        <v>44</v>
      </c>
      <c r="B24" s="22" t="s">
        <v>27</v>
      </c>
      <c r="C24" s="22" t="s">
        <v>28</v>
      </c>
      <c r="D24" s="24"/>
      <c r="E24" s="25" t="n">
        <f>67453</f>
        <v>67453.0</v>
      </c>
      <c r="F24" s="23"/>
      <c r="G24" s="25" t="n">
        <f>53987</f>
        <v>53987.0</v>
      </c>
      <c r="H24" s="23"/>
      <c r="I24" s="26" t="n">
        <f>121440</f>
        <v>121440.0</v>
      </c>
      <c r="J24" s="24"/>
      <c r="K24" s="25" t="n">
        <f>16433989300</f>
        <v>1.64339893E10</v>
      </c>
      <c r="L24" s="23"/>
      <c r="M24" s="25" t="n">
        <f>23989730400</f>
        <v>2.39897304E10</v>
      </c>
      <c r="N24" s="23"/>
      <c r="O24" s="26" t="n">
        <f>40423719700</f>
        <v>4.04237197E10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10190</f>
        <v>10190.0</v>
      </c>
      <c r="U24" s="23"/>
      <c r="V24" s="25" t="n">
        <f>17705</f>
        <v>17705.0</v>
      </c>
      <c r="W24" s="23"/>
      <c r="X24" s="26" t="n">
        <f>27895</f>
        <v>27895.0</v>
      </c>
      <c r="Y24" s="24"/>
      <c r="Z24" s="25" t="n">
        <f>827315</f>
        <v>827315.0</v>
      </c>
      <c r="AA24" s="23"/>
      <c r="AB24" s="25" t="n">
        <f>511788</f>
        <v>511788.0</v>
      </c>
      <c r="AC24" s="23"/>
      <c r="AD24" s="26" t="n">
        <f>1339103</f>
        <v>1339103.0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63046</f>
        <v>63046.0</v>
      </c>
      <c r="F25" s="23"/>
      <c r="G25" s="25" t="n">
        <f>69079</f>
        <v>69079.0</v>
      </c>
      <c r="H25" s="23"/>
      <c r="I25" s="26" t="n">
        <f>132125</f>
        <v>132125.0</v>
      </c>
      <c r="J25" s="24"/>
      <c r="K25" s="25" t="n">
        <f>16016216000</f>
        <v>1.6016216E10</v>
      </c>
      <c r="L25" s="23" t="s">
        <v>33</v>
      </c>
      <c r="M25" s="25" t="n">
        <f>27178223170</f>
        <v>2.717822317E10</v>
      </c>
      <c r="N25" s="23"/>
      <c r="O25" s="26" t="n">
        <f>43194439170</f>
        <v>4.319443917E10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12706</f>
        <v>12706.0</v>
      </c>
      <c r="U25" s="23" t="s">
        <v>33</v>
      </c>
      <c r="V25" s="25" t="n">
        <f>20588</f>
        <v>20588.0</v>
      </c>
      <c r="W25" s="23" t="s">
        <v>33</v>
      </c>
      <c r="X25" s="26" t="n">
        <f>33294</f>
        <v>33294.0</v>
      </c>
      <c r="Y25" s="24"/>
      <c r="Z25" s="25" t="n">
        <f>836934</f>
        <v>836934.0</v>
      </c>
      <c r="AA25" s="23"/>
      <c r="AB25" s="25" t="n">
        <f>524598</f>
        <v>524598.0</v>
      </c>
      <c r="AC25" s="23"/>
      <c r="AD25" s="26" t="n">
        <f>1361532</f>
        <v>1361532.0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54122</f>
        <v>54122.0</v>
      </c>
      <c r="F26" s="23"/>
      <c r="G26" s="25" t="n">
        <f>38444</f>
        <v>38444.0</v>
      </c>
      <c r="H26" s="23"/>
      <c r="I26" s="26" t="n">
        <f>92566</f>
        <v>92566.0</v>
      </c>
      <c r="J26" s="24"/>
      <c r="K26" s="25" t="n">
        <f>17070692236</f>
        <v>1.7070692236E10</v>
      </c>
      <c r="L26" s="23"/>
      <c r="M26" s="25" t="n">
        <f>18961714580</f>
        <v>1.896171458E10</v>
      </c>
      <c r="N26" s="23"/>
      <c r="O26" s="26" t="n">
        <f>36032406816</f>
        <v>3.6032406816E10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10534</f>
        <v>10534.0</v>
      </c>
      <c r="U26" s="23"/>
      <c r="V26" s="25" t="n">
        <f>7135</f>
        <v>7135.0</v>
      </c>
      <c r="W26" s="23"/>
      <c r="X26" s="26" t="n">
        <f>17669</f>
        <v>17669.0</v>
      </c>
      <c r="Y26" s="24"/>
      <c r="Z26" s="25" t="n">
        <f>846125</f>
        <v>846125.0</v>
      </c>
      <c r="AA26" s="23"/>
      <c r="AB26" s="25" t="n">
        <f>530063</f>
        <v>530063.0</v>
      </c>
      <c r="AC26" s="23"/>
      <c r="AD26" s="26" t="n">
        <f>1376188</f>
        <v>1376188.0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84200</f>
        <v>84200.0</v>
      </c>
      <c r="F27" s="23"/>
      <c r="G27" s="25" t="n">
        <f>40409</f>
        <v>40409.0</v>
      </c>
      <c r="H27" s="23"/>
      <c r="I27" s="26" t="n">
        <f>124609</f>
        <v>124609.0</v>
      </c>
      <c r="J27" s="24"/>
      <c r="K27" s="25" t="n">
        <f>23366593621</f>
        <v>2.3366593621E10</v>
      </c>
      <c r="L27" s="23"/>
      <c r="M27" s="25" t="n">
        <f>14724536000</f>
        <v>1.4724536E10</v>
      </c>
      <c r="N27" s="23"/>
      <c r="O27" s="26" t="n">
        <f>38091129621</f>
        <v>3.8091129621E10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20074</f>
        <v>20074.0</v>
      </c>
      <c r="U27" s="23"/>
      <c r="V27" s="25" t="n">
        <f>5758</f>
        <v>5758.0</v>
      </c>
      <c r="W27" s="23"/>
      <c r="X27" s="26" t="n">
        <f>25832</f>
        <v>25832.0</v>
      </c>
      <c r="Y27" s="24"/>
      <c r="Z27" s="25" t="n">
        <f>859751</f>
        <v>859751.0</v>
      </c>
      <c r="AA27" s="23"/>
      <c r="AB27" s="25" t="n">
        <f>535083</f>
        <v>535083.0</v>
      </c>
      <c r="AC27" s="23"/>
      <c r="AD27" s="26" t="n">
        <f>1394834</f>
        <v>1394834.0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78934</f>
        <v>78934.0</v>
      </c>
      <c r="F28" s="23"/>
      <c r="G28" s="25" t="n">
        <f>49515</f>
        <v>49515.0</v>
      </c>
      <c r="H28" s="23"/>
      <c r="I28" s="26" t="n">
        <f>128449</f>
        <v>128449.0</v>
      </c>
      <c r="J28" s="24"/>
      <c r="K28" s="25" t="n">
        <f>26778146000</f>
        <v>2.6778146E10</v>
      </c>
      <c r="L28" s="23"/>
      <c r="M28" s="25" t="n">
        <f>22651515900</f>
        <v>2.26515159E10</v>
      </c>
      <c r="N28" s="23" t="s">
        <v>33</v>
      </c>
      <c r="O28" s="26" t="n">
        <f>49429661900</f>
        <v>4.94296619E10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8540</f>
        <v>8540.0</v>
      </c>
      <c r="U28" s="23"/>
      <c r="V28" s="25" t="n">
        <f>12095</f>
        <v>12095.0</v>
      </c>
      <c r="W28" s="23"/>
      <c r="X28" s="26" t="n">
        <f>20635</f>
        <v>20635.0</v>
      </c>
      <c r="Y28" s="24"/>
      <c r="Z28" s="25" t="n">
        <f>878293</f>
        <v>878293.0</v>
      </c>
      <c r="AA28" s="23"/>
      <c r="AB28" s="25" t="n">
        <f>543317</f>
        <v>543317.0</v>
      </c>
      <c r="AC28" s="23"/>
      <c r="AD28" s="26" t="n">
        <f>1421610</f>
        <v>1421610.0</v>
      </c>
    </row>
    <row r="29">
      <c r="A29" s="30" t="s">
        <v>49</v>
      </c>
      <c r="B29" s="22" t="s">
        <v>27</v>
      </c>
      <c r="C29" s="22" t="s">
        <v>28</v>
      </c>
      <c r="D29" s="24"/>
      <c r="E29" s="25"/>
      <c r="F29" s="23"/>
      <c r="G29" s="25"/>
      <c r="H29" s="23"/>
      <c r="I29" s="26"/>
      <c r="J29" s="24"/>
      <c r="K29" s="25"/>
      <c r="L29" s="23"/>
      <c r="M29" s="25"/>
      <c r="N29" s="23"/>
      <c r="O29" s="26"/>
      <c r="P29" s="27"/>
      <c r="Q29" s="28"/>
      <c r="R29" s="29"/>
      <c r="S29" s="24"/>
      <c r="T29" s="25"/>
      <c r="U29" s="23"/>
      <c r="V29" s="25"/>
      <c r="W29" s="23"/>
      <c r="X29" s="26"/>
      <c r="Y29" s="24"/>
      <c r="Z29" s="25"/>
      <c r="AA29" s="23"/>
      <c r="AB29" s="25"/>
      <c r="AC29" s="23"/>
      <c r="AD29" s="26"/>
    </row>
    <row r="30">
      <c r="A30" s="30" t="s">
        <v>50</v>
      </c>
      <c r="B30" s="22" t="s">
        <v>27</v>
      </c>
      <c r="C30" s="22" t="s">
        <v>28</v>
      </c>
      <c r="D30" s="24"/>
      <c r="E30" s="25"/>
      <c r="F30" s="23"/>
      <c r="G30" s="25"/>
      <c r="H30" s="23"/>
      <c r="I30" s="26"/>
      <c r="J30" s="24"/>
      <c r="K30" s="25"/>
      <c r="L30" s="23"/>
      <c r="M30" s="25"/>
      <c r="N30" s="23"/>
      <c r="O30" s="26"/>
      <c r="P30" s="27"/>
      <c r="Q30" s="28"/>
      <c r="R30" s="29"/>
      <c r="S30" s="24"/>
      <c r="T30" s="25"/>
      <c r="U30" s="23"/>
      <c r="V30" s="25"/>
      <c r="W30" s="23"/>
      <c r="X30" s="26"/>
      <c r="Y30" s="24"/>
      <c r="Z30" s="25"/>
      <c r="AA30" s="23"/>
      <c r="AB30" s="25"/>
      <c r="AC30" s="23"/>
      <c r="AD30" s="26"/>
    </row>
    <row r="31">
      <c r="A31" s="30" t="s">
        <v>51</v>
      </c>
      <c r="B31" s="22" t="s">
        <v>27</v>
      </c>
      <c r="C31" s="22" t="s">
        <v>28</v>
      </c>
      <c r="D31" s="24"/>
      <c r="E31" s="25" t="n">
        <f>55429</f>
        <v>55429.0</v>
      </c>
      <c r="F31" s="23"/>
      <c r="G31" s="25" t="n">
        <f>39954</f>
        <v>39954.0</v>
      </c>
      <c r="H31" s="23"/>
      <c r="I31" s="26" t="n">
        <f>95383</f>
        <v>95383.0</v>
      </c>
      <c r="J31" s="24"/>
      <c r="K31" s="25" t="n">
        <f>13979496000</f>
        <v>1.3979496E10</v>
      </c>
      <c r="L31" s="23"/>
      <c r="M31" s="25" t="n">
        <f>8460238000</f>
        <v>8.460238E9</v>
      </c>
      <c r="N31" s="23"/>
      <c r="O31" s="26" t="n">
        <f>22439734000</f>
        <v>2.2439734E10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5267</f>
        <v>5267.0</v>
      </c>
      <c r="U31" s="23"/>
      <c r="V31" s="25" t="n">
        <f>5406</f>
        <v>5406.0</v>
      </c>
      <c r="W31" s="23"/>
      <c r="X31" s="26" t="n">
        <f>10673</f>
        <v>10673.0</v>
      </c>
      <c r="Y31" s="24"/>
      <c r="Z31" s="25" t="n">
        <f>882470</f>
        <v>882470.0</v>
      </c>
      <c r="AA31" s="23"/>
      <c r="AB31" s="25" t="n">
        <f>545409</f>
        <v>545409.0</v>
      </c>
      <c r="AC31" s="23"/>
      <c r="AD31" s="26" t="n">
        <f>1427879</f>
        <v>1427879.0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 t="n">
        <f>61553</f>
        <v>61553.0</v>
      </c>
      <c r="F33" s="23"/>
      <c r="G33" s="25" t="n">
        <f>35946</f>
        <v>35946.0</v>
      </c>
      <c r="H33" s="23"/>
      <c r="I33" s="26" t="n">
        <f>97499</f>
        <v>97499.0</v>
      </c>
      <c r="J33" s="24"/>
      <c r="K33" s="25" t="n">
        <f>17754316700</f>
        <v>1.77543167E10</v>
      </c>
      <c r="L33" s="23"/>
      <c r="M33" s="25" t="n">
        <f>8896828731</f>
        <v>8.896828731E9</v>
      </c>
      <c r="N33" s="23"/>
      <c r="O33" s="26" t="n">
        <f>26651145431</f>
        <v>2.6651145431E10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8812</f>
        <v>8812.0</v>
      </c>
      <c r="U33" s="23"/>
      <c r="V33" s="25" t="n">
        <f>3993</f>
        <v>3993.0</v>
      </c>
      <c r="W33" s="23"/>
      <c r="X33" s="26" t="n">
        <f>12805</f>
        <v>12805.0</v>
      </c>
      <c r="Y33" s="24"/>
      <c r="Z33" s="25" t="n">
        <f>890749</f>
        <v>890749.0</v>
      </c>
      <c r="AA33" s="23"/>
      <c r="AB33" s="25" t="n">
        <f>551766</f>
        <v>551766.0</v>
      </c>
      <c r="AC33" s="23"/>
      <c r="AD33" s="26" t="n">
        <f>1442515</f>
        <v>1442515.0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53913</f>
        <v>53913.0</v>
      </c>
      <c r="F34" s="23"/>
      <c r="G34" s="25" t="n">
        <f>35052</f>
        <v>35052.0</v>
      </c>
      <c r="H34" s="23"/>
      <c r="I34" s="26" t="n">
        <f>88965</f>
        <v>88965.0</v>
      </c>
      <c r="J34" s="24"/>
      <c r="K34" s="25" t="n">
        <f>10664911850</f>
        <v>1.066491185E10</v>
      </c>
      <c r="L34" s="23"/>
      <c r="M34" s="25" t="n">
        <f>7681412000</f>
        <v>7.681412E9</v>
      </c>
      <c r="N34" s="23" t="s">
        <v>32</v>
      </c>
      <c r="O34" s="26" t="n">
        <f>18346323850</f>
        <v>1.834632385E10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6707</f>
        <v>6707.0</v>
      </c>
      <c r="U34" s="23"/>
      <c r="V34" s="25" t="n">
        <f>5942</f>
        <v>5942.0</v>
      </c>
      <c r="W34" s="23"/>
      <c r="X34" s="26" t="n">
        <f>12649</f>
        <v>12649.0</v>
      </c>
      <c r="Y34" s="24"/>
      <c r="Z34" s="25" t="n">
        <f>898059</f>
        <v>898059.0</v>
      </c>
      <c r="AA34" s="23"/>
      <c r="AB34" s="25" t="n">
        <f>554416</f>
        <v>554416.0</v>
      </c>
      <c r="AC34" s="23"/>
      <c r="AD34" s="26" t="n">
        <f>1452475</f>
        <v>1452475.0</v>
      </c>
    </row>
    <row r="35">
      <c r="A35" s="30" t="s">
        <v>55</v>
      </c>
      <c r="B35" s="22" t="s">
        <v>27</v>
      </c>
      <c r="C35" s="22" t="s">
        <v>28</v>
      </c>
      <c r="D35" s="24" t="s">
        <v>33</v>
      </c>
      <c r="E35" s="25" t="n">
        <f>107839</f>
        <v>107839.0</v>
      </c>
      <c r="F35" s="23"/>
      <c r="G35" s="25" t="n">
        <f>61976</f>
        <v>61976.0</v>
      </c>
      <c r="H35" s="23" t="s">
        <v>33</v>
      </c>
      <c r="I35" s="26" t="n">
        <f>169815</f>
        <v>169815.0</v>
      </c>
      <c r="J35" s="24" t="s">
        <v>33</v>
      </c>
      <c r="K35" s="25" t="n">
        <f>28974613730</f>
        <v>2.897461373E10</v>
      </c>
      <c r="L35" s="23"/>
      <c r="M35" s="25" t="n">
        <f>13949834280</f>
        <v>1.394983428E10</v>
      </c>
      <c r="N35" s="23"/>
      <c r="O35" s="26" t="n">
        <f>42924448010</f>
        <v>4.292444801E10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16867</f>
        <v>16867.0</v>
      </c>
      <c r="U35" s="23"/>
      <c r="V35" s="25" t="n">
        <f>12344</f>
        <v>12344.0</v>
      </c>
      <c r="W35" s="23"/>
      <c r="X35" s="26" t="n">
        <f>29211</f>
        <v>29211.0</v>
      </c>
      <c r="Y35" s="24"/>
      <c r="Z35" s="25" t="n">
        <f>908204</f>
        <v>908204.0</v>
      </c>
      <c r="AA35" s="23" t="s">
        <v>33</v>
      </c>
      <c r="AB35" s="25" t="n">
        <f>564992</f>
        <v>564992.0</v>
      </c>
      <c r="AC35" s="23"/>
      <c r="AD35" s="26" t="n">
        <f>1473196</f>
        <v>1473196.0</v>
      </c>
    </row>
    <row r="36">
      <c r="A36" s="30" t="s">
        <v>56</v>
      </c>
      <c r="B36" s="22" t="s">
        <v>27</v>
      </c>
      <c r="C36" s="22" t="s">
        <v>28</v>
      </c>
      <c r="D36" s="24"/>
      <c r="E36" s="25"/>
      <c r="F36" s="23"/>
      <c r="G36" s="25"/>
      <c r="H36" s="23"/>
      <c r="I36" s="26"/>
      <c r="J36" s="24"/>
      <c r="K36" s="25"/>
      <c r="L36" s="23"/>
      <c r="M36" s="25"/>
      <c r="N36" s="23"/>
      <c r="O36" s="26"/>
      <c r="P36" s="27"/>
      <c r="Q36" s="28"/>
      <c r="R36" s="29"/>
      <c r="S36" s="24"/>
      <c r="T36" s="25"/>
      <c r="U36" s="23"/>
      <c r="V36" s="25"/>
      <c r="W36" s="23"/>
      <c r="X36" s="26"/>
      <c r="Y36" s="24"/>
      <c r="Z36" s="25"/>
      <c r="AA36" s="23"/>
      <c r="AB36" s="25"/>
      <c r="AC36" s="23"/>
      <c r="AD36" s="26"/>
    </row>
    <row r="37">
      <c r="A37" s="30" t="s">
        <v>57</v>
      </c>
      <c r="B37" s="22" t="s">
        <v>27</v>
      </c>
      <c r="C37" s="22" t="s">
        <v>28</v>
      </c>
      <c r="D37" s="24"/>
      <c r="E37" s="25"/>
      <c r="F37" s="23"/>
      <c r="G37" s="25"/>
      <c r="H37" s="23"/>
      <c r="I37" s="26"/>
      <c r="J37" s="24"/>
      <c r="K37" s="25"/>
      <c r="L37" s="23"/>
      <c r="M37" s="25"/>
      <c r="N37" s="23"/>
      <c r="O37" s="26"/>
      <c r="P37" s="27"/>
      <c r="Q37" s="28"/>
      <c r="R37" s="29"/>
      <c r="S37" s="24"/>
      <c r="T37" s="25"/>
      <c r="U37" s="23"/>
      <c r="V37" s="25"/>
      <c r="W37" s="23"/>
      <c r="X37" s="26"/>
      <c r="Y37" s="24"/>
      <c r="Z37" s="25"/>
      <c r="AA37" s="23"/>
      <c r="AB37" s="25"/>
      <c r="AC37" s="23"/>
      <c r="AD37" s="26"/>
    </row>
    <row r="38">
      <c r="A38" s="30" t="s">
        <v>26</v>
      </c>
      <c r="B38" s="22" t="s">
        <v>58</v>
      </c>
      <c r="C38" s="22" t="s">
        <v>59</v>
      </c>
      <c r="D38" s="24"/>
      <c r="E38" s="25" t="n">
        <f>613</f>
        <v>613.0</v>
      </c>
      <c r="F38" s="23"/>
      <c r="G38" s="25" t="n">
        <f>869</f>
        <v>869.0</v>
      </c>
      <c r="H38" s="23"/>
      <c r="I38" s="26" t="n">
        <f>1482</f>
        <v>1482.0</v>
      </c>
      <c r="J38" s="24"/>
      <c r="K38" s="25" t="n">
        <f>46387000</f>
        <v>4.6387E7</v>
      </c>
      <c r="L38" s="23"/>
      <c r="M38" s="25" t="n">
        <f>35627000</f>
        <v>3.5627E7</v>
      </c>
      <c r="N38" s="23"/>
      <c r="O38" s="26" t="n">
        <f>82014000</f>
        <v>8.2014E7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45</f>
        <v>45.0</v>
      </c>
      <c r="U38" s="23"/>
      <c r="V38" s="25" t="n">
        <f>88</f>
        <v>88.0</v>
      </c>
      <c r="W38" s="23"/>
      <c r="X38" s="26" t="n">
        <f>133</f>
        <v>133.0</v>
      </c>
      <c r="Y38" s="24"/>
      <c r="Z38" s="25" t="n">
        <f>818</f>
        <v>818.0</v>
      </c>
      <c r="AA38" s="23"/>
      <c r="AB38" s="25" t="n">
        <f>1701</f>
        <v>1701.0</v>
      </c>
      <c r="AC38" s="23"/>
      <c r="AD38" s="26" t="n">
        <f>2519</f>
        <v>2519.0</v>
      </c>
    </row>
    <row r="39">
      <c r="A39" s="30" t="s">
        <v>29</v>
      </c>
      <c r="B39" s="22" t="s">
        <v>58</v>
      </c>
      <c r="C39" s="22" t="s">
        <v>59</v>
      </c>
      <c r="D39" s="24"/>
      <c r="E39" s="25" t="n">
        <f>1030</f>
        <v>1030.0</v>
      </c>
      <c r="F39" s="23"/>
      <c r="G39" s="25" t="n">
        <f>663</f>
        <v>663.0</v>
      </c>
      <c r="H39" s="23"/>
      <c r="I39" s="26" t="n">
        <f>1693</f>
        <v>1693.0</v>
      </c>
      <c r="J39" s="24"/>
      <c r="K39" s="25" t="n">
        <f>34677000</f>
        <v>3.4677E7</v>
      </c>
      <c r="L39" s="23"/>
      <c r="M39" s="25" t="n">
        <f>35963000</f>
        <v>3.5963E7</v>
      </c>
      <c r="N39" s="23"/>
      <c r="O39" s="26" t="n">
        <f>70640000</f>
        <v>7.064E7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141</f>
        <v>141.0</v>
      </c>
      <c r="U39" s="23"/>
      <c r="V39" s="25" t="n">
        <f>46</f>
        <v>46.0</v>
      </c>
      <c r="W39" s="23"/>
      <c r="X39" s="26" t="n">
        <f>187</f>
        <v>187.0</v>
      </c>
      <c r="Y39" s="24"/>
      <c r="Z39" s="25" t="n">
        <f>1099</f>
        <v>1099.0</v>
      </c>
      <c r="AA39" s="23"/>
      <c r="AB39" s="25" t="n">
        <f>1955</f>
        <v>1955.0</v>
      </c>
      <c r="AC39" s="23"/>
      <c r="AD39" s="26" t="n">
        <f>3054</f>
        <v>3054.0</v>
      </c>
    </row>
    <row r="40">
      <c r="A40" s="30" t="s">
        <v>30</v>
      </c>
      <c r="B40" s="22" t="s">
        <v>58</v>
      </c>
      <c r="C40" s="22" t="s">
        <v>59</v>
      </c>
      <c r="D40" s="24"/>
      <c r="E40" s="25" t="n">
        <f>1414</f>
        <v>1414.0</v>
      </c>
      <c r="F40" s="23"/>
      <c r="G40" s="25" t="n">
        <f>675</f>
        <v>675.0</v>
      </c>
      <c r="H40" s="23"/>
      <c r="I40" s="26" t="n">
        <f>2089</f>
        <v>2089.0</v>
      </c>
      <c r="J40" s="24"/>
      <c r="K40" s="25" t="n">
        <f>42939000</f>
        <v>4.2939E7</v>
      </c>
      <c r="L40" s="23"/>
      <c r="M40" s="25" t="n">
        <f>42141000</f>
        <v>4.2141E7</v>
      </c>
      <c r="N40" s="23"/>
      <c r="O40" s="26" t="n">
        <f>85080000</f>
        <v>8.508E7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117</f>
        <v>117.0</v>
      </c>
      <c r="U40" s="23"/>
      <c r="V40" s="25" t="n">
        <f>75</f>
        <v>75.0</v>
      </c>
      <c r="W40" s="23"/>
      <c r="X40" s="26" t="n">
        <f>192</f>
        <v>192.0</v>
      </c>
      <c r="Y40" s="24"/>
      <c r="Z40" s="25" t="n">
        <f>1572</f>
        <v>1572.0</v>
      </c>
      <c r="AA40" s="23"/>
      <c r="AB40" s="25" t="n">
        <f>1971</f>
        <v>1971.0</v>
      </c>
      <c r="AC40" s="23"/>
      <c r="AD40" s="26" t="n">
        <f>3543</f>
        <v>3543.0</v>
      </c>
    </row>
    <row r="41">
      <c r="A41" s="30" t="s">
        <v>31</v>
      </c>
      <c r="B41" s="22" t="s">
        <v>58</v>
      </c>
      <c r="C41" s="22" t="s">
        <v>59</v>
      </c>
      <c r="D41" s="24"/>
      <c r="E41" s="25" t="n">
        <f>1819</f>
        <v>1819.0</v>
      </c>
      <c r="F41" s="23"/>
      <c r="G41" s="25" t="n">
        <f>1064</f>
        <v>1064.0</v>
      </c>
      <c r="H41" s="23"/>
      <c r="I41" s="26" t="n">
        <f>2883</f>
        <v>2883.0</v>
      </c>
      <c r="J41" s="24"/>
      <c r="K41" s="25" t="n">
        <f>77556000</f>
        <v>7.7556E7</v>
      </c>
      <c r="L41" s="23"/>
      <c r="M41" s="25" t="n">
        <f>49725000</f>
        <v>4.9725E7</v>
      </c>
      <c r="N41" s="23"/>
      <c r="O41" s="26" t="n">
        <f>127281000</f>
        <v>1.27281E8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167</f>
        <v>167.0</v>
      </c>
      <c r="U41" s="23"/>
      <c r="V41" s="25" t="n">
        <f>189</f>
        <v>189.0</v>
      </c>
      <c r="W41" s="23"/>
      <c r="X41" s="26" t="n">
        <f>356</f>
        <v>356.0</v>
      </c>
      <c r="Y41" s="24"/>
      <c r="Z41" s="25" t="n">
        <f>2197</f>
        <v>2197.0</v>
      </c>
      <c r="AA41" s="23"/>
      <c r="AB41" s="25" t="n">
        <f>2153</f>
        <v>2153.0</v>
      </c>
      <c r="AC41" s="23"/>
      <c r="AD41" s="26" t="n">
        <f>4350</f>
        <v>4350.0</v>
      </c>
    </row>
    <row r="42">
      <c r="A42" s="30" t="s">
        <v>34</v>
      </c>
      <c r="B42" s="22" t="s">
        <v>58</v>
      </c>
      <c r="C42" s="22" t="s">
        <v>59</v>
      </c>
      <c r="D42" s="24" t="s">
        <v>32</v>
      </c>
      <c r="E42" s="25" t="n">
        <f>86</f>
        <v>86.0</v>
      </c>
      <c r="F42" s="23"/>
      <c r="G42" s="25" t="n">
        <f>361</f>
        <v>361.0</v>
      </c>
      <c r="H42" s="23"/>
      <c r="I42" s="26" t="n">
        <f>447</f>
        <v>447.0</v>
      </c>
      <c r="J42" s="24"/>
      <c r="K42" s="25" t="n">
        <f>31753000</f>
        <v>3.1753E7</v>
      </c>
      <c r="L42" s="23"/>
      <c r="M42" s="25" t="n">
        <f>164604520</f>
        <v>1.6460452E8</v>
      </c>
      <c r="N42" s="23"/>
      <c r="O42" s="26" t="n">
        <f>196357520</f>
        <v>1.9635752E8</v>
      </c>
      <c r="P42" s="27" t="n">
        <f>4</f>
        <v>4.0</v>
      </c>
      <c r="Q42" s="28" t="n">
        <f>492</f>
        <v>492.0</v>
      </c>
      <c r="R42" s="29" t="n">
        <f>496</f>
        <v>496.0</v>
      </c>
      <c r="S42" s="24"/>
      <c r="T42" s="25" t="n">
        <f>53</f>
        <v>53.0</v>
      </c>
      <c r="U42" s="23"/>
      <c r="V42" s="25" t="n">
        <f>310</f>
        <v>310.0</v>
      </c>
      <c r="W42" s="23"/>
      <c r="X42" s="26" t="n">
        <f>363</f>
        <v>363.0</v>
      </c>
      <c r="Y42" s="24" t="s">
        <v>32</v>
      </c>
      <c r="Z42" s="25" t="n">
        <f>146</f>
        <v>146.0</v>
      </c>
      <c r="AA42" s="23" t="s">
        <v>32</v>
      </c>
      <c r="AB42" s="25" t="n">
        <f>871</f>
        <v>871.0</v>
      </c>
      <c r="AC42" s="23" t="s">
        <v>32</v>
      </c>
      <c r="AD42" s="26" t="n">
        <f>1017</f>
        <v>1017.0</v>
      </c>
    </row>
    <row r="43">
      <c r="A43" s="30" t="s">
        <v>35</v>
      </c>
      <c r="B43" s="22" t="s">
        <v>58</v>
      </c>
      <c r="C43" s="22" t="s">
        <v>59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36</v>
      </c>
      <c r="B44" s="22" t="s">
        <v>58</v>
      </c>
      <c r="C44" s="22" t="s">
        <v>59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37</v>
      </c>
      <c r="B45" s="22" t="s">
        <v>58</v>
      </c>
      <c r="C45" s="22" t="s">
        <v>59</v>
      </c>
      <c r="D45" s="24"/>
      <c r="E45" s="25" t="n">
        <f>351</f>
        <v>351.0</v>
      </c>
      <c r="F45" s="23"/>
      <c r="G45" s="25" t="n">
        <f>126</f>
        <v>126.0</v>
      </c>
      <c r="H45" s="23"/>
      <c r="I45" s="26" t="n">
        <f>477</f>
        <v>477.0</v>
      </c>
      <c r="J45" s="24" t="s">
        <v>32</v>
      </c>
      <c r="K45" s="25" t="n">
        <f>18899000</f>
        <v>1.8899E7</v>
      </c>
      <c r="L45" s="23"/>
      <c r="M45" s="25" t="n">
        <f>38783000</f>
        <v>3.8783E7</v>
      </c>
      <c r="N45" s="23"/>
      <c r="O45" s="26" t="n">
        <f>57682000</f>
        <v>5.7682E7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14</f>
        <v>14.0</v>
      </c>
      <c r="U45" s="23"/>
      <c r="V45" s="25" t="n">
        <f>15</f>
        <v>15.0</v>
      </c>
      <c r="W45" s="23"/>
      <c r="X45" s="26" t="n">
        <f>29</f>
        <v>29.0</v>
      </c>
      <c r="Y45" s="24"/>
      <c r="Z45" s="25" t="n">
        <f>431</f>
        <v>431.0</v>
      </c>
      <c r="AA45" s="23"/>
      <c r="AB45" s="25" t="n">
        <f>963</f>
        <v>963.0</v>
      </c>
      <c r="AC45" s="23"/>
      <c r="AD45" s="26" t="n">
        <f>1394</f>
        <v>1394.0</v>
      </c>
    </row>
    <row r="46">
      <c r="A46" s="30" t="s">
        <v>38</v>
      </c>
      <c r="B46" s="22" t="s">
        <v>58</v>
      </c>
      <c r="C46" s="22" t="s">
        <v>59</v>
      </c>
      <c r="D46" s="24"/>
      <c r="E46" s="25" t="n">
        <f>342</f>
        <v>342.0</v>
      </c>
      <c r="F46" s="23" t="s">
        <v>32</v>
      </c>
      <c r="G46" s="25" t="n">
        <f>51</f>
        <v>51.0</v>
      </c>
      <c r="H46" s="23" t="s">
        <v>32</v>
      </c>
      <c r="I46" s="26" t="n">
        <f>393</f>
        <v>393.0</v>
      </c>
      <c r="J46" s="24"/>
      <c r="K46" s="25" t="n">
        <f>35407000</f>
        <v>3.5407E7</v>
      </c>
      <c r="L46" s="23" t="s">
        <v>32</v>
      </c>
      <c r="M46" s="25" t="n">
        <f>10156000</f>
        <v>1.0156E7</v>
      </c>
      <c r="N46" s="23" t="s">
        <v>32</v>
      </c>
      <c r="O46" s="26" t="n">
        <f>45563000</f>
        <v>4.5563E7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 t="s">
        <v>32</v>
      </c>
      <c r="T46" s="25" t="n">
        <f>11</f>
        <v>11.0</v>
      </c>
      <c r="U46" s="23" t="s">
        <v>32</v>
      </c>
      <c r="V46" s="25" t="n">
        <f>7</f>
        <v>7.0</v>
      </c>
      <c r="W46" s="23" t="s">
        <v>32</v>
      </c>
      <c r="X46" s="26" t="n">
        <f>18</f>
        <v>18.0</v>
      </c>
      <c r="Y46" s="24"/>
      <c r="Z46" s="25" t="n">
        <f>668</f>
        <v>668.0</v>
      </c>
      <c r="AA46" s="23"/>
      <c r="AB46" s="25" t="n">
        <f>1000</f>
        <v>1000.0</v>
      </c>
      <c r="AC46" s="23"/>
      <c r="AD46" s="26" t="n">
        <f>1668</f>
        <v>1668.0</v>
      </c>
    </row>
    <row r="47">
      <c r="A47" s="30" t="s">
        <v>39</v>
      </c>
      <c r="B47" s="22" t="s">
        <v>58</v>
      </c>
      <c r="C47" s="22" t="s">
        <v>59</v>
      </c>
      <c r="D47" s="24"/>
      <c r="E47" s="25" t="n">
        <f>1176</f>
        <v>1176.0</v>
      </c>
      <c r="F47" s="23"/>
      <c r="G47" s="25" t="n">
        <f>161</f>
        <v>161.0</v>
      </c>
      <c r="H47" s="23"/>
      <c r="I47" s="26" t="n">
        <f>1337</f>
        <v>1337.0</v>
      </c>
      <c r="J47" s="24"/>
      <c r="K47" s="25" t="n">
        <f>105114000</f>
        <v>1.05114E8</v>
      </c>
      <c r="L47" s="23"/>
      <c r="M47" s="25" t="n">
        <f>20913000</f>
        <v>2.0913E7</v>
      </c>
      <c r="N47" s="23"/>
      <c r="O47" s="26" t="n">
        <f>126027000</f>
        <v>1.26027E8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14</f>
        <v>14.0</v>
      </c>
      <c r="U47" s="23"/>
      <c r="V47" s="25" t="n">
        <f>7</f>
        <v>7.0</v>
      </c>
      <c r="W47" s="23"/>
      <c r="X47" s="26" t="n">
        <f>21</f>
        <v>21.0</v>
      </c>
      <c r="Y47" s="24"/>
      <c r="Z47" s="25" t="n">
        <f>1570</f>
        <v>1570.0</v>
      </c>
      <c r="AA47" s="23"/>
      <c r="AB47" s="25" t="n">
        <f>1110</f>
        <v>1110.0</v>
      </c>
      <c r="AC47" s="23"/>
      <c r="AD47" s="26" t="n">
        <f>2680</f>
        <v>2680.0</v>
      </c>
    </row>
    <row r="48">
      <c r="A48" s="30" t="s">
        <v>40</v>
      </c>
      <c r="B48" s="22" t="s">
        <v>58</v>
      </c>
      <c r="C48" s="22" t="s">
        <v>59</v>
      </c>
      <c r="D48" s="24"/>
      <c r="E48" s="25"/>
      <c r="F48" s="23"/>
      <c r="G48" s="25"/>
      <c r="H48" s="23"/>
      <c r="I48" s="26"/>
      <c r="J48" s="24"/>
      <c r="K48" s="25"/>
      <c r="L48" s="23"/>
      <c r="M48" s="25"/>
      <c r="N48" s="23"/>
      <c r="O48" s="26"/>
      <c r="P48" s="27"/>
      <c r="Q48" s="28"/>
      <c r="R48" s="29"/>
      <c r="S48" s="24"/>
      <c r="T48" s="25"/>
      <c r="U48" s="23"/>
      <c r="V48" s="25"/>
      <c r="W48" s="23"/>
      <c r="X48" s="26"/>
      <c r="Y48" s="24"/>
      <c r="Z48" s="25"/>
      <c r="AA48" s="23"/>
      <c r="AB48" s="25"/>
      <c r="AC48" s="23"/>
      <c r="AD48" s="26"/>
    </row>
    <row r="49">
      <c r="A49" s="30" t="s">
        <v>41</v>
      </c>
      <c r="B49" s="22" t="s">
        <v>58</v>
      </c>
      <c r="C49" s="22" t="s">
        <v>59</v>
      </c>
      <c r="D49" s="24"/>
      <c r="E49" s="25" t="n">
        <f>1660</f>
        <v>1660.0</v>
      </c>
      <c r="F49" s="23"/>
      <c r="G49" s="25" t="n">
        <f>525</f>
        <v>525.0</v>
      </c>
      <c r="H49" s="23"/>
      <c r="I49" s="26" t="n">
        <f>2185</f>
        <v>2185.0</v>
      </c>
      <c r="J49" s="24"/>
      <c r="K49" s="25" t="n">
        <f>136707000</f>
        <v>1.36707E8</v>
      </c>
      <c r="L49" s="23"/>
      <c r="M49" s="25" t="n">
        <f>61612000</f>
        <v>6.1612E7</v>
      </c>
      <c r="N49" s="23"/>
      <c r="O49" s="26" t="n">
        <f>198319000</f>
        <v>1.98319E8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57</f>
        <v>57.0</v>
      </c>
      <c r="U49" s="23"/>
      <c r="V49" s="25" t="n">
        <f>36</f>
        <v>36.0</v>
      </c>
      <c r="W49" s="23"/>
      <c r="X49" s="26" t="n">
        <f>93</f>
        <v>93.0</v>
      </c>
      <c r="Y49" s="24"/>
      <c r="Z49" s="25" t="n">
        <f>2801</f>
        <v>2801.0</v>
      </c>
      <c r="AA49" s="23"/>
      <c r="AB49" s="25" t="n">
        <f>1324</f>
        <v>1324.0</v>
      </c>
      <c r="AC49" s="23"/>
      <c r="AD49" s="26" t="n">
        <f>4125</f>
        <v>4125.0</v>
      </c>
    </row>
    <row r="50">
      <c r="A50" s="30" t="s">
        <v>42</v>
      </c>
      <c r="B50" s="22" t="s">
        <v>58</v>
      </c>
      <c r="C50" s="22" t="s">
        <v>59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43</v>
      </c>
      <c r="B51" s="22" t="s">
        <v>58</v>
      </c>
      <c r="C51" s="22" t="s">
        <v>59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44</v>
      </c>
      <c r="B52" s="22" t="s">
        <v>58</v>
      </c>
      <c r="C52" s="22" t="s">
        <v>59</v>
      </c>
      <c r="D52" s="24"/>
      <c r="E52" s="25" t="n">
        <f>2841</f>
        <v>2841.0</v>
      </c>
      <c r="F52" s="23"/>
      <c r="G52" s="25" t="n">
        <f>1121</f>
        <v>1121.0</v>
      </c>
      <c r="H52" s="23"/>
      <c r="I52" s="26" t="n">
        <f>3962</f>
        <v>3962.0</v>
      </c>
      <c r="J52" s="24"/>
      <c r="K52" s="25" t="n">
        <f>106585000</f>
        <v>1.06585E8</v>
      </c>
      <c r="L52" s="23"/>
      <c r="M52" s="25" t="n">
        <f>165514000</f>
        <v>1.65514E8</v>
      </c>
      <c r="N52" s="23"/>
      <c r="O52" s="26" t="n">
        <f>272099000</f>
        <v>2.72099E8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165</f>
        <v>165.0</v>
      </c>
      <c r="U52" s="23"/>
      <c r="V52" s="25" t="n">
        <f>50</f>
        <v>50.0</v>
      </c>
      <c r="W52" s="23"/>
      <c r="X52" s="26" t="n">
        <f>215</f>
        <v>215.0</v>
      </c>
      <c r="Y52" s="24"/>
      <c r="Z52" s="25" t="n">
        <f>3772</f>
        <v>3772.0</v>
      </c>
      <c r="AA52" s="23"/>
      <c r="AB52" s="25" t="n">
        <f>1607</f>
        <v>1607.0</v>
      </c>
      <c r="AC52" s="23"/>
      <c r="AD52" s="26" t="n">
        <f>5379</f>
        <v>5379.0</v>
      </c>
    </row>
    <row r="53">
      <c r="A53" s="30" t="s">
        <v>45</v>
      </c>
      <c r="B53" s="22" t="s">
        <v>58</v>
      </c>
      <c r="C53" s="22" t="s">
        <v>59</v>
      </c>
      <c r="D53" s="24" t="s">
        <v>33</v>
      </c>
      <c r="E53" s="25" t="n">
        <f>3347</f>
        <v>3347.0</v>
      </c>
      <c r="F53" s="23"/>
      <c r="G53" s="25" t="n">
        <f>1209</f>
        <v>1209.0</v>
      </c>
      <c r="H53" s="23"/>
      <c r="I53" s="26" t="n">
        <f>4556</f>
        <v>4556.0</v>
      </c>
      <c r="J53" s="24"/>
      <c r="K53" s="25" t="n">
        <f>161747000</f>
        <v>1.61747E8</v>
      </c>
      <c r="L53" s="23" t="s">
        <v>33</v>
      </c>
      <c r="M53" s="25" t="n">
        <f>246552000</f>
        <v>2.46552E8</v>
      </c>
      <c r="N53" s="23" t="s">
        <v>33</v>
      </c>
      <c r="O53" s="26" t="n">
        <f>408299000</f>
        <v>4.08299E8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 t="s">
        <v>33</v>
      </c>
      <c r="T53" s="25" t="n">
        <f>272</f>
        <v>272.0</v>
      </c>
      <c r="U53" s="23"/>
      <c r="V53" s="25" t="n">
        <f>102</f>
        <v>102.0</v>
      </c>
      <c r="W53" s="23"/>
      <c r="X53" s="26" t="n">
        <f>374</f>
        <v>374.0</v>
      </c>
      <c r="Y53" s="24"/>
      <c r="Z53" s="25" t="n">
        <f>4698</f>
        <v>4698.0</v>
      </c>
      <c r="AA53" s="23"/>
      <c r="AB53" s="25" t="n">
        <f>1794</f>
        <v>1794.0</v>
      </c>
      <c r="AC53" s="23"/>
      <c r="AD53" s="26" t="n">
        <f>6492</f>
        <v>6492.0</v>
      </c>
    </row>
    <row r="54">
      <c r="A54" s="30" t="s">
        <v>46</v>
      </c>
      <c r="B54" s="22" t="s">
        <v>58</v>
      </c>
      <c r="C54" s="22" t="s">
        <v>59</v>
      </c>
      <c r="D54" s="24"/>
      <c r="E54" s="25" t="n">
        <f>2056</f>
        <v>2056.0</v>
      </c>
      <c r="F54" s="23"/>
      <c r="G54" s="25" t="n">
        <f>1191</f>
        <v>1191.0</v>
      </c>
      <c r="H54" s="23"/>
      <c r="I54" s="26" t="n">
        <f>3247</f>
        <v>3247.0</v>
      </c>
      <c r="J54" s="24"/>
      <c r="K54" s="25" t="n">
        <f>121995000</f>
        <v>1.21995E8</v>
      </c>
      <c r="L54" s="23"/>
      <c r="M54" s="25" t="n">
        <f>110888890</f>
        <v>1.1088889E8</v>
      </c>
      <c r="N54" s="23"/>
      <c r="O54" s="26" t="n">
        <f>232883890</f>
        <v>2.3288389E8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251</f>
        <v>251.0</v>
      </c>
      <c r="U54" s="23"/>
      <c r="V54" s="25" t="n">
        <f>132</f>
        <v>132.0</v>
      </c>
      <c r="W54" s="23"/>
      <c r="X54" s="26" t="n">
        <f>383</f>
        <v>383.0</v>
      </c>
      <c r="Y54" s="24"/>
      <c r="Z54" s="25" t="n">
        <f>5233</f>
        <v>5233.0</v>
      </c>
      <c r="AA54" s="23"/>
      <c r="AB54" s="25" t="n">
        <f>2042</f>
        <v>2042.0</v>
      </c>
      <c r="AC54" s="23"/>
      <c r="AD54" s="26" t="n">
        <f>7275</f>
        <v>7275.0</v>
      </c>
    </row>
    <row r="55">
      <c r="A55" s="30" t="s">
        <v>47</v>
      </c>
      <c r="B55" s="22" t="s">
        <v>58</v>
      </c>
      <c r="C55" s="22" t="s">
        <v>59</v>
      </c>
      <c r="D55" s="24"/>
      <c r="E55" s="25" t="n">
        <f>3191</f>
        <v>3191.0</v>
      </c>
      <c r="F55" s="23" t="s">
        <v>33</v>
      </c>
      <c r="G55" s="25" t="n">
        <f>2236</f>
        <v>2236.0</v>
      </c>
      <c r="H55" s="23" t="s">
        <v>33</v>
      </c>
      <c r="I55" s="26" t="n">
        <f>5427</f>
        <v>5427.0</v>
      </c>
      <c r="J55" s="24"/>
      <c r="K55" s="25" t="n">
        <f>153355000</f>
        <v>1.53355E8</v>
      </c>
      <c r="L55" s="23"/>
      <c r="M55" s="25" t="n">
        <f>127471000</f>
        <v>1.27471E8</v>
      </c>
      <c r="N55" s="23"/>
      <c r="O55" s="26" t="n">
        <f>280826000</f>
        <v>2.80826E8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251</f>
        <v>251.0</v>
      </c>
      <c r="U55" s="23"/>
      <c r="V55" s="25" t="n">
        <f>173</f>
        <v>173.0</v>
      </c>
      <c r="W55" s="23"/>
      <c r="X55" s="26" t="n">
        <f>424</f>
        <v>424.0</v>
      </c>
      <c r="Y55" s="24" t="s">
        <v>33</v>
      </c>
      <c r="Z55" s="25" t="n">
        <f>6050</f>
        <v>6050.0</v>
      </c>
      <c r="AA55" s="23"/>
      <c r="AB55" s="25" t="n">
        <f>2813</f>
        <v>2813.0</v>
      </c>
      <c r="AC55" s="23" t="s">
        <v>33</v>
      </c>
      <c r="AD55" s="26" t="n">
        <f>8863</f>
        <v>8863.0</v>
      </c>
    </row>
    <row r="56">
      <c r="A56" s="30" t="s">
        <v>48</v>
      </c>
      <c r="B56" s="22" t="s">
        <v>58</v>
      </c>
      <c r="C56" s="22" t="s">
        <v>59</v>
      </c>
      <c r="D56" s="24"/>
      <c r="E56" s="25" t="n">
        <f>1367</f>
        <v>1367.0</v>
      </c>
      <c r="F56" s="23"/>
      <c r="G56" s="25" t="n">
        <f>1319</f>
        <v>1319.0</v>
      </c>
      <c r="H56" s="23"/>
      <c r="I56" s="26" t="n">
        <f>2686</f>
        <v>2686.0</v>
      </c>
      <c r="J56" s="24"/>
      <c r="K56" s="25" t="n">
        <f>143398000</f>
        <v>1.43398E8</v>
      </c>
      <c r="L56" s="23"/>
      <c r="M56" s="25" t="n">
        <f>235531600</f>
        <v>2.355316E8</v>
      </c>
      <c r="N56" s="23"/>
      <c r="O56" s="26" t="n">
        <f>378929600</f>
        <v>3.789296E8</v>
      </c>
      <c r="P56" s="27" t="n">
        <f>455</f>
        <v>455.0</v>
      </c>
      <c r="Q56" s="28" t="n">
        <f>473</f>
        <v>473.0</v>
      </c>
      <c r="R56" s="29" t="n">
        <f>928</f>
        <v>928.0</v>
      </c>
      <c r="S56" s="24"/>
      <c r="T56" s="25" t="n">
        <f>75</f>
        <v>75.0</v>
      </c>
      <c r="U56" s="23"/>
      <c r="V56" s="25" t="n">
        <f>271</f>
        <v>271.0</v>
      </c>
      <c r="W56" s="23"/>
      <c r="X56" s="26" t="n">
        <f>346</f>
        <v>346.0</v>
      </c>
      <c r="Y56" s="24"/>
      <c r="Z56" s="25" t="n">
        <f>2483</f>
        <v>2483.0</v>
      </c>
      <c r="AA56" s="23"/>
      <c r="AB56" s="25" t="n">
        <f>1725</f>
        <v>1725.0</v>
      </c>
      <c r="AC56" s="23"/>
      <c r="AD56" s="26" t="n">
        <f>4208</f>
        <v>4208.0</v>
      </c>
    </row>
    <row r="57">
      <c r="A57" s="30" t="s">
        <v>49</v>
      </c>
      <c r="B57" s="22" t="s">
        <v>58</v>
      </c>
      <c r="C57" s="22" t="s">
        <v>59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50</v>
      </c>
      <c r="B58" s="22" t="s">
        <v>58</v>
      </c>
      <c r="C58" s="22" t="s">
        <v>59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51</v>
      </c>
      <c r="B59" s="22" t="s">
        <v>58</v>
      </c>
      <c r="C59" s="22" t="s">
        <v>59</v>
      </c>
      <c r="D59" s="24"/>
      <c r="E59" s="25" t="n">
        <f>2537</f>
        <v>2537.0</v>
      </c>
      <c r="F59" s="23"/>
      <c r="G59" s="25" t="n">
        <f>1277</f>
        <v>1277.0</v>
      </c>
      <c r="H59" s="23"/>
      <c r="I59" s="26" t="n">
        <f>3814</f>
        <v>3814.0</v>
      </c>
      <c r="J59" s="24"/>
      <c r="K59" s="25" t="n">
        <f>93190000</f>
        <v>9.319E7</v>
      </c>
      <c r="L59" s="23"/>
      <c r="M59" s="25" t="n">
        <f>79521000</f>
        <v>7.9521E7</v>
      </c>
      <c r="N59" s="23"/>
      <c r="O59" s="26" t="n">
        <f>172711000</f>
        <v>1.72711E8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176</f>
        <v>176.0</v>
      </c>
      <c r="U59" s="23" t="s">
        <v>33</v>
      </c>
      <c r="V59" s="25" t="n">
        <f>318</f>
        <v>318.0</v>
      </c>
      <c r="W59" s="23" t="s">
        <v>33</v>
      </c>
      <c r="X59" s="26" t="n">
        <f>494</f>
        <v>494.0</v>
      </c>
      <c r="Y59" s="24"/>
      <c r="Z59" s="25" t="n">
        <f>3587</f>
        <v>3587.0</v>
      </c>
      <c r="AA59" s="23"/>
      <c r="AB59" s="25" t="n">
        <f>2217</f>
        <v>2217.0</v>
      </c>
      <c r="AC59" s="23"/>
      <c r="AD59" s="26" t="n">
        <f>5804</f>
        <v>5804.0</v>
      </c>
    </row>
    <row r="60">
      <c r="A60" s="30" t="s">
        <v>52</v>
      </c>
      <c r="B60" s="22" t="s">
        <v>58</v>
      </c>
      <c r="C60" s="22" t="s">
        <v>59</v>
      </c>
      <c r="D60" s="24"/>
      <c r="E60" s="25"/>
      <c r="F60" s="23"/>
      <c r="G60" s="25"/>
      <c r="H60" s="23"/>
      <c r="I60" s="26"/>
      <c r="J60" s="24"/>
      <c r="K60" s="25"/>
      <c r="L60" s="23"/>
      <c r="M60" s="25"/>
      <c r="N60" s="23"/>
      <c r="O60" s="26"/>
      <c r="P60" s="27"/>
      <c r="Q60" s="28"/>
      <c r="R60" s="29"/>
      <c r="S60" s="24"/>
      <c r="T60" s="25"/>
      <c r="U60" s="23"/>
      <c r="V60" s="25"/>
      <c r="W60" s="23"/>
      <c r="X60" s="26"/>
      <c r="Y60" s="24"/>
      <c r="Z60" s="25"/>
      <c r="AA60" s="23"/>
      <c r="AB60" s="25"/>
      <c r="AC60" s="23"/>
      <c r="AD60" s="26"/>
    </row>
    <row r="61">
      <c r="A61" s="30" t="s">
        <v>53</v>
      </c>
      <c r="B61" s="22" t="s">
        <v>58</v>
      </c>
      <c r="C61" s="22" t="s">
        <v>59</v>
      </c>
      <c r="D61" s="24"/>
      <c r="E61" s="25" t="n">
        <f>1996</f>
        <v>1996.0</v>
      </c>
      <c r="F61" s="23"/>
      <c r="G61" s="25" t="n">
        <f>1843</f>
        <v>1843.0</v>
      </c>
      <c r="H61" s="23"/>
      <c r="I61" s="26" t="n">
        <f>3839</f>
        <v>3839.0</v>
      </c>
      <c r="J61" s="24"/>
      <c r="K61" s="25" t="n">
        <f>96024000</f>
        <v>9.6024E7</v>
      </c>
      <c r="L61" s="23"/>
      <c r="M61" s="25" t="n">
        <f>60081000</f>
        <v>6.0081E7</v>
      </c>
      <c r="N61" s="23"/>
      <c r="O61" s="26" t="n">
        <f>156105000</f>
        <v>1.56105E8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133</f>
        <v>133.0</v>
      </c>
      <c r="U61" s="23"/>
      <c r="V61" s="25" t="n">
        <f>157</f>
        <v>157.0</v>
      </c>
      <c r="W61" s="23"/>
      <c r="X61" s="26" t="n">
        <f>290</f>
        <v>290.0</v>
      </c>
      <c r="Y61" s="24"/>
      <c r="Z61" s="25" t="n">
        <f>4373</f>
        <v>4373.0</v>
      </c>
      <c r="AA61" s="23"/>
      <c r="AB61" s="25" t="n">
        <f>2645</f>
        <v>2645.0</v>
      </c>
      <c r="AC61" s="23"/>
      <c r="AD61" s="26" t="n">
        <f>7018</f>
        <v>7018.0</v>
      </c>
    </row>
    <row r="62">
      <c r="A62" s="30" t="s">
        <v>54</v>
      </c>
      <c r="B62" s="22" t="s">
        <v>58</v>
      </c>
      <c r="C62" s="22" t="s">
        <v>59</v>
      </c>
      <c r="D62" s="24"/>
      <c r="E62" s="25" t="n">
        <f>2543</f>
        <v>2543.0</v>
      </c>
      <c r="F62" s="23"/>
      <c r="G62" s="25" t="n">
        <f>1495</f>
        <v>1495.0</v>
      </c>
      <c r="H62" s="23"/>
      <c r="I62" s="26" t="n">
        <f>4038</f>
        <v>4038.0</v>
      </c>
      <c r="J62" s="24"/>
      <c r="K62" s="25" t="n">
        <f>76766000</f>
        <v>7.6766E7</v>
      </c>
      <c r="L62" s="23"/>
      <c r="M62" s="25" t="n">
        <f>74837000</f>
        <v>7.4837E7</v>
      </c>
      <c r="N62" s="23"/>
      <c r="O62" s="26" t="n">
        <f>151603000</f>
        <v>1.51603E8</v>
      </c>
      <c r="P62" s="27" t="str">
        <f>"－"</f>
        <v>－</v>
      </c>
      <c r="Q62" s="28" t="str">
        <f>"－"</f>
        <v>－</v>
      </c>
      <c r="R62" s="29" t="str">
        <f>"－"</f>
        <v>－</v>
      </c>
      <c r="S62" s="24"/>
      <c r="T62" s="25" t="n">
        <f>209</f>
        <v>209.0</v>
      </c>
      <c r="U62" s="23"/>
      <c r="V62" s="25" t="n">
        <f>176</f>
        <v>176.0</v>
      </c>
      <c r="W62" s="23"/>
      <c r="X62" s="26" t="n">
        <f>385</f>
        <v>385.0</v>
      </c>
      <c r="Y62" s="24"/>
      <c r="Z62" s="25" t="n">
        <f>4975</f>
        <v>4975.0</v>
      </c>
      <c r="AA62" s="23" t="s">
        <v>33</v>
      </c>
      <c r="AB62" s="25" t="n">
        <f>2988</f>
        <v>2988.0</v>
      </c>
      <c r="AC62" s="23"/>
      <c r="AD62" s="26" t="n">
        <f>7963</f>
        <v>7963.0</v>
      </c>
    </row>
    <row r="63">
      <c r="A63" s="30" t="s">
        <v>55</v>
      </c>
      <c r="B63" s="22" t="s">
        <v>58</v>
      </c>
      <c r="C63" s="22" t="s">
        <v>59</v>
      </c>
      <c r="D63" s="24"/>
      <c r="E63" s="25" t="n">
        <f>889</f>
        <v>889.0</v>
      </c>
      <c r="F63" s="23"/>
      <c r="G63" s="25" t="n">
        <f>900</f>
        <v>900.0</v>
      </c>
      <c r="H63" s="23"/>
      <c r="I63" s="26" t="n">
        <f>1789</f>
        <v>1789.0</v>
      </c>
      <c r="J63" s="24" t="s">
        <v>33</v>
      </c>
      <c r="K63" s="25" t="n">
        <f>166293000</f>
        <v>1.66293E8</v>
      </c>
      <c r="L63" s="23"/>
      <c r="M63" s="25" t="n">
        <f>165224000</f>
        <v>1.65224E8</v>
      </c>
      <c r="N63" s="23"/>
      <c r="O63" s="26" t="n">
        <f>331517000</f>
        <v>3.31517E8</v>
      </c>
      <c r="P63" s="27" t="n">
        <f>484</f>
        <v>484.0</v>
      </c>
      <c r="Q63" s="28" t="n">
        <f>250</f>
        <v>250.0</v>
      </c>
      <c r="R63" s="29" t="n">
        <f>734</f>
        <v>734.0</v>
      </c>
      <c r="S63" s="24"/>
      <c r="T63" s="25" t="n">
        <f>15</f>
        <v>15.0</v>
      </c>
      <c r="U63" s="23"/>
      <c r="V63" s="25" t="n">
        <f>300</f>
        <v>300.0</v>
      </c>
      <c r="W63" s="23"/>
      <c r="X63" s="26" t="n">
        <f>315</f>
        <v>315.0</v>
      </c>
      <c r="Y63" s="24"/>
      <c r="Z63" s="25" t="n">
        <f>1193</f>
        <v>1193.0</v>
      </c>
      <c r="AA63" s="23"/>
      <c r="AB63" s="25" t="n">
        <f>1373</f>
        <v>1373.0</v>
      </c>
      <c r="AC63" s="23"/>
      <c r="AD63" s="26" t="n">
        <f>2566</f>
        <v>2566.0</v>
      </c>
    </row>
    <row r="64">
      <c r="A64" s="30" t="s">
        <v>56</v>
      </c>
      <c r="B64" s="22" t="s">
        <v>58</v>
      </c>
      <c r="C64" s="22" t="s">
        <v>59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57</v>
      </c>
      <c r="B65" s="22" t="s">
        <v>58</v>
      </c>
      <c r="C65" s="22" t="s">
        <v>59</v>
      </c>
      <c r="D65" s="24"/>
      <c r="E65" s="25"/>
      <c r="F65" s="23"/>
      <c r="G65" s="25"/>
      <c r="H65" s="23"/>
      <c r="I65" s="26"/>
      <c r="J65" s="24"/>
      <c r="K65" s="25"/>
      <c r="L65" s="23"/>
      <c r="M65" s="25"/>
      <c r="N65" s="23"/>
      <c r="O65" s="26"/>
      <c r="P65" s="27"/>
      <c r="Q65" s="28"/>
      <c r="R65" s="29"/>
      <c r="S65" s="24"/>
      <c r="T65" s="25"/>
      <c r="U65" s="23"/>
      <c r="V65" s="25"/>
      <c r="W65" s="23"/>
      <c r="X65" s="26"/>
      <c r="Y65" s="24"/>
      <c r="Z65" s="25"/>
      <c r="AA65" s="23"/>
      <c r="AB65" s="25"/>
      <c r="AC65" s="23"/>
      <c r="AD65" s="26"/>
    </row>
    <row r="66">
      <c r="A66" s="30" t="s">
        <v>26</v>
      </c>
      <c r="B66" s="22" t="s">
        <v>60</v>
      </c>
      <c r="C66" s="22" t="s">
        <v>61</v>
      </c>
      <c r="D66" s="24"/>
      <c r="E66" s="25" t="n">
        <f>545</f>
        <v>545.0</v>
      </c>
      <c r="F66" s="23" t="s">
        <v>32</v>
      </c>
      <c r="G66" s="25" t="str">
        <f>"－"</f>
        <v>－</v>
      </c>
      <c r="H66" s="23"/>
      <c r="I66" s="26" t="n">
        <f>545</f>
        <v>545.0</v>
      </c>
      <c r="J66" s="24"/>
      <c r="K66" s="25" t="n">
        <f>245575910</f>
        <v>2.4557591E8</v>
      </c>
      <c r="L66" s="23" t="s">
        <v>32</v>
      </c>
      <c r="M66" s="25" t="str">
        <f>"－"</f>
        <v>－</v>
      </c>
      <c r="N66" s="23"/>
      <c r="O66" s="26" t="n">
        <f>245575910</f>
        <v>2.4557591E8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545</f>
        <v>545.0</v>
      </c>
      <c r="U66" s="23" t="s">
        <v>32</v>
      </c>
      <c r="V66" s="25" t="str">
        <f>"－"</f>
        <v>－</v>
      </c>
      <c r="W66" s="23"/>
      <c r="X66" s="26" t="n">
        <f>545</f>
        <v>545.0</v>
      </c>
      <c r="Y66" s="24"/>
      <c r="Z66" s="25" t="n">
        <f>77840</f>
        <v>77840.0</v>
      </c>
      <c r="AA66" s="23"/>
      <c r="AB66" s="25" t="n">
        <f>17198</f>
        <v>17198.0</v>
      </c>
      <c r="AC66" s="23"/>
      <c r="AD66" s="26" t="n">
        <f>95038</f>
        <v>95038.0</v>
      </c>
    </row>
    <row r="67">
      <c r="A67" s="30" t="s">
        <v>29</v>
      </c>
      <c r="B67" s="22" t="s">
        <v>60</v>
      </c>
      <c r="C67" s="22" t="s">
        <v>61</v>
      </c>
      <c r="D67" s="24" t="s">
        <v>32</v>
      </c>
      <c r="E67" s="25" t="str">
        <f>"－"</f>
        <v>－</v>
      </c>
      <c r="F67" s="23"/>
      <c r="G67" s="25" t="str">
        <f>"－"</f>
        <v>－</v>
      </c>
      <c r="H67" s="23" t="s">
        <v>32</v>
      </c>
      <c r="I67" s="26" t="str">
        <f>"－"</f>
        <v>－</v>
      </c>
      <c r="J67" s="24" t="s">
        <v>32</v>
      </c>
      <c r="K67" s="25" t="str">
        <f>"－"</f>
        <v>－</v>
      </c>
      <c r="L67" s="23"/>
      <c r="M67" s="25" t="str">
        <f>"－"</f>
        <v>－</v>
      </c>
      <c r="N67" s="23" t="s">
        <v>32</v>
      </c>
      <c r="O67" s="26" t="str">
        <f>"－"</f>
        <v>－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 t="s">
        <v>32</v>
      </c>
      <c r="T67" s="25" t="str">
        <f>"－"</f>
        <v>－</v>
      </c>
      <c r="U67" s="23"/>
      <c r="V67" s="25" t="str">
        <f>"－"</f>
        <v>－</v>
      </c>
      <c r="W67" s="23" t="s">
        <v>32</v>
      </c>
      <c r="X67" s="26" t="str">
        <f>"－"</f>
        <v>－</v>
      </c>
      <c r="Y67" s="24"/>
      <c r="Z67" s="25" t="n">
        <f>77840</f>
        <v>77840.0</v>
      </c>
      <c r="AA67" s="23"/>
      <c r="AB67" s="25" t="n">
        <f>17198</f>
        <v>17198.0</v>
      </c>
      <c r="AC67" s="23"/>
      <c r="AD67" s="26" t="n">
        <f>95038</f>
        <v>95038.0</v>
      </c>
    </row>
    <row r="68">
      <c r="A68" s="30" t="s">
        <v>30</v>
      </c>
      <c r="B68" s="22" t="s">
        <v>60</v>
      </c>
      <c r="C68" s="22" t="s">
        <v>61</v>
      </c>
      <c r="D68" s="24"/>
      <c r="E68" s="25" t="str">
        <f>"－"</f>
        <v>－</v>
      </c>
      <c r="F68" s="23"/>
      <c r="G68" s="25" t="str">
        <f>"－"</f>
        <v>－</v>
      </c>
      <c r="H68" s="23"/>
      <c r="I68" s="26" t="str">
        <f>"－"</f>
        <v>－</v>
      </c>
      <c r="J68" s="24"/>
      <c r="K68" s="25" t="str">
        <f>"－"</f>
        <v>－</v>
      </c>
      <c r="L68" s="23"/>
      <c r="M68" s="25" t="str">
        <f>"－"</f>
        <v>－</v>
      </c>
      <c r="N68" s="23"/>
      <c r="O68" s="26" t="str">
        <f>"－"</f>
        <v>－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str">
        <f>"－"</f>
        <v>－</v>
      </c>
      <c r="U68" s="23"/>
      <c r="V68" s="25" t="str">
        <f>"－"</f>
        <v>－</v>
      </c>
      <c r="W68" s="23"/>
      <c r="X68" s="26" t="str">
        <f>"－"</f>
        <v>－</v>
      </c>
      <c r="Y68" s="24"/>
      <c r="Z68" s="25" t="n">
        <f>77840</f>
        <v>77840.0</v>
      </c>
      <c r="AA68" s="23"/>
      <c r="AB68" s="25" t="n">
        <f>17198</f>
        <v>17198.0</v>
      </c>
      <c r="AC68" s="23"/>
      <c r="AD68" s="26" t="n">
        <f>95038</f>
        <v>95038.0</v>
      </c>
    </row>
    <row r="69">
      <c r="A69" s="30" t="s">
        <v>31</v>
      </c>
      <c r="B69" s="22" t="s">
        <v>60</v>
      </c>
      <c r="C69" s="22" t="s">
        <v>61</v>
      </c>
      <c r="D69" s="24"/>
      <c r="E69" s="25" t="n">
        <f>250</f>
        <v>250.0</v>
      </c>
      <c r="F69" s="23"/>
      <c r="G69" s="25" t="str">
        <f>"－"</f>
        <v>－</v>
      </c>
      <c r="H69" s="23"/>
      <c r="I69" s="26" t="n">
        <f>250</f>
        <v>250.0</v>
      </c>
      <c r="J69" s="24"/>
      <c r="K69" s="25" t="n">
        <f>219000000</f>
        <v>2.19E8</v>
      </c>
      <c r="L69" s="23"/>
      <c r="M69" s="25" t="str">
        <f>"－"</f>
        <v>－</v>
      </c>
      <c r="N69" s="23"/>
      <c r="O69" s="26" t="n">
        <f>219000000</f>
        <v>2.19E8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str">
        <f>"－"</f>
        <v>－</v>
      </c>
      <c r="U69" s="23"/>
      <c r="V69" s="25" t="str">
        <f>"－"</f>
        <v>－</v>
      </c>
      <c r="W69" s="23"/>
      <c r="X69" s="26" t="str">
        <f>"－"</f>
        <v>－</v>
      </c>
      <c r="Y69" s="24"/>
      <c r="Z69" s="25" t="n">
        <f>78090</f>
        <v>78090.0</v>
      </c>
      <c r="AA69" s="23"/>
      <c r="AB69" s="25" t="n">
        <f>17198</f>
        <v>17198.0</v>
      </c>
      <c r="AC69" s="23"/>
      <c r="AD69" s="26" t="n">
        <f>95288</f>
        <v>95288.0</v>
      </c>
    </row>
    <row r="70">
      <c r="A70" s="30" t="s">
        <v>34</v>
      </c>
      <c r="B70" s="22" t="s">
        <v>60</v>
      </c>
      <c r="C70" s="22" t="s">
        <v>61</v>
      </c>
      <c r="D70" s="24"/>
      <c r="E70" s="25" t="str">
        <f>"－"</f>
        <v>－</v>
      </c>
      <c r="F70" s="23"/>
      <c r="G70" s="25" t="str">
        <f>"－"</f>
        <v>－</v>
      </c>
      <c r="H70" s="23"/>
      <c r="I70" s="26" t="str">
        <f>"－"</f>
        <v>－</v>
      </c>
      <c r="J70" s="24"/>
      <c r="K70" s="25" t="str">
        <f>"－"</f>
        <v>－</v>
      </c>
      <c r="L70" s="23"/>
      <c r="M70" s="25" t="str">
        <f>"－"</f>
        <v>－</v>
      </c>
      <c r="N70" s="23"/>
      <c r="O70" s="26" t="str">
        <f>"－"</f>
        <v>－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str">
        <f>"－"</f>
        <v>－</v>
      </c>
      <c r="U70" s="23"/>
      <c r="V70" s="25" t="str">
        <f>"－"</f>
        <v>－</v>
      </c>
      <c r="W70" s="23"/>
      <c r="X70" s="26" t="str">
        <f>"－"</f>
        <v>－</v>
      </c>
      <c r="Y70" s="24"/>
      <c r="Z70" s="25" t="n">
        <f>78090</f>
        <v>78090.0</v>
      </c>
      <c r="AA70" s="23"/>
      <c r="AB70" s="25" t="n">
        <f>17198</f>
        <v>17198.0</v>
      </c>
      <c r="AC70" s="23"/>
      <c r="AD70" s="26" t="n">
        <f>95288</f>
        <v>95288.0</v>
      </c>
    </row>
    <row r="71">
      <c r="A71" s="30" t="s">
        <v>35</v>
      </c>
      <c r="B71" s="22" t="s">
        <v>60</v>
      </c>
      <c r="C71" s="22" t="s">
        <v>61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36</v>
      </c>
      <c r="B72" s="22" t="s">
        <v>60</v>
      </c>
      <c r="C72" s="22" t="s">
        <v>61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37</v>
      </c>
      <c r="B73" s="22" t="s">
        <v>60</v>
      </c>
      <c r="C73" s="22" t="s">
        <v>61</v>
      </c>
      <c r="D73" s="24"/>
      <c r="E73" s="25" t="n">
        <f>670</f>
        <v>670.0</v>
      </c>
      <c r="F73" s="23"/>
      <c r="G73" s="25" t="n">
        <f>670</f>
        <v>670.0</v>
      </c>
      <c r="H73" s="23"/>
      <c r="I73" s="26" t="n">
        <f>1340</f>
        <v>1340.0</v>
      </c>
      <c r="J73" s="24"/>
      <c r="K73" s="25" t="n">
        <f>384987000</f>
        <v>3.84987E8</v>
      </c>
      <c r="L73" s="23"/>
      <c r="M73" s="25" t="n">
        <f>240058000</f>
        <v>2.40058E8</v>
      </c>
      <c r="N73" s="23"/>
      <c r="O73" s="26" t="n">
        <f>625045000</f>
        <v>6.25045E8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/>
      <c r="T73" s="25" t="n">
        <f>550</f>
        <v>550.0</v>
      </c>
      <c r="U73" s="23"/>
      <c r="V73" s="25" t="n">
        <f>550</f>
        <v>550.0</v>
      </c>
      <c r="W73" s="23"/>
      <c r="X73" s="26" t="n">
        <f>1100</f>
        <v>1100.0</v>
      </c>
      <c r="Y73" s="24"/>
      <c r="Z73" s="25" t="n">
        <f>78760</f>
        <v>78760.0</v>
      </c>
      <c r="AA73" s="23"/>
      <c r="AB73" s="25" t="n">
        <f>17868</f>
        <v>17868.0</v>
      </c>
      <c r="AC73" s="23"/>
      <c r="AD73" s="26" t="n">
        <f>96628</f>
        <v>96628.0</v>
      </c>
    </row>
    <row r="74">
      <c r="A74" s="30" t="s">
        <v>38</v>
      </c>
      <c r="B74" s="22" t="s">
        <v>60</v>
      </c>
      <c r="C74" s="22" t="s">
        <v>61</v>
      </c>
      <c r="D74" s="24"/>
      <c r="E74" s="25" t="n">
        <f>1717</f>
        <v>1717.0</v>
      </c>
      <c r="F74" s="23"/>
      <c r="G74" s="25" t="n">
        <f>625</f>
        <v>625.0</v>
      </c>
      <c r="H74" s="23"/>
      <c r="I74" s="26" t="n">
        <f>2342</f>
        <v>2342.0</v>
      </c>
      <c r="J74" s="24"/>
      <c r="K74" s="25" t="n">
        <f>401879400</f>
        <v>4.018794E8</v>
      </c>
      <c r="L74" s="23"/>
      <c r="M74" s="25" t="n">
        <f>150000000</f>
        <v>1.5E8</v>
      </c>
      <c r="N74" s="23"/>
      <c r="O74" s="26" t="n">
        <f>551879400</f>
        <v>5.518794E8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n">
        <f>625</f>
        <v>625.0</v>
      </c>
      <c r="U74" s="23"/>
      <c r="V74" s="25" t="n">
        <f>625</f>
        <v>625.0</v>
      </c>
      <c r="W74" s="23"/>
      <c r="X74" s="26" t="n">
        <f>1250</f>
        <v>1250.0</v>
      </c>
      <c r="Y74" s="24"/>
      <c r="Z74" s="25" t="n">
        <f>79385</f>
        <v>79385.0</v>
      </c>
      <c r="AA74" s="23"/>
      <c r="AB74" s="25" t="n">
        <f>18493</f>
        <v>18493.0</v>
      </c>
      <c r="AC74" s="23"/>
      <c r="AD74" s="26" t="n">
        <f>97878</f>
        <v>97878.0</v>
      </c>
    </row>
    <row r="75">
      <c r="A75" s="30" t="s">
        <v>39</v>
      </c>
      <c r="B75" s="22" t="s">
        <v>60</v>
      </c>
      <c r="C75" s="22" t="s">
        <v>61</v>
      </c>
      <c r="D75" s="24"/>
      <c r="E75" s="25" t="n">
        <f>645</f>
        <v>645.0</v>
      </c>
      <c r="F75" s="23"/>
      <c r="G75" s="25" t="n">
        <f>645</f>
        <v>645.0</v>
      </c>
      <c r="H75" s="23"/>
      <c r="I75" s="26" t="n">
        <f>1290</f>
        <v>1290.0</v>
      </c>
      <c r="J75" s="24"/>
      <c r="K75" s="25" t="n">
        <f>6450000</f>
        <v>6450000.0</v>
      </c>
      <c r="L75" s="23"/>
      <c r="M75" s="25" t="n">
        <f>6450000</f>
        <v>6450000.0</v>
      </c>
      <c r="N75" s="23"/>
      <c r="O75" s="26" t="n">
        <f>12900000</f>
        <v>1.29E7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str">
        <f>"－"</f>
        <v>－</v>
      </c>
      <c r="U75" s="23"/>
      <c r="V75" s="25" t="str">
        <f>"－"</f>
        <v>－</v>
      </c>
      <c r="W75" s="23"/>
      <c r="X75" s="26" t="str">
        <f>"－"</f>
        <v>－</v>
      </c>
      <c r="Y75" s="24"/>
      <c r="Z75" s="25" t="n">
        <f>80030</f>
        <v>80030.0</v>
      </c>
      <c r="AA75" s="23" t="s">
        <v>33</v>
      </c>
      <c r="AB75" s="25" t="n">
        <f>19138</f>
        <v>19138.0</v>
      </c>
      <c r="AC75" s="23"/>
      <c r="AD75" s="26" t="n">
        <f>99168</f>
        <v>99168.0</v>
      </c>
    </row>
    <row r="76">
      <c r="A76" s="30" t="s">
        <v>40</v>
      </c>
      <c r="B76" s="22" t="s">
        <v>60</v>
      </c>
      <c r="C76" s="22" t="s">
        <v>61</v>
      </c>
      <c r="D76" s="24"/>
      <c r="E76" s="25"/>
      <c r="F76" s="23"/>
      <c r="G76" s="25"/>
      <c r="H76" s="23"/>
      <c r="I76" s="26"/>
      <c r="J76" s="24"/>
      <c r="K76" s="25"/>
      <c r="L76" s="23"/>
      <c r="M76" s="25"/>
      <c r="N76" s="23"/>
      <c r="O76" s="26"/>
      <c r="P76" s="27"/>
      <c r="Q76" s="28"/>
      <c r="R76" s="29"/>
      <c r="S76" s="24"/>
      <c r="T76" s="25"/>
      <c r="U76" s="23"/>
      <c r="V76" s="25"/>
      <c r="W76" s="23"/>
      <c r="X76" s="26"/>
      <c r="Y76" s="24"/>
      <c r="Z76" s="25"/>
      <c r="AA76" s="23"/>
      <c r="AB76" s="25"/>
      <c r="AC76" s="23"/>
      <c r="AD76" s="26"/>
    </row>
    <row r="77">
      <c r="A77" s="30" t="s">
        <v>41</v>
      </c>
      <c r="B77" s="22" t="s">
        <v>60</v>
      </c>
      <c r="C77" s="22" t="s">
        <v>61</v>
      </c>
      <c r="D77" s="24"/>
      <c r="E77" s="25" t="str">
        <f>"－"</f>
        <v>－</v>
      </c>
      <c r="F77" s="23"/>
      <c r="G77" s="25" t="str">
        <f>"－"</f>
        <v>－</v>
      </c>
      <c r="H77" s="23"/>
      <c r="I77" s="26" t="str">
        <f>"－"</f>
        <v>－</v>
      </c>
      <c r="J77" s="24"/>
      <c r="K77" s="25" t="str">
        <f>"－"</f>
        <v>－</v>
      </c>
      <c r="L77" s="23"/>
      <c r="M77" s="25" t="str">
        <f>"－"</f>
        <v>－</v>
      </c>
      <c r="N77" s="23"/>
      <c r="O77" s="26" t="str">
        <f>"－"</f>
        <v>－</v>
      </c>
      <c r="P77" s="27" t="str">
        <f>"－"</f>
        <v>－</v>
      </c>
      <c r="Q77" s="28" t="n">
        <f>1645</f>
        <v>1645.0</v>
      </c>
      <c r="R77" s="29" t="n">
        <f>1645</f>
        <v>1645.0</v>
      </c>
      <c r="S77" s="24"/>
      <c r="T77" s="25" t="str">
        <f>"－"</f>
        <v>－</v>
      </c>
      <c r="U77" s="23"/>
      <c r="V77" s="25" t="str">
        <f>"－"</f>
        <v>－</v>
      </c>
      <c r="W77" s="23"/>
      <c r="X77" s="26" t="str">
        <f>"－"</f>
        <v>－</v>
      </c>
      <c r="Y77" s="24" t="s">
        <v>32</v>
      </c>
      <c r="Z77" s="25" t="n">
        <f>77329</f>
        <v>77329.0</v>
      </c>
      <c r="AA77" s="23"/>
      <c r="AB77" s="25" t="n">
        <f>17293</f>
        <v>17293.0</v>
      </c>
      <c r="AC77" s="23"/>
      <c r="AD77" s="26" t="n">
        <f>94622</f>
        <v>94622.0</v>
      </c>
    </row>
    <row r="78">
      <c r="A78" s="30" t="s">
        <v>42</v>
      </c>
      <c r="B78" s="22" t="s">
        <v>60</v>
      </c>
      <c r="C78" s="22" t="s">
        <v>61</v>
      </c>
      <c r="D78" s="24"/>
      <c r="E78" s="25"/>
      <c r="F78" s="23"/>
      <c r="G78" s="25"/>
      <c r="H78" s="23"/>
      <c r="I78" s="26"/>
      <c r="J78" s="24"/>
      <c r="K78" s="25"/>
      <c r="L78" s="23"/>
      <c r="M78" s="25"/>
      <c r="N78" s="23"/>
      <c r="O78" s="26"/>
      <c r="P78" s="27"/>
      <c r="Q78" s="28"/>
      <c r="R78" s="29"/>
      <c r="S78" s="24"/>
      <c r="T78" s="25"/>
      <c r="U78" s="23"/>
      <c r="V78" s="25"/>
      <c r="W78" s="23"/>
      <c r="X78" s="26"/>
      <c r="Y78" s="24"/>
      <c r="Z78" s="25"/>
      <c r="AA78" s="23"/>
      <c r="AB78" s="25"/>
      <c r="AC78" s="23"/>
      <c r="AD78" s="26"/>
    </row>
    <row r="79">
      <c r="A79" s="30" t="s">
        <v>43</v>
      </c>
      <c r="B79" s="22" t="s">
        <v>60</v>
      </c>
      <c r="C79" s="22" t="s">
        <v>61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44</v>
      </c>
      <c r="B80" s="22" t="s">
        <v>60</v>
      </c>
      <c r="C80" s="22" t="s">
        <v>61</v>
      </c>
      <c r="D80" s="24"/>
      <c r="E80" s="25" t="str">
        <f>"－"</f>
        <v>－</v>
      </c>
      <c r="F80" s="23" t="s">
        <v>33</v>
      </c>
      <c r="G80" s="25" t="n">
        <f>950</f>
        <v>950.0</v>
      </c>
      <c r="H80" s="23"/>
      <c r="I80" s="26" t="n">
        <f>950</f>
        <v>950.0</v>
      </c>
      <c r="J80" s="24"/>
      <c r="K80" s="25" t="str">
        <f>"－"</f>
        <v>－</v>
      </c>
      <c r="L80" s="23" t="s">
        <v>33</v>
      </c>
      <c r="M80" s="25" t="n">
        <f>376300000</f>
        <v>3.763E8</v>
      </c>
      <c r="N80" s="23"/>
      <c r="O80" s="26" t="n">
        <f>376300000</f>
        <v>3.763E8</v>
      </c>
      <c r="P80" s="27" t="str">
        <f>"－"</f>
        <v>－</v>
      </c>
      <c r="Q80" s="28" t="str">
        <f>"－"</f>
        <v>－</v>
      </c>
      <c r="R80" s="29" t="str">
        <f>"－"</f>
        <v>－</v>
      </c>
      <c r="S80" s="24"/>
      <c r="T80" s="25" t="str">
        <f>"－"</f>
        <v>－</v>
      </c>
      <c r="U80" s="23" t="s">
        <v>33</v>
      </c>
      <c r="V80" s="25" t="n">
        <f>850</f>
        <v>850.0</v>
      </c>
      <c r="W80" s="23"/>
      <c r="X80" s="26" t="n">
        <f>850</f>
        <v>850.0</v>
      </c>
      <c r="Y80" s="24"/>
      <c r="Z80" s="25" t="n">
        <f>77329</f>
        <v>77329.0</v>
      </c>
      <c r="AA80" s="23"/>
      <c r="AB80" s="25" t="n">
        <f>17193</f>
        <v>17193.0</v>
      </c>
      <c r="AC80" s="23" t="s">
        <v>32</v>
      </c>
      <c r="AD80" s="26" t="n">
        <f>94522</f>
        <v>94522.0</v>
      </c>
    </row>
    <row r="81">
      <c r="A81" s="30" t="s">
        <v>45</v>
      </c>
      <c r="B81" s="22" t="s">
        <v>60</v>
      </c>
      <c r="C81" s="22" t="s">
        <v>61</v>
      </c>
      <c r="D81" s="24" t="s">
        <v>33</v>
      </c>
      <c r="E81" s="25" t="n">
        <f>3600</f>
        <v>3600.0</v>
      </c>
      <c r="F81" s="23"/>
      <c r="G81" s="25" t="n">
        <f>200</f>
        <v>200.0</v>
      </c>
      <c r="H81" s="23" t="s">
        <v>33</v>
      </c>
      <c r="I81" s="26" t="n">
        <f>3800</f>
        <v>3800.0</v>
      </c>
      <c r="J81" s="24" t="s">
        <v>33</v>
      </c>
      <c r="K81" s="25" t="n">
        <f>3064725000</f>
        <v>3.064725E9</v>
      </c>
      <c r="L81" s="23"/>
      <c r="M81" s="25" t="n">
        <f>134600000</f>
        <v>1.346E8</v>
      </c>
      <c r="N81" s="23" t="s">
        <v>33</v>
      </c>
      <c r="O81" s="26" t="n">
        <f>3199325000</f>
        <v>3.199325E9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str">
        <f>"－"</f>
        <v>－</v>
      </c>
      <c r="U81" s="23"/>
      <c r="V81" s="25" t="str">
        <f>"－"</f>
        <v>－</v>
      </c>
      <c r="W81" s="23"/>
      <c r="X81" s="26" t="str">
        <f>"－"</f>
        <v>－</v>
      </c>
      <c r="Y81" s="24"/>
      <c r="Z81" s="25" t="n">
        <f>80929</f>
        <v>80929.0</v>
      </c>
      <c r="AA81" s="23" t="s">
        <v>32</v>
      </c>
      <c r="AB81" s="25" t="n">
        <f>16993</f>
        <v>16993.0</v>
      </c>
      <c r="AC81" s="23"/>
      <c r="AD81" s="26" t="n">
        <f>97922</f>
        <v>97922.0</v>
      </c>
    </row>
    <row r="82">
      <c r="A82" s="30" t="s">
        <v>46</v>
      </c>
      <c r="B82" s="22" t="s">
        <v>60</v>
      </c>
      <c r="C82" s="22" t="s">
        <v>61</v>
      </c>
      <c r="D82" s="24"/>
      <c r="E82" s="25" t="n">
        <f>1769</f>
        <v>1769.0</v>
      </c>
      <c r="F82" s="23"/>
      <c r="G82" s="25" t="str">
        <f>"－"</f>
        <v>－</v>
      </c>
      <c r="H82" s="23"/>
      <c r="I82" s="26" t="n">
        <f>1769</f>
        <v>1769.0</v>
      </c>
      <c r="J82" s="24"/>
      <c r="K82" s="25" t="n">
        <f>365166300</f>
        <v>3.651663E8</v>
      </c>
      <c r="L82" s="23"/>
      <c r="M82" s="25" t="str">
        <f>"－"</f>
        <v>－</v>
      </c>
      <c r="N82" s="23"/>
      <c r="O82" s="26" t="n">
        <f>365166300</f>
        <v>3.651663E8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 t="s">
        <v>33</v>
      </c>
      <c r="T82" s="25" t="n">
        <f>1769</f>
        <v>1769.0</v>
      </c>
      <c r="U82" s="23"/>
      <c r="V82" s="25" t="str">
        <f>"－"</f>
        <v>－</v>
      </c>
      <c r="W82" s="23" t="s">
        <v>33</v>
      </c>
      <c r="X82" s="26" t="n">
        <f>1769</f>
        <v>1769.0</v>
      </c>
      <c r="Y82" s="24" t="s">
        <v>33</v>
      </c>
      <c r="Z82" s="25" t="n">
        <f>82698</f>
        <v>82698.0</v>
      </c>
      <c r="AA82" s="23"/>
      <c r="AB82" s="25" t="n">
        <f>16993</f>
        <v>16993.0</v>
      </c>
      <c r="AC82" s="23"/>
      <c r="AD82" s="26" t="n">
        <f>99691</f>
        <v>99691.0</v>
      </c>
    </row>
    <row r="83">
      <c r="A83" s="30" t="s">
        <v>47</v>
      </c>
      <c r="B83" s="22" t="s">
        <v>60</v>
      </c>
      <c r="C83" s="22" t="s">
        <v>61</v>
      </c>
      <c r="D83" s="24"/>
      <c r="E83" s="25" t="n">
        <f>1228</f>
        <v>1228.0</v>
      </c>
      <c r="F83" s="23"/>
      <c r="G83" s="25" t="n">
        <f>500</f>
        <v>500.0</v>
      </c>
      <c r="H83" s="23"/>
      <c r="I83" s="26" t="n">
        <f>1728</f>
        <v>1728.0</v>
      </c>
      <c r="J83" s="24"/>
      <c r="K83" s="25" t="n">
        <f>549404500</f>
        <v>5.494045E8</v>
      </c>
      <c r="L83" s="23"/>
      <c r="M83" s="25" t="n">
        <f>244340000</f>
        <v>2.4434E8</v>
      </c>
      <c r="N83" s="23"/>
      <c r="O83" s="26" t="n">
        <f>793744500</f>
        <v>7.937445E8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/>
      <c r="Z83" s="25" t="n">
        <f>82126</f>
        <v>82126.0</v>
      </c>
      <c r="AA83" s="23"/>
      <c r="AB83" s="25" t="n">
        <f>17293</f>
        <v>17293.0</v>
      </c>
      <c r="AC83" s="23"/>
      <c r="AD83" s="26" t="n">
        <f>99419</f>
        <v>99419.0</v>
      </c>
    </row>
    <row r="84">
      <c r="A84" s="30" t="s">
        <v>48</v>
      </c>
      <c r="B84" s="22" t="s">
        <v>60</v>
      </c>
      <c r="C84" s="22" t="s">
        <v>61</v>
      </c>
      <c r="D84" s="24"/>
      <c r="E84" s="25" t="str">
        <f>"－"</f>
        <v>－</v>
      </c>
      <c r="F84" s="23"/>
      <c r="G84" s="25" t="n">
        <f>50</f>
        <v>50.0</v>
      </c>
      <c r="H84" s="23"/>
      <c r="I84" s="26" t="n">
        <f>50</f>
        <v>50.0</v>
      </c>
      <c r="J84" s="24"/>
      <c r="K84" s="25" t="str">
        <f>"－"</f>
        <v>－</v>
      </c>
      <c r="L84" s="23"/>
      <c r="M84" s="25" t="n">
        <f>18745000</f>
        <v>1.8745E7</v>
      </c>
      <c r="N84" s="23"/>
      <c r="O84" s="26" t="n">
        <f>18745000</f>
        <v>1.8745E7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str">
        <f>"－"</f>
        <v>－</v>
      </c>
      <c r="U84" s="23"/>
      <c r="V84" s="25" t="str">
        <f>"－"</f>
        <v>－</v>
      </c>
      <c r="W84" s="23"/>
      <c r="X84" s="26" t="str">
        <f>"－"</f>
        <v>－</v>
      </c>
      <c r="Y84" s="24"/>
      <c r="Z84" s="25" t="n">
        <f>82126</f>
        <v>82126.0</v>
      </c>
      <c r="AA84" s="23"/>
      <c r="AB84" s="25" t="n">
        <f>17243</f>
        <v>17243.0</v>
      </c>
      <c r="AC84" s="23"/>
      <c r="AD84" s="26" t="n">
        <f>99369</f>
        <v>99369.0</v>
      </c>
    </row>
    <row r="85">
      <c r="A85" s="30" t="s">
        <v>49</v>
      </c>
      <c r="B85" s="22" t="s">
        <v>60</v>
      </c>
      <c r="C85" s="22" t="s">
        <v>61</v>
      </c>
      <c r="D85" s="24"/>
      <c r="E85" s="25"/>
      <c r="F85" s="23"/>
      <c r="G85" s="25"/>
      <c r="H85" s="23"/>
      <c r="I85" s="26"/>
      <c r="J85" s="24"/>
      <c r="K85" s="25"/>
      <c r="L85" s="23"/>
      <c r="M85" s="25"/>
      <c r="N85" s="23"/>
      <c r="O85" s="26"/>
      <c r="P85" s="27"/>
      <c r="Q85" s="28"/>
      <c r="R85" s="29"/>
      <c r="S85" s="24"/>
      <c r="T85" s="25"/>
      <c r="U85" s="23"/>
      <c r="V85" s="25"/>
      <c r="W85" s="23"/>
      <c r="X85" s="26"/>
      <c r="Y85" s="24"/>
      <c r="Z85" s="25"/>
      <c r="AA85" s="23"/>
      <c r="AB85" s="25"/>
      <c r="AC85" s="23"/>
      <c r="AD85" s="26"/>
    </row>
    <row r="86">
      <c r="A86" s="30" t="s">
        <v>50</v>
      </c>
      <c r="B86" s="22" t="s">
        <v>60</v>
      </c>
      <c r="C86" s="22" t="s">
        <v>61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51</v>
      </c>
      <c r="B87" s="22" t="s">
        <v>60</v>
      </c>
      <c r="C87" s="22" t="s">
        <v>61</v>
      </c>
      <c r="D87" s="24"/>
      <c r="E87" s="25" t="n">
        <f>338</f>
        <v>338.0</v>
      </c>
      <c r="F87" s="23"/>
      <c r="G87" s="25" t="n">
        <f>225</f>
        <v>225.0</v>
      </c>
      <c r="H87" s="23"/>
      <c r="I87" s="26" t="n">
        <f>563</f>
        <v>563.0</v>
      </c>
      <c r="J87" s="24"/>
      <c r="K87" s="25" t="n">
        <f>398932372</f>
        <v>3.98932372E8</v>
      </c>
      <c r="L87" s="23"/>
      <c r="M87" s="25" t="n">
        <f>309425000</f>
        <v>3.09425E8</v>
      </c>
      <c r="N87" s="23"/>
      <c r="O87" s="26" t="n">
        <f>708357372</f>
        <v>7.08357372E8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n">
        <f>338</f>
        <v>338.0</v>
      </c>
      <c r="U87" s="23"/>
      <c r="V87" s="25" t="n">
        <f>225</f>
        <v>225.0</v>
      </c>
      <c r="W87" s="23"/>
      <c r="X87" s="26" t="n">
        <f>563</f>
        <v>563.0</v>
      </c>
      <c r="Y87" s="24"/>
      <c r="Z87" s="25" t="n">
        <f>82420</f>
        <v>82420.0</v>
      </c>
      <c r="AA87" s="23"/>
      <c r="AB87" s="25" t="n">
        <f>17468</f>
        <v>17468.0</v>
      </c>
      <c r="AC87" s="23" t="s">
        <v>33</v>
      </c>
      <c r="AD87" s="26" t="n">
        <f>99888</f>
        <v>99888.0</v>
      </c>
    </row>
    <row r="88">
      <c r="A88" s="30" t="s">
        <v>52</v>
      </c>
      <c r="B88" s="22" t="s">
        <v>60</v>
      </c>
      <c r="C88" s="22" t="s">
        <v>61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53</v>
      </c>
      <c r="B89" s="22" t="s">
        <v>60</v>
      </c>
      <c r="C89" s="22" t="s">
        <v>61</v>
      </c>
      <c r="D89" s="24"/>
      <c r="E89" s="25" t="str">
        <f>"－"</f>
        <v>－</v>
      </c>
      <c r="F89" s="23"/>
      <c r="G89" s="25" t="str">
        <f>"－"</f>
        <v>－</v>
      </c>
      <c r="H89" s="23"/>
      <c r="I89" s="26" t="str">
        <f>"－"</f>
        <v>－</v>
      </c>
      <c r="J89" s="24"/>
      <c r="K89" s="25" t="str">
        <f>"－"</f>
        <v>－</v>
      </c>
      <c r="L89" s="23"/>
      <c r="M89" s="25" t="str">
        <f>"－"</f>
        <v>－</v>
      </c>
      <c r="N89" s="23"/>
      <c r="O89" s="26" t="str">
        <f>"－"</f>
        <v>－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str">
        <f>"－"</f>
        <v>－</v>
      </c>
      <c r="W89" s="23"/>
      <c r="X89" s="26" t="str">
        <f>"－"</f>
        <v>－</v>
      </c>
      <c r="Y89" s="24"/>
      <c r="Z89" s="25" t="n">
        <f>82420</f>
        <v>82420.0</v>
      </c>
      <c r="AA89" s="23"/>
      <c r="AB89" s="25" t="n">
        <f>17468</f>
        <v>17468.0</v>
      </c>
      <c r="AC89" s="23"/>
      <c r="AD89" s="26" t="n">
        <f>99888</f>
        <v>99888.0</v>
      </c>
    </row>
    <row r="90">
      <c r="A90" s="30" t="s">
        <v>54</v>
      </c>
      <c r="B90" s="22" t="s">
        <v>60</v>
      </c>
      <c r="C90" s="22" t="s">
        <v>61</v>
      </c>
      <c r="D90" s="24"/>
      <c r="E90" s="25" t="str">
        <f>"－"</f>
        <v>－</v>
      </c>
      <c r="F90" s="23"/>
      <c r="G90" s="25" t="str">
        <f>"－"</f>
        <v>－</v>
      </c>
      <c r="H90" s="23"/>
      <c r="I90" s="26" t="str">
        <f>"－"</f>
        <v>－</v>
      </c>
      <c r="J90" s="24"/>
      <c r="K90" s="25" t="str">
        <f>"－"</f>
        <v>－</v>
      </c>
      <c r="L90" s="23"/>
      <c r="M90" s="25" t="str">
        <f>"－"</f>
        <v>－</v>
      </c>
      <c r="N90" s="23"/>
      <c r="O90" s="26" t="str">
        <f>"－"</f>
        <v>－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/>
      <c r="V90" s="25" t="str">
        <f>"－"</f>
        <v>－</v>
      </c>
      <c r="W90" s="23"/>
      <c r="X90" s="26" t="str">
        <f>"－"</f>
        <v>－</v>
      </c>
      <c r="Y90" s="24"/>
      <c r="Z90" s="25" t="n">
        <f>82420</f>
        <v>82420.0</v>
      </c>
      <c r="AA90" s="23"/>
      <c r="AB90" s="25" t="n">
        <f>17468</f>
        <v>17468.0</v>
      </c>
      <c r="AC90" s="23"/>
      <c r="AD90" s="26" t="n">
        <f>99888</f>
        <v>99888.0</v>
      </c>
    </row>
    <row r="91">
      <c r="A91" s="30" t="s">
        <v>55</v>
      </c>
      <c r="B91" s="22" t="s">
        <v>60</v>
      </c>
      <c r="C91" s="22" t="s">
        <v>61</v>
      </c>
      <c r="D91" s="24"/>
      <c r="E91" s="25" t="n">
        <f>1769</f>
        <v>1769.0</v>
      </c>
      <c r="F91" s="23"/>
      <c r="G91" s="25" t="n">
        <f>200</f>
        <v>200.0</v>
      </c>
      <c r="H91" s="23"/>
      <c r="I91" s="26" t="n">
        <f>1969</f>
        <v>1969.0</v>
      </c>
      <c r="J91" s="24"/>
      <c r="K91" s="25" t="n">
        <f>311412991</f>
        <v>3.11412991E8</v>
      </c>
      <c r="L91" s="23"/>
      <c r="M91" s="25" t="n">
        <f>75900000</f>
        <v>7.59E7</v>
      </c>
      <c r="N91" s="23"/>
      <c r="O91" s="26" t="n">
        <f>387312991</f>
        <v>3.87312991E8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1769</f>
        <v>1769.0</v>
      </c>
      <c r="U91" s="23"/>
      <c r="V91" s="25" t="str">
        <f>"－"</f>
        <v>－</v>
      </c>
      <c r="W91" s="23"/>
      <c r="X91" s="26" t="n">
        <f>1769</f>
        <v>1769.0</v>
      </c>
      <c r="Y91" s="24"/>
      <c r="Z91" s="25" t="n">
        <f>82420</f>
        <v>82420.0</v>
      </c>
      <c r="AA91" s="23"/>
      <c r="AB91" s="25" t="n">
        <f>17468</f>
        <v>17468.0</v>
      </c>
      <c r="AC91" s="23"/>
      <c r="AD91" s="26" t="n">
        <f>99888</f>
        <v>99888.0</v>
      </c>
    </row>
    <row r="92">
      <c r="A92" s="30" t="s">
        <v>56</v>
      </c>
      <c r="B92" s="22" t="s">
        <v>60</v>
      </c>
      <c r="C92" s="22" t="s">
        <v>61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57</v>
      </c>
      <c r="B93" s="22" t="s">
        <v>60</v>
      </c>
      <c r="C93" s="22" t="s">
        <v>61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26</v>
      </c>
      <c r="B94" s="22" t="s">
        <v>62</v>
      </c>
      <c r="C94" s="22" t="s">
        <v>63</v>
      </c>
      <c r="D94" s="24" t="s">
        <v>64</v>
      </c>
      <c r="E94" s="25" t="str">
        <f>"－"</f>
        <v>－</v>
      </c>
      <c r="F94" s="23" t="s">
        <v>64</v>
      </c>
      <c r="G94" s="25" t="str">
        <f>"－"</f>
        <v>－</v>
      </c>
      <c r="H94" s="23" t="s">
        <v>64</v>
      </c>
      <c r="I94" s="26" t="str">
        <f>"－"</f>
        <v>－</v>
      </c>
      <c r="J94" s="24" t="s">
        <v>64</v>
      </c>
      <c r="K94" s="25" t="str">
        <f>"－"</f>
        <v>－</v>
      </c>
      <c r="L94" s="23" t="s">
        <v>64</v>
      </c>
      <c r="M94" s="25" t="str">
        <f>"－"</f>
        <v>－</v>
      </c>
      <c r="N94" s="23" t="s">
        <v>64</v>
      </c>
      <c r="O94" s="26" t="str">
        <f>"－"</f>
        <v>－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 t="s">
        <v>64</v>
      </c>
      <c r="T94" s="25" t="str">
        <f>"－"</f>
        <v>－</v>
      </c>
      <c r="U94" s="23" t="s">
        <v>64</v>
      </c>
      <c r="V94" s="25" t="str">
        <f>"－"</f>
        <v>－</v>
      </c>
      <c r="W94" s="23" t="s">
        <v>64</v>
      </c>
      <c r="X94" s="26" t="str">
        <f>"－"</f>
        <v>－</v>
      </c>
      <c r="Y94" s="24" t="s">
        <v>64</v>
      </c>
      <c r="Z94" s="25" t="str">
        <f>"－"</f>
        <v>－</v>
      </c>
      <c r="AA94" s="23" t="s">
        <v>64</v>
      </c>
      <c r="AB94" s="25" t="str">
        <f>"－"</f>
        <v>－</v>
      </c>
      <c r="AC94" s="23" t="s">
        <v>64</v>
      </c>
      <c r="AD94" s="26" t="str">
        <f>"－"</f>
        <v>－</v>
      </c>
    </row>
    <row r="95">
      <c r="A95" s="30" t="s">
        <v>29</v>
      </c>
      <c r="B95" s="22" t="s">
        <v>62</v>
      </c>
      <c r="C95" s="22" t="s">
        <v>63</v>
      </c>
      <c r="D95" s="24"/>
      <c r="E95" s="25" t="str">
        <f>"－"</f>
        <v>－</v>
      </c>
      <c r="F95" s="23"/>
      <c r="G95" s="25" t="str">
        <f>"－"</f>
        <v>－</v>
      </c>
      <c r="H95" s="23"/>
      <c r="I95" s="26" t="str">
        <f>"－"</f>
        <v>－</v>
      </c>
      <c r="J95" s="24"/>
      <c r="K95" s="25" t="str">
        <f>"－"</f>
        <v>－</v>
      </c>
      <c r="L95" s="23"/>
      <c r="M95" s="25" t="str">
        <f>"－"</f>
        <v>－</v>
      </c>
      <c r="N95" s="23"/>
      <c r="O95" s="26" t="str">
        <f>"－"</f>
        <v>－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str">
        <f>"－"</f>
        <v>－</v>
      </c>
      <c r="U95" s="23"/>
      <c r="V95" s="25" t="str">
        <f>"－"</f>
        <v>－</v>
      </c>
      <c r="W95" s="23"/>
      <c r="X95" s="26" t="str">
        <f>"－"</f>
        <v>－</v>
      </c>
      <c r="Y95" s="24"/>
      <c r="Z95" s="25" t="str">
        <f>"－"</f>
        <v>－</v>
      </c>
      <c r="AA95" s="23"/>
      <c r="AB95" s="25" t="str">
        <f>"－"</f>
        <v>－</v>
      </c>
      <c r="AC95" s="23"/>
      <c r="AD95" s="26" t="str">
        <f>"－"</f>
        <v>－</v>
      </c>
    </row>
    <row r="96">
      <c r="A96" s="30" t="s">
        <v>30</v>
      </c>
      <c r="B96" s="22" t="s">
        <v>62</v>
      </c>
      <c r="C96" s="22" t="s">
        <v>63</v>
      </c>
      <c r="D96" s="24"/>
      <c r="E96" s="25" t="str">
        <f>"－"</f>
        <v>－</v>
      </c>
      <c r="F96" s="23"/>
      <c r="G96" s="25" t="str">
        <f>"－"</f>
        <v>－</v>
      </c>
      <c r="H96" s="23"/>
      <c r="I96" s="26" t="str">
        <f>"－"</f>
        <v>－</v>
      </c>
      <c r="J96" s="24"/>
      <c r="K96" s="25" t="str">
        <f>"－"</f>
        <v>－</v>
      </c>
      <c r="L96" s="23"/>
      <c r="M96" s="25" t="str">
        <f>"－"</f>
        <v>－</v>
      </c>
      <c r="N96" s="23"/>
      <c r="O96" s="26" t="str">
        <f>"－"</f>
        <v>－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str">
        <f>"－"</f>
        <v>－</v>
      </c>
      <c r="AA96" s="23"/>
      <c r="AB96" s="25" t="str">
        <f>"－"</f>
        <v>－</v>
      </c>
      <c r="AC96" s="23"/>
      <c r="AD96" s="26" t="str">
        <f>"－"</f>
        <v>－</v>
      </c>
    </row>
    <row r="97">
      <c r="A97" s="30" t="s">
        <v>31</v>
      </c>
      <c r="B97" s="22" t="s">
        <v>62</v>
      </c>
      <c r="C97" s="22" t="s">
        <v>63</v>
      </c>
      <c r="D97" s="24"/>
      <c r="E97" s="25" t="str">
        <f>"－"</f>
        <v>－</v>
      </c>
      <c r="F97" s="23"/>
      <c r="G97" s="25" t="str">
        <f>"－"</f>
        <v>－</v>
      </c>
      <c r="H97" s="23"/>
      <c r="I97" s="26" t="str">
        <f>"－"</f>
        <v>－</v>
      </c>
      <c r="J97" s="24"/>
      <c r="K97" s="25" t="str">
        <f>"－"</f>
        <v>－</v>
      </c>
      <c r="L97" s="23"/>
      <c r="M97" s="25" t="str">
        <f>"－"</f>
        <v>－</v>
      </c>
      <c r="N97" s="23"/>
      <c r="O97" s="26" t="str">
        <f>"－"</f>
        <v>－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str">
        <f>"－"</f>
        <v>－</v>
      </c>
      <c r="AA97" s="23"/>
      <c r="AB97" s="25" t="str">
        <f>"－"</f>
        <v>－</v>
      </c>
      <c r="AC97" s="23"/>
      <c r="AD97" s="26" t="str">
        <f>"－"</f>
        <v>－</v>
      </c>
    </row>
    <row r="98">
      <c r="A98" s="30" t="s">
        <v>34</v>
      </c>
      <c r="B98" s="22" t="s">
        <v>62</v>
      </c>
      <c r="C98" s="22" t="s">
        <v>63</v>
      </c>
      <c r="D98" s="24"/>
      <c r="E98" s="25" t="str">
        <f>"－"</f>
        <v>－</v>
      </c>
      <c r="F98" s="23"/>
      <c r="G98" s="25" t="str">
        <f>"－"</f>
        <v>－</v>
      </c>
      <c r="H98" s="23"/>
      <c r="I98" s="26" t="str">
        <f>"－"</f>
        <v>－</v>
      </c>
      <c r="J98" s="24"/>
      <c r="K98" s="25" t="str">
        <f>"－"</f>
        <v>－</v>
      </c>
      <c r="L98" s="23"/>
      <c r="M98" s="25" t="str">
        <f>"－"</f>
        <v>－</v>
      </c>
      <c r="N98" s="23"/>
      <c r="O98" s="26" t="str">
        <f>"－"</f>
        <v>－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str">
        <f>"－"</f>
        <v>－</v>
      </c>
      <c r="U98" s="23"/>
      <c r="V98" s="25" t="str">
        <f>"－"</f>
        <v>－</v>
      </c>
      <c r="W98" s="23"/>
      <c r="X98" s="26" t="str">
        <f>"－"</f>
        <v>－</v>
      </c>
      <c r="Y98" s="24"/>
      <c r="Z98" s="25" t="str">
        <f>"－"</f>
        <v>－</v>
      </c>
      <c r="AA98" s="23"/>
      <c r="AB98" s="25" t="str">
        <f>"－"</f>
        <v>－</v>
      </c>
      <c r="AC98" s="23"/>
      <c r="AD98" s="26" t="str">
        <f>"－"</f>
        <v>－</v>
      </c>
    </row>
    <row r="99">
      <c r="A99" s="30" t="s">
        <v>35</v>
      </c>
      <c r="B99" s="22" t="s">
        <v>62</v>
      </c>
      <c r="C99" s="22" t="s">
        <v>63</v>
      </c>
      <c r="D99" s="24"/>
      <c r="E99" s="25"/>
      <c r="F99" s="23"/>
      <c r="G99" s="25"/>
      <c r="H99" s="23"/>
      <c r="I99" s="26"/>
      <c r="J99" s="24"/>
      <c r="K99" s="25"/>
      <c r="L99" s="23"/>
      <c r="M99" s="25"/>
      <c r="N99" s="23"/>
      <c r="O99" s="26"/>
      <c r="P99" s="27"/>
      <c r="Q99" s="28"/>
      <c r="R99" s="29"/>
      <c r="S99" s="24"/>
      <c r="T99" s="25"/>
      <c r="U99" s="23"/>
      <c r="V99" s="25"/>
      <c r="W99" s="23"/>
      <c r="X99" s="26"/>
      <c r="Y99" s="24"/>
      <c r="Z99" s="25"/>
      <c r="AA99" s="23"/>
      <c r="AB99" s="25"/>
      <c r="AC99" s="23"/>
      <c r="AD99" s="26"/>
    </row>
    <row r="100">
      <c r="A100" s="30" t="s">
        <v>36</v>
      </c>
      <c r="B100" s="22" t="s">
        <v>62</v>
      </c>
      <c r="C100" s="22" t="s">
        <v>63</v>
      </c>
      <c r="D100" s="24"/>
      <c r="E100" s="25"/>
      <c r="F100" s="23"/>
      <c r="G100" s="25"/>
      <c r="H100" s="23"/>
      <c r="I100" s="26"/>
      <c r="J100" s="24"/>
      <c r="K100" s="25"/>
      <c r="L100" s="23"/>
      <c r="M100" s="25"/>
      <c r="N100" s="23"/>
      <c r="O100" s="26"/>
      <c r="P100" s="27"/>
      <c r="Q100" s="28"/>
      <c r="R100" s="29"/>
      <c r="S100" s="24"/>
      <c r="T100" s="25"/>
      <c r="U100" s="23"/>
      <c r="V100" s="25"/>
      <c r="W100" s="23"/>
      <c r="X100" s="26"/>
      <c r="Y100" s="24"/>
      <c r="Z100" s="25"/>
      <c r="AA100" s="23"/>
      <c r="AB100" s="25"/>
      <c r="AC100" s="23"/>
      <c r="AD100" s="26"/>
    </row>
    <row r="101">
      <c r="A101" s="30" t="s">
        <v>37</v>
      </c>
      <c r="B101" s="22" t="s">
        <v>62</v>
      </c>
      <c r="C101" s="22" t="s">
        <v>63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38</v>
      </c>
      <c r="B102" s="22" t="s">
        <v>62</v>
      </c>
      <c r="C102" s="22" t="s">
        <v>63</v>
      </c>
      <c r="D102" s="24"/>
      <c r="E102" s="25" t="str">
        <f>"－"</f>
        <v>－</v>
      </c>
      <c r="F102" s="23"/>
      <c r="G102" s="25" t="str">
        <f>"－"</f>
        <v>－</v>
      </c>
      <c r="H102" s="23"/>
      <c r="I102" s="26" t="str">
        <f>"－"</f>
        <v>－</v>
      </c>
      <c r="J102" s="24"/>
      <c r="K102" s="25" t="str">
        <f>"－"</f>
        <v>－</v>
      </c>
      <c r="L102" s="23"/>
      <c r="M102" s="25" t="str">
        <f>"－"</f>
        <v>－</v>
      </c>
      <c r="N102" s="23"/>
      <c r="O102" s="26" t="str">
        <f>"－"</f>
        <v>－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str">
        <f>"－"</f>
        <v>－</v>
      </c>
      <c r="U102" s="23"/>
      <c r="V102" s="25" t="str">
        <f>"－"</f>
        <v>－</v>
      </c>
      <c r="W102" s="23"/>
      <c r="X102" s="26" t="str">
        <f>"－"</f>
        <v>－</v>
      </c>
      <c r="Y102" s="24"/>
      <c r="Z102" s="25" t="str">
        <f>"－"</f>
        <v>－</v>
      </c>
      <c r="AA102" s="23"/>
      <c r="AB102" s="25" t="str">
        <f>"－"</f>
        <v>－</v>
      </c>
      <c r="AC102" s="23"/>
      <c r="AD102" s="26" t="str">
        <f>"－"</f>
        <v>－</v>
      </c>
    </row>
    <row r="103">
      <c r="A103" s="30" t="s">
        <v>39</v>
      </c>
      <c r="B103" s="22" t="s">
        <v>62</v>
      </c>
      <c r="C103" s="22" t="s">
        <v>63</v>
      </c>
      <c r="D103" s="24"/>
      <c r="E103" s="25" t="str">
        <f>"－"</f>
        <v>－</v>
      </c>
      <c r="F103" s="23"/>
      <c r="G103" s="25" t="str">
        <f>"－"</f>
        <v>－</v>
      </c>
      <c r="H103" s="23"/>
      <c r="I103" s="26" t="str">
        <f>"－"</f>
        <v>－</v>
      </c>
      <c r="J103" s="24"/>
      <c r="K103" s="25" t="str">
        <f>"－"</f>
        <v>－</v>
      </c>
      <c r="L103" s="23"/>
      <c r="M103" s="25" t="str">
        <f>"－"</f>
        <v>－</v>
      </c>
      <c r="N103" s="23"/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/>
      <c r="T103" s="25" t="str">
        <f>"－"</f>
        <v>－</v>
      </c>
      <c r="U103" s="23"/>
      <c r="V103" s="25" t="str">
        <f>"－"</f>
        <v>－</v>
      </c>
      <c r="W103" s="23"/>
      <c r="X103" s="26" t="str">
        <f>"－"</f>
        <v>－</v>
      </c>
      <c r="Y103" s="24"/>
      <c r="Z103" s="25" t="str">
        <f>"－"</f>
        <v>－</v>
      </c>
      <c r="AA103" s="23"/>
      <c r="AB103" s="25" t="str">
        <f>"－"</f>
        <v>－</v>
      </c>
      <c r="AC103" s="23"/>
      <c r="AD103" s="26" t="str">
        <f>"－"</f>
        <v>－</v>
      </c>
    </row>
    <row r="104">
      <c r="A104" s="30" t="s">
        <v>40</v>
      </c>
      <c r="B104" s="22" t="s">
        <v>62</v>
      </c>
      <c r="C104" s="22" t="s">
        <v>63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41</v>
      </c>
      <c r="B105" s="22" t="s">
        <v>62</v>
      </c>
      <c r="C105" s="22" t="s">
        <v>63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42</v>
      </c>
      <c r="B106" s="22" t="s">
        <v>62</v>
      </c>
      <c r="C106" s="22" t="s">
        <v>63</v>
      </c>
      <c r="D106" s="24"/>
      <c r="E106" s="25"/>
      <c r="F106" s="23"/>
      <c r="G106" s="25"/>
      <c r="H106" s="23"/>
      <c r="I106" s="26"/>
      <c r="J106" s="24"/>
      <c r="K106" s="25"/>
      <c r="L106" s="23"/>
      <c r="M106" s="25"/>
      <c r="N106" s="23"/>
      <c r="O106" s="26"/>
      <c r="P106" s="27"/>
      <c r="Q106" s="28"/>
      <c r="R106" s="29"/>
      <c r="S106" s="24"/>
      <c r="T106" s="25"/>
      <c r="U106" s="23"/>
      <c r="V106" s="25"/>
      <c r="W106" s="23"/>
      <c r="X106" s="26"/>
      <c r="Y106" s="24"/>
      <c r="Z106" s="25"/>
      <c r="AA106" s="23"/>
      <c r="AB106" s="25"/>
      <c r="AC106" s="23"/>
      <c r="AD106" s="26"/>
    </row>
    <row r="107">
      <c r="A107" s="30" t="s">
        <v>43</v>
      </c>
      <c r="B107" s="22" t="s">
        <v>62</v>
      </c>
      <c r="C107" s="22" t="s">
        <v>63</v>
      </c>
      <c r="D107" s="24"/>
      <c r="E107" s="25"/>
      <c r="F107" s="23"/>
      <c r="G107" s="25"/>
      <c r="H107" s="23"/>
      <c r="I107" s="26"/>
      <c r="J107" s="24"/>
      <c r="K107" s="25"/>
      <c r="L107" s="23"/>
      <c r="M107" s="25"/>
      <c r="N107" s="23"/>
      <c r="O107" s="26"/>
      <c r="P107" s="27"/>
      <c r="Q107" s="28"/>
      <c r="R107" s="29"/>
      <c r="S107" s="24"/>
      <c r="T107" s="25"/>
      <c r="U107" s="23"/>
      <c r="V107" s="25"/>
      <c r="W107" s="23"/>
      <c r="X107" s="26"/>
      <c r="Y107" s="24"/>
      <c r="Z107" s="25"/>
      <c r="AA107" s="23"/>
      <c r="AB107" s="25"/>
      <c r="AC107" s="23"/>
      <c r="AD107" s="26"/>
    </row>
    <row r="108">
      <c r="A108" s="30" t="s">
        <v>44</v>
      </c>
      <c r="B108" s="22" t="s">
        <v>62</v>
      </c>
      <c r="C108" s="22" t="s">
        <v>63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45</v>
      </c>
      <c r="B109" s="22" t="s">
        <v>62</v>
      </c>
      <c r="C109" s="22" t="s">
        <v>63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46</v>
      </c>
      <c r="B110" s="22" t="s">
        <v>62</v>
      </c>
      <c r="C110" s="22" t="s">
        <v>63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47</v>
      </c>
      <c r="B111" s="22" t="s">
        <v>62</v>
      </c>
      <c r="C111" s="22" t="s">
        <v>63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48</v>
      </c>
      <c r="B112" s="22" t="s">
        <v>62</v>
      </c>
      <c r="C112" s="22" t="s">
        <v>63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49</v>
      </c>
      <c r="B113" s="22" t="s">
        <v>62</v>
      </c>
      <c r="C113" s="22" t="s">
        <v>63</v>
      </c>
      <c r="D113" s="24"/>
      <c r="E113" s="25"/>
      <c r="F113" s="23"/>
      <c r="G113" s="25"/>
      <c r="H113" s="23"/>
      <c r="I113" s="26"/>
      <c r="J113" s="24"/>
      <c r="K113" s="25"/>
      <c r="L113" s="23"/>
      <c r="M113" s="25"/>
      <c r="N113" s="23"/>
      <c r="O113" s="26"/>
      <c r="P113" s="27"/>
      <c r="Q113" s="28"/>
      <c r="R113" s="29"/>
      <c r="S113" s="24"/>
      <c r="T113" s="25"/>
      <c r="U113" s="23"/>
      <c r="V113" s="25"/>
      <c r="W113" s="23"/>
      <c r="X113" s="26"/>
      <c r="Y113" s="24"/>
      <c r="Z113" s="25"/>
      <c r="AA113" s="23"/>
      <c r="AB113" s="25"/>
      <c r="AC113" s="23"/>
      <c r="AD113" s="26"/>
    </row>
    <row r="114">
      <c r="A114" s="30" t="s">
        <v>50</v>
      </c>
      <c r="B114" s="22" t="s">
        <v>62</v>
      </c>
      <c r="C114" s="22" t="s">
        <v>63</v>
      </c>
      <c r="D114" s="24"/>
      <c r="E114" s="25"/>
      <c r="F114" s="23"/>
      <c r="G114" s="25"/>
      <c r="H114" s="23"/>
      <c r="I114" s="26"/>
      <c r="J114" s="24"/>
      <c r="K114" s="25"/>
      <c r="L114" s="23"/>
      <c r="M114" s="25"/>
      <c r="N114" s="23"/>
      <c r="O114" s="26"/>
      <c r="P114" s="27"/>
      <c r="Q114" s="28"/>
      <c r="R114" s="29"/>
      <c r="S114" s="24"/>
      <c r="T114" s="25"/>
      <c r="U114" s="23"/>
      <c r="V114" s="25"/>
      <c r="W114" s="23"/>
      <c r="X114" s="26"/>
      <c r="Y114" s="24"/>
      <c r="Z114" s="25"/>
      <c r="AA114" s="23"/>
      <c r="AB114" s="25"/>
      <c r="AC114" s="23"/>
      <c r="AD114" s="26"/>
    </row>
    <row r="115">
      <c r="A115" s="30" t="s">
        <v>51</v>
      </c>
      <c r="B115" s="22" t="s">
        <v>62</v>
      </c>
      <c r="C115" s="22" t="s">
        <v>63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52</v>
      </c>
      <c r="B116" s="22" t="s">
        <v>62</v>
      </c>
      <c r="C116" s="22" t="s">
        <v>63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53</v>
      </c>
      <c r="B117" s="22" t="s">
        <v>62</v>
      </c>
      <c r="C117" s="22" t="s">
        <v>63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54</v>
      </c>
      <c r="B118" s="22" t="s">
        <v>62</v>
      </c>
      <c r="C118" s="22" t="s">
        <v>63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55</v>
      </c>
      <c r="B119" s="22" t="s">
        <v>62</v>
      </c>
      <c r="C119" s="22" t="s">
        <v>63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56</v>
      </c>
      <c r="B120" s="22" t="s">
        <v>62</v>
      </c>
      <c r="C120" s="22" t="s">
        <v>63</v>
      </c>
      <c r="D120" s="24"/>
      <c r="E120" s="25"/>
      <c r="F120" s="23"/>
      <c r="G120" s="25"/>
      <c r="H120" s="23"/>
      <c r="I120" s="26"/>
      <c r="J120" s="24"/>
      <c r="K120" s="25"/>
      <c r="L120" s="23"/>
      <c r="M120" s="25"/>
      <c r="N120" s="23"/>
      <c r="O120" s="26"/>
      <c r="P120" s="27"/>
      <c r="Q120" s="28"/>
      <c r="R120" s="29"/>
      <c r="S120" s="24"/>
      <c r="T120" s="25"/>
      <c r="U120" s="23"/>
      <c r="V120" s="25"/>
      <c r="W120" s="23"/>
      <c r="X120" s="26"/>
      <c r="Y120" s="24"/>
      <c r="Z120" s="25"/>
      <c r="AA120" s="23"/>
      <c r="AB120" s="25"/>
      <c r="AC120" s="23"/>
      <c r="AD120" s="26"/>
    </row>
    <row r="121">
      <c r="A121" s="30" t="s">
        <v>57</v>
      </c>
      <c r="B121" s="22" t="s">
        <v>62</v>
      </c>
      <c r="C121" s="22" t="s">
        <v>63</v>
      </c>
      <c r="D121" s="24"/>
      <c r="E121" s="25"/>
      <c r="F121" s="23"/>
      <c r="G121" s="25"/>
      <c r="H121" s="23"/>
      <c r="I121" s="26"/>
      <c r="J121" s="24"/>
      <c r="K121" s="25"/>
      <c r="L121" s="23"/>
      <c r="M121" s="25"/>
      <c r="N121" s="23"/>
      <c r="O121" s="26"/>
      <c r="P121" s="27"/>
      <c r="Q121" s="28"/>
      <c r="R121" s="29"/>
      <c r="S121" s="24"/>
      <c r="T121" s="25"/>
      <c r="U121" s="23"/>
      <c r="V121" s="25"/>
      <c r="W121" s="23"/>
      <c r="X121" s="26"/>
      <c r="Y121" s="24"/>
      <c r="Z121" s="25"/>
      <c r="AA121" s="23"/>
      <c r="AB121" s="25"/>
      <c r="AC121" s="23"/>
      <c r="AD121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