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<sst xmlns="http://schemas.openxmlformats.org/spreadsheetml/2006/main" count="1714" uniqueCount="84">
  <si>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</si>
  <si>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</si>
  <si>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</si>
  <si>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</si>
  <si>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</si>
  <si>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</si>
  <si>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</si>
  <si>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</si>
  <si>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</si>
  <si>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</si>
  <si>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</si>
  <si>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</si>
  <si>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</si>
  <si>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</si>
  <si>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</si>
  <si>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</si>
  <si>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3.1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</si>
  <si>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</si>
  <si>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</si>
  <si>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</si>
  <si>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</si>
  <si>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</si>
  <si>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</si>
  <si>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</si>
  <si>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</si>
  <si>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8</t>
  </si>
  <si>
    <t>9</t>
  </si>
  <si>
    <t>◎</t>
  </si>
  <si>
    <t>10</t>
  </si>
  <si>
    <t>11</t>
  </si>
  <si>
    <t>12</t>
  </si>
  <si>
    <t>13</t>
  </si>
  <si>
    <t>14</t>
  </si>
  <si>
    <t>15</t>
  </si>
  <si>
    <t>●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</si>
  <si>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</si>
  <si>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</si>
  <si>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</si>
  <si>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</si>
  <si>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</si>
  <si>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</si>
  <si>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</si>
  <si>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</si>
  <si>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</si>
  <si>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</si>
  <si>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</si>
  <si>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</si>
  <si>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</si>
  <si>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</si>
  <si>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</si>
  <si>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</si>
  <si>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</si>
  <si>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</si>
  <si>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</si>
  <si>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</si>
  <si>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</si>
  <si>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</si>
  <si>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</si>
  <si>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</si>
  <si>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</si>
  <si>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</si>
  <si>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</si>
  <si>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</si>
  <si>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</si>
  <si>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</si>
  <si>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</si>
  <si>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</si>
  <si>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◎●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</si>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</sst>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32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96231</f>
        <v>96231.0</v>
      </c>
      <c r="F6" s="10"/>
      <c r="G6" s="2" t="n">
        <f>2837774013120</f>
        <v>2.83777401312E12</v>
      </c>
      <c r="H6" s="10"/>
      <c r="I6" s="2" t="n">
        <f>8788</f>
        <v>8788.0</v>
      </c>
      <c r="J6" s="10"/>
      <c r="K6" s="2" t="n">
        <f>361056</f>
        <v>361056.0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76698</f>
        <v>76698.0</v>
      </c>
      <c r="F7" s="10"/>
      <c r="G7" s="2" t="n">
        <f>2268735355070</f>
        <v>2.26873535507E12</v>
      </c>
      <c r="H7" s="10"/>
      <c r="I7" s="2" t="n">
        <f>12192</f>
        <v>12192.0</v>
      </c>
      <c r="J7" s="10"/>
      <c r="K7" s="2" t="n">
        <f>362569</f>
        <v>362569.0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69086</f>
        <v>69086.0</v>
      </c>
      <c r="F8" s="10"/>
      <c r="G8" s="2" t="n">
        <f>2035443257450</f>
        <v>2.03544325745E12</v>
      </c>
      <c r="H8" s="10"/>
      <c r="I8" s="2" t="n">
        <f>6412</f>
        <v>6412.0</v>
      </c>
      <c r="J8" s="10"/>
      <c r="K8" s="2" t="n">
        <f>363176</f>
        <v>363176.0</v>
      </c>
    </row>
    <row r="9">
      <c r="A9" s="8" t="s">
        <v>21</v>
      </c>
      <c r="B9" s="9" t="s">
        <v>17</v>
      </c>
      <c r="C9" s="9" t="s">
        <v>18</v>
      </c>
      <c r="D9" s="10"/>
      <c r="E9" s="2" t="n">
        <f>102203</f>
        <v>102203.0</v>
      </c>
      <c r="F9" s="10"/>
      <c r="G9" s="2" t="n">
        <f>2976753078930</f>
        <v>2.97675307893E12</v>
      </c>
      <c r="H9" s="10"/>
      <c r="I9" s="2" t="n">
        <f>12957</f>
        <v>12957.0</v>
      </c>
      <c r="J9" s="10"/>
      <c r="K9" s="2" t="n">
        <f>370835</f>
        <v>370835.0</v>
      </c>
    </row>
    <row r="10">
      <c r="A10" s="8" t="s">
        <v>22</v>
      </c>
      <c r="B10" s="9" t="s">
        <v>17</v>
      </c>
      <c r="C10" s="9" t="s">
        <v>18</v>
      </c>
      <c r="D10" s="10"/>
      <c r="E10" s="2" t="n">
        <f>126858</f>
        <v>126858.0</v>
      </c>
      <c r="F10" s="10"/>
      <c r="G10" s="2" t="n">
        <f>3644779833960</f>
        <v>3.64477983396E12</v>
      </c>
      <c r="H10" s="10"/>
      <c r="I10" s="2" t="n">
        <f>11028</f>
        <v>11028.0</v>
      </c>
      <c r="J10" s="10"/>
      <c r="K10" s="2" t="n">
        <f>376809</f>
        <v>376809.0</v>
      </c>
    </row>
    <row r="11">
      <c r="A11" s="8" t="s">
        <v>23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24</v>
      </c>
      <c r="B12" s="9" t="s">
        <v>17</v>
      </c>
      <c r="C12" s="9" t="s">
        <v>18</v>
      </c>
      <c r="D12" s="10"/>
      <c r="E12" s="2"/>
      <c r="F12" s="10"/>
      <c r="G12" s="2"/>
      <c r="H12" s="10"/>
      <c r="I12" s="2"/>
      <c r="J12" s="10"/>
      <c r="K12" s="2"/>
    </row>
    <row r="13">
      <c r="A13" s="8" t="s">
        <v>25</v>
      </c>
      <c r="B13" s="9" t="s">
        <v>17</v>
      </c>
      <c r="C13" s="9" t="s">
        <v>18</v>
      </c>
      <c r="D13" s="10"/>
      <c r="E13" s="2" t="n">
        <f>257800</f>
        <v>257800.0</v>
      </c>
      <c r="F13" s="10"/>
      <c r="G13" s="2" t="n">
        <f>7431032682791</f>
        <v>7.431032682791E12</v>
      </c>
      <c r="H13" s="10"/>
      <c r="I13" s="2" t="n">
        <f>21760</f>
        <v>21760.0</v>
      </c>
      <c r="J13" s="10"/>
      <c r="K13" s="2" t="n">
        <f>384911</f>
        <v>384911.0</v>
      </c>
    </row>
    <row r="14">
      <c r="A14" s="8" t="s">
        <v>26</v>
      </c>
      <c r="B14" s="9" t="s">
        <v>17</v>
      </c>
      <c r="C14" s="9" t="s">
        <v>18</v>
      </c>
      <c r="D14" s="10" t="s">
        <v>27</v>
      </c>
      <c r="E14" s="2" t="n">
        <f>390095</f>
        <v>390095.0</v>
      </c>
      <c r="F14" s="10" t="s">
        <v>27</v>
      </c>
      <c r="G14" s="2" t="n">
        <f>11231687743747</f>
        <v>1.1231687743747E13</v>
      </c>
      <c r="H14" s="10" t="s">
        <v>27</v>
      </c>
      <c r="I14" s="2" t="n">
        <f>54436</f>
        <v>54436.0</v>
      </c>
      <c r="J14" s="10"/>
      <c r="K14" s="2" t="n">
        <f>386785</f>
        <v>386785.0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270361</f>
        <v>270361.0</v>
      </c>
      <c r="F15" s="10"/>
      <c r="G15" s="2" t="n">
        <f>7840508363952</f>
        <v>7.840508363952E12</v>
      </c>
      <c r="H15" s="10"/>
      <c r="I15" s="2" t="n">
        <f>27971</f>
        <v>27971.0</v>
      </c>
      <c r="J15" s="10"/>
      <c r="K15" s="2" t="n">
        <f>392093</f>
        <v>392093.0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135399</f>
        <v>135399.0</v>
      </c>
      <c r="F16" s="10"/>
      <c r="G16" s="2" t="n">
        <f>3929685083925</f>
        <v>3.929685083925E12</v>
      </c>
      <c r="H16" s="10"/>
      <c r="I16" s="2" t="n">
        <f>21727</f>
        <v>21727.0</v>
      </c>
      <c r="J16" s="10" t="s">
        <v>27</v>
      </c>
      <c r="K16" s="2" t="n">
        <f>392406</f>
        <v>392406.0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77962</f>
        <v>77962.0</v>
      </c>
      <c r="F17" s="10"/>
      <c r="G17" s="2" t="n">
        <f>2282866509172</f>
        <v>2.282866509172E12</v>
      </c>
      <c r="H17" s="10"/>
      <c r="I17" s="2" t="n">
        <f>8236</f>
        <v>8236.0</v>
      </c>
      <c r="J17" s="10"/>
      <c r="K17" s="2" t="n">
        <f>392094</f>
        <v>392094.0</v>
      </c>
    </row>
    <row r="18">
      <c r="A18" s="8" t="s">
        <v>31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32</v>
      </c>
      <c r="B19" s="9" t="s">
        <v>17</v>
      </c>
      <c r="C19" s="9" t="s">
        <v>18</v>
      </c>
      <c r="D19" s="10"/>
      <c r="E19" s="2"/>
      <c r="F19" s="10"/>
      <c r="G19" s="2"/>
      <c r="H19" s="10"/>
      <c r="I19" s="2"/>
      <c r="J19" s="10"/>
      <c r="K19" s="2"/>
    </row>
    <row r="20">
      <c r="A20" s="8" t="s">
        <v>33</v>
      </c>
      <c r="B20" s="9" t="s">
        <v>17</v>
      </c>
      <c r="C20" s="9" t="s">
        <v>18</v>
      </c>
      <c r="D20" s="10"/>
      <c r="E20" s="2" t="n">
        <f>70787</f>
        <v>70787.0</v>
      </c>
      <c r="F20" s="10"/>
      <c r="G20" s="2" t="n">
        <f>2089354669200</f>
        <v>2.0893546692E12</v>
      </c>
      <c r="H20" s="10"/>
      <c r="I20" s="2" t="n">
        <f>6756</f>
        <v>6756.0</v>
      </c>
      <c r="J20" s="10" t="s">
        <v>34</v>
      </c>
      <c r="K20" s="2" t="n">
        <f>297789</f>
        <v>297789.0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52472</f>
        <v>52472.0</v>
      </c>
      <c r="F21" s="10"/>
      <c r="G21" s="2" t="n">
        <f>1557429371800</f>
        <v>1.5574293718E12</v>
      </c>
      <c r="H21" s="10"/>
      <c r="I21" s="2" t="n">
        <f>7543</f>
        <v>7543.0</v>
      </c>
      <c r="J21" s="10"/>
      <c r="K21" s="2" t="n">
        <f>298665</f>
        <v>298665.0</v>
      </c>
    </row>
    <row r="22">
      <c r="A22" s="8" t="s">
        <v>36</v>
      </c>
      <c r="B22" s="9" t="s">
        <v>17</v>
      </c>
      <c r="C22" s="9" t="s">
        <v>18</v>
      </c>
      <c r="D22" s="10" t="s">
        <v>34</v>
      </c>
      <c r="E22" s="2" t="n">
        <f>41256</f>
        <v>41256.0</v>
      </c>
      <c r="F22" s="10" t="s">
        <v>34</v>
      </c>
      <c r="G22" s="2" t="n">
        <f>1225260091380</f>
        <v>1.22526009138E12</v>
      </c>
      <c r="H22" s="10" t="s">
        <v>34</v>
      </c>
      <c r="I22" s="2" t="n">
        <f>4194</f>
        <v>4194.0</v>
      </c>
      <c r="J22" s="10"/>
      <c r="K22" s="2" t="n">
        <f>297799</f>
        <v>297799.0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76493</f>
        <v>76493.0</v>
      </c>
      <c r="F23" s="10"/>
      <c r="G23" s="2" t="n">
        <f>2295453232840</f>
        <v>2.29545323284E12</v>
      </c>
      <c r="H23" s="10"/>
      <c r="I23" s="2" t="n">
        <f>9156</f>
        <v>9156.0</v>
      </c>
      <c r="J23" s="10"/>
      <c r="K23" s="2" t="n">
        <f>299006</f>
        <v>299006.0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77175</f>
        <v>77175.0</v>
      </c>
      <c r="F24" s="10"/>
      <c r="G24" s="2" t="n">
        <f>2295223679020</f>
        <v>2.29522367902E12</v>
      </c>
      <c r="H24" s="10"/>
      <c r="I24" s="2" t="n">
        <f>13263</f>
        <v>13263.0</v>
      </c>
      <c r="J24" s="10"/>
      <c r="K24" s="2" t="n">
        <f>301118</f>
        <v>301118.0</v>
      </c>
    </row>
    <row r="25">
      <c r="A25" s="8" t="s">
        <v>39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40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41</v>
      </c>
      <c r="B27" s="9" t="s">
        <v>17</v>
      </c>
      <c r="C27" s="9" t="s">
        <v>18</v>
      </c>
      <c r="D27" s="10"/>
      <c r="E27" s="2" t="n">
        <f>84787</f>
        <v>84787.0</v>
      </c>
      <c r="F27" s="10"/>
      <c r="G27" s="2" t="n">
        <f>2470868149900</f>
        <v>2.4708681499E12</v>
      </c>
      <c r="H27" s="10"/>
      <c r="I27" s="2" t="n">
        <f>17231</f>
        <v>17231.0</v>
      </c>
      <c r="J27" s="10"/>
      <c r="K27" s="2" t="n">
        <f>305206</f>
        <v>305206.0</v>
      </c>
    </row>
    <row r="28">
      <c r="A28" s="8" t="s">
        <v>42</v>
      </c>
      <c r="B28" s="9" t="s">
        <v>17</v>
      </c>
      <c r="C28" s="9" t="s">
        <v>18</v>
      </c>
      <c r="D28" s="10"/>
      <c r="E28" s="2" t="n">
        <f>62715</f>
        <v>62715.0</v>
      </c>
      <c r="F28" s="10"/>
      <c r="G28" s="2" t="n">
        <f>1817326549580</f>
        <v>1.81732654958E12</v>
      </c>
      <c r="H28" s="10"/>
      <c r="I28" s="2" t="n">
        <f>8463</f>
        <v>8463.0</v>
      </c>
      <c r="J28" s="10"/>
      <c r="K28" s="2" t="n">
        <f>306473</f>
        <v>306473.0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82714</f>
        <v>82714.0</v>
      </c>
      <c r="F29" s="10"/>
      <c r="G29" s="2" t="n">
        <f>2354007035416</f>
        <v>2.354007035416E12</v>
      </c>
      <c r="H29" s="10"/>
      <c r="I29" s="2" t="n">
        <f>11272</f>
        <v>11272.0</v>
      </c>
      <c r="J29" s="10"/>
      <c r="K29" s="2" t="n">
        <f>311574</f>
        <v>311574.0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66326</f>
        <v>66326.0</v>
      </c>
      <c r="F30" s="10"/>
      <c r="G30" s="2" t="n">
        <f>1886236616320</f>
        <v>1.88623661632E12</v>
      </c>
      <c r="H30" s="10"/>
      <c r="I30" s="2" t="n">
        <f>7799</f>
        <v>7799.0</v>
      </c>
      <c r="J30" s="10"/>
      <c r="K30" s="2" t="n">
        <f>309974</f>
        <v>309974.0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79868</f>
        <v>79868.0</v>
      </c>
      <c r="F31" s="10"/>
      <c r="G31" s="2" t="n">
        <f>2306177201900</f>
        <v>2.3061772019E12</v>
      </c>
      <c r="H31" s="10"/>
      <c r="I31" s="2" t="n">
        <f>12094</f>
        <v>12094.0</v>
      </c>
      <c r="J31" s="10"/>
      <c r="K31" s="2" t="n">
        <f>309872</f>
        <v>309872.0</v>
      </c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/>
      <c r="E33" s="2"/>
      <c r="F33" s="10"/>
      <c r="G33" s="2"/>
      <c r="H33" s="10"/>
      <c r="I33" s="2"/>
      <c r="J33" s="10"/>
      <c r="K33" s="2"/>
    </row>
    <row r="34">
      <c r="A34" s="8" t="s">
        <v>48</v>
      </c>
      <c r="B34" s="9" t="s">
        <v>17</v>
      </c>
      <c r="C34" s="9" t="s">
        <v>18</v>
      </c>
      <c r="D34" s="10"/>
      <c r="E34" s="2" t="n">
        <f>69942</f>
        <v>69942.0</v>
      </c>
      <c r="F34" s="10"/>
      <c r="G34" s="2" t="n">
        <f>2042863554014</f>
        <v>2.042863554014E12</v>
      </c>
      <c r="H34" s="10"/>
      <c r="I34" s="2" t="n">
        <f>11430</f>
        <v>11430.0</v>
      </c>
      <c r="J34" s="10"/>
      <c r="K34" s="2" t="n">
        <f>310105</f>
        <v>310105.0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54375</f>
        <v>54375.0</v>
      </c>
      <c r="F35" s="10"/>
      <c r="G35" s="2" t="n">
        <f>1596066302200</f>
        <v>1.5960663022E12</v>
      </c>
      <c r="H35" s="10"/>
      <c r="I35" s="2" t="n">
        <f>8067</f>
        <v>8067.0</v>
      </c>
      <c r="J35" s="10"/>
      <c r="K35" s="2" t="n">
        <f>310273</f>
        <v>310273.0</v>
      </c>
    </row>
    <row r="36">
      <c r="A36" s="8" t="s">
        <v>50</v>
      </c>
      <c r="B36" s="9" t="s">
        <v>17</v>
      </c>
      <c r="C36" s="9" t="s">
        <v>18</v>
      </c>
      <c r="D36" s="10"/>
      <c r="E36" s="2" t="n">
        <f>63678</f>
        <v>63678.0</v>
      </c>
      <c r="F36" s="10"/>
      <c r="G36" s="2" t="n">
        <f>1863546192600</f>
        <v>1.8635461926E12</v>
      </c>
      <c r="H36" s="10"/>
      <c r="I36" s="2" t="n">
        <f>7108</f>
        <v>7108.0</v>
      </c>
      <c r="J36" s="10"/>
      <c r="K36" s="2" t="n">
        <f>311790</f>
        <v>311790.0</v>
      </c>
    </row>
    <row r="37">
      <c r="A37" s="8" t="s">
        <v>16</v>
      </c>
      <c r="B37" s="9" t="s">
        <v>51</v>
      </c>
      <c r="C37" s="9" t="s">
        <v>52</v>
      </c>
      <c r="D37" s="10"/>
      <c r="E37" s="2" t="n">
        <f>1474905</f>
        <v>1474905.0</v>
      </c>
      <c r="F37" s="10"/>
      <c r="G37" s="2" t="n">
        <f>4339235460344</f>
        <v>4.339235460344E12</v>
      </c>
      <c r="H37" s="10"/>
      <c r="I37" s="2" t="n">
        <f>212561</f>
        <v>212561.0</v>
      </c>
      <c r="J37" s="10"/>
      <c r="K37" s="2" t="n">
        <f>414774</f>
        <v>414774.0</v>
      </c>
    </row>
    <row r="38">
      <c r="A38" s="8" t="s">
        <v>19</v>
      </c>
      <c r="B38" s="9" t="s">
        <v>51</v>
      </c>
      <c r="C38" s="9" t="s">
        <v>52</v>
      </c>
      <c r="D38" s="10"/>
      <c r="E38" s="2" t="n">
        <f>1075583</f>
        <v>1075583.0</v>
      </c>
      <c r="F38" s="10"/>
      <c r="G38" s="2" t="n">
        <f>3184250782620</f>
        <v>3.18425078262E12</v>
      </c>
      <c r="H38" s="10"/>
      <c r="I38" s="2" t="n">
        <f>173024</f>
        <v>173024.0</v>
      </c>
      <c r="J38" s="10"/>
      <c r="K38" s="2" t="n">
        <f>425067</f>
        <v>425067.0</v>
      </c>
    </row>
    <row r="39">
      <c r="A39" s="8" t="s">
        <v>20</v>
      </c>
      <c r="B39" s="9" t="s">
        <v>51</v>
      </c>
      <c r="C39" s="9" t="s">
        <v>52</v>
      </c>
      <c r="D39" s="10"/>
      <c r="E39" s="2" t="n">
        <f>878540</f>
        <v>878540.0</v>
      </c>
      <c r="F39" s="10"/>
      <c r="G39" s="2" t="n">
        <f>2590058770277</f>
        <v>2.590058770277E12</v>
      </c>
      <c r="H39" s="10"/>
      <c r="I39" s="2" t="n">
        <f>136779</f>
        <v>136779.0</v>
      </c>
      <c r="J39" s="10"/>
      <c r="K39" s="2" t="n">
        <f>435274</f>
        <v>435274.0</v>
      </c>
    </row>
    <row r="40">
      <c r="A40" s="8" t="s">
        <v>21</v>
      </c>
      <c r="B40" s="9" t="s">
        <v>51</v>
      </c>
      <c r="C40" s="9" t="s">
        <v>52</v>
      </c>
      <c r="D40" s="10"/>
      <c r="E40" s="2" t="n">
        <f>1377249</f>
        <v>1377249.0</v>
      </c>
      <c r="F40" s="10"/>
      <c r="G40" s="2" t="n">
        <f>4020435394140</f>
        <v>4.02043539414E12</v>
      </c>
      <c r="H40" s="10"/>
      <c r="I40" s="2" t="n">
        <f>194069</f>
        <v>194069.0</v>
      </c>
      <c r="J40" s="10"/>
      <c r="K40" s="2" t="n">
        <f>437930</f>
        <v>437930.0</v>
      </c>
    </row>
    <row r="41">
      <c r="A41" s="8" t="s">
        <v>22</v>
      </c>
      <c r="B41" s="9" t="s">
        <v>51</v>
      </c>
      <c r="C41" s="9" t="s">
        <v>52</v>
      </c>
      <c r="D41" s="10"/>
      <c r="E41" s="2" t="n">
        <f>1770066</f>
        <v>1770066.0</v>
      </c>
      <c r="F41" s="10"/>
      <c r="G41" s="2" t="n">
        <f>5093606056833</f>
        <v>5.093606056833E12</v>
      </c>
      <c r="H41" s="10"/>
      <c r="I41" s="2" t="n">
        <f>268856</f>
        <v>268856.0</v>
      </c>
      <c r="J41" s="10"/>
      <c r="K41" s="2" t="n">
        <f>430936</f>
        <v>430936.0</v>
      </c>
    </row>
    <row r="42">
      <c r="A42" s="8" t="s">
        <v>23</v>
      </c>
      <c r="B42" s="9" t="s">
        <v>51</v>
      </c>
      <c r="C42" s="9" t="s">
        <v>52</v>
      </c>
      <c r="D42" s="10"/>
      <c r="E42" s="2"/>
      <c r="F42" s="10"/>
      <c r="G42" s="2"/>
      <c r="H42" s="10"/>
      <c r="I42" s="2"/>
      <c r="J42" s="10"/>
      <c r="K42" s="2"/>
    </row>
    <row r="43">
      <c r="A43" s="8" t="s">
        <v>24</v>
      </c>
      <c r="B43" s="9" t="s">
        <v>51</v>
      </c>
      <c r="C43" s="9" t="s">
        <v>52</v>
      </c>
      <c r="D43" s="10"/>
      <c r="E43" s="2"/>
      <c r="F43" s="10"/>
      <c r="G43" s="2"/>
      <c r="H43" s="10"/>
      <c r="I43" s="2"/>
      <c r="J43" s="10"/>
      <c r="K43" s="2"/>
    </row>
    <row r="44">
      <c r="A44" s="8" t="s">
        <v>25</v>
      </c>
      <c r="B44" s="9" t="s">
        <v>51</v>
      </c>
      <c r="C44" s="9" t="s">
        <v>52</v>
      </c>
      <c r="D44" s="10"/>
      <c r="E44" s="2" t="n">
        <f>1779486</f>
        <v>1779486.0</v>
      </c>
      <c r="F44" s="10"/>
      <c r="G44" s="2" t="n">
        <f>5139021354622</f>
        <v>5.139021354622E12</v>
      </c>
      <c r="H44" s="10"/>
      <c r="I44" s="2" t="n">
        <f>261738</f>
        <v>261738.0</v>
      </c>
      <c r="J44" s="10"/>
      <c r="K44" s="2" t="n">
        <f>436048</f>
        <v>436048.0</v>
      </c>
    </row>
    <row r="45">
      <c r="A45" s="8" t="s">
        <v>26</v>
      </c>
      <c r="B45" s="9" t="s">
        <v>51</v>
      </c>
      <c r="C45" s="9" t="s">
        <v>52</v>
      </c>
      <c r="D45" s="10" t="s">
        <v>27</v>
      </c>
      <c r="E45" s="2" t="n">
        <f>1804577</f>
        <v>1804577.0</v>
      </c>
      <c r="F45" s="10" t="s">
        <v>27</v>
      </c>
      <c r="G45" s="2" t="n">
        <f>5199436588639</f>
        <v>5.199436588639E12</v>
      </c>
      <c r="H45" s="10" t="s">
        <v>27</v>
      </c>
      <c r="I45" s="2" t="n">
        <f>336478</f>
        <v>336478.0</v>
      </c>
      <c r="J45" s="10"/>
      <c r="K45" s="2" t="n">
        <f>482337</f>
        <v>482337.0</v>
      </c>
    </row>
    <row r="46">
      <c r="A46" s="8" t="s">
        <v>28</v>
      </c>
      <c r="B46" s="9" t="s">
        <v>51</v>
      </c>
      <c r="C46" s="9" t="s">
        <v>52</v>
      </c>
      <c r="D46" s="10"/>
      <c r="E46" s="2" t="n">
        <f>1117308</f>
        <v>1117308.0</v>
      </c>
      <c r="F46" s="10"/>
      <c r="G46" s="2" t="n">
        <f>3245450533056</f>
        <v>3.245450533056E12</v>
      </c>
      <c r="H46" s="10"/>
      <c r="I46" s="2" t="n">
        <f>154285</f>
        <v>154285.0</v>
      </c>
      <c r="J46" s="10"/>
      <c r="K46" s="2" t="n">
        <f>486602</f>
        <v>486602.0</v>
      </c>
    </row>
    <row r="47">
      <c r="A47" s="8" t="s">
        <v>29</v>
      </c>
      <c r="B47" s="9" t="s">
        <v>51</v>
      </c>
      <c r="C47" s="9" t="s">
        <v>52</v>
      </c>
      <c r="D47" s="10"/>
      <c r="E47" s="2" t="n">
        <f>983486</f>
        <v>983486.0</v>
      </c>
      <c r="F47" s="10"/>
      <c r="G47" s="2" t="n">
        <f>2855921804100</f>
        <v>2.8559218041E12</v>
      </c>
      <c r="H47" s="10"/>
      <c r="I47" s="2" t="n">
        <f>125326</f>
        <v>125326.0</v>
      </c>
      <c r="J47" s="10"/>
      <c r="K47" s="2" t="n">
        <f>493690</f>
        <v>493690.0</v>
      </c>
    </row>
    <row r="48">
      <c r="A48" s="8" t="s">
        <v>30</v>
      </c>
      <c r="B48" s="9" t="s">
        <v>51</v>
      </c>
      <c r="C48" s="9" t="s">
        <v>52</v>
      </c>
      <c r="D48" s="10"/>
      <c r="E48" s="2" t="n">
        <f>954349</f>
        <v>954349.0</v>
      </c>
      <c r="F48" s="10"/>
      <c r="G48" s="2" t="n">
        <f>2792804246583</f>
        <v>2.792804246583E12</v>
      </c>
      <c r="H48" s="10"/>
      <c r="I48" s="2" t="n">
        <f>134008</f>
        <v>134008.0</v>
      </c>
      <c r="J48" s="10" t="s">
        <v>27</v>
      </c>
      <c r="K48" s="2" t="n">
        <f>527810</f>
        <v>527810.0</v>
      </c>
    </row>
    <row r="49">
      <c r="A49" s="8" t="s">
        <v>31</v>
      </c>
      <c r="B49" s="9" t="s">
        <v>51</v>
      </c>
      <c r="C49" s="9" t="s">
        <v>52</v>
      </c>
      <c r="D49" s="10"/>
      <c r="E49" s="2"/>
      <c r="F49" s="10"/>
      <c r="G49" s="2"/>
      <c r="H49" s="10"/>
      <c r="I49" s="2"/>
      <c r="J49" s="10"/>
      <c r="K49" s="2"/>
    </row>
    <row r="50">
      <c r="A50" s="8" t="s">
        <v>32</v>
      </c>
      <c r="B50" s="9" t="s">
        <v>51</v>
      </c>
      <c r="C50" s="9" t="s">
        <v>52</v>
      </c>
      <c r="D50" s="10"/>
      <c r="E50" s="2"/>
      <c r="F50" s="10"/>
      <c r="G50" s="2"/>
      <c r="H50" s="10"/>
      <c r="I50" s="2"/>
      <c r="J50" s="10"/>
      <c r="K50" s="2"/>
    </row>
    <row r="51">
      <c r="A51" s="8" t="s">
        <v>33</v>
      </c>
      <c r="B51" s="9" t="s">
        <v>51</v>
      </c>
      <c r="C51" s="9" t="s">
        <v>52</v>
      </c>
      <c r="D51" s="10"/>
      <c r="E51" s="2" t="n">
        <f>820689</f>
        <v>820689.0</v>
      </c>
      <c r="F51" s="10"/>
      <c r="G51" s="2" t="n">
        <f>2423697477285</f>
        <v>2.423697477285E12</v>
      </c>
      <c r="H51" s="10"/>
      <c r="I51" s="2" t="n">
        <f>94262</f>
        <v>94262.0</v>
      </c>
      <c r="J51" s="10" t="s">
        <v>34</v>
      </c>
      <c r="K51" s="2" t="n">
        <f>321687</f>
        <v>321687.0</v>
      </c>
    </row>
    <row r="52">
      <c r="A52" s="8" t="s">
        <v>35</v>
      </c>
      <c r="B52" s="9" t="s">
        <v>51</v>
      </c>
      <c r="C52" s="9" t="s">
        <v>52</v>
      </c>
      <c r="D52" s="10"/>
      <c r="E52" s="2" t="n">
        <f>708459</f>
        <v>708459.0</v>
      </c>
      <c r="F52" s="10"/>
      <c r="G52" s="2" t="n">
        <f>2102649899933</f>
        <v>2.102649899933E12</v>
      </c>
      <c r="H52" s="10"/>
      <c r="I52" s="2" t="n">
        <f>90532</f>
        <v>90532.0</v>
      </c>
      <c r="J52" s="10"/>
      <c r="K52" s="2" t="n">
        <f>338825</f>
        <v>338825.0</v>
      </c>
    </row>
    <row r="53">
      <c r="A53" s="8" t="s">
        <v>36</v>
      </c>
      <c r="B53" s="9" t="s">
        <v>51</v>
      </c>
      <c r="C53" s="9" t="s">
        <v>52</v>
      </c>
      <c r="D53" s="10" t="s">
        <v>34</v>
      </c>
      <c r="E53" s="2" t="n">
        <f>574714</f>
        <v>574714.0</v>
      </c>
      <c r="F53" s="10" t="s">
        <v>34</v>
      </c>
      <c r="G53" s="2" t="n">
        <f>1708163503666</f>
        <v>1.708163503666E12</v>
      </c>
      <c r="H53" s="10" t="s">
        <v>34</v>
      </c>
      <c r="I53" s="2" t="n">
        <f>74199</f>
        <v>74199.0</v>
      </c>
      <c r="J53" s="10"/>
      <c r="K53" s="2" t="n">
        <f>335110</f>
        <v>335110.0</v>
      </c>
    </row>
    <row r="54">
      <c r="A54" s="8" t="s">
        <v>37</v>
      </c>
      <c r="B54" s="9" t="s">
        <v>51</v>
      </c>
      <c r="C54" s="9" t="s">
        <v>52</v>
      </c>
      <c r="D54" s="10"/>
      <c r="E54" s="2" t="n">
        <f>974770</f>
        <v>974770.0</v>
      </c>
      <c r="F54" s="10"/>
      <c r="G54" s="2" t="n">
        <f>2925105508425</f>
        <v>2.925105508425E12</v>
      </c>
      <c r="H54" s="10"/>
      <c r="I54" s="2" t="n">
        <f>139763</f>
        <v>139763.0</v>
      </c>
      <c r="J54" s="10"/>
      <c r="K54" s="2" t="n">
        <f>347107</f>
        <v>347107.0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982991</f>
        <v>982991.0</v>
      </c>
      <c r="F55" s="10"/>
      <c r="G55" s="2" t="n">
        <f>2928844178196</f>
        <v>2.928844178196E12</v>
      </c>
      <c r="H55" s="10"/>
      <c r="I55" s="2" t="n">
        <f>129507</f>
        <v>129507.0</v>
      </c>
      <c r="J55" s="10"/>
      <c r="K55" s="2" t="n">
        <f>352609</f>
        <v>352609.0</v>
      </c>
    </row>
    <row r="56">
      <c r="A56" s="8" t="s">
        <v>39</v>
      </c>
      <c r="B56" s="9" t="s">
        <v>51</v>
      </c>
      <c r="C56" s="9" t="s">
        <v>52</v>
      </c>
      <c r="D56" s="10"/>
      <c r="E56" s="2"/>
      <c r="F56" s="10"/>
      <c r="G56" s="2"/>
      <c r="H56" s="10"/>
      <c r="I56" s="2"/>
      <c r="J56" s="10"/>
      <c r="K56" s="2"/>
    </row>
    <row r="57">
      <c r="A57" s="8" t="s">
        <v>40</v>
      </c>
      <c r="B57" s="9" t="s">
        <v>51</v>
      </c>
      <c r="C57" s="9" t="s">
        <v>52</v>
      </c>
      <c r="D57" s="10"/>
      <c r="E57" s="2"/>
      <c r="F57" s="10"/>
      <c r="G57" s="2"/>
      <c r="H57" s="10"/>
      <c r="I57" s="2"/>
      <c r="J57" s="10"/>
      <c r="K57" s="2"/>
    </row>
    <row r="58">
      <c r="A58" s="8" t="s">
        <v>41</v>
      </c>
      <c r="B58" s="9" t="s">
        <v>51</v>
      </c>
      <c r="C58" s="9" t="s">
        <v>52</v>
      </c>
      <c r="D58" s="10"/>
      <c r="E58" s="2" t="n">
        <f>1233374</f>
        <v>1233374.0</v>
      </c>
      <c r="F58" s="10"/>
      <c r="G58" s="2" t="n">
        <f>3598661478735</f>
        <v>3.598661478735E12</v>
      </c>
      <c r="H58" s="10"/>
      <c r="I58" s="2" t="n">
        <f>159667</f>
        <v>159667.0</v>
      </c>
      <c r="J58" s="10"/>
      <c r="K58" s="2" t="n">
        <f>352188</f>
        <v>352188.0</v>
      </c>
    </row>
    <row r="59">
      <c r="A59" s="8" t="s">
        <v>42</v>
      </c>
      <c r="B59" s="9" t="s">
        <v>51</v>
      </c>
      <c r="C59" s="9" t="s">
        <v>52</v>
      </c>
      <c r="D59" s="10"/>
      <c r="E59" s="2" t="n">
        <f>983701</f>
        <v>983701.0</v>
      </c>
      <c r="F59" s="10"/>
      <c r="G59" s="2" t="n">
        <f>2854347520921</f>
        <v>2.854347520921E12</v>
      </c>
      <c r="H59" s="10"/>
      <c r="I59" s="2" t="n">
        <f>136402</f>
        <v>136402.0</v>
      </c>
      <c r="J59" s="10"/>
      <c r="K59" s="2" t="n">
        <f>351210</f>
        <v>351210.0</v>
      </c>
    </row>
    <row r="60">
      <c r="A60" s="8" t="s">
        <v>43</v>
      </c>
      <c r="B60" s="9" t="s">
        <v>51</v>
      </c>
      <c r="C60" s="9" t="s">
        <v>52</v>
      </c>
      <c r="D60" s="10"/>
      <c r="E60" s="2" t="n">
        <f>1180796</f>
        <v>1180796.0</v>
      </c>
      <c r="F60" s="10"/>
      <c r="G60" s="2" t="n">
        <f>3371812443014</f>
        <v>3.371812443014E12</v>
      </c>
      <c r="H60" s="10"/>
      <c r="I60" s="2" t="n">
        <f>151185</f>
        <v>151185.0</v>
      </c>
      <c r="J60" s="10"/>
      <c r="K60" s="2" t="n">
        <f>364235</f>
        <v>364235.0</v>
      </c>
    </row>
    <row r="61">
      <c r="A61" s="8" t="s">
        <v>44</v>
      </c>
      <c r="B61" s="9" t="s">
        <v>51</v>
      </c>
      <c r="C61" s="9" t="s">
        <v>52</v>
      </c>
      <c r="D61" s="10"/>
      <c r="E61" s="2" t="n">
        <f>1014649</f>
        <v>1014649.0</v>
      </c>
      <c r="F61" s="10"/>
      <c r="G61" s="2" t="n">
        <f>2883144606762</f>
        <v>2.883144606762E12</v>
      </c>
      <c r="H61" s="10"/>
      <c r="I61" s="2" t="n">
        <f>137196</f>
        <v>137196.0</v>
      </c>
      <c r="J61" s="10"/>
      <c r="K61" s="2" t="n">
        <f>366668</f>
        <v>366668.0</v>
      </c>
    </row>
    <row r="62">
      <c r="A62" s="8" t="s">
        <v>45</v>
      </c>
      <c r="B62" s="9" t="s">
        <v>51</v>
      </c>
      <c r="C62" s="9" t="s">
        <v>52</v>
      </c>
      <c r="D62" s="10"/>
      <c r="E62" s="2" t="n">
        <f>1159089</f>
        <v>1159089.0</v>
      </c>
      <c r="F62" s="10"/>
      <c r="G62" s="2" t="n">
        <f>3339571623690</f>
        <v>3.33957162369E12</v>
      </c>
      <c r="H62" s="10"/>
      <c r="I62" s="2" t="n">
        <f>146374</f>
        <v>146374.0</v>
      </c>
      <c r="J62" s="10"/>
      <c r="K62" s="2" t="n">
        <f>371252</f>
        <v>371252.0</v>
      </c>
    </row>
    <row r="63">
      <c r="A63" s="8" t="s">
        <v>46</v>
      </c>
      <c r="B63" s="9" t="s">
        <v>51</v>
      </c>
      <c r="C63" s="9" t="s">
        <v>52</v>
      </c>
      <c r="D63" s="10"/>
      <c r="E63" s="2"/>
      <c r="F63" s="10"/>
      <c r="G63" s="2"/>
      <c r="H63" s="10"/>
      <c r="I63" s="2"/>
      <c r="J63" s="10"/>
      <c r="K63" s="2"/>
    </row>
    <row r="64">
      <c r="A64" s="8" t="s">
        <v>47</v>
      </c>
      <c r="B64" s="9" t="s">
        <v>51</v>
      </c>
      <c r="C64" s="9" t="s">
        <v>52</v>
      </c>
      <c r="D64" s="10"/>
      <c r="E64" s="2"/>
      <c r="F64" s="10"/>
      <c r="G64" s="2"/>
      <c r="H64" s="10"/>
      <c r="I64" s="2"/>
      <c r="J64" s="10"/>
      <c r="K64" s="2"/>
    </row>
    <row r="65">
      <c r="A65" s="8" t="s">
        <v>48</v>
      </c>
      <c r="B65" s="9" t="s">
        <v>51</v>
      </c>
      <c r="C65" s="9" t="s">
        <v>52</v>
      </c>
      <c r="D65" s="10"/>
      <c r="E65" s="2" t="n">
        <f>1106173</f>
        <v>1106173.0</v>
      </c>
      <c r="F65" s="10"/>
      <c r="G65" s="2" t="n">
        <f>3231353910332</f>
        <v>3.231353910332E12</v>
      </c>
      <c r="H65" s="10"/>
      <c r="I65" s="2" t="n">
        <f>150980</f>
        <v>150980.0</v>
      </c>
      <c r="J65" s="10"/>
      <c r="K65" s="2" t="n">
        <f>381774</f>
        <v>381774.0</v>
      </c>
    </row>
    <row r="66">
      <c r="A66" s="8" t="s">
        <v>49</v>
      </c>
      <c r="B66" s="9" t="s">
        <v>51</v>
      </c>
      <c r="C66" s="9" t="s">
        <v>52</v>
      </c>
      <c r="D66" s="10"/>
      <c r="E66" s="2" t="n">
        <f>788508</f>
        <v>788508.0</v>
      </c>
      <c r="F66" s="10"/>
      <c r="G66" s="2" t="n">
        <f>2312794855006</f>
        <v>2.312794855006E12</v>
      </c>
      <c r="H66" s="10"/>
      <c r="I66" s="2" t="n">
        <f>102207</f>
        <v>102207.0</v>
      </c>
      <c r="J66" s="10"/>
      <c r="K66" s="2" t="n">
        <f>383058</f>
        <v>383058.0</v>
      </c>
    </row>
    <row r="67">
      <c r="A67" s="8" t="s">
        <v>50</v>
      </c>
      <c r="B67" s="9" t="s">
        <v>51</v>
      </c>
      <c r="C67" s="9" t="s">
        <v>52</v>
      </c>
      <c r="D67" s="10"/>
      <c r="E67" s="2" t="n">
        <f>802503</f>
        <v>802503.0</v>
      </c>
      <c r="F67" s="10"/>
      <c r="G67" s="2" t="n">
        <f>2351108946892</f>
        <v>2.351108946892E12</v>
      </c>
      <c r="H67" s="10"/>
      <c r="I67" s="2" t="n">
        <f>94322</f>
        <v>94322.0</v>
      </c>
      <c r="J67" s="10"/>
      <c r="K67" s="2" t="n">
        <f>372060</f>
        <v>372060.0</v>
      </c>
    </row>
    <row r="68">
      <c r="A68" s="8" t="s">
        <v>16</v>
      </c>
      <c r="B68" s="9" t="s">
        <v>53</v>
      </c>
      <c r="C68" s="9" t="s">
        <v>54</v>
      </c>
      <c r="D68" s="10"/>
      <c r="E68" s="2" t="n">
        <f>96195</f>
        <v>96195.0</v>
      </c>
      <c r="F68" s="10"/>
      <c r="G68" s="2" t="n">
        <f>1821250255994</f>
        <v>1.821250255994E12</v>
      </c>
      <c r="H68" s="10"/>
      <c r="I68" s="2" t="n">
        <f>19360</f>
        <v>19360.0</v>
      </c>
      <c r="J68" s="10"/>
      <c r="K68" s="2" t="n">
        <f>506433</f>
        <v>506433.0</v>
      </c>
    </row>
    <row r="69">
      <c r="A69" s="8" t="s">
        <v>19</v>
      </c>
      <c r="B69" s="9" t="s">
        <v>53</v>
      </c>
      <c r="C69" s="9" t="s">
        <v>54</v>
      </c>
      <c r="D69" s="10"/>
      <c r="E69" s="2" t="n">
        <f>87333</f>
        <v>87333.0</v>
      </c>
      <c r="F69" s="10"/>
      <c r="G69" s="2" t="n">
        <f>1658120193695</f>
        <v>1.658120193695E12</v>
      </c>
      <c r="H69" s="10"/>
      <c r="I69" s="2" t="n">
        <f>16046</f>
        <v>16046.0</v>
      </c>
      <c r="J69" s="10"/>
      <c r="K69" s="2" t="n">
        <f>505848</f>
        <v>505848.0</v>
      </c>
    </row>
    <row r="70">
      <c r="A70" s="8" t="s">
        <v>20</v>
      </c>
      <c r="B70" s="9" t="s">
        <v>53</v>
      </c>
      <c r="C70" s="9" t="s">
        <v>54</v>
      </c>
      <c r="D70" s="10"/>
      <c r="E70" s="2" t="n">
        <f>90163</f>
        <v>90163.0</v>
      </c>
      <c r="F70" s="10"/>
      <c r="G70" s="2" t="n">
        <f>1710731785122</f>
        <v>1.710731785122E12</v>
      </c>
      <c r="H70" s="10"/>
      <c r="I70" s="2" t="n">
        <f>13534</f>
        <v>13534.0</v>
      </c>
      <c r="J70" s="10"/>
      <c r="K70" s="2" t="n">
        <f>518249</f>
        <v>518249.0</v>
      </c>
    </row>
    <row r="71">
      <c r="A71" s="8" t="s">
        <v>21</v>
      </c>
      <c r="B71" s="9" t="s">
        <v>53</v>
      </c>
      <c r="C71" s="9" t="s">
        <v>54</v>
      </c>
      <c r="D71" s="10"/>
      <c r="E71" s="2" t="n">
        <f>92999</f>
        <v>92999.0</v>
      </c>
      <c r="F71" s="10"/>
      <c r="G71" s="2" t="n">
        <f>1754635620000</f>
        <v>1.75463562E12</v>
      </c>
      <c r="H71" s="10"/>
      <c r="I71" s="2" t="n">
        <f>14370</f>
        <v>14370.0</v>
      </c>
      <c r="J71" s="10"/>
      <c r="K71" s="2" t="n">
        <f>525012</f>
        <v>525012.0</v>
      </c>
    </row>
    <row r="72">
      <c r="A72" s="8" t="s">
        <v>22</v>
      </c>
      <c r="B72" s="9" t="s">
        <v>53</v>
      </c>
      <c r="C72" s="9" t="s">
        <v>54</v>
      </c>
      <c r="D72" s="10"/>
      <c r="E72" s="2" t="n">
        <f>190677</f>
        <v>190677.0</v>
      </c>
      <c r="F72" s="10"/>
      <c r="G72" s="2" t="n">
        <f>3582721984881</f>
        <v>3.582721984881E12</v>
      </c>
      <c r="H72" s="10"/>
      <c r="I72" s="2" t="n">
        <f>30530</f>
        <v>30530.0</v>
      </c>
      <c r="J72" s="10"/>
      <c r="K72" s="2" t="n">
        <f>530922</f>
        <v>530922.0</v>
      </c>
    </row>
    <row r="73">
      <c r="A73" s="8" t="s">
        <v>23</v>
      </c>
      <c r="B73" s="9" t="s">
        <v>53</v>
      </c>
      <c r="C73" s="9" t="s">
        <v>54</v>
      </c>
      <c r="D73" s="10"/>
      <c r="E73" s="2"/>
      <c r="F73" s="10"/>
      <c r="G73" s="2"/>
      <c r="H73" s="10"/>
      <c r="I73" s="2"/>
      <c r="J73" s="10"/>
      <c r="K73" s="2"/>
    </row>
    <row r="74">
      <c r="A74" s="8" t="s">
        <v>24</v>
      </c>
      <c r="B74" s="9" t="s">
        <v>53</v>
      </c>
      <c r="C74" s="9" t="s">
        <v>54</v>
      </c>
      <c r="D74" s="10"/>
      <c r="E74" s="2"/>
      <c r="F74" s="10"/>
      <c r="G74" s="2"/>
      <c r="H74" s="10"/>
      <c r="I74" s="2"/>
      <c r="J74" s="10"/>
      <c r="K74" s="2"/>
    </row>
    <row r="75">
      <c r="A75" s="8" t="s">
        <v>25</v>
      </c>
      <c r="B75" s="9" t="s">
        <v>53</v>
      </c>
      <c r="C75" s="9" t="s">
        <v>54</v>
      </c>
      <c r="D75" s="10"/>
      <c r="E75" s="2" t="n">
        <f>536582</f>
        <v>536582.0</v>
      </c>
      <c r="F75" s="10"/>
      <c r="G75" s="2" t="n">
        <f>10186436044895</f>
        <v>1.0186436044895E13</v>
      </c>
      <c r="H75" s="10"/>
      <c r="I75" s="2" t="n">
        <f>172236</f>
        <v>172236.0</v>
      </c>
      <c r="J75" s="10"/>
      <c r="K75" s="2" t="n">
        <f>568362</f>
        <v>568362.0</v>
      </c>
    </row>
    <row r="76">
      <c r="A76" s="8" t="s">
        <v>26</v>
      </c>
      <c r="B76" s="9" t="s">
        <v>53</v>
      </c>
      <c r="C76" s="9" t="s">
        <v>54</v>
      </c>
      <c r="D76" s="10" t="s">
        <v>27</v>
      </c>
      <c r="E76" s="2" t="n">
        <f>968917</f>
        <v>968917.0</v>
      </c>
      <c r="F76" s="10" t="s">
        <v>27</v>
      </c>
      <c r="G76" s="2" t="n">
        <f>18418036560239</f>
        <v>1.8418036560239E13</v>
      </c>
      <c r="H76" s="10" t="s">
        <v>27</v>
      </c>
      <c r="I76" s="2" t="n">
        <f>227451</f>
        <v>227451.0</v>
      </c>
      <c r="J76" s="10"/>
      <c r="K76" s="2" t="n">
        <f>603402</f>
        <v>603402.0</v>
      </c>
    </row>
    <row r="77">
      <c r="A77" s="8" t="s">
        <v>28</v>
      </c>
      <c r="B77" s="9" t="s">
        <v>53</v>
      </c>
      <c r="C77" s="9" t="s">
        <v>54</v>
      </c>
      <c r="D77" s="10"/>
      <c r="E77" s="2" t="n">
        <f>386590</f>
        <v>386590.0</v>
      </c>
      <c r="F77" s="10"/>
      <c r="G77" s="2" t="n">
        <f>7389342232820</f>
        <v>7.38934223282E12</v>
      </c>
      <c r="H77" s="10"/>
      <c r="I77" s="2" t="n">
        <f>70430</f>
        <v>70430.0</v>
      </c>
      <c r="J77" s="10" t="s">
        <v>27</v>
      </c>
      <c r="K77" s="2" t="n">
        <f>604025</f>
        <v>604025.0</v>
      </c>
    </row>
    <row r="78">
      <c r="A78" s="8" t="s">
        <v>29</v>
      </c>
      <c r="B78" s="9" t="s">
        <v>53</v>
      </c>
      <c r="C78" s="9" t="s">
        <v>54</v>
      </c>
      <c r="D78" s="10"/>
      <c r="E78" s="2" t="n">
        <f>173432</f>
        <v>173432.0</v>
      </c>
      <c r="F78" s="10"/>
      <c r="G78" s="2" t="n">
        <f>3319486746678</f>
        <v>3.319486746678E12</v>
      </c>
      <c r="H78" s="10"/>
      <c r="I78" s="2" t="n">
        <f>25122</f>
        <v>25122.0</v>
      </c>
      <c r="J78" s="10"/>
      <c r="K78" s="2" t="n">
        <f>552521</f>
        <v>552521.0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84550</f>
        <v>84550.0</v>
      </c>
      <c r="F79" s="10"/>
      <c r="G79" s="2" t="n">
        <f>1623455119422</f>
        <v>1.623455119422E12</v>
      </c>
      <c r="H79" s="10"/>
      <c r="I79" s="2" t="n">
        <f>17374</f>
        <v>17374.0</v>
      </c>
      <c r="J79" s="10"/>
      <c r="K79" s="2" t="n">
        <f>561764</f>
        <v>561764.0</v>
      </c>
    </row>
    <row r="80">
      <c r="A80" s="8" t="s">
        <v>31</v>
      </c>
      <c r="B80" s="9" t="s">
        <v>53</v>
      </c>
      <c r="C80" s="9" t="s">
        <v>54</v>
      </c>
      <c r="D80" s="10"/>
      <c r="E80" s="2"/>
      <c r="F80" s="10"/>
      <c r="G80" s="2"/>
      <c r="H80" s="10"/>
      <c r="I80" s="2"/>
      <c r="J80" s="10"/>
      <c r="K80" s="2"/>
    </row>
    <row r="81">
      <c r="A81" s="8" t="s">
        <v>32</v>
      </c>
      <c r="B81" s="9" t="s">
        <v>53</v>
      </c>
      <c r="C81" s="9" t="s">
        <v>54</v>
      </c>
      <c r="D81" s="10"/>
      <c r="E81" s="2"/>
      <c r="F81" s="10"/>
      <c r="G81" s="2"/>
      <c r="H81" s="10"/>
      <c r="I81" s="2"/>
      <c r="J81" s="10"/>
      <c r="K81" s="2"/>
    </row>
    <row r="82">
      <c r="A82" s="8" t="s">
        <v>33</v>
      </c>
      <c r="B82" s="9" t="s">
        <v>53</v>
      </c>
      <c r="C82" s="9" t="s">
        <v>54</v>
      </c>
      <c r="D82" s="10"/>
      <c r="E82" s="2" t="n">
        <f>70912</f>
        <v>70912.0</v>
      </c>
      <c r="F82" s="10"/>
      <c r="G82" s="2" t="n">
        <f>1378533876099</f>
        <v>1.378533876099E12</v>
      </c>
      <c r="H82" s="10"/>
      <c r="I82" s="2" t="n">
        <f>12138</f>
        <v>12138.0</v>
      </c>
      <c r="J82" s="10" t="s">
        <v>34</v>
      </c>
      <c r="K82" s="2" t="n">
        <f>480677</f>
        <v>480677.0</v>
      </c>
    </row>
    <row r="83">
      <c r="A83" s="8" t="s">
        <v>35</v>
      </c>
      <c r="B83" s="9" t="s">
        <v>53</v>
      </c>
      <c r="C83" s="9" t="s">
        <v>54</v>
      </c>
      <c r="D83" s="10"/>
      <c r="E83" s="2" t="n">
        <f>64037</f>
        <v>64037.0</v>
      </c>
      <c r="F83" s="10"/>
      <c r="G83" s="2" t="n">
        <f>1254634570450</f>
        <v>1.25463457045E12</v>
      </c>
      <c r="H83" s="10" t="s">
        <v>34</v>
      </c>
      <c r="I83" s="2" t="n">
        <f>9251</f>
        <v>9251.0</v>
      </c>
      <c r="J83" s="10"/>
      <c r="K83" s="2" t="n">
        <f>487945</f>
        <v>487945.0</v>
      </c>
    </row>
    <row r="84">
      <c r="A84" s="8" t="s">
        <v>36</v>
      </c>
      <c r="B84" s="9" t="s">
        <v>53</v>
      </c>
      <c r="C84" s="9" t="s">
        <v>54</v>
      </c>
      <c r="D84" s="10" t="s">
        <v>34</v>
      </c>
      <c r="E84" s="2" t="n">
        <f>62597</f>
        <v>62597.0</v>
      </c>
      <c r="F84" s="10" t="s">
        <v>34</v>
      </c>
      <c r="G84" s="2" t="n">
        <f>1229477489262</f>
        <v>1.229477489262E12</v>
      </c>
      <c r="H84" s="10"/>
      <c r="I84" s="2" t="n">
        <f>11164</f>
        <v>11164.0</v>
      </c>
      <c r="J84" s="10"/>
      <c r="K84" s="2" t="n">
        <f>488564</f>
        <v>488564.0</v>
      </c>
    </row>
    <row r="85">
      <c r="A85" s="8" t="s">
        <v>37</v>
      </c>
      <c r="B85" s="9" t="s">
        <v>53</v>
      </c>
      <c r="C85" s="9" t="s">
        <v>54</v>
      </c>
      <c r="D85" s="10"/>
      <c r="E85" s="2" t="n">
        <f>90669</f>
        <v>90669.0</v>
      </c>
      <c r="F85" s="10"/>
      <c r="G85" s="2" t="n">
        <f>1800221132597</f>
        <v>1.800221132597E12</v>
      </c>
      <c r="H85" s="10"/>
      <c r="I85" s="2" t="n">
        <f>15683</f>
        <v>15683.0</v>
      </c>
      <c r="J85" s="10"/>
      <c r="K85" s="2" t="n">
        <f>494881</f>
        <v>494881.0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108743</f>
        <v>108743.0</v>
      </c>
      <c r="F86" s="10"/>
      <c r="G86" s="2" t="n">
        <f>2164305798954</f>
        <v>2.164305798954E12</v>
      </c>
      <c r="H86" s="10"/>
      <c r="I86" s="2" t="n">
        <f>22107</f>
        <v>22107.0</v>
      </c>
      <c r="J86" s="10"/>
      <c r="K86" s="2" t="n">
        <f>504048</f>
        <v>504048.0</v>
      </c>
    </row>
    <row r="87">
      <c r="A87" s="8" t="s">
        <v>39</v>
      </c>
      <c r="B87" s="9" t="s">
        <v>53</v>
      </c>
      <c r="C87" s="9" t="s">
        <v>54</v>
      </c>
      <c r="D87" s="10"/>
      <c r="E87" s="2"/>
      <c r="F87" s="10"/>
      <c r="G87" s="2"/>
      <c r="H87" s="10"/>
      <c r="I87" s="2"/>
      <c r="J87" s="10"/>
      <c r="K87" s="2"/>
    </row>
    <row r="88">
      <c r="A88" s="8" t="s">
        <v>40</v>
      </c>
      <c r="B88" s="9" t="s">
        <v>53</v>
      </c>
      <c r="C88" s="9" t="s">
        <v>54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41</v>
      </c>
      <c r="B89" s="9" t="s">
        <v>53</v>
      </c>
      <c r="C89" s="9" t="s">
        <v>54</v>
      </c>
      <c r="D89" s="10"/>
      <c r="E89" s="2" t="n">
        <f>109860</f>
        <v>109860.0</v>
      </c>
      <c r="F89" s="10"/>
      <c r="G89" s="2" t="n">
        <f>2176633324500</f>
        <v>2.1766333245E12</v>
      </c>
      <c r="H89" s="10"/>
      <c r="I89" s="2" t="n">
        <f>22428</f>
        <v>22428.0</v>
      </c>
      <c r="J89" s="10"/>
      <c r="K89" s="2" t="n">
        <f>508288</f>
        <v>508288.0</v>
      </c>
    </row>
    <row r="90">
      <c r="A90" s="8" t="s">
        <v>42</v>
      </c>
      <c r="B90" s="9" t="s">
        <v>53</v>
      </c>
      <c r="C90" s="9" t="s">
        <v>54</v>
      </c>
      <c r="D90" s="10"/>
      <c r="E90" s="2" t="n">
        <f>73438</f>
        <v>73438.0</v>
      </c>
      <c r="F90" s="10"/>
      <c r="G90" s="2" t="n">
        <f>1447930664930</f>
        <v>1.44793066493E12</v>
      </c>
      <c r="H90" s="10"/>
      <c r="I90" s="2" t="n">
        <f>16363</f>
        <v>16363.0</v>
      </c>
      <c r="J90" s="10"/>
      <c r="K90" s="2" t="n">
        <f>510855</f>
        <v>510855.0</v>
      </c>
    </row>
    <row r="91">
      <c r="A91" s="8" t="s">
        <v>43</v>
      </c>
      <c r="B91" s="9" t="s">
        <v>53</v>
      </c>
      <c r="C91" s="9" t="s">
        <v>54</v>
      </c>
      <c r="D91" s="10"/>
      <c r="E91" s="2" t="n">
        <f>84373</f>
        <v>84373.0</v>
      </c>
      <c r="F91" s="10"/>
      <c r="G91" s="2" t="n">
        <f>1626835041600</f>
        <v>1.6268350416E12</v>
      </c>
      <c r="H91" s="10"/>
      <c r="I91" s="2" t="n">
        <f>13271</f>
        <v>13271.0</v>
      </c>
      <c r="J91" s="10"/>
      <c r="K91" s="2" t="n">
        <f>510344</f>
        <v>510344.0</v>
      </c>
    </row>
    <row r="92">
      <c r="A92" s="8" t="s">
        <v>44</v>
      </c>
      <c r="B92" s="9" t="s">
        <v>53</v>
      </c>
      <c r="C92" s="9" t="s">
        <v>54</v>
      </c>
      <c r="D92" s="10"/>
      <c r="E92" s="2" t="n">
        <f>84090</f>
        <v>84090.0</v>
      </c>
      <c r="F92" s="10"/>
      <c r="G92" s="2" t="n">
        <f>1626574284340</f>
        <v>1.62657428434E12</v>
      </c>
      <c r="H92" s="10"/>
      <c r="I92" s="2" t="n">
        <f>14706</f>
        <v>14706.0</v>
      </c>
      <c r="J92" s="10"/>
      <c r="K92" s="2" t="n">
        <f>513543</f>
        <v>513543.0</v>
      </c>
    </row>
    <row r="93">
      <c r="A93" s="8" t="s">
        <v>45</v>
      </c>
      <c r="B93" s="9" t="s">
        <v>53</v>
      </c>
      <c r="C93" s="9" t="s">
        <v>54</v>
      </c>
      <c r="D93" s="10"/>
      <c r="E93" s="2" t="n">
        <f>80390</f>
        <v>80390.0</v>
      </c>
      <c r="F93" s="10"/>
      <c r="G93" s="2" t="n">
        <f>1576811367820</f>
        <v>1.57681136782E12</v>
      </c>
      <c r="H93" s="10"/>
      <c r="I93" s="2" t="n">
        <f>15175</f>
        <v>15175.0</v>
      </c>
      <c r="J93" s="10"/>
      <c r="K93" s="2" t="n">
        <f>518688</f>
        <v>518688.0</v>
      </c>
    </row>
    <row r="94">
      <c r="A94" s="8" t="s">
        <v>46</v>
      </c>
      <c r="B94" s="9" t="s">
        <v>53</v>
      </c>
      <c r="C94" s="9" t="s">
        <v>54</v>
      </c>
      <c r="D94" s="10"/>
      <c r="E94" s="2"/>
      <c r="F94" s="10"/>
      <c r="G94" s="2"/>
      <c r="H94" s="10"/>
      <c r="I94" s="2"/>
      <c r="J94" s="10"/>
      <c r="K94" s="2"/>
    </row>
    <row r="95">
      <c r="A95" s="8" t="s">
        <v>47</v>
      </c>
      <c r="B95" s="9" t="s">
        <v>53</v>
      </c>
      <c r="C95" s="9" t="s">
        <v>54</v>
      </c>
      <c r="D95" s="10"/>
      <c r="E95" s="2"/>
      <c r="F95" s="10"/>
      <c r="G95" s="2"/>
      <c r="H95" s="10"/>
      <c r="I95" s="2"/>
      <c r="J95" s="10"/>
      <c r="K95" s="2"/>
    </row>
    <row r="96">
      <c r="A96" s="8" t="s">
        <v>48</v>
      </c>
      <c r="B96" s="9" t="s">
        <v>53</v>
      </c>
      <c r="C96" s="9" t="s">
        <v>54</v>
      </c>
      <c r="D96" s="10"/>
      <c r="E96" s="2" t="n">
        <f>151830</f>
        <v>151830.0</v>
      </c>
      <c r="F96" s="10"/>
      <c r="G96" s="2" t="n">
        <f>2999853744164</f>
        <v>2.999853744164E12</v>
      </c>
      <c r="H96" s="10"/>
      <c r="I96" s="2" t="n">
        <f>24855</f>
        <v>24855.0</v>
      </c>
      <c r="J96" s="10"/>
      <c r="K96" s="2" t="n">
        <f>531218</f>
        <v>531218.0</v>
      </c>
    </row>
    <row r="97">
      <c r="A97" s="8" t="s">
        <v>49</v>
      </c>
      <c r="B97" s="9" t="s">
        <v>53</v>
      </c>
      <c r="C97" s="9" t="s">
        <v>54</v>
      </c>
      <c r="D97" s="10"/>
      <c r="E97" s="2" t="n">
        <f>125483</f>
        <v>125483.0</v>
      </c>
      <c r="F97" s="10"/>
      <c r="G97" s="2" t="n">
        <f>2479436783900</f>
        <v>2.4794367839E12</v>
      </c>
      <c r="H97" s="10"/>
      <c r="I97" s="2" t="n">
        <f>20702</f>
        <v>20702.0</v>
      </c>
      <c r="J97" s="10"/>
      <c r="K97" s="2" t="n">
        <f>539821</f>
        <v>539821.0</v>
      </c>
    </row>
    <row r="98">
      <c r="A98" s="8" t="s">
        <v>50</v>
      </c>
      <c r="B98" s="9" t="s">
        <v>53</v>
      </c>
      <c r="C98" s="9" t="s">
        <v>54</v>
      </c>
      <c r="D98" s="10"/>
      <c r="E98" s="2" t="n">
        <f>97559</f>
        <v>97559.0</v>
      </c>
      <c r="F98" s="10"/>
      <c r="G98" s="2" t="n">
        <f>1915021009950</f>
        <v>1.91502100995E12</v>
      </c>
      <c r="H98" s="10"/>
      <c r="I98" s="2" t="n">
        <f>26394</f>
        <v>26394.0</v>
      </c>
      <c r="J98" s="10"/>
      <c r="K98" s="2" t="n">
        <f>537946</f>
        <v>537946.0</v>
      </c>
    </row>
    <row r="99">
      <c r="A99" s="8" t="s">
        <v>16</v>
      </c>
      <c r="B99" s="9" t="s">
        <v>55</v>
      </c>
      <c r="C99" s="9" t="s">
        <v>56</v>
      </c>
      <c r="D99" s="10"/>
      <c r="E99" s="2" t="n">
        <f>37661</f>
        <v>37661.0</v>
      </c>
      <c r="F99" s="10"/>
      <c r="G99" s="2" t="n">
        <f>71217641350</f>
        <v>7.121764135E10</v>
      </c>
      <c r="H99" s="10"/>
      <c r="I99" s="2" t="n">
        <f>4857</f>
        <v>4857.0</v>
      </c>
      <c r="J99" s="10"/>
      <c r="K99" s="2" t="n">
        <f>65661</f>
        <v>65661.0</v>
      </c>
    </row>
    <row r="100">
      <c r="A100" s="8" t="s">
        <v>19</v>
      </c>
      <c r="B100" s="9" t="s">
        <v>55</v>
      </c>
      <c r="C100" s="9" t="s">
        <v>56</v>
      </c>
      <c r="D100" s="10"/>
      <c r="E100" s="2" t="n">
        <f>40252</f>
        <v>40252.0</v>
      </c>
      <c r="F100" s="10"/>
      <c r="G100" s="2" t="n">
        <f>76442683950</f>
        <v>7.644268395E10</v>
      </c>
      <c r="H100" s="10"/>
      <c r="I100" s="2" t="n">
        <f>3827</f>
        <v>3827.0</v>
      </c>
      <c r="J100" s="10"/>
      <c r="K100" s="2" t="n">
        <f>66935</f>
        <v>66935.0</v>
      </c>
    </row>
    <row r="101">
      <c r="A101" s="8" t="s">
        <v>20</v>
      </c>
      <c r="B101" s="9" t="s">
        <v>55</v>
      </c>
      <c r="C101" s="9" t="s">
        <v>56</v>
      </c>
      <c r="D101" s="10"/>
      <c r="E101" s="2" t="n">
        <f>34070</f>
        <v>34070.0</v>
      </c>
      <c r="F101" s="10"/>
      <c r="G101" s="2" t="n">
        <f>64682951400</f>
        <v>6.46829514E10</v>
      </c>
      <c r="H101" s="10"/>
      <c r="I101" s="2" t="n">
        <f>3492</f>
        <v>3492.0</v>
      </c>
      <c r="J101" s="10"/>
      <c r="K101" s="2" t="n">
        <f>70163</f>
        <v>70163.0</v>
      </c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45042</f>
        <v>45042.0</v>
      </c>
      <c r="F102" s="10"/>
      <c r="G102" s="2" t="n">
        <f>85005235200</f>
        <v>8.50052352E10</v>
      </c>
      <c r="H102" s="10"/>
      <c r="I102" s="2" t="n">
        <f>4762</f>
        <v>4762.0</v>
      </c>
      <c r="J102" s="10"/>
      <c r="K102" s="2" t="n">
        <f>72402</f>
        <v>72402.0</v>
      </c>
    </row>
    <row r="103">
      <c r="A103" s="8" t="s">
        <v>22</v>
      </c>
      <c r="B103" s="9" t="s">
        <v>55</v>
      </c>
      <c r="C103" s="9" t="s">
        <v>56</v>
      </c>
      <c r="D103" s="10"/>
      <c r="E103" s="2" t="n">
        <f>57270</f>
        <v>57270.0</v>
      </c>
      <c r="F103" s="10"/>
      <c r="G103" s="2" t="n">
        <f>107841546760</f>
        <v>1.0784154676E11</v>
      </c>
      <c r="H103" s="10"/>
      <c r="I103" s="2" t="n">
        <f>5794</f>
        <v>5794.0</v>
      </c>
      <c r="J103" s="10"/>
      <c r="K103" s="2" t="n">
        <f>75946</f>
        <v>75946.0</v>
      </c>
    </row>
    <row r="104">
      <c r="A104" s="8" t="s">
        <v>23</v>
      </c>
      <c r="B104" s="9" t="s">
        <v>55</v>
      </c>
      <c r="C104" s="9" t="s">
        <v>56</v>
      </c>
      <c r="D104" s="10"/>
      <c r="E104" s="2"/>
      <c r="F104" s="10"/>
      <c r="G104" s="2"/>
      <c r="H104" s="10"/>
      <c r="I104" s="2"/>
      <c r="J104" s="10"/>
      <c r="K104" s="2"/>
    </row>
    <row r="105">
      <c r="A105" s="8" t="s">
        <v>24</v>
      </c>
      <c r="B105" s="9" t="s">
        <v>55</v>
      </c>
      <c r="C105" s="9" t="s">
        <v>56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25</v>
      </c>
      <c r="B106" s="9" t="s">
        <v>55</v>
      </c>
      <c r="C106" s="9" t="s">
        <v>56</v>
      </c>
      <c r="D106" s="10"/>
      <c r="E106" s="2" t="n">
        <f>63179</f>
        <v>63179.0</v>
      </c>
      <c r="F106" s="10"/>
      <c r="G106" s="2" t="n">
        <f>120044510053</f>
        <v>1.20044510053E11</v>
      </c>
      <c r="H106" s="10" t="s">
        <v>27</v>
      </c>
      <c r="I106" s="2" t="n">
        <f>15309</f>
        <v>15309.0</v>
      </c>
      <c r="J106" s="10"/>
      <c r="K106" s="2" t="n">
        <f>86581</f>
        <v>86581.0</v>
      </c>
    </row>
    <row r="107">
      <c r="A107" s="8" t="s">
        <v>26</v>
      </c>
      <c r="B107" s="9" t="s">
        <v>55</v>
      </c>
      <c r="C107" s="9" t="s">
        <v>56</v>
      </c>
      <c r="D107" s="10" t="s">
        <v>27</v>
      </c>
      <c r="E107" s="2" t="n">
        <f>69771</f>
        <v>69771.0</v>
      </c>
      <c r="F107" s="10"/>
      <c r="G107" s="2" t="n">
        <f>132773480161</f>
        <v>1.32773480161E11</v>
      </c>
      <c r="H107" s="10"/>
      <c r="I107" s="2" t="n">
        <f>11409</f>
        <v>11409.0</v>
      </c>
      <c r="J107" s="10"/>
      <c r="K107" s="2" t="n">
        <f>95896</f>
        <v>95896.0</v>
      </c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48419</f>
        <v>48419.0</v>
      </c>
      <c r="F108" s="10"/>
      <c r="G108" s="2" t="n">
        <f>92582525705</f>
        <v>9.2582525705E10</v>
      </c>
      <c r="H108" s="10"/>
      <c r="I108" s="2" t="n">
        <f>3245</f>
        <v>3245.0</v>
      </c>
      <c r="J108" s="10"/>
      <c r="K108" s="2" t="n">
        <f>98340</f>
        <v>98340.0</v>
      </c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30339</f>
        <v>30339.0</v>
      </c>
      <c r="F109" s="10"/>
      <c r="G109" s="2" t="n">
        <f>58047683600</f>
        <v>5.80476836E10</v>
      </c>
      <c r="H109" s="10"/>
      <c r="I109" s="2" t="n">
        <f>3222</f>
        <v>3222.0</v>
      </c>
      <c r="J109" s="10"/>
      <c r="K109" s="2" t="n">
        <f>99204</f>
        <v>99204.0</v>
      </c>
    </row>
    <row r="110">
      <c r="A110" s="8" t="s">
        <v>30</v>
      </c>
      <c r="B110" s="9" t="s">
        <v>55</v>
      </c>
      <c r="C110" s="9" t="s">
        <v>56</v>
      </c>
      <c r="D110" s="10"/>
      <c r="E110" s="2" t="n">
        <f>30985</f>
        <v>30985.0</v>
      </c>
      <c r="F110" s="10"/>
      <c r="G110" s="2" t="n">
        <f>59457454850</f>
        <v>5.945745485E10</v>
      </c>
      <c r="H110" s="10"/>
      <c r="I110" s="2" t="n">
        <f>3364</f>
        <v>3364.0</v>
      </c>
      <c r="J110" s="10" t="s">
        <v>27</v>
      </c>
      <c r="K110" s="2" t="n">
        <f>99359</f>
        <v>99359.0</v>
      </c>
    </row>
    <row r="111">
      <c r="A111" s="8" t="s">
        <v>31</v>
      </c>
      <c r="B111" s="9" t="s">
        <v>55</v>
      </c>
      <c r="C111" s="9" t="s">
        <v>56</v>
      </c>
      <c r="D111" s="10"/>
      <c r="E111" s="2"/>
      <c r="F111" s="10"/>
      <c r="G111" s="2"/>
      <c r="H111" s="10"/>
      <c r="I111" s="2"/>
      <c r="J111" s="10"/>
      <c r="K111" s="2"/>
    </row>
    <row r="112">
      <c r="A112" s="8" t="s">
        <v>32</v>
      </c>
      <c r="B112" s="9" t="s">
        <v>55</v>
      </c>
      <c r="C112" s="9" t="s">
        <v>56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33</v>
      </c>
      <c r="B113" s="9" t="s">
        <v>55</v>
      </c>
      <c r="C113" s="9" t="s">
        <v>56</v>
      </c>
      <c r="D113" s="10"/>
      <c r="E113" s="2" t="n">
        <f>33734</f>
        <v>33734.0</v>
      </c>
      <c r="F113" s="10"/>
      <c r="G113" s="2" t="n">
        <f>65509418600</f>
        <v>6.55094186E10</v>
      </c>
      <c r="H113" s="10"/>
      <c r="I113" s="2" t="n">
        <f>4131</f>
        <v>4131.0</v>
      </c>
      <c r="J113" s="10" t="s">
        <v>34</v>
      </c>
      <c r="K113" s="2" t="n">
        <f>27545</f>
        <v>27545.0</v>
      </c>
    </row>
    <row r="114">
      <c r="A114" s="8" t="s">
        <v>35</v>
      </c>
      <c r="B114" s="9" t="s">
        <v>55</v>
      </c>
      <c r="C114" s="9" t="s">
        <v>56</v>
      </c>
      <c r="D114" s="10"/>
      <c r="E114" s="2" t="n">
        <f>30028</f>
        <v>30028.0</v>
      </c>
      <c r="F114" s="10"/>
      <c r="G114" s="2" t="n">
        <f>58779050450</f>
        <v>5.877905045E10</v>
      </c>
      <c r="H114" s="10"/>
      <c r="I114" s="2" t="n">
        <f>3555</f>
        <v>3555.0</v>
      </c>
      <c r="J114" s="10"/>
      <c r="K114" s="2" t="n">
        <f>29462</f>
        <v>29462.0</v>
      </c>
    </row>
    <row r="115">
      <c r="A115" s="8" t="s">
        <v>36</v>
      </c>
      <c r="B115" s="9" t="s">
        <v>55</v>
      </c>
      <c r="C115" s="9" t="s">
        <v>56</v>
      </c>
      <c r="D115" s="10" t="s">
        <v>34</v>
      </c>
      <c r="E115" s="2" t="n">
        <f>27418</f>
        <v>27418.0</v>
      </c>
      <c r="F115" s="10" t="s">
        <v>34</v>
      </c>
      <c r="G115" s="2" t="n">
        <f>53819294870</f>
        <v>5.381929487E10</v>
      </c>
      <c r="H115" s="10" t="s">
        <v>34</v>
      </c>
      <c r="I115" s="2" t="n">
        <f>3152</f>
        <v>3152.0</v>
      </c>
      <c r="J115" s="10"/>
      <c r="K115" s="2" t="n">
        <f>33066</f>
        <v>33066.0</v>
      </c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42835</f>
        <v>42835.0</v>
      </c>
      <c r="F116" s="10"/>
      <c r="G116" s="2" t="n">
        <f>84988000170</f>
        <v>8.498800017E10</v>
      </c>
      <c r="H116" s="10"/>
      <c r="I116" s="2" t="n">
        <f>4014</f>
        <v>4014.0</v>
      </c>
      <c r="J116" s="10"/>
      <c r="K116" s="2" t="n">
        <f>39285</f>
        <v>39285.0</v>
      </c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45110</f>
        <v>45110.0</v>
      </c>
      <c r="F117" s="10"/>
      <c r="G117" s="2" t="n">
        <f>89737544875</f>
        <v>8.9737544875E10</v>
      </c>
      <c r="H117" s="10"/>
      <c r="I117" s="2" t="n">
        <f>3875</f>
        <v>3875.0</v>
      </c>
      <c r="J117" s="10"/>
      <c r="K117" s="2" t="n">
        <f>45521</f>
        <v>45521.0</v>
      </c>
    </row>
    <row r="118">
      <c r="A118" s="8" t="s">
        <v>39</v>
      </c>
      <c r="B118" s="9" t="s">
        <v>55</v>
      </c>
      <c r="C118" s="9" t="s">
        <v>56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40</v>
      </c>
      <c r="B119" s="9" t="s">
        <v>55</v>
      </c>
      <c r="C119" s="9" t="s">
        <v>56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41</v>
      </c>
      <c r="B120" s="9" t="s">
        <v>55</v>
      </c>
      <c r="C120" s="9" t="s">
        <v>56</v>
      </c>
      <c r="D120" s="10"/>
      <c r="E120" s="2" t="n">
        <f>67788</f>
        <v>67788.0</v>
      </c>
      <c r="F120" s="10"/>
      <c r="G120" s="2" t="n">
        <f>134449653995</f>
        <v>1.34449653995E11</v>
      </c>
      <c r="H120" s="10"/>
      <c r="I120" s="2" t="n">
        <f>8341</f>
        <v>8341.0</v>
      </c>
      <c r="J120" s="10"/>
      <c r="K120" s="2" t="n">
        <f>51519</f>
        <v>51519.0</v>
      </c>
    </row>
    <row r="121">
      <c r="A121" s="8" t="s">
        <v>42</v>
      </c>
      <c r="B121" s="9" t="s">
        <v>55</v>
      </c>
      <c r="C121" s="9" t="s">
        <v>56</v>
      </c>
      <c r="D121" s="10"/>
      <c r="E121" s="2" t="n">
        <f>53206</f>
        <v>53206.0</v>
      </c>
      <c r="F121" s="10"/>
      <c r="G121" s="2" t="n">
        <f>104982339070</f>
        <v>1.0498233907E11</v>
      </c>
      <c r="H121" s="10"/>
      <c r="I121" s="2" t="n">
        <f>5965</f>
        <v>5965.0</v>
      </c>
      <c r="J121" s="10"/>
      <c r="K121" s="2" t="n">
        <f>54404</f>
        <v>54404.0</v>
      </c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52437</f>
        <v>52437.0</v>
      </c>
      <c r="F122" s="10"/>
      <c r="G122" s="2" t="n">
        <f>101229733330</f>
        <v>1.0122973333E11</v>
      </c>
      <c r="H122" s="10"/>
      <c r="I122" s="2" t="n">
        <f>4826</f>
        <v>4826.0</v>
      </c>
      <c r="J122" s="10"/>
      <c r="K122" s="2" t="n">
        <f>54485</f>
        <v>54485.0</v>
      </c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43989</f>
        <v>43989.0</v>
      </c>
      <c r="F123" s="10"/>
      <c r="G123" s="2" t="n">
        <f>85033555200</f>
        <v>8.50335552E10</v>
      </c>
      <c r="H123" s="10"/>
      <c r="I123" s="2" t="n">
        <f>3960</f>
        <v>3960.0</v>
      </c>
      <c r="J123" s="10"/>
      <c r="K123" s="2" t="n">
        <f>57908</f>
        <v>57908.0</v>
      </c>
    </row>
    <row r="124">
      <c r="A124" s="8" t="s">
        <v>45</v>
      </c>
      <c r="B124" s="9" t="s">
        <v>55</v>
      </c>
      <c r="C124" s="9" t="s">
        <v>56</v>
      </c>
      <c r="D124" s="10"/>
      <c r="E124" s="2" t="n">
        <f>46825</f>
        <v>46825.0</v>
      </c>
      <c r="F124" s="10"/>
      <c r="G124" s="2" t="n">
        <f>91714869500</f>
        <v>9.17148695E10</v>
      </c>
      <c r="H124" s="10"/>
      <c r="I124" s="2" t="n">
        <f>3351</f>
        <v>3351.0</v>
      </c>
      <c r="J124" s="10"/>
      <c r="K124" s="2" t="n">
        <f>62070</f>
        <v>62070.0</v>
      </c>
    </row>
    <row r="125">
      <c r="A125" s="8" t="s">
        <v>46</v>
      </c>
      <c r="B125" s="9" t="s">
        <v>55</v>
      </c>
      <c r="C125" s="9" t="s">
        <v>56</v>
      </c>
      <c r="D125" s="10"/>
      <c r="E125" s="2"/>
      <c r="F125" s="10"/>
      <c r="G125" s="2"/>
      <c r="H125" s="10"/>
      <c r="I125" s="2"/>
      <c r="J125" s="10"/>
      <c r="K125" s="2"/>
    </row>
    <row r="126">
      <c r="A126" s="8" t="s">
        <v>47</v>
      </c>
      <c r="B126" s="9" t="s">
        <v>55</v>
      </c>
      <c r="C126" s="9" t="s">
        <v>56</v>
      </c>
      <c r="D126" s="10"/>
      <c r="E126" s="2"/>
      <c r="F126" s="10"/>
      <c r="G126" s="2"/>
      <c r="H126" s="10"/>
      <c r="I126" s="2"/>
      <c r="J126" s="10"/>
      <c r="K126" s="2"/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69370</f>
        <v>69370.0</v>
      </c>
      <c r="F127" s="10" t="s">
        <v>27</v>
      </c>
      <c r="G127" s="2" t="n">
        <f>137056872320</f>
        <v>1.3705687232E11</v>
      </c>
      <c r="H127" s="10"/>
      <c r="I127" s="2" t="n">
        <f>4814</f>
        <v>4814.0</v>
      </c>
      <c r="J127" s="10"/>
      <c r="K127" s="2" t="n">
        <f>64539</f>
        <v>64539.0</v>
      </c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48530</f>
        <v>48530.0</v>
      </c>
      <c r="F128" s="10"/>
      <c r="G128" s="2" t="n">
        <f>95856434780</f>
        <v>9.585643478E10</v>
      </c>
      <c r="H128" s="10"/>
      <c r="I128" s="2" t="n">
        <f>5183</f>
        <v>5183.0</v>
      </c>
      <c r="J128" s="10"/>
      <c r="K128" s="2" t="n">
        <f>67111</f>
        <v>67111.0</v>
      </c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51750</f>
        <v>51750.0</v>
      </c>
      <c r="F129" s="10"/>
      <c r="G129" s="2" t="n">
        <f>101708541950</f>
        <v>1.0170854195E11</v>
      </c>
      <c r="H129" s="10"/>
      <c r="I129" s="2" t="n">
        <f>4906</f>
        <v>4906.0</v>
      </c>
      <c r="J129" s="10"/>
      <c r="K129" s="2" t="n">
        <f>64778</f>
        <v>64778.0</v>
      </c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24046</f>
        <v>24046.0</v>
      </c>
      <c r="F130" s="10"/>
      <c r="G130" s="2" t="n">
        <f>41163744530</f>
        <v>4.116374453E10</v>
      </c>
      <c r="H130" s="10"/>
      <c r="I130" s="2" t="n">
        <f>2757</f>
        <v>2757.0</v>
      </c>
      <c r="J130" s="10"/>
      <c r="K130" s="2" t="n">
        <f>101386</f>
        <v>101386.0</v>
      </c>
    </row>
    <row r="131">
      <c r="A131" s="8" t="s">
        <v>19</v>
      </c>
      <c r="B131" s="9" t="s">
        <v>57</v>
      </c>
      <c r="C131" s="9" t="s">
        <v>58</v>
      </c>
      <c r="D131" s="10"/>
      <c r="E131" s="2" t="n">
        <f>22105</f>
        <v>22105.0</v>
      </c>
      <c r="F131" s="10"/>
      <c r="G131" s="2" t="n">
        <f>38001518339</f>
        <v>3.8001518339E10</v>
      </c>
      <c r="H131" s="10"/>
      <c r="I131" s="2" t="n">
        <f>959</f>
        <v>959.0</v>
      </c>
      <c r="J131" s="10"/>
      <c r="K131" s="2" t="n">
        <f>100268</f>
        <v>100268.0</v>
      </c>
    </row>
    <row r="132">
      <c r="A132" s="8" t="s">
        <v>20</v>
      </c>
      <c r="B132" s="9" t="s">
        <v>57</v>
      </c>
      <c r="C132" s="9" t="s">
        <v>58</v>
      </c>
      <c r="D132" s="10"/>
      <c r="E132" s="2" t="n">
        <f>18104</f>
        <v>18104.0</v>
      </c>
      <c r="F132" s="10"/>
      <c r="G132" s="2" t="n">
        <f>31102842365</f>
        <v>3.1102842365E10</v>
      </c>
      <c r="H132" s="10"/>
      <c r="I132" s="2" t="n">
        <f>1697</f>
        <v>1697.0</v>
      </c>
      <c r="J132" s="10"/>
      <c r="K132" s="2" t="n">
        <f>99576</f>
        <v>99576.0</v>
      </c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27515</f>
        <v>27515.0</v>
      </c>
      <c r="F133" s="10"/>
      <c r="G133" s="2" t="n">
        <f>47004762346</f>
        <v>4.7004762346E10</v>
      </c>
      <c r="H133" s="10"/>
      <c r="I133" s="2" t="n">
        <f>1136</f>
        <v>1136.0</v>
      </c>
      <c r="J133" s="10"/>
      <c r="K133" s="2" t="n">
        <f>101375</f>
        <v>101375.0</v>
      </c>
    </row>
    <row r="134">
      <c r="A134" s="8" t="s">
        <v>22</v>
      </c>
      <c r="B134" s="9" t="s">
        <v>57</v>
      </c>
      <c r="C134" s="9" t="s">
        <v>58</v>
      </c>
      <c r="D134" s="10"/>
      <c r="E134" s="2" t="n">
        <f>30069</f>
        <v>30069.0</v>
      </c>
      <c r="F134" s="10"/>
      <c r="G134" s="2" t="n">
        <f>51206628000</f>
        <v>5.1206628E10</v>
      </c>
      <c r="H134" s="10"/>
      <c r="I134" s="2" t="n">
        <f>1255</f>
        <v>1255.0</v>
      </c>
      <c r="J134" s="10"/>
      <c r="K134" s="2" t="n">
        <f>101390</f>
        <v>101390.0</v>
      </c>
    </row>
    <row r="135">
      <c r="A135" s="8" t="s">
        <v>23</v>
      </c>
      <c r="B135" s="9" t="s">
        <v>57</v>
      </c>
      <c r="C135" s="9" t="s">
        <v>58</v>
      </c>
      <c r="D135" s="10"/>
      <c r="E135" s="2"/>
      <c r="F135" s="10"/>
      <c r="G135" s="2"/>
      <c r="H135" s="10"/>
      <c r="I135" s="2"/>
      <c r="J135" s="10"/>
      <c r="K135" s="2"/>
    </row>
    <row r="136">
      <c r="A136" s="8" t="s">
        <v>24</v>
      </c>
      <c r="B136" s="9" t="s">
        <v>57</v>
      </c>
      <c r="C136" s="9" t="s">
        <v>58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25</v>
      </c>
      <c r="B137" s="9" t="s">
        <v>57</v>
      </c>
      <c r="C137" s="9" t="s">
        <v>58</v>
      </c>
      <c r="D137" s="10"/>
      <c r="E137" s="2" t="n">
        <f>48908</f>
        <v>48908.0</v>
      </c>
      <c r="F137" s="10"/>
      <c r="G137" s="2" t="n">
        <f>83972055300</f>
        <v>8.39720553E10</v>
      </c>
      <c r="H137" s="10"/>
      <c r="I137" s="2" t="n">
        <f>1297</f>
        <v>1297.0</v>
      </c>
      <c r="J137" s="10"/>
      <c r="K137" s="2" t="n">
        <f>99739</f>
        <v>99739.0</v>
      </c>
    </row>
    <row r="138">
      <c r="A138" s="8" t="s">
        <v>26</v>
      </c>
      <c r="B138" s="9" t="s">
        <v>57</v>
      </c>
      <c r="C138" s="9" t="s">
        <v>58</v>
      </c>
      <c r="D138" s="10" t="s">
        <v>27</v>
      </c>
      <c r="E138" s="2" t="n">
        <f>128273</f>
        <v>128273.0</v>
      </c>
      <c r="F138" s="10" t="s">
        <v>27</v>
      </c>
      <c r="G138" s="2" t="n">
        <f>220138487672</f>
        <v>2.20138487672E11</v>
      </c>
      <c r="H138" s="10"/>
      <c r="I138" s="2" t="n">
        <f>5435</f>
        <v>5435.0</v>
      </c>
      <c r="J138" s="10"/>
      <c r="K138" s="2" t="n">
        <f>99698</f>
        <v>99698.0</v>
      </c>
    </row>
    <row r="139">
      <c r="A139" s="8" t="s">
        <v>28</v>
      </c>
      <c r="B139" s="9" t="s">
        <v>57</v>
      </c>
      <c r="C139" s="9" t="s">
        <v>58</v>
      </c>
      <c r="D139" s="10"/>
      <c r="E139" s="2" t="n">
        <f>97131</f>
        <v>97131.0</v>
      </c>
      <c r="F139" s="10"/>
      <c r="G139" s="2" t="n">
        <f>167900073166</f>
        <v>1.67900073166E11</v>
      </c>
      <c r="H139" s="10" t="s">
        <v>27</v>
      </c>
      <c r="I139" s="2" t="n">
        <f>8984</f>
        <v>8984.0</v>
      </c>
      <c r="J139" s="10"/>
      <c r="K139" s="2" t="n">
        <f>128985</f>
        <v>128985.0</v>
      </c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31085</f>
        <v>31085.0</v>
      </c>
      <c r="F140" s="10"/>
      <c r="G140" s="2" t="n">
        <f>53812585650</f>
        <v>5.381258565E10</v>
      </c>
      <c r="H140" s="10"/>
      <c r="I140" s="2" t="n">
        <f>3039</f>
        <v>3039.0</v>
      </c>
      <c r="J140" s="10"/>
      <c r="K140" s="2" t="n">
        <f>135097</f>
        <v>135097.0</v>
      </c>
    </row>
    <row r="141">
      <c r="A141" s="8" t="s">
        <v>30</v>
      </c>
      <c r="B141" s="9" t="s">
        <v>57</v>
      </c>
      <c r="C141" s="9" t="s">
        <v>58</v>
      </c>
      <c r="D141" s="10"/>
      <c r="E141" s="2" t="n">
        <f>21067</f>
        <v>21067.0</v>
      </c>
      <c r="F141" s="10"/>
      <c r="G141" s="2" t="n">
        <f>36530428018</f>
        <v>3.6530428018E10</v>
      </c>
      <c r="H141" s="10"/>
      <c r="I141" s="2" t="n">
        <f>1334</f>
        <v>1334.0</v>
      </c>
      <c r="J141" s="10" t="s">
        <v>27</v>
      </c>
      <c r="K141" s="2" t="n">
        <f>138049</f>
        <v>138049.0</v>
      </c>
    </row>
    <row r="142">
      <c r="A142" s="8" t="s">
        <v>31</v>
      </c>
      <c r="B142" s="9" t="s">
        <v>57</v>
      </c>
      <c r="C142" s="9" t="s">
        <v>58</v>
      </c>
      <c r="D142" s="10"/>
      <c r="E142" s="2"/>
      <c r="F142" s="10"/>
      <c r="G142" s="2"/>
      <c r="H142" s="10"/>
      <c r="I142" s="2"/>
      <c r="J142" s="10"/>
      <c r="K142" s="2"/>
    </row>
    <row r="143">
      <c r="A143" s="8" t="s">
        <v>32</v>
      </c>
      <c r="B143" s="9" t="s">
        <v>57</v>
      </c>
      <c r="C143" s="9" t="s">
        <v>58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33</v>
      </c>
      <c r="B144" s="9" t="s">
        <v>57</v>
      </c>
      <c r="C144" s="9" t="s">
        <v>58</v>
      </c>
      <c r="D144" s="10"/>
      <c r="E144" s="2" t="n">
        <f>21246</f>
        <v>21246.0</v>
      </c>
      <c r="F144" s="10"/>
      <c r="G144" s="2" t="n">
        <f>37210001000</f>
        <v>3.7210001E10</v>
      </c>
      <c r="H144" s="10"/>
      <c r="I144" s="2" t="n">
        <f>2156</f>
        <v>2156.0</v>
      </c>
      <c r="J144" s="10"/>
      <c r="K144" s="2" t="n">
        <f>87090</f>
        <v>87090.0</v>
      </c>
    </row>
    <row r="145">
      <c r="A145" s="8" t="s">
        <v>35</v>
      </c>
      <c r="B145" s="9" t="s">
        <v>57</v>
      </c>
      <c r="C145" s="9" t="s">
        <v>58</v>
      </c>
      <c r="D145" s="10"/>
      <c r="E145" s="2" t="n">
        <f>14321</f>
        <v>14321.0</v>
      </c>
      <c r="F145" s="10"/>
      <c r="G145" s="2" t="n">
        <f>25297878000</f>
        <v>2.5297878E10</v>
      </c>
      <c r="H145" s="10"/>
      <c r="I145" s="2" t="n">
        <f>497</f>
        <v>497.0</v>
      </c>
      <c r="J145" s="10"/>
      <c r="K145" s="2" t="n">
        <f>87275</f>
        <v>87275.0</v>
      </c>
    </row>
    <row r="146">
      <c r="A146" s="8" t="s">
        <v>36</v>
      </c>
      <c r="B146" s="9" t="s">
        <v>57</v>
      </c>
      <c r="C146" s="9" t="s">
        <v>58</v>
      </c>
      <c r="D146" s="10" t="s">
        <v>34</v>
      </c>
      <c r="E146" s="2" t="n">
        <f>9675</f>
        <v>9675.0</v>
      </c>
      <c r="F146" s="10" t="s">
        <v>34</v>
      </c>
      <c r="G146" s="2" t="n">
        <f>17134579080</f>
        <v>1.713457908E10</v>
      </c>
      <c r="H146" s="10" t="s">
        <v>34</v>
      </c>
      <c r="I146" s="2" t="n">
        <f>399</f>
        <v>399.0</v>
      </c>
      <c r="J146" s="10"/>
      <c r="K146" s="2" t="n">
        <f>86817</f>
        <v>86817.0</v>
      </c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21510</f>
        <v>21510.0</v>
      </c>
      <c r="F147" s="10"/>
      <c r="G147" s="2" t="n">
        <f>38497823800</f>
        <v>3.84978238E10</v>
      </c>
      <c r="H147" s="10"/>
      <c r="I147" s="2" t="n">
        <f>597</f>
        <v>597.0</v>
      </c>
      <c r="J147" s="10"/>
      <c r="K147" s="2" t="n">
        <f>88495</f>
        <v>88495.0</v>
      </c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17892</f>
        <v>17892.0</v>
      </c>
      <c r="F148" s="10"/>
      <c r="G148" s="2" t="n">
        <f>32079580580</f>
        <v>3.207958058E10</v>
      </c>
      <c r="H148" s="10"/>
      <c r="I148" s="2" t="n">
        <f>1070</f>
        <v>1070.0</v>
      </c>
      <c r="J148" s="10"/>
      <c r="K148" s="2" t="n">
        <f>87337</f>
        <v>87337.0</v>
      </c>
    </row>
    <row r="149">
      <c r="A149" s="8" t="s">
        <v>39</v>
      </c>
      <c r="B149" s="9" t="s">
        <v>57</v>
      </c>
      <c r="C149" s="9" t="s">
        <v>58</v>
      </c>
      <c r="D149" s="10"/>
      <c r="E149" s="2"/>
      <c r="F149" s="10"/>
      <c r="G149" s="2"/>
      <c r="H149" s="10"/>
      <c r="I149" s="2"/>
      <c r="J149" s="10"/>
      <c r="K149" s="2"/>
    </row>
    <row r="150">
      <c r="A150" s="8" t="s">
        <v>40</v>
      </c>
      <c r="B150" s="9" t="s">
        <v>57</v>
      </c>
      <c r="C150" s="9" t="s">
        <v>58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41</v>
      </c>
      <c r="B151" s="9" t="s">
        <v>57</v>
      </c>
      <c r="C151" s="9" t="s">
        <v>58</v>
      </c>
      <c r="D151" s="10"/>
      <c r="E151" s="2" t="n">
        <f>26902</f>
        <v>26902.0</v>
      </c>
      <c r="F151" s="10"/>
      <c r="G151" s="2" t="n">
        <f>48058249078</f>
        <v>4.8058249078E10</v>
      </c>
      <c r="H151" s="10"/>
      <c r="I151" s="2" t="n">
        <f>1559</f>
        <v>1559.0</v>
      </c>
      <c r="J151" s="10"/>
      <c r="K151" s="2" t="n">
        <f>90351</f>
        <v>90351.0</v>
      </c>
    </row>
    <row r="152">
      <c r="A152" s="8" t="s">
        <v>42</v>
      </c>
      <c r="B152" s="9" t="s">
        <v>57</v>
      </c>
      <c r="C152" s="9" t="s">
        <v>58</v>
      </c>
      <c r="D152" s="10"/>
      <c r="E152" s="2" t="n">
        <f>26058</f>
        <v>26058.0</v>
      </c>
      <c r="F152" s="10"/>
      <c r="G152" s="2" t="n">
        <f>46245198689</f>
        <v>4.6245198689E10</v>
      </c>
      <c r="H152" s="10"/>
      <c r="I152" s="2" t="n">
        <f>5879</f>
        <v>5879.0</v>
      </c>
      <c r="J152" s="10" t="s">
        <v>34</v>
      </c>
      <c r="K152" s="2" t="n">
        <f>86472</f>
        <v>86472.0</v>
      </c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19973</f>
        <v>19973.0</v>
      </c>
      <c r="F153" s="10"/>
      <c r="G153" s="2" t="n">
        <f>34797854500</f>
        <v>3.47978545E10</v>
      </c>
      <c r="H153" s="10"/>
      <c r="I153" s="2" t="n">
        <f>987</f>
        <v>987.0</v>
      </c>
      <c r="J153" s="10"/>
      <c r="K153" s="2" t="n">
        <f>87696</f>
        <v>87696.0</v>
      </c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24061</f>
        <v>24061.0</v>
      </c>
      <c r="F154" s="10"/>
      <c r="G154" s="2" t="n">
        <f>41973326216</f>
        <v>4.1973326216E10</v>
      </c>
      <c r="H154" s="10"/>
      <c r="I154" s="2" t="n">
        <f>1110</f>
        <v>1110.0</v>
      </c>
      <c r="J154" s="10"/>
      <c r="K154" s="2" t="n">
        <f>91961</f>
        <v>91961.0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21969</f>
        <v>21969.0</v>
      </c>
      <c r="F155" s="10"/>
      <c r="G155" s="2" t="n">
        <f>38833886974</f>
        <v>3.8833886974E10</v>
      </c>
      <c r="H155" s="10"/>
      <c r="I155" s="2" t="n">
        <f>1571</f>
        <v>1571.0</v>
      </c>
      <c r="J155" s="10"/>
      <c r="K155" s="2" t="n">
        <f>94224</f>
        <v>94224.0</v>
      </c>
    </row>
    <row r="156">
      <c r="A156" s="8" t="s">
        <v>46</v>
      </c>
      <c r="B156" s="9" t="s">
        <v>57</v>
      </c>
      <c r="C156" s="9" t="s">
        <v>58</v>
      </c>
      <c r="D156" s="10"/>
      <c r="E156" s="2"/>
      <c r="F156" s="10"/>
      <c r="G156" s="2"/>
      <c r="H156" s="10"/>
      <c r="I156" s="2"/>
      <c r="J156" s="10"/>
      <c r="K156" s="2"/>
    </row>
    <row r="157">
      <c r="A157" s="8" t="s">
        <v>47</v>
      </c>
      <c r="B157" s="9" t="s">
        <v>57</v>
      </c>
      <c r="C157" s="9" t="s">
        <v>58</v>
      </c>
      <c r="D157" s="10"/>
      <c r="E157" s="2"/>
      <c r="F157" s="10"/>
      <c r="G157" s="2"/>
      <c r="H157" s="10"/>
      <c r="I157" s="2"/>
      <c r="J157" s="10"/>
      <c r="K157" s="2"/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36917</f>
        <v>36917.0</v>
      </c>
      <c r="F158" s="10"/>
      <c r="G158" s="2" t="n">
        <f>65861687138</f>
        <v>6.5861687138E10</v>
      </c>
      <c r="H158" s="10"/>
      <c r="I158" s="2" t="n">
        <f>726</f>
        <v>726.0</v>
      </c>
      <c r="J158" s="10"/>
      <c r="K158" s="2" t="n">
        <f>98054</f>
        <v>98054.0</v>
      </c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38512</f>
        <v>38512.0</v>
      </c>
      <c r="F159" s="10"/>
      <c r="G159" s="2" t="n">
        <f>68733255955</f>
        <v>6.8733255955E10</v>
      </c>
      <c r="H159" s="10"/>
      <c r="I159" s="2" t="n">
        <f>1589</f>
        <v>1589.0</v>
      </c>
      <c r="J159" s="10"/>
      <c r="K159" s="2" t="n">
        <f>101830</f>
        <v>101830.0</v>
      </c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22546</f>
        <v>22546.0</v>
      </c>
      <c r="F160" s="10"/>
      <c r="G160" s="2" t="n">
        <f>40017806243</f>
        <v>4.0017806243E10</v>
      </c>
      <c r="H160" s="10"/>
      <c r="I160" s="2" t="n">
        <f>2353</f>
        <v>2353.0</v>
      </c>
      <c r="J160" s="10"/>
      <c r="K160" s="2" t="n">
        <f>101553</f>
        <v>101553.0</v>
      </c>
    </row>
    <row r="161">
      <c r="A161" s="8" t="s">
        <v>16</v>
      </c>
      <c r="B161" s="9" t="s">
        <v>59</v>
      </c>
      <c r="C161" s="9" t="s">
        <v>60</v>
      </c>
      <c r="D161" s="10" t="s">
        <v>34</v>
      </c>
      <c r="E161" s="2" t="str">
        <f>"－"</f>
        <v>－</v>
      </c>
      <c r="F161" s="10" t="s">
        <v>34</v>
      </c>
      <c r="G161" s="2" t="str">
        <f>"－"</f>
        <v>－</v>
      </c>
      <c r="H161" s="10" t="s">
        <v>34</v>
      </c>
      <c r="I161" s="2" t="str">
        <f>"－"</f>
        <v>－</v>
      </c>
      <c r="J161" s="10" t="s">
        <v>34</v>
      </c>
      <c r="K161" s="2" t="n">
        <f>62</f>
        <v>62.0</v>
      </c>
    </row>
    <row r="162">
      <c r="A162" s="8" t="s">
        <v>19</v>
      </c>
      <c r="B162" s="9" t="s">
        <v>59</v>
      </c>
      <c r="C162" s="9" t="s">
        <v>60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62</f>
        <v>62.0</v>
      </c>
    </row>
    <row r="163">
      <c r="A163" s="8" t="s">
        <v>20</v>
      </c>
      <c r="B163" s="9" t="s">
        <v>59</v>
      </c>
      <c r="C163" s="9" t="s">
        <v>60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62</f>
        <v>62.0</v>
      </c>
    </row>
    <row r="164">
      <c r="A164" s="8" t="s">
        <v>21</v>
      </c>
      <c r="B164" s="9" t="s">
        <v>59</v>
      </c>
      <c r="C164" s="9" t="s">
        <v>60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62</f>
        <v>62.0</v>
      </c>
    </row>
    <row r="165">
      <c r="A165" s="8" t="s">
        <v>22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62</f>
        <v>62.0</v>
      </c>
    </row>
    <row r="166">
      <c r="A166" s="8" t="s">
        <v>23</v>
      </c>
      <c r="B166" s="9" t="s">
        <v>59</v>
      </c>
      <c r="C166" s="9" t="s">
        <v>60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24</v>
      </c>
      <c r="B167" s="9" t="s">
        <v>59</v>
      </c>
      <c r="C167" s="9" t="s">
        <v>60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25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62</f>
        <v>62.0</v>
      </c>
    </row>
    <row r="169">
      <c r="A169" s="8" t="s">
        <v>26</v>
      </c>
      <c r="B169" s="9" t="s">
        <v>59</v>
      </c>
      <c r="C169" s="9" t="s">
        <v>60</v>
      </c>
      <c r="D169" s="10" t="s">
        <v>27</v>
      </c>
      <c r="E169" s="2" t="n">
        <f>124</f>
        <v>124.0</v>
      </c>
      <c r="F169" s="10" t="s">
        <v>27</v>
      </c>
      <c r="G169" s="2" t="n">
        <f>110218800</f>
        <v>1.102188E8</v>
      </c>
      <c r="H169" s="10"/>
      <c r="I169" s="2" t="str">
        <f>"－"</f>
        <v>－</v>
      </c>
      <c r="J169" s="10"/>
      <c r="K169" s="2" t="n">
        <f>63</f>
        <v>63.0</v>
      </c>
    </row>
    <row r="170">
      <c r="A170" s="8" t="s">
        <v>28</v>
      </c>
      <c r="B170" s="9" t="s">
        <v>59</v>
      </c>
      <c r="C170" s="9" t="s">
        <v>60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63</f>
        <v>63.0</v>
      </c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63</f>
        <v>63.0</v>
      </c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63</f>
        <v>63.0</v>
      </c>
    </row>
    <row r="173">
      <c r="A173" s="8" t="s">
        <v>31</v>
      </c>
      <c r="B173" s="9" t="s">
        <v>59</v>
      </c>
      <c r="C173" s="9" t="s">
        <v>60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32</v>
      </c>
      <c r="B174" s="9" t="s">
        <v>59</v>
      </c>
      <c r="C174" s="9" t="s">
        <v>60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33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62</f>
        <v>62.0</v>
      </c>
    </row>
    <row r="176">
      <c r="A176" s="8" t="s">
        <v>35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62</f>
        <v>62.0</v>
      </c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62</f>
        <v>62.0</v>
      </c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62</f>
        <v>62.0</v>
      </c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62</f>
        <v>62.0</v>
      </c>
    </row>
    <row r="180">
      <c r="A180" s="8" t="s">
        <v>39</v>
      </c>
      <c r="B180" s="9" t="s">
        <v>59</v>
      </c>
      <c r="C180" s="9" t="s">
        <v>60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40</v>
      </c>
      <c r="B181" s="9" t="s">
        <v>59</v>
      </c>
      <c r="C181" s="9" t="s">
        <v>60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41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62</f>
        <v>62.0</v>
      </c>
    </row>
    <row r="183">
      <c r="A183" s="8" t="s">
        <v>42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62</f>
        <v>62.0</v>
      </c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62</f>
        <v>62.0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62</f>
        <v>62.0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62</f>
        <v>62.0</v>
      </c>
    </row>
    <row r="187">
      <c r="A187" s="8" t="s">
        <v>46</v>
      </c>
      <c r="B187" s="9" t="s">
        <v>59</v>
      </c>
      <c r="C187" s="9" t="s">
        <v>60</v>
      </c>
      <c r="D187" s="10"/>
      <c r="E187" s="2"/>
      <c r="F187" s="10"/>
      <c r="G187" s="2"/>
      <c r="H187" s="10"/>
      <c r="I187" s="2"/>
      <c r="J187" s="10"/>
      <c r="K187" s="2"/>
    </row>
    <row r="188">
      <c r="A188" s="8" t="s">
        <v>47</v>
      </c>
      <c r="B188" s="9" t="s">
        <v>59</v>
      </c>
      <c r="C188" s="9" t="s">
        <v>60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62</f>
        <v>62.0</v>
      </c>
    </row>
    <row r="190">
      <c r="A190" s="8" t="s">
        <v>49</v>
      </c>
      <c r="B190" s="9" t="s">
        <v>59</v>
      </c>
      <c r="C190" s="9" t="s">
        <v>60</v>
      </c>
      <c r="D190" s="10"/>
      <c r="E190" s="2" t="n">
        <f>2</f>
        <v>2.0</v>
      </c>
      <c r="F190" s="10"/>
      <c r="G190" s="2" t="n">
        <f>1847500</f>
        <v>1847500.0</v>
      </c>
      <c r="H190" s="10"/>
      <c r="I190" s="2" t="str">
        <f>"－"</f>
        <v>－</v>
      </c>
      <c r="J190" s="10" t="s">
        <v>27</v>
      </c>
      <c r="K190" s="2" t="n">
        <f>64</f>
        <v>64.0</v>
      </c>
    </row>
    <row r="191">
      <c r="A191" s="8" t="s">
        <v>50</v>
      </c>
      <c r="B191" s="9" t="s">
        <v>59</v>
      </c>
      <c r="C191" s="9" t="s">
        <v>60</v>
      </c>
      <c r="D191" s="10"/>
      <c r="E191" s="2" t="n">
        <f>4</f>
        <v>4.0</v>
      </c>
      <c r="F191" s="10"/>
      <c r="G191" s="2" t="n">
        <f>3834000</f>
        <v>3834000.0</v>
      </c>
      <c r="H191" s="10" t="s">
        <v>27</v>
      </c>
      <c r="I191" s="2" t="n">
        <f>1</f>
        <v>1.0</v>
      </c>
      <c r="J191" s="10"/>
      <c r="K191" s="2" t="n">
        <f>63</f>
        <v>63.0</v>
      </c>
    </row>
    <row r="192">
      <c r="A192" s="8" t="s">
        <v>16</v>
      </c>
      <c r="B192" s="9" t="s">
        <v>61</v>
      </c>
      <c r="C192" s="9" t="s">
        <v>62</v>
      </c>
      <c r="D192" s="10" t="s">
        <v>34</v>
      </c>
      <c r="E192" s="2" t="str">
        <f>"－"</f>
        <v>－</v>
      </c>
      <c r="F192" s="10" t="s">
        <v>34</v>
      </c>
      <c r="G192" s="2" t="str">
        <f>"－"</f>
        <v>－</v>
      </c>
      <c r="H192" s="10" t="s">
        <v>34</v>
      </c>
      <c r="I192" s="2" t="str">
        <f>"－"</f>
        <v>－</v>
      </c>
      <c r="J192" s="10"/>
      <c r="K192" s="2" t="n">
        <f>40980</f>
        <v>40980.0</v>
      </c>
    </row>
    <row r="193">
      <c r="A193" s="8" t="s">
        <v>19</v>
      </c>
      <c r="B193" s="9" t="s">
        <v>61</v>
      </c>
      <c r="C193" s="9" t="s">
        <v>62</v>
      </c>
      <c r="D193" s="10"/>
      <c r="E193" s="2" t="n">
        <f>32</f>
        <v>32.0</v>
      </c>
      <c r="F193" s="10"/>
      <c r="G193" s="2" t="n">
        <f>45152000</f>
        <v>4.5152E7</v>
      </c>
      <c r="H193" s="10"/>
      <c r="I193" s="2" t="n">
        <f>32</f>
        <v>32.0</v>
      </c>
      <c r="J193" s="10"/>
      <c r="K193" s="2" t="n">
        <f>41012</f>
        <v>41012.0</v>
      </c>
    </row>
    <row r="194">
      <c r="A194" s="8" t="s">
        <v>20</v>
      </c>
      <c r="B194" s="9" t="s">
        <v>61</v>
      </c>
      <c r="C194" s="9" t="s">
        <v>62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 t="s">
        <v>34</v>
      </c>
      <c r="K194" s="2" t="n">
        <f>40902</f>
        <v>40902.0</v>
      </c>
    </row>
    <row r="195">
      <c r="A195" s="8" t="s">
        <v>21</v>
      </c>
      <c r="B195" s="9" t="s">
        <v>61</v>
      </c>
      <c r="C195" s="9" t="s">
        <v>62</v>
      </c>
      <c r="D195" s="10"/>
      <c r="E195" s="2" t="n">
        <f>2</f>
        <v>2.0</v>
      </c>
      <c r="F195" s="10"/>
      <c r="G195" s="2" t="n">
        <f>2828000</f>
        <v>2828000.0</v>
      </c>
      <c r="H195" s="10"/>
      <c r="I195" s="2" t="str">
        <f>"－"</f>
        <v>－</v>
      </c>
      <c r="J195" s="10"/>
      <c r="K195" s="2" t="n">
        <f>40904</f>
        <v>40904.0</v>
      </c>
    </row>
    <row r="196">
      <c r="A196" s="8" t="s">
        <v>22</v>
      </c>
      <c r="B196" s="9" t="s">
        <v>61</v>
      </c>
      <c r="C196" s="9" t="s">
        <v>62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40904</f>
        <v>40904.0</v>
      </c>
    </row>
    <row r="197">
      <c r="A197" s="8" t="s">
        <v>23</v>
      </c>
      <c r="B197" s="9" t="s">
        <v>61</v>
      </c>
      <c r="C197" s="9" t="s">
        <v>62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24</v>
      </c>
      <c r="B198" s="9" t="s">
        <v>61</v>
      </c>
      <c r="C198" s="9" t="s">
        <v>62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25</v>
      </c>
      <c r="B199" s="9" t="s">
        <v>61</v>
      </c>
      <c r="C199" s="9" t="s">
        <v>62</v>
      </c>
      <c r="D199" s="10" t="s">
        <v>27</v>
      </c>
      <c r="E199" s="2" t="n">
        <f>53564</f>
        <v>53564.0</v>
      </c>
      <c r="F199" s="10" t="s">
        <v>27</v>
      </c>
      <c r="G199" s="2" t="n">
        <f>75794930392</f>
        <v>7.5794930392E10</v>
      </c>
      <c r="H199" s="10"/>
      <c r="I199" s="2" t="str">
        <f>"－"</f>
        <v>－</v>
      </c>
      <c r="J199" s="10"/>
      <c r="K199" s="2" t="n">
        <f>56934</f>
        <v>56934.0</v>
      </c>
    </row>
    <row r="200">
      <c r="A200" s="8" t="s">
        <v>26</v>
      </c>
      <c r="B200" s="9" t="s">
        <v>61</v>
      </c>
      <c r="C200" s="9" t="s">
        <v>62</v>
      </c>
      <c r="D200" s="10"/>
      <c r="E200" s="2" t="n">
        <f>43843</f>
        <v>43843.0</v>
      </c>
      <c r="F200" s="10"/>
      <c r="G200" s="2" t="n">
        <f>63020074100</f>
        <v>6.30200741E10</v>
      </c>
      <c r="H200" s="10"/>
      <c r="I200" s="2" t="n">
        <f>91</f>
        <v>91.0</v>
      </c>
      <c r="J200" s="10"/>
      <c r="K200" s="2" t="n">
        <f>63565</f>
        <v>63565.0</v>
      </c>
    </row>
    <row r="201">
      <c r="A201" s="8" t="s">
        <v>28</v>
      </c>
      <c r="B201" s="9" t="s">
        <v>61</v>
      </c>
      <c r="C201" s="9" t="s">
        <v>62</v>
      </c>
      <c r="D201" s="10"/>
      <c r="E201" s="2" t="n">
        <f>16282</f>
        <v>16282.0</v>
      </c>
      <c r="F201" s="10"/>
      <c r="G201" s="2" t="n">
        <f>23749566400</f>
        <v>2.37495664E10</v>
      </c>
      <c r="H201" s="10" t="s">
        <v>27</v>
      </c>
      <c r="I201" s="2" t="n">
        <f>4880</f>
        <v>4880.0</v>
      </c>
      <c r="J201" s="10"/>
      <c r="K201" s="2" t="n">
        <f>59963</f>
        <v>59963.0</v>
      </c>
    </row>
    <row r="202">
      <c r="A202" s="8" t="s">
        <v>29</v>
      </c>
      <c r="B202" s="9" t="s">
        <v>61</v>
      </c>
      <c r="C202" s="9" t="s">
        <v>62</v>
      </c>
      <c r="D202" s="10"/>
      <c r="E202" s="2" t="n">
        <f>1142</f>
        <v>1142.0</v>
      </c>
      <c r="F202" s="10"/>
      <c r="G202" s="2" t="n">
        <f>1660468000</f>
        <v>1.660468E9</v>
      </c>
      <c r="H202" s="10"/>
      <c r="I202" s="2" t="str">
        <f>"－"</f>
        <v>－</v>
      </c>
      <c r="J202" s="10"/>
      <c r="K202" s="2" t="n">
        <f>60530</f>
        <v>60530.0</v>
      </c>
    </row>
    <row r="203">
      <c r="A203" s="8" t="s">
        <v>30</v>
      </c>
      <c r="B203" s="9" t="s">
        <v>61</v>
      </c>
      <c r="C203" s="9" t="s">
        <v>62</v>
      </c>
      <c r="D203" s="10"/>
      <c r="E203" s="2" t="n">
        <f>5122</f>
        <v>5122.0</v>
      </c>
      <c r="F203" s="10"/>
      <c r="G203" s="2" t="n">
        <f>7455583200</f>
        <v>7.4555832E9</v>
      </c>
      <c r="H203" s="10"/>
      <c r="I203" s="2" t="str">
        <f>"－"</f>
        <v>－</v>
      </c>
      <c r="J203" s="10" t="s">
        <v>27</v>
      </c>
      <c r="K203" s="2" t="n">
        <f>65652</f>
        <v>65652.0</v>
      </c>
    </row>
    <row r="204">
      <c r="A204" s="8" t="s">
        <v>31</v>
      </c>
      <c r="B204" s="9" t="s">
        <v>61</v>
      </c>
      <c r="C204" s="9" t="s">
        <v>62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32</v>
      </c>
      <c r="B205" s="9" t="s">
        <v>61</v>
      </c>
      <c r="C205" s="9" t="s">
        <v>62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33</v>
      </c>
      <c r="B206" s="9" t="s">
        <v>61</v>
      </c>
      <c r="C206" s="9" t="s">
        <v>62</v>
      </c>
      <c r="D206" s="10"/>
      <c r="E206" s="2" t="n">
        <f>184</f>
        <v>184.0</v>
      </c>
      <c r="F206" s="10"/>
      <c r="G206" s="2" t="n">
        <f>274076464</f>
        <v>2.74076464E8</v>
      </c>
      <c r="H206" s="10"/>
      <c r="I206" s="2" t="str">
        <f>"－"</f>
        <v>－</v>
      </c>
      <c r="J206" s="10"/>
      <c r="K206" s="2" t="n">
        <f>52642</f>
        <v>52642.0</v>
      </c>
    </row>
    <row r="207">
      <c r="A207" s="8" t="s">
        <v>35</v>
      </c>
      <c r="B207" s="9" t="s">
        <v>61</v>
      </c>
      <c r="C207" s="9" t="s">
        <v>62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52642</f>
        <v>52642.0</v>
      </c>
    </row>
    <row r="208">
      <c r="A208" s="8" t="s">
        <v>36</v>
      </c>
      <c r="B208" s="9" t="s">
        <v>61</v>
      </c>
      <c r="C208" s="9" t="s">
        <v>62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52458</f>
        <v>52458.0</v>
      </c>
    </row>
    <row r="209">
      <c r="A209" s="8" t="s">
        <v>37</v>
      </c>
      <c r="B209" s="9" t="s">
        <v>61</v>
      </c>
      <c r="C209" s="9" t="s">
        <v>62</v>
      </c>
      <c r="D209" s="10"/>
      <c r="E209" s="2" t="n">
        <f>1963</f>
        <v>1963.0</v>
      </c>
      <c r="F209" s="10"/>
      <c r="G209" s="2" t="n">
        <f>3050532044</f>
        <v>3.050532044E9</v>
      </c>
      <c r="H209" s="10"/>
      <c r="I209" s="2" t="n">
        <f>1749</f>
        <v>1749.0</v>
      </c>
      <c r="J209" s="10"/>
      <c r="K209" s="2" t="n">
        <f>54023</f>
        <v>54023.0</v>
      </c>
    </row>
    <row r="210">
      <c r="A210" s="8" t="s">
        <v>38</v>
      </c>
      <c r="B210" s="9" t="s">
        <v>61</v>
      </c>
      <c r="C210" s="9" t="s">
        <v>62</v>
      </c>
      <c r="D210" s="10"/>
      <c r="E210" s="2" t="n">
        <f>1213</f>
        <v>1213.0</v>
      </c>
      <c r="F210" s="10"/>
      <c r="G210" s="2" t="n">
        <f>1908251200</f>
        <v>1.9082512E9</v>
      </c>
      <c r="H210" s="10"/>
      <c r="I210" s="2" t="n">
        <f>1213</f>
        <v>1213.0</v>
      </c>
      <c r="J210" s="10"/>
      <c r="K210" s="2" t="n">
        <f>53931</f>
        <v>53931.0</v>
      </c>
    </row>
    <row r="211">
      <c r="A211" s="8" t="s">
        <v>39</v>
      </c>
      <c r="B211" s="9" t="s">
        <v>61</v>
      </c>
      <c r="C211" s="9" t="s">
        <v>62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40</v>
      </c>
      <c r="B212" s="9" t="s">
        <v>61</v>
      </c>
      <c r="C212" s="9" t="s">
        <v>62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41</v>
      </c>
      <c r="B213" s="9" t="s">
        <v>61</v>
      </c>
      <c r="C213" s="9" t="s">
        <v>62</v>
      </c>
      <c r="D213" s="10"/>
      <c r="E213" s="2" t="n">
        <f>122</f>
        <v>122.0</v>
      </c>
      <c r="F213" s="10"/>
      <c r="G213" s="2" t="n">
        <f>194390530</f>
        <v>1.9439053E8</v>
      </c>
      <c r="H213" s="10"/>
      <c r="I213" s="2" t="n">
        <f>61</f>
        <v>61.0</v>
      </c>
      <c r="J213" s="10"/>
      <c r="K213" s="2" t="n">
        <f>53981</f>
        <v>53981.0</v>
      </c>
    </row>
    <row r="214">
      <c r="A214" s="8" t="s">
        <v>42</v>
      </c>
      <c r="B214" s="9" t="s">
        <v>61</v>
      </c>
      <c r="C214" s="9" t="s">
        <v>62</v>
      </c>
      <c r="D214" s="10"/>
      <c r="E214" s="2" t="n">
        <f>1362</f>
        <v>1362.0</v>
      </c>
      <c r="F214" s="10"/>
      <c r="G214" s="2" t="n">
        <f>2123766600</f>
        <v>2.1237666E9</v>
      </c>
      <c r="H214" s="10"/>
      <c r="I214" s="2" t="n">
        <f>1362</f>
        <v>1362.0</v>
      </c>
      <c r="J214" s="10"/>
      <c r="K214" s="2" t="n">
        <f>55296</f>
        <v>55296.0</v>
      </c>
    </row>
    <row r="215">
      <c r="A215" s="8" t="s">
        <v>43</v>
      </c>
      <c r="B215" s="9" t="s">
        <v>61</v>
      </c>
      <c r="C215" s="9" t="s">
        <v>62</v>
      </c>
      <c r="D215" s="10"/>
      <c r="E215" s="2" t="n">
        <f>216</f>
        <v>216.0</v>
      </c>
      <c r="F215" s="10"/>
      <c r="G215" s="2" t="n">
        <f>319025520</f>
        <v>3.1902552E8</v>
      </c>
      <c r="H215" s="10"/>
      <c r="I215" s="2" t="n">
        <f>216</f>
        <v>216.0</v>
      </c>
      <c r="J215" s="10"/>
      <c r="K215" s="2" t="n">
        <f>55462</f>
        <v>55462.0</v>
      </c>
    </row>
    <row r="216">
      <c r="A216" s="8" t="s">
        <v>44</v>
      </c>
      <c r="B216" s="9" t="s">
        <v>61</v>
      </c>
      <c r="C216" s="9" t="s">
        <v>62</v>
      </c>
      <c r="D216" s="10"/>
      <c r="E216" s="2" t="n">
        <f>493</f>
        <v>493.0</v>
      </c>
      <c r="F216" s="10"/>
      <c r="G216" s="2" t="n">
        <f>747881000</f>
        <v>7.47881E8</v>
      </c>
      <c r="H216" s="10"/>
      <c r="I216" s="2" t="n">
        <f>149</f>
        <v>149.0</v>
      </c>
      <c r="J216" s="10"/>
      <c r="K216" s="2" t="n">
        <f>55462</f>
        <v>55462.0</v>
      </c>
    </row>
    <row r="217">
      <c r="A217" s="8" t="s">
        <v>45</v>
      </c>
      <c r="B217" s="9" t="s">
        <v>61</v>
      </c>
      <c r="C217" s="9" t="s">
        <v>62</v>
      </c>
      <c r="D217" s="10"/>
      <c r="E217" s="2" t="n">
        <f>291</f>
        <v>291.0</v>
      </c>
      <c r="F217" s="10"/>
      <c r="G217" s="2" t="n">
        <f>448431000</f>
        <v>4.48431E8</v>
      </c>
      <c r="H217" s="10"/>
      <c r="I217" s="2" t="n">
        <f>87</f>
        <v>87.0</v>
      </c>
      <c r="J217" s="10"/>
      <c r="K217" s="2" t="n">
        <f>55462</f>
        <v>55462.0</v>
      </c>
    </row>
    <row r="218">
      <c r="A218" s="8" t="s">
        <v>46</v>
      </c>
      <c r="B218" s="9" t="s">
        <v>61</v>
      </c>
      <c r="C218" s="9" t="s">
        <v>62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47</v>
      </c>
      <c r="B219" s="9" t="s">
        <v>61</v>
      </c>
      <c r="C219" s="9" t="s">
        <v>62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48</v>
      </c>
      <c r="B220" s="9" t="s">
        <v>61</v>
      </c>
      <c r="C220" s="9" t="s">
        <v>62</v>
      </c>
      <c r="D220" s="10"/>
      <c r="E220" s="2" t="n">
        <f>784</f>
        <v>784.0</v>
      </c>
      <c r="F220" s="10"/>
      <c r="G220" s="2" t="n">
        <f>1192464000</f>
        <v>1.192464E9</v>
      </c>
      <c r="H220" s="10"/>
      <c r="I220" s="2" t="n">
        <f>784</f>
        <v>784.0</v>
      </c>
      <c r="J220" s="10"/>
      <c r="K220" s="2" t="n">
        <f>54678</f>
        <v>54678.0</v>
      </c>
    </row>
    <row r="221">
      <c r="A221" s="8" t="s">
        <v>49</v>
      </c>
      <c r="B221" s="9" t="s">
        <v>61</v>
      </c>
      <c r="C221" s="9" t="s">
        <v>62</v>
      </c>
      <c r="D221" s="10"/>
      <c r="E221" s="2" t="str">
        <f>"－"</f>
        <v>－</v>
      </c>
      <c r="F221" s="10"/>
      <c r="G221" s="2" t="str">
        <f>"－"</f>
        <v>－</v>
      </c>
      <c r="H221" s="10"/>
      <c r="I221" s="2" t="str">
        <f>"－"</f>
        <v>－</v>
      </c>
      <c r="J221" s="10"/>
      <c r="K221" s="2" t="n">
        <f>54678</f>
        <v>54678.0</v>
      </c>
    </row>
    <row r="222">
      <c r="A222" s="8" t="s">
        <v>50</v>
      </c>
      <c r="B222" s="9" t="s">
        <v>61</v>
      </c>
      <c r="C222" s="9" t="s">
        <v>62</v>
      </c>
      <c r="D222" s="10"/>
      <c r="E222" s="2" t="n">
        <f>1000</f>
        <v>1000.0</v>
      </c>
      <c r="F222" s="10"/>
      <c r="G222" s="2" t="n">
        <f>1493000000</f>
        <v>1.493E9</v>
      </c>
      <c r="H222" s="10"/>
      <c r="I222" s="2" t="n">
        <f>1000</f>
        <v>1000.0</v>
      </c>
      <c r="J222" s="10"/>
      <c r="K222" s="2" t="n">
        <f>55678</f>
        <v>55678.0</v>
      </c>
    </row>
    <row r="223">
      <c r="A223" s="8" t="s">
        <v>16</v>
      </c>
      <c r="B223" s="9" t="s">
        <v>63</v>
      </c>
      <c r="C223" s="9" t="s">
        <v>64</v>
      </c>
      <c r="D223" s="10"/>
      <c r="E223" s="2" t="n">
        <f>1012</f>
        <v>1012.0</v>
      </c>
      <c r="F223" s="10"/>
      <c r="G223" s="2" t="n">
        <f>1967082700</f>
        <v>1.9670827E9</v>
      </c>
      <c r="H223" s="10"/>
      <c r="I223" s="2" t="n">
        <f>52</f>
        <v>52.0</v>
      </c>
      <c r="J223" s="10"/>
      <c r="K223" s="2" t="n">
        <f>63903</f>
        <v>63903.0</v>
      </c>
    </row>
    <row r="224">
      <c r="A224" s="8" t="s">
        <v>19</v>
      </c>
      <c r="B224" s="9" t="s">
        <v>63</v>
      </c>
      <c r="C224" s="9" t="s">
        <v>64</v>
      </c>
      <c r="D224" s="10"/>
      <c r="E224" s="2" t="n">
        <f>2133</f>
        <v>2133.0</v>
      </c>
      <c r="F224" s="10"/>
      <c r="G224" s="2" t="n">
        <f>4130183580</f>
        <v>4.13018358E9</v>
      </c>
      <c r="H224" s="10"/>
      <c r="I224" s="2" t="n">
        <f>390</f>
        <v>390.0</v>
      </c>
      <c r="J224" s="10"/>
      <c r="K224" s="2" t="n">
        <f>64365</f>
        <v>64365.0</v>
      </c>
    </row>
    <row r="225">
      <c r="A225" s="8" t="s">
        <v>20</v>
      </c>
      <c r="B225" s="9" t="s">
        <v>63</v>
      </c>
      <c r="C225" s="9" t="s">
        <v>64</v>
      </c>
      <c r="D225" s="10"/>
      <c r="E225" s="2" t="n">
        <f>3645</f>
        <v>3645.0</v>
      </c>
      <c r="F225" s="10"/>
      <c r="G225" s="2" t="n">
        <f>7007600800</f>
        <v>7.0076008E9</v>
      </c>
      <c r="H225" s="10"/>
      <c r="I225" s="2" t="n">
        <f>49</f>
        <v>49.0</v>
      </c>
      <c r="J225" s="10"/>
      <c r="K225" s="2" t="n">
        <f>64311</f>
        <v>64311.0</v>
      </c>
    </row>
    <row r="226">
      <c r="A226" s="8" t="s">
        <v>21</v>
      </c>
      <c r="B226" s="9" t="s">
        <v>63</v>
      </c>
      <c r="C226" s="9" t="s">
        <v>64</v>
      </c>
      <c r="D226" s="10"/>
      <c r="E226" s="2" t="n">
        <f>5398</f>
        <v>5398.0</v>
      </c>
      <c r="F226" s="10"/>
      <c r="G226" s="2" t="n">
        <f>10327461900</f>
        <v>1.03274619E10</v>
      </c>
      <c r="H226" s="10"/>
      <c r="I226" s="2" t="n">
        <f>111</f>
        <v>111.0</v>
      </c>
      <c r="J226" s="10"/>
      <c r="K226" s="2" t="n">
        <f>66740</f>
        <v>66740.0</v>
      </c>
    </row>
    <row r="227">
      <c r="A227" s="8" t="s">
        <v>22</v>
      </c>
      <c r="B227" s="9" t="s">
        <v>63</v>
      </c>
      <c r="C227" s="9" t="s">
        <v>64</v>
      </c>
      <c r="D227" s="10"/>
      <c r="E227" s="2" t="n">
        <f>5496</f>
        <v>5496.0</v>
      </c>
      <c r="F227" s="10"/>
      <c r="G227" s="2" t="n">
        <f>10465779480</f>
        <v>1.046577948E10</v>
      </c>
      <c r="H227" s="10"/>
      <c r="I227" s="2" t="n">
        <f>103</f>
        <v>103.0</v>
      </c>
      <c r="J227" s="10"/>
      <c r="K227" s="2" t="n">
        <f>66617</f>
        <v>66617.0</v>
      </c>
    </row>
    <row r="228">
      <c r="A228" s="8" t="s">
        <v>23</v>
      </c>
      <c r="B228" s="9" t="s">
        <v>63</v>
      </c>
      <c r="C228" s="9" t="s">
        <v>64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24</v>
      </c>
      <c r="B229" s="9" t="s">
        <v>63</v>
      </c>
      <c r="C229" s="9" t="s">
        <v>64</v>
      </c>
      <c r="D229" s="10"/>
      <c r="E229" s="2"/>
      <c r="F229" s="10"/>
      <c r="G229" s="2"/>
      <c r="H229" s="10"/>
      <c r="I229" s="2"/>
      <c r="J229" s="10"/>
      <c r="K229" s="2"/>
    </row>
    <row r="230">
      <c r="A230" s="8" t="s">
        <v>25</v>
      </c>
      <c r="B230" s="9" t="s">
        <v>63</v>
      </c>
      <c r="C230" s="9" t="s">
        <v>64</v>
      </c>
      <c r="D230" s="10" t="s">
        <v>27</v>
      </c>
      <c r="E230" s="2" t="n">
        <f>62634</f>
        <v>62634.0</v>
      </c>
      <c r="F230" s="10" t="s">
        <v>27</v>
      </c>
      <c r="G230" s="2" t="n">
        <f>118465569460</f>
        <v>1.1846556946E11</v>
      </c>
      <c r="H230" s="10"/>
      <c r="I230" s="2" t="n">
        <f>2</f>
        <v>2.0</v>
      </c>
      <c r="J230" s="10"/>
      <c r="K230" s="2" t="n">
        <f>89794</f>
        <v>89794.0</v>
      </c>
    </row>
    <row r="231">
      <c r="A231" s="8" t="s">
        <v>26</v>
      </c>
      <c r="B231" s="9" t="s">
        <v>63</v>
      </c>
      <c r="C231" s="9" t="s">
        <v>64</v>
      </c>
      <c r="D231" s="10"/>
      <c r="E231" s="2" t="n">
        <f>50334</f>
        <v>50334.0</v>
      </c>
      <c r="F231" s="10"/>
      <c r="G231" s="2" t="n">
        <f>95307180840</f>
        <v>9.530718084E10</v>
      </c>
      <c r="H231" s="10"/>
      <c r="I231" s="2" t="n">
        <f>743</f>
        <v>743.0</v>
      </c>
      <c r="J231" s="10"/>
      <c r="K231" s="2" t="n">
        <f>92941</f>
        <v>92941.0</v>
      </c>
    </row>
    <row r="232">
      <c r="A232" s="8" t="s">
        <v>28</v>
      </c>
      <c r="B232" s="9" t="s">
        <v>63</v>
      </c>
      <c r="C232" s="9" t="s">
        <v>64</v>
      </c>
      <c r="D232" s="10"/>
      <c r="E232" s="2" t="n">
        <f>10443</f>
        <v>10443.0</v>
      </c>
      <c r="F232" s="10"/>
      <c r="G232" s="2" t="n">
        <f>19670213860</f>
        <v>1.967021386E10</v>
      </c>
      <c r="H232" s="10" t="s">
        <v>27</v>
      </c>
      <c r="I232" s="2" t="n">
        <f>804</f>
        <v>804.0</v>
      </c>
      <c r="J232" s="10"/>
      <c r="K232" s="2" t="n">
        <f>93035</f>
        <v>93035.0</v>
      </c>
    </row>
    <row r="233">
      <c r="A233" s="8" t="s">
        <v>29</v>
      </c>
      <c r="B233" s="9" t="s">
        <v>63</v>
      </c>
      <c r="C233" s="9" t="s">
        <v>64</v>
      </c>
      <c r="D233" s="10"/>
      <c r="E233" s="2" t="n">
        <f>5245</f>
        <v>5245.0</v>
      </c>
      <c r="F233" s="10"/>
      <c r="G233" s="2" t="n">
        <f>9930210700</f>
        <v>9.9302107E9</v>
      </c>
      <c r="H233" s="10"/>
      <c r="I233" s="2" t="n">
        <f>727</f>
        <v>727.0</v>
      </c>
      <c r="J233" s="10" t="s">
        <v>27</v>
      </c>
      <c r="K233" s="2" t="n">
        <f>95748</f>
        <v>95748.0</v>
      </c>
    </row>
    <row r="234">
      <c r="A234" s="8" t="s">
        <v>30</v>
      </c>
      <c r="B234" s="9" t="s">
        <v>63</v>
      </c>
      <c r="C234" s="9" t="s">
        <v>64</v>
      </c>
      <c r="D234" s="10"/>
      <c r="E234" s="2" t="n">
        <f>1160</f>
        <v>1160.0</v>
      </c>
      <c r="F234" s="10"/>
      <c r="G234" s="2" t="n">
        <f>2222398100</f>
        <v>2.2223981E9</v>
      </c>
      <c r="H234" s="10" t="s">
        <v>34</v>
      </c>
      <c r="I234" s="2" t="str">
        <f>"－"</f>
        <v>－</v>
      </c>
      <c r="J234" s="10"/>
      <c r="K234" s="2" t="n">
        <f>95712</f>
        <v>95712.0</v>
      </c>
    </row>
    <row r="235">
      <c r="A235" s="8" t="s">
        <v>31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32</v>
      </c>
      <c r="B236" s="9" t="s">
        <v>63</v>
      </c>
      <c r="C236" s="9" t="s">
        <v>64</v>
      </c>
      <c r="D236" s="10"/>
      <c r="E236" s="2"/>
      <c r="F236" s="10"/>
      <c r="G236" s="2"/>
      <c r="H236" s="10"/>
      <c r="I236" s="2"/>
      <c r="J236" s="10"/>
      <c r="K236" s="2"/>
    </row>
    <row r="237">
      <c r="A237" s="8" t="s">
        <v>33</v>
      </c>
      <c r="B237" s="9" t="s">
        <v>63</v>
      </c>
      <c r="C237" s="9" t="s">
        <v>64</v>
      </c>
      <c r="D237" s="10"/>
      <c r="E237" s="2" t="n">
        <f>2061</f>
        <v>2061.0</v>
      </c>
      <c r="F237" s="10"/>
      <c r="G237" s="2" t="n">
        <f>3979120400</f>
        <v>3.9791204E9</v>
      </c>
      <c r="H237" s="10"/>
      <c r="I237" s="2" t="n">
        <f>16</f>
        <v>16.0</v>
      </c>
      <c r="J237" s="10" t="s">
        <v>34</v>
      </c>
      <c r="K237" s="2" t="n">
        <f>56679</f>
        <v>56679.0</v>
      </c>
    </row>
    <row r="238">
      <c r="A238" s="8" t="s">
        <v>35</v>
      </c>
      <c r="B238" s="9" t="s">
        <v>63</v>
      </c>
      <c r="C238" s="9" t="s">
        <v>64</v>
      </c>
      <c r="D238" s="10"/>
      <c r="E238" s="2" t="n">
        <f>1327</f>
        <v>1327.0</v>
      </c>
      <c r="F238" s="10"/>
      <c r="G238" s="2" t="n">
        <f>2604139170</f>
        <v>2.60413917E9</v>
      </c>
      <c r="H238" s="10"/>
      <c r="I238" s="2" t="n">
        <f>23</f>
        <v>23.0</v>
      </c>
      <c r="J238" s="10"/>
      <c r="K238" s="2" t="n">
        <f>57290</f>
        <v>57290.0</v>
      </c>
    </row>
    <row r="239">
      <c r="A239" s="8" t="s">
        <v>36</v>
      </c>
      <c r="B239" s="9" t="s">
        <v>63</v>
      </c>
      <c r="C239" s="9" t="s">
        <v>64</v>
      </c>
      <c r="D239" s="10"/>
      <c r="E239" s="2" t="n">
        <f>887</f>
        <v>887.0</v>
      </c>
      <c r="F239" s="10"/>
      <c r="G239" s="2" t="n">
        <f>1750768000</f>
        <v>1.750768E9</v>
      </c>
      <c r="H239" s="10"/>
      <c r="I239" s="2" t="n">
        <f>65</f>
        <v>65.0</v>
      </c>
      <c r="J239" s="10"/>
      <c r="K239" s="2" t="n">
        <f>57861</f>
        <v>57861.0</v>
      </c>
    </row>
    <row r="240">
      <c r="A240" s="8" t="s">
        <v>37</v>
      </c>
      <c r="B240" s="9" t="s">
        <v>63</v>
      </c>
      <c r="C240" s="9" t="s">
        <v>64</v>
      </c>
      <c r="D240" s="10"/>
      <c r="E240" s="2" t="n">
        <f>2138</f>
        <v>2138.0</v>
      </c>
      <c r="F240" s="10"/>
      <c r="G240" s="2" t="n">
        <f>4226904500</f>
        <v>4.2269045E9</v>
      </c>
      <c r="H240" s="10"/>
      <c r="I240" s="2" t="n">
        <f>25</f>
        <v>25.0</v>
      </c>
      <c r="J240" s="10"/>
      <c r="K240" s="2" t="n">
        <f>58945</f>
        <v>58945.0</v>
      </c>
    </row>
    <row r="241">
      <c r="A241" s="8" t="s">
        <v>38</v>
      </c>
      <c r="B241" s="9" t="s">
        <v>63</v>
      </c>
      <c r="C241" s="9" t="s">
        <v>64</v>
      </c>
      <c r="D241" s="10"/>
      <c r="E241" s="2" t="n">
        <f>2379</f>
        <v>2379.0</v>
      </c>
      <c r="F241" s="10"/>
      <c r="G241" s="2" t="n">
        <f>4724436700</f>
        <v>4.7244367E9</v>
      </c>
      <c r="H241" s="10"/>
      <c r="I241" s="2" t="n">
        <f>134</f>
        <v>134.0</v>
      </c>
      <c r="J241" s="10"/>
      <c r="K241" s="2" t="n">
        <f>59176</f>
        <v>59176.0</v>
      </c>
    </row>
    <row r="242">
      <c r="A242" s="8" t="s">
        <v>39</v>
      </c>
      <c r="B242" s="9" t="s">
        <v>63</v>
      </c>
      <c r="C242" s="9" t="s">
        <v>64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40</v>
      </c>
      <c r="B243" s="9" t="s">
        <v>63</v>
      </c>
      <c r="C243" s="9" t="s">
        <v>64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41</v>
      </c>
      <c r="B244" s="9" t="s">
        <v>63</v>
      </c>
      <c r="C244" s="9" t="s">
        <v>64</v>
      </c>
      <c r="D244" s="10" t="s">
        <v>34</v>
      </c>
      <c r="E244" s="2" t="n">
        <f>544</f>
        <v>544.0</v>
      </c>
      <c r="F244" s="10" t="s">
        <v>34</v>
      </c>
      <c r="G244" s="2" t="n">
        <f>1066565040</f>
        <v>1.06656504E9</v>
      </c>
      <c r="H244" s="10"/>
      <c r="I244" s="2" t="n">
        <f>34</f>
        <v>34.0</v>
      </c>
      <c r="J244" s="10"/>
      <c r="K244" s="2" t="n">
        <f>59224</f>
        <v>59224.0</v>
      </c>
    </row>
    <row r="245">
      <c r="A245" s="8" t="s">
        <v>42</v>
      </c>
      <c r="B245" s="9" t="s">
        <v>63</v>
      </c>
      <c r="C245" s="9" t="s">
        <v>64</v>
      </c>
      <c r="D245" s="10"/>
      <c r="E245" s="2" t="n">
        <f>577</f>
        <v>577.0</v>
      </c>
      <c r="F245" s="10"/>
      <c r="G245" s="2" t="n">
        <f>1138161150</f>
        <v>1.13816115E9</v>
      </c>
      <c r="H245" s="10"/>
      <c r="I245" s="2" t="n">
        <f>49</f>
        <v>49.0</v>
      </c>
      <c r="J245" s="10"/>
      <c r="K245" s="2" t="n">
        <f>59551</f>
        <v>59551.0</v>
      </c>
    </row>
    <row r="246">
      <c r="A246" s="8" t="s">
        <v>43</v>
      </c>
      <c r="B246" s="9" t="s">
        <v>63</v>
      </c>
      <c r="C246" s="9" t="s">
        <v>64</v>
      </c>
      <c r="D246" s="10"/>
      <c r="E246" s="2" t="n">
        <f>1461</f>
        <v>1461.0</v>
      </c>
      <c r="F246" s="10"/>
      <c r="G246" s="2" t="n">
        <f>2857211820</f>
        <v>2.85721182E9</v>
      </c>
      <c r="H246" s="10"/>
      <c r="I246" s="2" t="n">
        <f>5</f>
        <v>5.0</v>
      </c>
      <c r="J246" s="10"/>
      <c r="K246" s="2" t="n">
        <f>59729</f>
        <v>59729.0</v>
      </c>
    </row>
    <row r="247">
      <c r="A247" s="8" t="s">
        <v>44</v>
      </c>
      <c r="B247" s="9" t="s">
        <v>63</v>
      </c>
      <c r="C247" s="9" t="s">
        <v>64</v>
      </c>
      <c r="D247" s="10"/>
      <c r="E247" s="2" t="n">
        <f>1958</f>
        <v>1958.0</v>
      </c>
      <c r="F247" s="10"/>
      <c r="G247" s="2" t="n">
        <f>3828647800</f>
        <v>3.8286478E9</v>
      </c>
      <c r="H247" s="10"/>
      <c r="I247" s="2" t="str">
        <f>"－"</f>
        <v>－</v>
      </c>
      <c r="J247" s="10"/>
      <c r="K247" s="2" t="n">
        <f>59531</f>
        <v>59531.0</v>
      </c>
    </row>
    <row r="248">
      <c r="A248" s="8" t="s">
        <v>45</v>
      </c>
      <c r="B248" s="9" t="s">
        <v>63</v>
      </c>
      <c r="C248" s="9" t="s">
        <v>64</v>
      </c>
      <c r="D248" s="10"/>
      <c r="E248" s="2" t="n">
        <f>1137</f>
        <v>1137.0</v>
      </c>
      <c r="F248" s="10"/>
      <c r="G248" s="2" t="n">
        <f>2248786020</f>
        <v>2.24878602E9</v>
      </c>
      <c r="H248" s="10"/>
      <c r="I248" s="2" t="n">
        <f>29</f>
        <v>29.0</v>
      </c>
      <c r="J248" s="10"/>
      <c r="K248" s="2" t="n">
        <f>59556</f>
        <v>59556.0</v>
      </c>
    </row>
    <row r="249">
      <c r="A249" s="8" t="s">
        <v>46</v>
      </c>
      <c r="B249" s="9" t="s">
        <v>63</v>
      </c>
      <c r="C249" s="9" t="s">
        <v>64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47</v>
      </c>
      <c r="B250" s="9" t="s">
        <v>63</v>
      </c>
      <c r="C250" s="9" t="s">
        <v>64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48</v>
      </c>
      <c r="B251" s="9" t="s">
        <v>63</v>
      </c>
      <c r="C251" s="9" t="s">
        <v>64</v>
      </c>
      <c r="D251" s="10"/>
      <c r="E251" s="2" t="n">
        <f>873</f>
        <v>873.0</v>
      </c>
      <c r="F251" s="10"/>
      <c r="G251" s="2" t="n">
        <f>1729969070</f>
        <v>1.72996907E9</v>
      </c>
      <c r="H251" s="10"/>
      <c r="I251" s="2" t="n">
        <f>205</f>
        <v>205.0</v>
      </c>
      <c r="J251" s="10"/>
      <c r="K251" s="2" t="n">
        <f>59235</f>
        <v>59235.0</v>
      </c>
    </row>
    <row r="252">
      <c r="A252" s="8" t="s">
        <v>49</v>
      </c>
      <c r="B252" s="9" t="s">
        <v>63</v>
      </c>
      <c r="C252" s="9" t="s">
        <v>64</v>
      </c>
      <c r="D252" s="10"/>
      <c r="E252" s="2" t="n">
        <f>1439</f>
        <v>1439.0</v>
      </c>
      <c r="F252" s="10"/>
      <c r="G252" s="2" t="n">
        <f>2878571540</f>
        <v>2.87857154E9</v>
      </c>
      <c r="H252" s="10"/>
      <c r="I252" s="2" t="n">
        <f>10</f>
        <v>10.0</v>
      </c>
      <c r="J252" s="10"/>
      <c r="K252" s="2" t="n">
        <f>59951</f>
        <v>59951.0</v>
      </c>
    </row>
    <row r="253">
      <c r="A253" s="8" t="s">
        <v>50</v>
      </c>
      <c r="B253" s="9" t="s">
        <v>63</v>
      </c>
      <c r="C253" s="9" t="s">
        <v>64</v>
      </c>
      <c r="D253" s="10"/>
      <c r="E253" s="2" t="n">
        <f>5862</f>
        <v>5862.0</v>
      </c>
      <c r="F253" s="10"/>
      <c r="G253" s="2" t="n">
        <f>11774607250</f>
        <v>1.177460725E10</v>
      </c>
      <c r="H253" s="10"/>
      <c r="I253" s="2" t="n">
        <f>31</f>
        <v>31.0</v>
      </c>
      <c r="J253" s="10"/>
      <c r="K253" s="2" t="n">
        <f>57020</f>
        <v>57020.0</v>
      </c>
    </row>
    <row r="254">
      <c r="A254" s="8" t="s">
        <v>16</v>
      </c>
      <c r="B254" s="9" t="s">
        <v>65</v>
      </c>
      <c r="C254" s="9" t="s">
        <v>66</v>
      </c>
      <c r="D254" s="10" t="s">
        <v>67</v>
      </c>
      <c r="E254" s="2" t="str">
        <f>"－"</f>
        <v>－</v>
      </c>
      <c r="F254" s="10" t="s">
        <v>67</v>
      </c>
      <c r="G254" s="2" t="str">
        <f>"－"</f>
        <v>－</v>
      </c>
      <c r="H254" s="10" t="s">
        <v>67</v>
      </c>
      <c r="I254" s="2" t="str">
        <f>"－"</f>
        <v>－</v>
      </c>
      <c r="J254" s="10" t="s">
        <v>67</v>
      </c>
      <c r="K254" s="2" t="str">
        <f>"－"</f>
        <v>－</v>
      </c>
    </row>
    <row r="255">
      <c r="A255" s="8" t="s">
        <v>19</v>
      </c>
      <c r="B255" s="9" t="s">
        <v>65</v>
      </c>
      <c r="C255" s="9" t="s">
        <v>66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20</v>
      </c>
      <c r="B256" s="9" t="s">
        <v>65</v>
      </c>
      <c r="C256" s="9" t="s">
        <v>66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21</v>
      </c>
      <c r="B257" s="9" t="s">
        <v>65</v>
      </c>
      <c r="C257" s="9" t="s">
        <v>66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22</v>
      </c>
      <c r="B258" s="9" t="s">
        <v>65</v>
      </c>
      <c r="C258" s="9" t="s">
        <v>66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23</v>
      </c>
      <c r="B259" s="9" t="s">
        <v>65</v>
      </c>
      <c r="C259" s="9" t="s">
        <v>66</v>
      </c>
      <c r="D259" s="10"/>
      <c r="E259" s="2"/>
      <c r="F259" s="10"/>
      <c r="G259" s="2"/>
      <c r="H259" s="10"/>
      <c r="I259" s="2"/>
      <c r="J259" s="10"/>
      <c r="K259" s="2"/>
    </row>
    <row r="260">
      <c r="A260" s="8" t="s">
        <v>24</v>
      </c>
      <c r="B260" s="9" t="s">
        <v>65</v>
      </c>
      <c r="C260" s="9" t="s">
        <v>66</v>
      </c>
      <c r="D260" s="10"/>
      <c r="E260" s="2"/>
      <c r="F260" s="10"/>
      <c r="G260" s="2"/>
      <c r="H260" s="10"/>
      <c r="I260" s="2"/>
      <c r="J260" s="10"/>
      <c r="K260" s="2"/>
    </row>
    <row r="261">
      <c r="A261" s="8" t="s">
        <v>25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26</v>
      </c>
      <c r="B262" s="9" t="s">
        <v>65</v>
      </c>
      <c r="C262" s="9" t="s">
        <v>66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28</v>
      </c>
      <c r="B263" s="9" t="s">
        <v>65</v>
      </c>
      <c r="C263" s="9" t="s">
        <v>66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65</v>
      </c>
      <c r="C264" s="9" t="s">
        <v>66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65</v>
      </c>
      <c r="C265" s="9" t="s">
        <v>66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31</v>
      </c>
      <c r="B266" s="9" t="s">
        <v>65</v>
      </c>
      <c r="C266" s="9" t="s">
        <v>66</v>
      </c>
      <c r="D266" s="10"/>
      <c r="E266" s="2"/>
      <c r="F266" s="10"/>
      <c r="G266" s="2"/>
      <c r="H266" s="10"/>
      <c r="I266" s="2"/>
      <c r="J266" s="10"/>
      <c r="K266" s="2"/>
    </row>
    <row r="267">
      <c r="A267" s="8" t="s">
        <v>32</v>
      </c>
      <c r="B267" s="9" t="s">
        <v>65</v>
      </c>
      <c r="C267" s="9" t="s">
        <v>66</v>
      </c>
      <c r="D267" s="10"/>
      <c r="E267" s="2"/>
      <c r="F267" s="10"/>
      <c r="G267" s="2"/>
      <c r="H267" s="10"/>
      <c r="I267" s="2"/>
      <c r="J267" s="10"/>
      <c r="K267" s="2"/>
    </row>
    <row r="268">
      <c r="A268" s="8" t="s">
        <v>33</v>
      </c>
      <c r="B268" s="9" t="s">
        <v>65</v>
      </c>
      <c r="C268" s="9" t="s">
        <v>66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65</v>
      </c>
      <c r="C269" s="9" t="s">
        <v>66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36</v>
      </c>
      <c r="B270" s="9" t="s">
        <v>65</v>
      </c>
      <c r="C270" s="9" t="s">
        <v>66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65</v>
      </c>
      <c r="C271" s="9" t="s">
        <v>66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65</v>
      </c>
      <c r="C272" s="9" t="s">
        <v>66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65</v>
      </c>
      <c r="C273" s="9" t="s">
        <v>66</v>
      </c>
      <c r="D273" s="10"/>
      <c r="E273" s="2"/>
      <c r="F273" s="10"/>
      <c r="G273" s="2"/>
      <c r="H273" s="10"/>
      <c r="I273" s="2"/>
      <c r="J273" s="10"/>
      <c r="K273" s="2"/>
    </row>
    <row r="274">
      <c r="A274" s="8" t="s">
        <v>40</v>
      </c>
      <c r="B274" s="9" t="s">
        <v>65</v>
      </c>
      <c r="C274" s="9" t="s">
        <v>66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41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42</v>
      </c>
      <c r="B276" s="9" t="s">
        <v>65</v>
      </c>
      <c r="C276" s="9" t="s">
        <v>66</v>
      </c>
      <c r="D276" s="10"/>
      <c r="E276" s="2" t="str">
        <f>"－"</f>
        <v>－</v>
      </c>
      <c r="F276" s="10"/>
      <c r="G276" s="2" t="str">
        <f>"－"</f>
        <v>－</v>
      </c>
      <c r="H276" s="10"/>
      <c r="I276" s="2" t="str">
        <f>"－"</f>
        <v>－</v>
      </c>
      <c r="J276" s="10"/>
      <c r="K276" s="2" t="str">
        <f>"－"</f>
        <v>－</v>
      </c>
    </row>
    <row r="277">
      <c r="A277" s="8" t="s">
        <v>43</v>
      </c>
      <c r="B277" s="9" t="s">
        <v>65</v>
      </c>
      <c r="C277" s="9" t="s">
        <v>66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65</v>
      </c>
      <c r="C278" s="9" t="s">
        <v>66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65</v>
      </c>
      <c r="C279" s="9" t="s">
        <v>66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65</v>
      </c>
      <c r="C280" s="9" t="s">
        <v>66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47</v>
      </c>
      <c r="B281" s="9" t="s">
        <v>65</v>
      </c>
      <c r="C281" s="9" t="s">
        <v>66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48</v>
      </c>
      <c r="B282" s="9" t="s">
        <v>65</v>
      </c>
      <c r="C282" s="9" t="s">
        <v>66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65</v>
      </c>
      <c r="C283" s="9" t="s">
        <v>66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65</v>
      </c>
      <c r="C284" s="9" t="s">
        <v>66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3646</f>
        <v>3646.0</v>
      </c>
      <c r="F285" s="10"/>
      <c r="G285" s="2" t="n">
        <f>4434571530</f>
        <v>4.43457153E9</v>
      </c>
      <c r="H285" s="10"/>
      <c r="I285" s="2" t="n">
        <f>243</f>
        <v>243.0</v>
      </c>
      <c r="J285" s="10"/>
      <c r="K285" s="2" t="n">
        <f>22771</f>
        <v>22771.0</v>
      </c>
    </row>
    <row r="286">
      <c r="A286" s="8" t="s">
        <v>19</v>
      </c>
      <c r="B286" s="9" t="s">
        <v>68</v>
      </c>
      <c r="C286" s="9" t="s">
        <v>69</v>
      </c>
      <c r="D286" s="10"/>
      <c r="E286" s="2" t="n">
        <f>3720</f>
        <v>3720.0</v>
      </c>
      <c r="F286" s="10"/>
      <c r="G286" s="2" t="n">
        <f>4563618870</f>
        <v>4.56361887E9</v>
      </c>
      <c r="H286" s="10"/>
      <c r="I286" s="2" t="n">
        <f>187</f>
        <v>187.0</v>
      </c>
      <c r="J286" s="10"/>
      <c r="K286" s="2" t="n">
        <f>22451</f>
        <v>22451.0</v>
      </c>
    </row>
    <row r="287">
      <c r="A287" s="8" t="s">
        <v>20</v>
      </c>
      <c r="B287" s="9" t="s">
        <v>68</v>
      </c>
      <c r="C287" s="9" t="s">
        <v>69</v>
      </c>
      <c r="D287" s="10"/>
      <c r="E287" s="2" t="n">
        <f>3294</f>
        <v>3294.0</v>
      </c>
      <c r="F287" s="10"/>
      <c r="G287" s="2" t="n">
        <f>3953095800</f>
        <v>3.9530958E9</v>
      </c>
      <c r="H287" s="10"/>
      <c r="I287" s="2" t="n">
        <f>198</f>
        <v>198.0</v>
      </c>
      <c r="J287" s="10"/>
      <c r="K287" s="2" t="n">
        <f>22451</f>
        <v>22451.0</v>
      </c>
    </row>
    <row r="288">
      <c r="A288" s="8" t="s">
        <v>21</v>
      </c>
      <c r="B288" s="9" t="s">
        <v>68</v>
      </c>
      <c r="C288" s="9" t="s">
        <v>69</v>
      </c>
      <c r="D288" s="10"/>
      <c r="E288" s="2" t="n">
        <f>4326</f>
        <v>4326.0</v>
      </c>
      <c r="F288" s="10"/>
      <c r="G288" s="2" t="n">
        <f>5084209640</f>
        <v>5.08420964E9</v>
      </c>
      <c r="H288" s="10"/>
      <c r="I288" s="2" t="n">
        <f>274</f>
        <v>274.0</v>
      </c>
      <c r="J288" s="10"/>
      <c r="K288" s="2" t="n">
        <f>22325</f>
        <v>22325.0</v>
      </c>
    </row>
    <row r="289">
      <c r="A289" s="8" t="s">
        <v>22</v>
      </c>
      <c r="B289" s="9" t="s">
        <v>68</v>
      </c>
      <c r="C289" s="9" t="s">
        <v>69</v>
      </c>
      <c r="D289" s="10"/>
      <c r="E289" s="2" t="n">
        <f>5927</f>
        <v>5927.0</v>
      </c>
      <c r="F289" s="10"/>
      <c r="G289" s="2" t="n">
        <f>6813528750</f>
        <v>6.81352875E9</v>
      </c>
      <c r="H289" s="10"/>
      <c r="I289" s="2" t="n">
        <f>412</f>
        <v>412.0</v>
      </c>
      <c r="J289" s="10"/>
      <c r="K289" s="2" t="n">
        <f>22365</f>
        <v>22365.0</v>
      </c>
    </row>
    <row r="290">
      <c r="A290" s="8" t="s">
        <v>23</v>
      </c>
      <c r="B290" s="9" t="s">
        <v>68</v>
      </c>
      <c r="C290" s="9" t="s">
        <v>69</v>
      </c>
      <c r="D290" s="10"/>
      <c r="E290" s="2"/>
      <c r="F290" s="10"/>
      <c r="G290" s="2"/>
      <c r="H290" s="10"/>
      <c r="I290" s="2"/>
      <c r="J290" s="10"/>
      <c r="K290" s="2"/>
    </row>
    <row r="291">
      <c r="A291" s="8" t="s">
        <v>24</v>
      </c>
      <c r="B291" s="9" t="s">
        <v>68</v>
      </c>
      <c r="C291" s="9" t="s">
        <v>69</v>
      </c>
      <c r="D291" s="10"/>
      <c r="E291" s="2"/>
      <c r="F291" s="10"/>
      <c r="G291" s="2"/>
      <c r="H291" s="10"/>
      <c r="I291" s="2"/>
      <c r="J291" s="10"/>
      <c r="K291" s="2"/>
    </row>
    <row r="292">
      <c r="A292" s="8" t="s">
        <v>25</v>
      </c>
      <c r="B292" s="9" t="s">
        <v>68</v>
      </c>
      <c r="C292" s="9" t="s">
        <v>69</v>
      </c>
      <c r="D292" s="10"/>
      <c r="E292" s="2" t="n">
        <f>12786</f>
        <v>12786.0</v>
      </c>
      <c r="F292" s="10"/>
      <c r="G292" s="2" t="n">
        <f>14786773120</f>
        <v>1.478677312E10</v>
      </c>
      <c r="H292" s="10"/>
      <c r="I292" s="2" t="n">
        <f>512</f>
        <v>512.0</v>
      </c>
      <c r="J292" s="10"/>
      <c r="K292" s="2" t="n">
        <f>25483</f>
        <v>25483.0</v>
      </c>
    </row>
    <row r="293">
      <c r="A293" s="8" t="s">
        <v>26</v>
      </c>
      <c r="B293" s="9" t="s">
        <v>68</v>
      </c>
      <c r="C293" s="9" t="s">
        <v>69</v>
      </c>
      <c r="D293" s="10" t="s">
        <v>27</v>
      </c>
      <c r="E293" s="2" t="n">
        <f>24414</f>
        <v>24414.0</v>
      </c>
      <c r="F293" s="10" t="s">
        <v>27</v>
      </c>
      <c r="G293" s="2" t="n">
        <f>27536190310</f>
        <v>2.753619031E10</v>
      </c>
      <c r="H293" s="10" t="s">
        <v>27</v>
      </c>
      <c r="I293" s="2" t="n">
        <f>9313</f>
        <v>9313.0</v>
      </c>
      <c r="J293" s="10" t="s">
        <v>27</v>
      </c>
      <c r="K293" s="2" t="n">
        <f>32080</f>
        <v>32080.0</v>
      </c>
    </row>
    <row r="294">
      <c r="A294" s="8" t="s">
        <v>28</v>
      </c>
      <c r="B294" s="9" t="s">
        <v>68</v>
      </c>
      <c r="C294" s="9" t="s">
        <v>69</v>
      </c>
      <c r="D294" s="10"/>
      <c r="E294" s="2" t="n">
        <f>22824</f>
        <v>22824.0</v>
      </c>
      <c r="F294" s="10"/>
      <c r="G294" s="2" t="n">
        <f>26526216760</f>
        <v>2.652621676E10</v>
      </c>
      <c r="H294" s="10"/>
      <c r="I294" s="2" t="n">
        <f>1649</f>
        <v>1649.0</v>
      </c>
      <c r="J294" s="10"/>
      <c r="K294" s="2" t="n">
        <f>23279</f>
        <v>23279.0</v>
      </c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9328</f>
        <v>9328.0</v>
      </c>
      <c r="F295" s="10"/>
      <c r="G295" s="2" t="n">
        <f>10726117560</f>
        <v>1.072611756E10</v>
      </c>
      <c r="H295" s="10"/>
      <c r="I295" s="2" t="n">
        <f>399</f>
        <v>399.0</v>
      </c>
      <c r="J295" s="10"/>
      <c r="K295" s="2" t="n">
        <f>21892</f>
        <v>21892.0</v>
      </c>
    </row>
    <row r="296">
      <c r="A296" s="8" t="s">
        <v>30</v>
      </c>
      <c r="B296" s="9" t="s">
        <v>68</v>
      </c>
      <c r="C296" s="9" t="s">
        <v>69</v>
      </c>
      <c r="D296" s="10"/>
      <c r="E296" s="2" t="n">
        <f>5114</f>
        <v>5114.0</v>
      </c>
      <c r="F296" s="10"/>
      <c r="G296" s="2" t="n">
        <f>6060303050</f>
        <v>6.06030305E9</v>
      </c>
      <c r="H296" s="10"/>
      <c r="I296" s="2" t="n">
        <f>275</f>
        <v>275.0</v>
      </c>
      <c r="J296" s="10"/>
      <c r="K296" s="2" t="n">
        <f>22038</f>
        <v>22038.0</v>
      </c>
    </row>
    <row r="297">
      <c r="A297" s="8" t="s">
        <v>31</v>
      </c>
      <c r="B297" s="9" t="s">
        <v>68</v>
      </c>
      <c r="C297" s="9" t="s">
        <v>69</v>
      </c>
      <c r="D297" s="10"/>
      <c r="E297" s="2"/>
      <c r="F297" s="10"/>
      <c r="G297" s="2"/>
      <c r="H297" s="10"/>
      <c r="I297" s="2"/>
      <c r="J297" s="10"/>
      <c r="K297" s="2"/>
    </row>
    <row r="298">
      <c r="A298" s="8" t="s">
        <v>32</v>
      </c>
      <c r="B298" s="9" t="s">
        <v>68</v>
      </c>
      <c r="C298" s="9" t="s">
        <v>69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33</v>
      </c>
      <c r="B299" s="9" t="s">
        <v>68</v>
      </c>
      <c r="C299" s="9" t="s">
        <v>69</v>
      </c>
      <c r="D299" s="10"/>
      <c r="E299" s="2" t="n">
        <f>4767</f>
        <v>4767.0</v>
      </c>
      <c r="F299" s="10"/>
      <c r="G299" s="2" t="n">
        <f>5662772400</f>
        <v>5.6627724E9</v>
      </c>
      <c r="H299" s="10"/>
      <c r="I299" s="2" t="n">
        <f>160</f>
        <v>160.0</v>
      </c>
      <c r="J299" s="10"/>
      <c r="K299" s="2" t="n">
        <f>19005</f>
        <v>19005.0</v>
      </c>
    </row>
    <row r="300">
      <c r="A300" s="8" t="s">
        <v>35</v>
      </c>
      <c r="B300" s="9" t="s">
        <v>68</v>
      </c>
      <c r="C300" s="9" t="s">
        <v>69</v>
      </c>
      <c r="D300" s="10"/>
      <c r="E300" s="2" t="n">
        <f>3204</f>
        <v>3204.0</v>
      </c>
      <c r="F300" s="10"/>
      <c r="G300" s="2" t="n">
        <f>3818984180</f>
        <v>3.81898418E9</v>
      </c>
      <c r="H300" s="10"/>
      <c r="I300" s="2" t="n">
        <f>119</f>
        <v>119.0</v>
      </c>
      <c r="J300" s="10" t="s">
        <v>34</v>
      </c>
      <c r="K300" s="2" t="n">
        <f>18764</f>
        <v>18764.0</v>
      </c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3537</f>
        <v>3537.0</v>
      </c>
      <c r="F301" s="10"/>
      <c r="G301" s="2" t="n">
        <f>4288600000</f>
        <v>4.2886E9</v>
      </c>
      <c r="H301" s="10"/>
      <c r="I301" s="2" t="n">
        <f>220</f>
        <v>220.0</v>
      </c>
      <c r="J301" s="10"/>
      <c r="K301" s="2" t="n">
        <f>18953</f>
        <v>18953.0</v>
      </c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3970</f>
        <v>3970.0</v>
      </c>
      <c r="F302" s="10"/>
      <c r="G302" s="2" t="n">
        <f>4890701130</f>
        <v>4.89070113E9</v>
      </c>
      <c r="H302" s="10" t="s">
        <v>34</v>
      </c>
      <c r="I302" s="2" t="n">
        <f>90</f>
        <v>90.0</v>
      </c>
      <c r="J302" s="10"/>
      <c r="K302" s="2" t="n">
        <f>19008</f>
        <v>19008.0</v>
      </c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3501</f>
        <v>3501.0</v>
      </c>
      <c r="F303" s="10"/>
      <c r="G303" s="2" t="n">
        <f>4262766160</f>
        <v>4.26276616E9</v>
      </c>
      <c r="H303" s="10"/>
      <c r="I303" s="2" t="n">
        <f>230</f>
        <v>230.0</v>
      </c>
      <c r="J303" s="10"/>
      <c r="K303" s="2" t="n">
        <f>19283</f>
        <v>19283.0</v>
      </c>
    </row>
    <row r="304">
      <c r="A304" s="8" t="s">
        <v>39</v>
      </c>
      <c r="B304" s="9" t="s">
        <v>68</v>
      </c>
      <c r="C304" s="9" t="s">
        <v>69</v>
      </c>
      <c r="D304" s="10"/>
      <c r="E304" s="2"/>
      <c r="F304" s="10"/>
      <c r="G304" s="2"/>
      <c r="H304" s="10"/>
      <c r="I304" s="2"/>
      <c r="J304" s="10"/>
      <c r="K304" s="2"/>
    </row>
    <row r="305">
      <c r="A305" s="8" t="s">
        <v>40</v>
      </c>
      <c r="B305" s="9" t="s">
        <v>68</v>
      </c>
      <c r="C305" s="9" t="s">
        <v>69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41</v>
      </c>
      <c r="B306" s="9" t="s">
        <v>68</v>
      </c>
      <c r="C306" s="9" t="s">
        <v>69</v>
      </c>
      <c r="D306" s="10"/>
      <c r="E306" s="2" t="n">
        <f>3709</f>
        <v>3709.0</v>
      </c>
      <c r="F306" s="10"/>
      <c r="G306" s="2" t="n">
        <f>4501178490</f>
        <v>4.50117849E9</v>
      </c>
      <c r="H306" s="10"/>
      <c r="I306" s="2" t="n">
        <f>122</f>
        <v>122.0</v>
      </c>
      <c r="J306" s="10"/>
      <c r="K306" s="2" t="n">
        <f>19589</f>
        <v>19589.0</v>
      </c>
    </row>
    <row r="307">
      <c r="A307" s="8" t="s">
        <v>42</v>
      </c>
      <c r="B307" s="9" t="s">
        <v>68</v>
      </c>
      <c r="C307" s="9" t="s">
        <v>69</v>
      </c>
      <c r="D307" s="10" t="s">
        <v>34</v>
      </c>
      <c r="E307" s="2" t="n">
        <f>2949</f>
        <v>2949.0</v>
      </c>
      <c r="F307" s="10"/>
      <c r="G307" s="2" t="n">
        <f>3551237800</f>
        <v>3.5512378E9</v>
      </c>
      <c r="H307" s="10"/>
      <c r="I307" s="2" t="n">
        <f>250</f>
        <v>250.0</v>
      </c>
      <c r="J307" s="10"/>
      <c r="K307" s="2" t="n">
        <f>19644</f>
        <v>19644.0</v>
      </c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3081</f>
        <v>3081.0</v>
      </c>
      <c r="F308" s="10"/>
      <c r="G308" s="2" t="n">
        <f>3591906250</f>
        <v>3.59190625E9</v>
      </c>
      <c r="H308" s="10"/>
      <c r="I308" s="2" t="n">
        <f>129</f>
        <v>129.0</v>
      </c>
      <c r="J308" s="10"/>
      <c r="K308" s="2" t="n">
        <f>19789</f>
        <v>19789.0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4169</f>
        <v>4169.0</v>
      </c>
      <c r="F309" s="10"/>
      <c r="G309" s="2" t="n">
        <f>4769834000</f>
        <v>4.769834E9</v>
      </c>
      <c r="H309" s="10"/>
      <c r="I309" s="2" t="n">
        <f>201</f>
        <v>201.0</v>
      </c>
      <c r="J309" s="10"/>
      <c r="K309" s="2" t="n">
        <f>19938</f>
        <v>19938.0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3197</f>
        <v>3197.0</v>
      </c>
      <c r="F310" s="10"/>
      <c r="G310" s="2" t="n">
        <f>3727320400</f>
        <v>3.7273204E9</v>
      </c>
      <c r="H310" s="10"/>
      <c r="I310" s="2" t="n">
        <f>127</f>
        <v>127.0</v>
      </c>
      <c r="J310" s="10"/>
      <c r="K310" s="2" t="n">
        <f>19849</f>
        <v>19849.0</v>
      </c>
    </row>
    <row r="311">
      <c r="A311" s="8" t="s">
        <v>46</v>
      </c>
      <c r="B311" s="9" t="s">
        <v>68</v>
      </c>
      <c r="C311" s="9" t="s">
        <v>69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47</v>
      </c>
      <c r="B312" s="9" t="s">
        <v>68</v>
      </c>
      <c r="C312" s="9" t="s">
        <v>69</v>
      </c>
      <c r="D312" s="10"/>
      <c r="E312" s="2"/>
      <c r="F312" s="10"/>
      <c r="G312" s="2"/>
      <c r="H312" s="10"/>
      <c r="I312" s="2"/>
      <c r="J312" s="10"/>
      <c r="K312" s="2"/>
    </row>
    <row r="313">
      <c r="A313" s="8" t="s">
        <v>48</v>
      </c>
      <c r="B313" s="9" t="s">
        <v>68</v>
      </c>
      <c r="C313" s="9" t="s">
        <v>69</v>
      </c>
      <c r="D313" s="10"/>
      <c r="E313" s="2" t="n">
        <f>3688</f>
        <v>3688.0</v>
      </c>
      <c r="F313" s="10"/>
      <c r="G313" s="2" t="n">
        <f>4335732380</f>
        <v>4.33573238E9</v>
      </c>
      <c r="H313" s="10"/>
      <c r="I313" s="2" t="n">
        <f>293</f>
        <v>293.0</v>
      </c>
      <c r="J313" s="10"/>
      <c r="K313" s="2" t="n">
        <f>19888</f>
        <v>19888.0</v>
      </c>
    </row>
    <row r="314">
      <c r="A314" s="8" t="s">
        <v>49</v>
      </c>
      <c r="B314" s="9" t="s">
        <v>68</v>
      </c>
      <c r="C314" s="9" t="s">
        <v>69</v>
      </c>
      <c r="D314" s="10"/>
      <c r="E314" s="2" t="n">
        <f>2996</f>
        <v>2996.0</v>
      </c>
      <c r="F314" s="10" t="s">
        <v>34</v>
      </c>
      <c r="G314" s="2" t="n">
        <f>3491485920</f>
        <v>3.49148592E9</v>
      </c>
      <c r="H314" s="10"/>
      <c r="I314" s="2" t="n">
        <f>135</f>
        <v>135.0</v>
      </c>
      <c r="J314" s="10"/>
      <c r="K314" s="2" t="n">
        <f>19745</f>
        <v>19745.0</v>
      </c>
    </row>
    <row r="315">
      <c r="A315" s="8" t="s">
        <v>50</v>
      </c>
      <c r="B315" s="9" t="s">
        <v>68</v>
      </c>
      <c r="C315" s="9" t="s">
        <v>69</v>
      </c>
      <c r="D315" s="10"/>
      <c r="E315" s="2" t="n">
        <f>3432</f>
        <v>3432.0</v>
      </c>
      <c r="F315" s="10"/>
      <c r="G315" s="2" t="n">
        <f>4033055000</f>
        <v>4.033055E9</v>
      </c>
      <c r="H315" s="10"/>
      <c r="I315" s="2" t="n">
        <f>193</f>
        <v>193.0</v>
      </c>
      <c r="J315" s="10"/>
      <c r="K315" s="2" t="n">
        <f>19381</f>
        <v>19381.0</v>
      </c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3555</f>
        <v>3555.0</v>
      </c>
      <c r="F316" s="10"/>
      <c r="G316" s="2" t="n">
        <f>11072395100</f>
        <v>1.10723951E10</v>
      </c>
      <c r="H316" s="10"/>
      <c r="I316" s="2" t="n">
        <f>241</f>
        <v>241.0</v>
      </c>
      <c r="J316" s="10" t="s">
        <v>27</v>
      </c>
      <c r="K316" s="2" t="n">
        <f>6034</f>
        <v>6034.0</v>
      </c>
    </row>
    <row r="317">
      <c r="A317" s="8" t="s">
        <v>19</v>
      </c>
      <c r="B317" s="9" t="s">
        <v>70</v>
      </c>
      <c r="C317" s="9" t="s">
        <v>71</v>
      </c>
      <c r="D317" s="10"/>
      <c r="E317" s="2" t="n">
        <f>5268</f>
        <v>5268.0</v>
      </c>
      <c r="F317" s="10"/>
      <c r="G317" s="2" t="n">
        <f>16558879200</f>
        <v>1.65588792E10</v>
      </c>
      <c r="H317" s="10"/>
      <c r="I317" s="2" t="n">
        <f>377</f>
        <v>377.0</v>
      </c>
      <c r="J317" s="10"/>
      <c r="K317" s="2" t="n">
        <f>3170</f>
        <v>3170.0</v>
      </c>
    </row>
    <row r="318">
      <c r="A318" s="8" t="s">
        <v>20</v>
      </c>
      <c r="B318" s="9" t="s">
        <v>70</v>
      </c>
      <c r="C318" s="9" t="s">
        <v>71</v>
      </c>
      <c r="D318" s="10"/>
      <c r="E318" s="2" t="n">
        <f>872</f>
        <v>872.0</v>
      </c>
      <c r="F318" s="10"/>
      <c r="G318" s="2" t="n">
        <f>2742515100</f>
        <v>2.7425151E9</v>
      </c>
      <c r="H318" s="10"/>
      <c r="I318" s="2" t="n">
        <f>148</f>
        <v>148.0</v>
      </c>
      <c r="J318" s="10"/>
      <c r="K318" s="2" t="n">
        <f>3141</f>
        <v>3141.0</v>
      </c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1203</f>
        <v>1203.0</v>
      </c>
      <c r="F319" s="10"/>
      <c r="G319" s="2" t="n">
        <f>3775780500</f>
        <v>3.7757805E9</v>
      </c>
      <c r="H319" s="10"/>
      <c r="I319" s="2" t="n">
        <f>343</f>
        <v>343.0</v>
      </c>
      <c r="J319" s="10"/>
      <c r="K319" s="2" t="n">
        <f>3239</f>
        <v>3239.0</v>
      </c>
    </row>
    <row r="320">
      <c r="A320" s="8" t="s">
        <v>22</v>
      </c>
      <c r="B320" s="9" t="s">
        <v>70</v>
      </c>
      <c r="C320" s="9" t="s">
        <v>71</v>
      </c>
      <c r="D320" s="10"/>
      <c r="E320" s="2" t="n">
        <f>1732</f>
        <v>1732.0</v>
      </c>
      <c r="F320" s="10"/>
      <c r="G320" s="2" t="n">
        <f>5364174700</f>
        <v>5.3641747E9</v>
      </c>
      <c r="H320" s="10"/>
      <c r="I320" s="2" t="n">
        <f>331</f>
        <v>331.0</v>
      </c>
      <c r="J320" s="10"/>
      <c r="K320" s="2" t="n">
        <f>3214</f>
        <v>3214.0</v>
      </c>
    </row>
    <row r="321">
      <c r="A321" s="8" t="s">
        <v>23</v>
      </c>
      <c r="B321" s="9" t="s">
        <v>70</v>
      </c>
      <c r="C321" s="9" t="s">
        <v>71</v>
      </c>
      <c r="D321" s="10"/>
      <c r="E321" s="2"/>
      <c r="F321" s="10"/>
      <c r="G321" s="2"/>
      <c r="H321" s="10"/>
      <c r="I321" s="2"/>
      <c r="J321" s="10"/>
      <c r="K321" s="2"/>
    </row>
    <row r="322">
      <c r="A322" s="8" t="s">
        <v>24</v>
      </c>
      <c r="B322" s="9" t="s">
        <v>70</v>
      </c>
      <c r="C322" s="9" t="s">
        <v>71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25</v>
      </c>
      <c r="B323" s="9" t="s">
        <v>70</v>
      </c>
      <c r="C323" s="9" t="s">
        <v>71</v>
      </c>
      <c r="D323" s="10"/>
      <c r="E323" s="2" t="n">
        <f>2823</f>
        <v>2823.0</v>
      </c>
      <c r="F323" s="10"/>
      <c r="G323" s="2" t="n">
        <f>8821768400</f>
        <v>8.8217684E9</v>
      </c>
      <c r="H323" s="10"/>
      <c r="I323" s="2" t="n">
        <f>285</f>
        <v>285.0</v>
      </c>
      <c r="J323" s="10"/>
      <c r="K323" s="2" t="n">
        <f>2270</f>
        <v>2270.0</v>
      </c>
    </row>
    <row r="324">
      <c r="A324" s="8" t="s">
        <v>26</v>
      </c>
      <c r="B324" s="9" t="s">
        <v>70</v>
      </c>
      <c r="C324" s="9" t="s">
        <v>71</v>
      </c>
      <c r="D324" s="10"/>
      <c r="E324" s="2" t="n">
        <f>5401</f>
        <v>5401.0</v>
      </c>
      <c r="F324" s="10"/>
      <c r="G324" s="2" t="n">
        <f>17240203900</f>
        <v>1.72402039E10</v>
      </c>
      <c r="H324" s="10"/>
      <c r="I324" s="2" t="n">
        <f>969</f>
        <v>969.0</v>
      </c>
      <c r="J324" s="10"/>
      <c r="K324" s="2" t="n">
        <f>2250</f>
        <v>2250.0</v>
      </c>
    </row>
    <row r="325">
      <c r="A325" s="8" t="s">
        <v>28</v>
      </c>
      <c r="B325" s="9" t="s">
        <v>70</v>
      </c>
      <c r="C325" s="9" t="s">
        <v>71</v>
      </c>
      <c r="D325" s="10"/>
      <c r="E325" s="2" t="n">
        <f>2803</f>
        <v>2803.0</v>
      </c>
      <c r="F325" s="10"/>
      <c r="G325" s="2" t="n">
        <f>8916971000</f>
        <v>8.916971E9</v>
      </c>
      <c r="H325" s="10"/>
      <c r="I325" s="2" t="n">
        <f>102</f>
        <v>102.0</v>
      </c>
      <c r="J325" s="10"/>
      <c r="K325" s="2" t="n">
        <f>2353</f>
        <v>2353.0</v>
      </c>
    </row>
    <row r="326">
      <c r="A326" s="8" t="s">
        <v>29</v>
      </c>
      <c r="B326" s="9" t="s">
        <v>70</v>
      </c>
      <c r="C326" s="9" t="s">
        <v>71</v>
      </c>
      <c r="D326" s="10" t="s">
        <v>27</v>
      </c>
      <c r="E326" s="2" t="n">
        <f>6432</f>
        <v>6432.0</v>
      </c>
      <c r="F326" s="10" t="s">
        <v>27</v>
      </c>
      <c r="G326" s="2" t="n">
        <f>20789342000</f>
        <v>2.0789342E10</v>
      </c>
      <c r="H326" s="10" t="s">
        <v>27</v>
      </c>
      <c r="I326" s="2" t="n">
        <f>1008</f>
        <v>1008.0</v>
      </c>
      <c r="J326" s="10"/>
      <c r="K326" s="2" t="n">
        <f>3477</f>
        <v>3477.0</v>
      </c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3200</f>
        <v>3200.0</v>
      </c>
      <c r="F327" s="10"/>
      <c r="G327" s="2" t="n">
        <f>10406370200</f>
        <v>1.04063702E10</v>
      </c>
      <c r="H327" s="10"/>
      <c r="I327" s="2" t="n">
        <f>407</f>
        <v>407.0</v>
      </c>
      <c r="J327" s="10"/>
      <c r="K327" s="2" t="n">
        <f>1653</f>
        <v>1653.0</v>
      </c>
    </row>
    <row r="328">
      <c r="A328" s="8" t="s">
        <v>31</v>
      </c>
      <c r="B328" s="9" t="s">
        <v>70</v>
      </c>
      <c r="C328" s="9" t="s">
        <v>71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32</v>
      </c>
      <c r="B329" s="9" t="s">
        <v>70</v>
      </c>
      <c r="C329" s="9" t="s">
        <v>71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33</v>
      </c>
      <c r="B330" s="9" t="s">
        <v>70</v>
      </c>
      <c r="C330" s="9" t="s">
        <v>71</v>
      </c>
      <c r="D330" s="10"/>
      <c r="E330" s="2" t="n">
        <f>1411</f>
        <v>1411.0</v>
      </c>
      <c r="F330" s="10"/>
      <c r="G330" s="2" t="n">
        <f>4602643800</f>
        <v>4.6026438E9</v>
      </c>
      <c r="H330" s="10"/>
      <c r="I330" s="2" t="n">
        <f>324</f>
        <v>324.0</v>
      </c>
      <c r="J330" s="10"/>
      <c r="K330" s="2" t="n">
        <f>1822</f>
        <v>1822.0</v>
      </c>
    </row>
    <row r="331">
      <c r="A331" s="8" t="s">
        <v>35</v>
      </c>
      <c r="B331" s="9" t="s">
        <v>70</v>
      </c>
      <c r="C331" s="9" t="s">
        <v>71</v>
      </c>
      <c r="D331" s="10"/>
      <c r="E331" s="2" t="n">
        <f>1254</f>
        <v>1254.0</v>
      </c>
      <c r="F331" s="10"/>
      <c r="G331" s="2" t="n">
        <f>4118566100</f>
        <v>4.1185661E9</v>
      </c>
      <c r="H331" s="10"/>
      <c r="I331" s="2" t="n">
        <f>355</f>
        <v>355.0</v>
      </c>
      <c r="J331" s="10"/>
      <c r="K331" s="2" t="n">
        <f>1907</f>
        <v>1907.0</v>
      </c>
    </row>
    <row r="332">
      <c r="A332" s="8" t="s">
        <v>36</v>
      </c>
      <c r="B332" s="9" t="s">
        <v>70</v>
      </c>
      <c r="C332" s="9" t="s">
        <v>71</v>
      </c>
      <c r="D332" s="10"/>
      <c r="E332" s="2" t="n">
        <f>905</f>
        <v>905.0</v>
      </c>
      <c r="F332" s="10"/>
      <c r="G332" s="2" t="n">
        <f>2973090300</f>
        <v>2.9730903E9</v>
      </c>
      <c r="H332" s="10" t="s">
        <v>34</v>
      </c>
      <c r="I332" s="2" t="n">
        <f>76</f>
        <v>76.0</v>
      </c>
      <c r="J332" s="10"/>
      <c r="K332" s="2" t="n">
        <f>1794</f>
        <v>1794.0</v>
      </c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1259</f>
        <v>1259.0</v>
      </c>
      <c r="F333" s="10"/>
      <c r="G333" s="2" t="n">
        <f>4150788100</f>
        <v>4.1507881E9</v>
      </c>
      <c r="H333" s="10"/>
      <c r="I333" s="2" t="n">
        <f>109</f>
        <v>109.0</v>
      </c>
      <c r="J333" s="10"/>
      <c r="K333" s="2" t="n">
        <f>1834</f>
        <v>1834.0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1110</f>
        <v>1110.0</v>
      </c>
      <c r="F334" s="10"/>
      <c r="G334" s="2" t="n">
        <f>3660098900</f>
        <v>3.6600989E9</v>
      </c>
      <c r="H334" s="10"/>
      <c r="I334" s="2" t="n">
        <f>121</f>
        <v>121.0</v>
      </c>
      <c r="J334" s="10"/>
      <c r="K334" s="2" t="n">
        <f>1866</f>
        <v>1866.0</v>
      </c>
    </row>
    <row r="335">
      <c r="A335" s="8" t="s">
        <v>39</v>
      </c>
      <c r="B335" s="9" t="s">
        <v>70</v>
      </c>
      <c r="C335" s="9" t="s">
        <v>71</v>
      </c>
      <c r="D335" s="10"/>
      <c r="E335" s="2"/>
      <c r="F335" s="10"/>
      <c r="G335" s="2"/>
      <c r="H335" s="10"/>
      <c r="I335" s="2"/>
      <c r="J335" s="10"/>
      <c r="K335" s="2"/>
    </row>
    <row r="336">
      <c r="A336" s="8" t="s">
        <v>40</v>
      </c>
      <c r="B336" s="9" t="s">
        <v>70</v>
      </c>
      <c r="C336" s="9" t="s">
        <v>71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873</f>
        <v>873.0</v>
      </c>
      <c r="F337" s="10"/>
      <c r="G337" s="2" t="n">
        <f>2839971400</f>
        <v>2.8399714E9</v>
      </c>
      <c r="H337" s="10"/>
      <c r="I337" s="2" t="n">
        <f>399</f>
        <v>399.0</v>
      </c>
      <c r="J337" s="10"/>
      <c r="K337" s="2" t="n">
        <f>1770</f>
        <v>1770.0</v>
      </c>
    </row>
    <row r="338">
      <c r="A338" s="8" t="s">
        <v>42</v>
      </c>
      <c r="B338" s="9" t="s">
        <v>70</v>
      </c>
      <c r="C338" s="9" t="s">
        <v>71</v>
      </c>
      <c r="D338" s="10" t="s">
        <v>34</v>
      </c>
      <c r="E338" s="2" t="n">
        <f>532</f>
        <v>532.0</v>
      </c>
      <c r="F338" s="10" t="s">
        <v>34</v>
      </c>
      <c r="G338" s="2" t="n">
        <f>1729015600</f>
        <v>1.7290156E9</v>
      </c>
      <c r="H338" s="10"/>
      <c r="I338" s="2" t="n">
        <f>347</f>
        <v>347.0</v>
      </c>
      <c r="J338" s="10"/>
      <c r="K338" s="2" t="n">
        <f>788</f>
        <v>788.0</v>
      </c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2085</f>
        <v>2085.0</v>
      </c>
      <c r="F339" s="10"/>
      <c r="G339" s="2" t="n">
        <f>6738559900</f>
        <v>6.7385599E9</v>
      </c>
      <c r="H339" s="10"/>
      <c r="I339" s="2" t="n">
        <f>495</f>
        <v>495.0</v>
      </c>
      <c r="J339" s="10"/>
      <c r="K339" s="2" t="n">
        <f>1520</f>
        <v>1520.0</v>
      </c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1456</f>
        <v>1456.0</v>
      </c>
      <c r="F340" s="10"/>
      <c r="G340" s="2" t="n">
        <f>4726086400</f>
        <v>4.7260864E9</v>
      </c>
      <c r="H340" s="10"/>
      <c r="I340" s="2" t="n">
        <f>726</f>
        <v>726.0</v>
      </c>
      <c r="J340" s="10"/>
      <c r="K340" s="2" t="n">
        <f>1633</f>
        <v>1633.0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679</f>
        <v>679.0</v>
      </c>
      <c r="F341" s="10"/>
      <c r="G341" s="2" t="n">
        <f>2191159700</f>
        <v>2.1911597E9</v>
      </c>
      <c r="H341" s="10"/>
      <c r="I341" s="2" t="n">
        <f>312</f>
        <v>312.0</v>
      </c>
      <c r="J341" s="10"/>
      <c r="K341" s="2" t="n">
        <f>1628</f>
        <v>1628.0</v>
      </c>
    </row>
    <row r="342">
      <c r="A342" s="8" t="s">
        <v>46</v>
      </c>
      <c r="B342" s="9" t="s">
        <v>70</v>
      </c>
      <c r="C342" s="9" t="s">
        <v>71</v>
      </c>
      <c r="D342" s="10"/>
      <c r="E342" s="2"/>
      <c r="F342" s="10"/>
      <c r="G342" s="2"/>
      <c r="H342" s="10"/>
      <c r="I342" s="2"/>
      <c r="J342" s="10"/>
      <c r="K342" s="2"/>
    </row>
    <row r="343">
      <c r="A343" s="8" t="s">
        <v>47</v>
      </c>
      <c r="B343" s="9" t="s">
        <v>70</v>
      </c>
      <c r="C343" s="9" t="s">
        <v>71</v>
      </c>
      <c r="D343" s="10"/>
      <c r="E343" s="2"/>
      <c r="F343" s="10"/>
      <c r="G343" s="2"/>
      <c r="H343" s="10"/>
      <c r="I343" s="2"/>
      <c r="J343" s="10"/>
      <c r="K343" s="2"/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944</f>
        <v>944.0</v>
      </c>
      <c r="F344" s="10"/>
      <c r="G344" s="2" t="n">
        <f>3093104000</f>
        <v>3.093104E9</v>
      </c>
      <c r="H344" s="10"/>
      <c r="I344" s="2" t="n">
        <f>258</f>
        <v>258.0</v>
      </c>
      <c r="J344" s="10"/>
      <c r="K344" s="2" t="n">
        <f>1874</f>
        <v>1874.0</v>
      </c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1956</f>
        <v>1956.0</v>
      </c>
      <c r="F345" s="10"/>
      <c r="G345" s="2" t="n">
        <f>6449206200</f>
        <v>6.4492062E9</v>
      </c>
      <c r="H345" s="10"/>
      <c r="I345" s="2" t="n">
        <f>247</f>
        <v>247.0</v>
      </c>
      <c r="J345" s="10"/>
      <c r="K345" s="2" t="n">
        <f>772</f>
        <v>772.0</v>
      </c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577</f>
        <v>577.0</v>
      </c>
      <c r="F346" s="10"/>
      <c r="G346" s="2" t="n">
        <f>1902026800</f>
        <v>1.9020268E9</v>
      </c>
      <c r="H346" s="10"/>
      <c r="I346" s="2" t="n">
        <f>156</f>
        <v>156.0</v>
      </c>
      <c r="J346" s="10" t="s">
        <v>34</v>
      </c>
      <c r="K346" s="2" t="n">
        <f>752</f>
        <v>752.0</v>
      </c>
    </row>
    <row r="347">
      <c r="A347" s="8" t="s">
        <v>16</v>
      </c>
      <c r="B347" s="9" t="s">
        <v>72</v>
      </c>
      <c r="C347" s="9" t="s">
        <v>73</v>
      </c>
      <c r="D347" s="10" t="s">
        <v>34</v>
      </c>
      <c r="E347" s="2" t="str">
        <f>"－"</f>
        <v>－</v>
      </c>
      <c r="F347" s="10" t="s">
        <v>34</v>
      </c>
      <c r="G347" s="2" t="str">
        <f>"－"</f>
        <v>－</v>
      </c>
      <c r="H347" s="10" t="s">
        <v>34</v>
      </c>
      <c r="I347" s="2" t="str">
        <f>"－"</f>
        <v>－</v>
      </c>
      <c r="J347" s="10" t="s">
        <v>67</v>
      </c>
      <c r="K347" s="2" t="str">
        <f>"－"</f>
        <v>－</v>
      </c>
    </row>
    <row r="348">
      <c r="A348" s="8" t="s">
        <v>19</v>
      </c>
      <c r="B348" s="9" t="s">
        <v>72</v>
      </c>
      <c r="C348" s="9" t="s">
        <v>73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20</v>
      </c>
      <c r="B349" s="9" t="s">
        <v>72</v>
      </c>
      <c r="C349" s="9" t="s">
        <v>73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21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22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23</v>
      </c>
      <c r="B352" s="9" t="s">
        <v>72</v>
      </c>
      <c r="C352" s="9" t="s">
        <v>73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24</v>
      </c>
      <c r="B353" s="9" t="s">
        <v>72</v>
      </c>
      <c r="C353" s="9" t="s">
        <v>73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25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26</v>
      </c>
      <c r="B355" s="9" t="s">
        <v>72</v>
      </c>
      <c r="C355" s="9" t="s">
        <v>73</v>
      </c>
      <c r="D355" s="10" t="s">
        <v>27</v>
      </c>
      <c r="E355" s="2" t="n">
        <f>20</f>
        <v>20.0</v>
      </c>
      <c r="F355" s="10" t="s">
        <v>27</v>
      </c>
      <c r="G355" s="2" t="n">
        <f>31568000</f>
        <v>3.1568E7</v>
      </c>
      <c r="H355" s="10" t="s">
        <v>27</v>
      </c>
      <c r="I355" s="2" t="n">
        <f>20</f>
        <v>20.0</v>
      </c>
      <c r="J355" s="10"/>
      <c r="K355" s="2" t="str">
        <f>"－"</f>
        <v>－</v>
      </c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31</v>
      </c>
      <c r="B359" s="9" t="s">
        <v>72</v>
      </c>
      <c r="C359" s="9" t="s">
        <v>73</v>
      </c>
      <c r="D359" s="10"/>
      <c r="E359" s="2"/>
      <c r="F359" s="10"/>
      <c r="G359" s="2"/>
      <c r="H359" s="10"/>
      <c r="I359" s="2"/>
      <c r="J359" s="10"/>
      <c r="K359" s="2"/>
    </row>
    <row r="360">
      <c r="A360" s="8" t="s">
        <v>32</v>
      </c>
      <c r="B360" s="9" t="s">
        <v>72</v>
      </c>
      <c r="C360" s="9" t="s">
        <v>73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33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/>
      <c r="F366" s="10"/>
      <c r="G366" s="2"/>
      <c r="H366" s="10"/>
      <c r="I366" s="2"/>
      <c r="J366" s="10"/>
      <c r="K366" s="2"/>
    </row>
    <row r="367">
      <c r="A367" s="8" t="s">
        <v>40</v>
      </c>
      <c r="B367" s="9" t="s">
        <v>72</v>
      </c>
      <c r="C367" s="9" t="s">
        <v>73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41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/>
      <c r="F373" s="10"/>
      <c r="G373" s="2"/>
      <c r="H373" s="10"/>
      <c r="I373" s="2"/>
      <c r="J373" s="10"/>
      <c r="K373" s="2"/>
    </row>
    <row r="374">
      <c r="A374" s="8" t="s">
        <v>47</v>
      </c>
      <c r="B374" s="9" t="s">
        <v>72</v>
      </c>
      <c r="C374" s="9" t="s">
        <v>73</v>
      </c>
      <c r="D374" s="10"/>
      <c r="E374" s="2"/>
      <c r="F374" s="10"/>
      <c r="G374" s="2"/>
      <c r="H374" s="10"/>
      <c r="I374" s="2"/>
      <c r="J374" s="10"/>
      <c r="K374" s="2"/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 t="s">
        <v>67</v>
      </c>
      <c r="E378" s="2" t="str">
        <f>"－"</f>
        <v>－</v>
      </c>
      <c r="F378" s="10" t="s">
        <v>67</v>
      </c>
      <c r="G378" s="2" t="str">
        <f>"－"</f>
        <v>－</v>
      </c>
      <c r="H378" s="10" t="s">
        <v>67</v>
      </c>
      <c r="I378" s="2" t="str">
        <f>"－"</f>
        <v>－</v>
      </c>
      <c r="J378" s="10" t="s">
        <v>67</v>
      </c>
      <c r="K378" s="2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20</v>
      </c>
      <c r="B380" s="9" t="s">
        <v>74</v>
      </c>
      <c r="C380" s="9" t="s">
        <v>75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21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22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23</v>
      </c>
      <c r="B383" s="9" t="s">
        <v>74</v>
      </c>
      <c r="C383" s="9" t="s">
        <v>75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24</v>
      </c>
      <c r="B384" s="9" t="s">
        <v>74</v>
      </c>
      <c r="C384" s="9" t="s">
        <v>75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25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26</v>
      </c>
      <c r="B386" s="9" t="s">
        <v>74</v>
      </c>
      <c r="C386" s="9" t="s">
        <v>75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31</v>
      </c>
      <c r="B390" s="9" t="s">
        <v>74</v>
      </c>
      <c r="C390" s="9" t="s">
        <v>75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32</v>
      </c>
      <c r="B391" s="9" t="s">
        <v>74</v>
      </c>
      <c r="C391" s="9" t="s">
        <v>75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33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/>
      <c r="F397" s="10"/>
      <c r="G397" s="2"/>
      <c r="H397" s="10"/>
      <c r="I397" s="2"/>
      <c r="J397" s="10"/>
      <c r="K397" s="2"/>
    </row>
    <row r="398">
      <c r="A398" s="8" t="s">
        <v>40</v>
      </c>
      <c r="B398" s="9" t="s">
        <v>74</v>
      </c>
      <c r="C398" s="9" t="s">
        <v>75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/>
      <c r="F404" s="10"/>
      <c r="G404" s="2"/>
      <c r="H404" s="10"/>
      <c r="I404" s="2"/>
      <c r="J404" s="10"/>
      <c r="K404" s="2"/>
    </row>
    <row r="405">
      <c r="A405" s="8" t="s">
        <v>47</v>
      </c>
      <c r="B405" s="9" t="s">
        <v>74</v>
      </c>
      <c r="C405" s="9" t="s">
        <v>75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 t="s">
        <v>34</v>
      </c>
      <c r="E409" s="2" t="str">
        <f>"－"</f>
        <v>－</v>
      </c>
      <c r="F409" s="10" t="s">
        <v>34</v>
      </c>
      <c r="G409" s="2" t="str">
        <f>"－"</f>
        <v>－</v>
      </c>
      <c r="H409" s="10" t="s">
        <v>67</v>
      </c>
      <c r="I409" s="2" t="str">
        <f>"－"</f>
        <v>－</v>
      </c>
      <c r="J409" s="10" t="s">
        <v>27</v>
      </c>
      <c r="K409" s="2" t="n">
        <f>30335</f>
        <v>30335.0</v>
      </c>
    </row>
    <row r="410">
      <c r="A410" s="8" t="s">
        <v>19</v>
      </c>
      <c r="B410" s="9" t="s">
        <v>76</v>
      </c>
      <c r="C410" s="9" t="s">
        <v>77</v>
      </c>
      <c r="D410" s="10"/>
      <c r="E410" s="2" t="n">
        <f>10</f>
        <v>10.0</v>
      </c>
      <c r="F410" s="10"/>
      <c r="G410" s="2" t="n">
        <f>4696000</f>
        <v>4696000.0</v>
      </c>
      <c r="H410" s="10"/>
      <c r="I410" s="2" t="str">
        <f>"－"</f>
        <v>－</v>
      </c>
      <c r="J410" s="10"/>
      <c r="K410" s="2" t="n">
        <f>30325</f>
        <v>30325.0</v>
      </c>
    </row>
    <row r="411">
      <c r="A411" s="8" t="s">
        <v>20</v>
      </c>
      <c r="B411" s="9" t="s">
        <v>76</v>
      </c>
      <c r="C411" s="9" t="s">
        <v>77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30325</f>
        <v>30325.0</v>
      </c>
    </row>
    <row r="412">
      <c r="A412" s="8" t="s">
        <v>21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30325</f>
        <v>30325.0</v>
      </c>
    </row>
    <row r="413">
      <c r="A413" s="8" t="s">
        <v>22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30325</f>
        <v>30325.0</v>
      </c>
    </row>
    <row r="414">
      <c r="A414" s="8" t="s">
        <v>23</v>
      </c>
      <c r="B414" s="9" t="s">
        <v>76</v>
      </c>
      <c r="C414" s="9" t="s">
        <v>77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24</v>
      </c>
      <c r="B415" s="9" t="s">
        <v>76</v>
      </c>
      <c r="C415" s="9" t="s">
        <v>77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25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30325</f>
        <v>30325.0</v>
      </c>
    </row>
    <row r="417">
      <c r="A417" s="8" t="s">
        <v>26</v>
      </c>
      <c r="B417" s="9" t="s">
        <v>76</v>
      </c>
      <c r="C417" s="9" t="s">
        <v>77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30325</f>
        <v>30325.0</v>
      </c>
    </row>
    <row r="418">
      <c r="A418" s="8" t="s">
        <v>28</v>
      </c>
      <c r="B418" s="9" t="s">
        <v>76</v>
      </c>
      <c r="C418" s="9" t="s">
        <v>77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30325</f>
        <v>30325.0</v>
      </c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30325</f>
        <v>30325.0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30325</f>
        <v>30325.0</v>
      </c>
    </row>
    <row r="421">
      <c r="A421" s="8" t="s">
        <v>31</v>
      </c>
      <c r="B421" s="9" t="s">
        <v>76</v>
      </c>
      <c r="C421" s="9" t="s">
        <v>77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32</v>
      </c>
      <c r="B422" s="9" t="s">
        <v>76</v>
      </c>
      <c r="C422" s="9" t="s">
        <v>77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33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30325</f>
        <v>30325.0</v>
      </c>
    </row>
    <row r="424">
      <c r="A424" s="8" t="s">
        <v>35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30325</f>
        <v>30325.0</v>
      </c>
    </row>
    <row r="425">
      <c r="A425" s="8" t="s">
        <v>36</v>
      </c>
      <c r="B425" s="9" t="s">
        <v>76</v>
      </c>
      <c r="C425" s="9" t="s">
        <v>77</v>
      </c>
      <c r="D425" s="10" t="s">
        <v>27</v>
      </c>
      <c r="E425" s="2" t="n">
        <f>1045</f>
        <v>1045.0</v>
      </c>
      <c r="F425" s="10" t="s">
        <v>27</v>
      </c>
      <c r="G425" s="2" t="n">
        <f>490523000</f>
        <v>4.90523E8</v>
      </c>
      <c r="H425" s="10"/>
      <c r="I425" s="2" t="str">
        <f>"－"</f>
        <v>－</v>
      </c>
      <c r="J425" s="10" t="s">
        <v>34</v>
      </c>
      <c r="K425" s="2" t="n">
        <f>29280</f>
        <v>29280.0</v>
      </c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29280</f>
        <v>29280.0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29280</f>
        <v>29280.0</v>
      </c>
    </row>
    <row r="428">
      <c r="A428" s="8" t="s">
        <v>39</v>
      </c>
      <c r="B428" s="9" t="s">
        <v>76</v>
      </c>
      <c r="C428" s="9" t="s">
        <v>77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40</v>
      </c>
      <c r="B429" s="9" t="s">
        <v>76</v>
      </c>
      <c r="C429" s="9" t="s">
        <v>77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29280</f>
        <v>29280.0</v>
      </c>
    </row>
    <row r="431">
      <c r="A431" s="8" t="s">
        <v>42</v>
      </c>
      <c r="B431" s="9" t="s">
        <v>76</v>
      </c>
      <c r="C431" s="9" t="s">
        <v>77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29280</f>
        <v>29280.0</v>
      </c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29280</f>
        <v>29280.0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29280</f>
        <v>29280.0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29280</f>
        <v>29280.0</v>
      </c>
    </row>
    <row r="435">
      <c r="A435" s="8" t="s">
        <v>46</v>
      </c>
      <c r="B435" s="9" t="s">
        <v>76</v>
      </c>
      <c r="C435" s="9" t="s">
        <v>77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47</v>
      </c>
      <c r="B436" s="9" t="s">
        <v>76</v>
      </c>
      <c r="C436" s="9" t="s">
        <v>77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29280</f>
        <v>29280.0</v>
      </c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29280</f>
        <v>29280.0</v>
      </c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29280</f>
        <v>29280.0</v>
      </c>
    </row>
    <row r="440">
      <c r="A440" s="8" t="s">
        <v>16</v>
      </c>
      <c r="B440" s="9" t="s">
        <v>78</v>
      </c>
      <c r="C440" s="9" t="s">
        <v>79</v>
      </c>
      <c r="D440" s="10" t="s">
        <v>67</v>
      </c>
      <c r="E440" s="2" t="str">
        <f>"－"</f>
        <v>－</v>
      </c>
      <c r="F440" s="10" t="s">
        <v>67</v>
      </c>
      <c r="G440" s="2" t="str">
        <f>"－"</f>
        <v>－</v>
      </c>
      <c r="H440" s="10" t="s">
        <v>67</v>
      </c>
      <c r="I440" s="2" t="str">
        <f>"－"</f>
        <v>－</v>
      </c>
      <c r="J440" s="10" t="s">
        <v>67</v>
      </c>
      <c r="K440" s="2" t="str">
        <f>"－"</f>
        <v>－</v>
      </c>
    </row>
    <row r="441">
      <c r="A441" s="8" t="s">
        <v>19</v>
      </c>
      <c r="B441" s="9" t="s">
        <v>78</v>
      </c>
      <c r="C441" s="9" t="s">
        <v>79</v>
      </c>
      <c r="D441" s="10"/>
      <c r="E441" s="2" t="str">
        <f>"－"</f>
        <v>－</v>
      </c>
      <c r="F441" s="10"/>
      <c r="G441" s="2" t="str">
        <f>"－"</f>
        <v>－</v>
      </c>
      <c r="H441" s="10"/>
      <c r="I441" s="2" t="str">
        <f>"－"</f>
        <v>－</v>
      </c>
      <c r="J441" s="10"/>
      <c r="K441" s="2" t="str">
        <f>"－"</f>
        <v>－</v>
      </c>
    </row>
    <row r="442">
      <c r="A442" s="8" t="s">
        <v>20</v>
      </c>
      <c r="B442" s="9" t="s">
        <v>78</v>
      </c>
      <c r="C442" s="9" t="s">
        <v>79</v>
      </c>
      <c r="D442" s="10"/>
      <c r="E442" s="2" t="str">
        <f>"－"</f>
        <v>－</v>
      </c>
      <c r="F442" s="10"/>
      <c r="G442" s="2" t="str">
        <f>"－"</f>
        <v>－</v>
      </c>
      <c r="H442" s="10"/>
      <c r="I442" s="2" t="str">
        <f>"－"</f>
        <v>－</v>
      </c>
      <c r="J442" s="10"/>
      <c r="K442" s="2" t="str">
        <f>"－"</f>
        <v>－</v>
      </c>
    </row>
    <row r="443">
      <c r="A443" s="8" t="s">
        <v>21</v>
      </c>
      <c r="B443" s="9" t="s">
        <v>78</v>
      </c>
      <c r="C443" s="9" t="s">
        <v>79</v>
      </c>
      <c r="D443" s="10"/>
      <c r="E443" s="2" t="str">
        <f>"－"</f>
        <v>－</v>
      </c>
      <c r="F443" s="10"/>
      <c r="G443" s="2" t="str">
        <f>"－"</f>
        <v>－</v>
      </c>
      <c r="H443" s="10"/>
      <c r="I443" s="2" t="str">
        <f>"－"</f>
        <v>－</v>
      </c>
      <c r="J443" s="10"/>
      <c r="K443" s="2" t="str">
        <f>"－"</f>
        <v>－</v>
      </c>
    </row>
    <row r="444">
      <c r="A444" s="8" t="s">
        <v>22</v>
      </c>
      <c r="B444" s="9" t="s">
        <v>78</v>
      </c>
      <c r="C444" s="9" t="s">
        <v>79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str">
        <f>"－"</f>
        <v>－</v>
      </c>
    </row>
    <row r="445">
      <c r="A445" s="8" t="s">
        <v>23</v>
      </c>
      <c r="B445" s="9" t="s">
        <v>78</v>
      </c>
      <c r="C445" s="9" t="s">
        <v>79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24</v>
      </c>
      <c r="B446" s="9" t="s">
        <v>78</v>
      </c>
      <c r="C446" s="9" t="s">
        <v>79</v>
      </c>
      <c r="D446" s="10"/>
      <c r="E446" s="2"/>
      <c r="F446" s="10"/>
      <c r="G446" s="2"/>
      <c r="H446" s="10"/>
      <c r="I446" s="2"/>
      <c r="J446" s="10"/>
      <c r="K446" s="2"/>
    </row>
    <row r="447">
      <c r="A447" s="8" t="s">
        <v>25</v>
      </c>
      <c r="B447" s="9" t="s">
        <v>78</v>
      </c>
      <c r="C447" s="9" t="s">
        <v>79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str">
        <f>"－"</f>
        <v>－</v>
      </c>
    </row>
    <row r="448">
      <c r="A448" s="8" t="s">
        <v>26</v>
      </c>
      <c r="B448" s="9" t="s">
        <v>78</v>
      </c>
      <c r="C448" s="9" t="s">
        <v>79</v>
      </c>
      <c r="D448" s="10"/>
      <c r="E448" s="2" t="str">
        <f>"－"</f>
        <v>－</v>
      </c>
      <c r="F448" s="10"/>
      <c r="G448" s="2" t="str">
        <f>"－"</f>
        <v>－</v>
      </c>
      <c r="H448" s="10"/>
      <c r="I448" s="2" t="str">
        <f>"－"</f>
        <v>－</v>
      </c>
      <c r="J448" s="10"/>
      <c r="K448" s="2" t="str">
        <f>"－"</f>
        <v>－</v>
      </c>
    </row>
    <row r="449">
      <c r="A449" s="8" t="s">
        <v>28</v>
      </c>
      <c r="B449" s="9" t="s">
        <v>78</v>
      </c>
      <c r="C449" s="9" t="s">
        <v>79</v>
      </c>
      <c r="D449" s="10"/>
      <c r="E449" s="2" t="str">
        <f>"－"</f>
        <v>－</v>
      </c>
      <c r="F449" s="10"/>
      <c r="G449" s="2" t="str">
        <f>"－"</f>
        <v>－</v>
      </c>
      <c r="H449" s="10"/>
      <c r="I449" s="2" t="str">
        <f>"－"</f>
        <v>－</v>
      </c>
      <c r="J449" s="10"/>
      <c r="K449" s="2" t="str">
        <f>"－"</f>
        <v>－</v>
      </c>
    </row>
    <row r="450">
      <c r="A450" s="8" t="s">
        <v>29</v>
      </c>
      <c r="B450" s="9" t="s">
        <v>78</v>
      </c>
      <c r="C450" s="9" t="s">
        <v>79</v>
      </c>
      <c r="D450" s="10"/>
      <c r="E450" s="2" t="str">
        <f>"－"</f>
        <v>－</v>
      </c>
      <c r="F450" s="10"/>
      <c r="G450" s="2" t="str">
        <f>"－"</f>
        <v>－</v>
      </c>
      <c r="H450" s="10"/>
      <c r="I450" s="2" t="str">
        <f>"－"</f>
        <v>－</v>
      </c>
      <c r="J450" s="10"/>
      <c r="K450" s="2" t="str">
        <f>"－"</f>
        <v>－</v>
      </c>
    </row>
    <row r="451">
      <c r="A451" s="8" t="s">
        <v>30</v>
      </c>
      <c r="B451" s="9" t="s">
        <v>78</v>
      </c>
      <c r="C451" s="9" t="s">
        <v>79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31</v>
      </c>
      <c r="B452" s="9" t="s">
        <v>78</v>
      </c>
      <c r="C452" s="9" t="s">
        <v>79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32</v>
      </c>
      <c r="B453" s="9" t="s">
        <v>78</v>
      </c>
      <c r="C453" s="9" t="s">
        <v>79</v>
      </c>
      <c r="D453" s="10"/>
      <c r="E453" s="2"/>
      <c r="F453" s="10"/>
      <c r="G453" s="2"/>
      <c r="H453" s="10"/>
      <c r="I453" s="2"/>
      <c r="J453" s="10"/>
      <c r="K453" s="2"/>
    </row>
    <row r="454">
      <c r="A454" s="8" t="s">
        <v>33</v>
      </c>
      <c r="B454" s="9" t="s">
        <v>78</v>
      </c>
      <c r="C454" s="9" t="s">
        <v>79</v>
      </c>
      <c r="D454" s="10"/>
      <c r="E454" s="2" t="str">
        <f>"－"</f>
        <v>－</v>
      </c>
      <c r="F454" s="10"/>
      <c r="G454" s="2" t="str">
        <f>"－"</f>
        <v>－</v>
      </c>
      <c r="H454" s="10"/>
      <c r="I454" s="2" t="str">
        <f>"－"</f>
        <v>－</v>
      </c>
      <c r="J454" s="10"/>
      <c r="K454" s="2" t="str">
        <f>"－"</f>
        <v>－</v>
      </c>
    </row>
    <row r="455">
      <c r="A455" s="8" t="s">
        <v>35</v>
      </c>
      <c r="B455" s="9" t="s">
        <v>78</v>
      </c>
      <c r="C455" s="9" t="s">
        <v>79</v>
      </c>
      <c r="D455" s="10"/>
      <c r="E455" s="2" t="str">
        <f>"－"</f>
        <v>－</v>
      </c>
      <c r="F455" s="10"/>
      <c r="G455" s="2" t="str">
        <f>"－"</f>
        <v>－</v>
      </c>
      <c r="H455" s="10"/>
      <c r="I455" s="2" t="str">
        <f>"－"</f>
        <v>－</v>
      </c>
      <c r="J455" s="10"/>
      <c r="K455" s="2" t="str">
        <f>"－"</f>
        <v>－</v>
      </c>
    </row>
    <row r="456">
      <c r="A456" s="8" t="s">
        <v>36</v>
      </c>
      <c r="B456" s="9" t="s">
        <v>78</v>
      </c>
      <c r="C456" s="9" t="s">
        <v>79</v>
      </c>
      <c r="D456" s="10"/>
      <c r="E456" s="2" t="str">
        <f>"－"</f>
        <v>－</v>
      </c>
      <c r="F456" s="10"/>
      <c r="G456" s="2" t="str">
        <f>"－"</f>
        <v>－</v>
      </c>
      <c r="H456" s="10"/>
      <c r="I456" s="2" t="str">
        <f>"－"</f>
        <v>－</v>
      </c>
      <c r="J456" s="10"/>
      <c r="K456" s="2" t="str">
        <f>"－"</f>
        <v>－</v>
      </c>
    </row>
    <row r="457">
      <c r="A457" s="8" t="s">
        <v>37</v>
      </c>
      <c r="B457" s="9" t="s">
        <v>78</v>
      </c>
      <c r="C457" s="9" t="s">
        <v>79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str">
        <f>"－"</f>
        <v>－</v>
      </c>
    </row>
    <row r="458">
      <c r="A458" s="8" t="s">
        <v>38</v>
      </c>
      <c r="B458" s="9" t="s">
        <v>78</v>
      </c>
      <c r="C458" s="9" t="s">
        <v>79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str">
        <f>"－"</f>
        <v>－</v>
      </c>
    </row>
    <row r="459">
      <c r="A459" s="8" t="s">
        <v>39</v>
      </c>
      <c r="B459" s="9" t="s">
        <v>78</v>
      </c>
      <c r="C459" s="9" t="s">
        <v>79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40</v>
      </c>
      <c r="B460" s="9" t="s">
        <v>78</v>
      </c>
      <c r="C460" s="9" t="s">
        <v>79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41</v>
      </c>
      <c r="B461" s="9" t="s">
        <v>78</v>
      </c>
      <c r="C461" s="9" t="s">
        <v>79</v>
      </c>
      <c r="D461" s="10"/>
      <c r="E461" s="2" t="str">
        <f>"－"</f>
        <v>－</v>
      </c>
      <c r="F461" s="10"/>
      <c r="G461" s="2" t="str">
        <f>"－"</f>
        <v>－</v>
      </c>
      <c r="H461" s="10"/>
      <c r="I461" s="2" t="str">
        <f>"－"</f>
        <v>－</v>
      </c>
      <c r="J461" s="10"/>
      <c r="K461" s="2" t="str">
        <f>"－"</f>
        <v>－</v>
      </c>
    </row>
    <row r="462">
      <c r="A462" s="8" t="s">
        <v>42</v>
      </c>
      <c r="B462" s="9" t="s">
        <v>78</v>
      </c>
      <c r="C462" s="9" t="s">
        <v>79</v>
      </c>
      <c r="D462" s="10"/>
      <c r="E462" s="2" t="str">
        <f>"－"</f>
        <v>－</v>
      </c>
      <c r="F462" s="10"/>
      <c r="G462" s="2" t="str">
        <f>"－"</f>
        <v>－</v>
      </c>
      <c r="H462" s="10"/>
      <c r="I462" s="2" t="str">
        <f>"－"</f>
        <v>－</v>
      </c>
      <c r="J462" s="10"/>
      <c r="K462" s="2" t="str">
        <f>"－"</f>
        <v>－</v>
      </c>
    </row>
    <row r="463">
      <c r="A463" s="8" t="s">
        <v>43</v>
      </c>
      <c r="B463" s="9" t="s">
        <v>78</v>
      </c>
      <c r="C463" s="9" t="s">
        <v>79</v>
      </c>
      <c r="D463" s="10"/>
      <c r="E463" s="2" t="str">
        <f>"－"</f>
        <v>－</v>
      </c>
      <c r="F463" s="10"/>
      <c r="G463" s="2" t="str">
        <f>"－"</f>
        <v>－</v>
      </c>
      <c r="H463" s="10"/>
      <c r="I463" s="2" t="str">
        <f>"－"</f>
        <v>－</v>
      </c>
      <c r="J463" s="10"/>
      <c r="K463" s="2" t="str">
        <f>"－"</f>
        <v>－</v>
      </c>
    </row>
    <row r="464">
      <c r="A464" s="8" t="s">
        <v>44</v>
      </c>
      <c r="B464" s="9" t="s">
        <v>78</v>
      </c>
      <c r="C464" s="9" t="s">
        <v>79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str">
        <f>"－"</f>
        <v>－</v>
      </c>
    </row>
    <row r="465">
      <c r="A465" s="8" t="s">
        <v>45</v>
      </c>
      <c r="B465" s="9" t="s">
        <v>78</v>
      </c>
      <c r="C465" s="9" t="s">
        <v>79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str">
        <f>"－"</f>
        <v>－</v>
      </c>
    </row>
    <row r="466">
      <c r="A466" s="8" t="s">
        <v>46</v>
      </c>
      <c r="B466" s="9" t="s">
        <v>78</v>
      </c>
      <c r="C466" s="9" t="s">
        <v>79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47</v>
      </c>
      <c r="B467" s="9" t="s">
        <v>78</v>
      </c>
      <c r="C467" s="9" t="s">
        <v>79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48</v>
      </c>
      <c r="B468" s="9" t="s">
        <v>78</v>
      </c>
      <c r="C468" s="9" t="s">
        <v>79</v>
      </c>
      <c r="D468" s="10"/>
      <c r="E468" s="2" t="str">
        <f>"－"</f>
        <v>－</v>
      </c>
      <c r="F468" s="10"/>
      <c r="G468" s="2" t="str">
        <f>"－"</f>
        <v>－</v>
      </c>
      <c r="H468" s="10"/>
      <c r="I468" s="2" t="str">
        <f>"－"</f>
        <v>－</v>
      </c>
      <c r="J468" s="10"/>
      <c r="K468" s="2" t="str">
        <f>"－"</f>
        <v>－</v>
      </c>
    </row>
    <row r="469">
      <c r="A469" s="8" t="s">
        <v>49</v>
      </c>
      <c r="B469" s="9" t="s">
        <v>78</v>
      </c>
      <c r="C469" s="9" t="s">
        <v>79</v>
      </c>
      <c r="D469" s="10"/>
      <c r="E469" s="2" t="str">
        <f>"－"</f>
        <v>－</v>
      </c>
      <c r="F469" s="10"/>
      <c r="G469" s="2" t="str">
        <f>"－"</f>
        <v>－</v>
      </c>
      <c r="H469" s="10"/>
      <c r="I469" s="2" t="str">
        <f>"－"</f>
        <v>－</v>
      </c>
      <c r="J469" s="10"/>
      <c r="K469" s="2" t="str">
        <f>"－"</f>
        <v>－</v>
      </c>
    </row>
    <row r="470">
      <c r="A470" s="8" t="s">
        <v>50</v>
      </c>
      <c r="B470" s="9" t="s">
        <v>78</v>
      </c>
      <c r="C470" s="9" t="s">
        <v>79</v>
      </c>
      <c r="D470" s="10"/>
      <c r="E470" s="2" t="str">
        <f>"－"</f>
        <v>－</v>
      </c>
      <c r="F470" s="10"/>
      <c r="G470" s="2" t="str">
        <f>"－"</f>
        <v>－</v>
      </c>
      <c r="H470" s="10"/>
      <c r="I470" s="2" t="str">
        <f>"－"</f>
        <v>－</v>
      </c>
      <c r="J470" s="10"/>
      <c r="K470" s="2" t="str">
        <f>"－"</f>
        <v>－</v>
      </c>
    </row>
    <row r="471">
      <c r="A471" s="8" t="s">
        <v>16</v>
      </c>
      <c r="B471" s="9" t="s">
        <v>80</v>
      </c>
      <c r="C471" s="9" t="s">
        <v>81</v>
      </c>
      <c r="D471" s="10" t="s">
        <v>67</v>
      </c>
      <c r="E471" s="2" t="str">
        <f>"－"</f>
        <v>－</v>
      </c>
      <c r="F471" s="10" t="s">
        <v>67</v>
      </c>
      <c r="G471" s="2" t="str">
        <f>"－"</f>
        <v>－</v>
      </c>
      <c r="H471" s="10" t="s">
        <v>67</v>
      </c>
      <c r="I471" s="2" t="str">
        <f>"－"</f>
        <v>－</v>
      </c>
      <c r="J471" s="10" t="s">
        <v>67</v>
      </c>
      <c r="K471" s="2" t="str">
        <f>"－"</f>
        <v>－</v>
      </c>
    </row>
    <row r="472">
      <c r="A472" s="8" t="s">
        <v>19</v>
      </c>
      <c r="B472" s="9" t="s">
        <v>80</v>
      </c>
      <c r="C472" s="9" t="s">
        <v>81</v>
      </c>
      <c r="D472" s="10"/>
      <c r="E472" s="2" t="str">
        <f>"－"</f>
        <v>－</v>
      </c>
      <c r="F472" s="10"/>
      <c r="G472" s="2" t="str">
        <f>"－"</f>
        <v>－</v>
      </c>
      <c r="H472" s="10"/>
      <c r="I472" s="2" t="str">
        <f>"－"</f>
        <v>－</v>
      </c>
      <c r="J472" s="10"/>
      <c r="K472" s="2" t="str">
        <f>"－"</f>
        <v>－</v>
      </c>
    </row>
    <row r="473">
      <c r="A473" s="8" t="s">
        <v>20</v>
      </c>
      <c r="B473" s="9" t="s">
        <v>80</v>
      </c>
      <c r="C473" s="9" t="s">
        <v>81</v>
      </c>
      <c r="D473" s="10"/>
      <c r="E473" s="2" t="str">
        <f>"－"</f>
        <v>－</v>
      </c>
      <c r="F473" s="10"/>
      <c r="G473" s="2" t="str">
        <f>"－"</f>
        <v>－</v>
      </c>
      <c r="H473" s="10"/>
      <c r="I473" s="2" t="str">
        <f>"－"</f>
        <v>－</v>
      </c>
      <c r="J473" s="10"/>
      <c r="K473" s="2" t="str">
        <f>"－"</f>
        <v>－</v>
      </c>
    </row>
    <row r="474">
      <c r="A474" s="8" t="s">
        <v>21</v>
      </c>
      <c r="B474" s="9" t="s">
        <v>80</v>
      </c>
      <c r="C474" s="9" t="s">
        <v>81</v>
      </c>
      <c r="D474" s="10"/>
      <c r="E474" s="2" t="str">
        <f>"－"</f>
        <v>－</v>
      </c>
      <c r="F474" s="10"/>
      <c r="G474" s="2" t="str">
        <f>"－"</f>
        <v>－</v>
      </c>
      <c r="H474" s="10"/>
      <c r="I474" s="2" t="str">
        <f>"－"</f>
        <v>－</v>
      </c>
      <c r="J474" s="10"/>
      <c r="K474" s="2" t="str">
        <f>"－"</f>
        <v>－</v>
      </c>
    </row>
    <row r="475">
      <c r="A475" s="8" t="s">
        <v>22</v>
      </c>
      <c r="B475" s="9" t="s">
        <v>80</v>
      </c>
      <c r="C475" s="9" t="s">
        <v>81</v>
      </c>
      <c r="D475" s="10"/>
      <c r="E475" s="2" t="str">
        <f>"－"</f>
        <v>－</v>
      </c>
      <c r="F475" s="10"/>
      <c r="G475" s="2" t="str">
        <f>"－"</f>
        <v>－</v>
      </c>
      <c r="H475" s="10"/>
      <c r="I475" s="2" t="str">
        <f>"－"</f>
        <v>－</v>
      </c>
      <c r="J475" s="10"/>
      <c r="K475" s="2" t="str">
        <f>"－"</f>
        <v>－</v>
      </c>
    </row>
    <row r="476">
      <c r="A476" s="8" t="s">
        <v>23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24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25</v>
      </c>
      <c r="B478" s="9" t="s">
        <v>80</v>
      </c>
      <c r="C478" s="9" t="s">
        <v>81</v>
      </c>
      <c r="D478" s="10"/>
      <c r="E478" s="2" t="str">
        <f>"－"</f>
        <v>－</v>
      </c>
      <c r="F478" s="10"/>
      <c r="G478" s="2" t="str">
        <f>"－"</f>
        <v>－</v>
      </c>
      <c r="H478" s="10"/>
      <c r="I478" s="2" t="str">
        <f>"－"</f>
        <v>－</v>
      </c>
      <c r="J478" s="10"/>
      <c r="K478" s="2" t="str">
        <f>"－"</f>
        <v>－</v>
      </c>
    </row>
    <row r="479">
      <c r="A479" s="8" t="s">
        <v>26</v>
      </c>
      <c r="B479" s="9" t="s">
        <v>80</v>
      </c>
      <c r="C479" s="9" t="s">
        <v>81</v>
      </c>
      <c r="D479" s="10"/>
      <c r="E479" s="2" t="str">
        <f>"－"</f>
        <v>－</v>
      </c>
      <c r="F479" s="10"/>
      <c r="G479" s="2" t="str">
        <f>"－"</f>
        <v>－</v>
      </c>
      <c r="H479" s="10"/>
      <c r="I479" s="2" t="str">
        <f>"－"</f>
        <v>－</v>
      </c>
      <c r="J479" s="10"/>
      <c r="K479" s="2" t="str">
        <f>"－"</f>
        <v>－</v>
      </c>
    </row>
    <row r="480">
      <c r="A480" s="8" t="s">
        <v>28</v>
      </c>
      <c r="B480" s="9" t="s">
        <v>80</v>
      </c>
      <c r="C480" s="9" t="s">
        <v>81</v>
      </c>
      <c r="D480" s="10"/>
      <c r="E480" s="2" t="str">
        <f>"－"</f>
        <v>－</v>
      </c>
      <c r="F480" s="10"/>
      <c r="G480" s="2" t="str">
        <f>"－"</f>
        <v>－</v>
      </c>
      <c r="H480" s="10"/>
      <c r="I480" s="2" t="str">
        <f>"－"</f>
        <v>－</v>
      </c>
      <c r="J480" s="10"/>
      <c r="K480" s="2" t="str">
        <f>"－"</f>
        <v>－</v>
      </c>
    </row>
    <row r="481">
      <c r="A481" s="8" t="s">
        <v>29</v>
      </c>
      <c r="B481" s="9" t="s">
        <v>80</v>
      </c>
      <c r="C481" s="9" t="s">
        <v>81</v>
      </c>
      <c r="D481" s="10"/>
      <c r="E481" s="2" t="str">
        <f>"－"</f>
        <v>－</v>
      </c>
      <c r="F481" s="10"/>
      <c r="G481" s="2" t="str">
        <f>"－"</f>
        <v>－</v>
      </c>
      <c r="H481" s="10"/>
      <c r="I481" s="2" t="str">
        <f>"－"</f>
        <v>－</v>
      </c>
      <c r="J481" s="10"/>
      <c r="K481" s="2" t="str">
        <f>"－"</f>
        <v>－</v>
      </c>
    </row>
    <row r="482">
      <c r="A482" s="8" t="s">
        <v>30</v>
      </c>
      <c r="B482" s="9" t="s">
        <v>80</v>
      </c>
      <c r="C482" s="9" t="s">
        <v>81</v>
      </c>
      <c r="D482" s="10"/>
      <c r="E482" s="2" t="str">
        <f>"－"</f>
        <v>－</v>
      </c>
      <c r="F482" s="10"/>
      <c r="G482" s="2" t="str">
        <f>"－"</f>
        <v>－</v>
      </c>
      <c r="H482" s="10"/>
      <c r="I482" s="2" t="str">
        <f>"－"</f>
        <v>－</v>
      </c>
      <c r="J482" s="10"/>
      <c r="K482" s="2" t="str">
        <f>"－"</f>
        <v>－</v>
      </c>
    </row>
    <row r="483">
      <c r="A483" s="8" t="s">
        <v>31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32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33</v>
      </c>
      <c r="B485" s="9" t="s">
        <v>80</v>
      </c>
      <c r="C485" s="9" t="s">
        <v>81</v>
      </c>
      <c r="D485" s="10"/>
      <c r="E485" s="2" t="str">
        <f>"－"</f>
        <v>－</v>
      </c>
      <c r="F485" s="10"/>
      <c r="G485" s="2" t="str">
        <f>"－"</f>
        <v>－</v>
      </c>
      <c r="H485" s="10"/>
      <c r="I485" s="2" t="str">
        <f>"－"</f>
        <v>－</v>
      </c>
      <c r="J485" s="10"/>
      <c r="K485" s="2" t="str">
        <f>"－"</f>
        <v>－</v>
      </c>
    </row>
    <row r="486">
      <c r="A486" s="8" t="s">
        <v>35</v>
      </c>
      <c r="B486" s="9" t="s">
        <v>80</v>
      </c>
      <c r="C486" s="9" t="s">
        <v>81</v>
      </c>
      <c r="D486" s="10"/>
      <c r="E486" s="2" t="str">
        <f>"－"</f>
        <v>－</v>
      </c>
      <c r="F486" s="10"/>
      <c r="G486" s="2" t="str">
        <f>"－"</f>
        <v>－</v>
      </c>
      <c r="H486" s="10"/>
      <c r="I486" s="2" t="str">
        <f>"－"</f>
        <v>－</v>
      </c>
      <c r="J486" s="10"/>
      <c r="K486" s="2" t="str">
        <f>"－"</f>
        <v>－</v>
      </c>
    </row>
    <row r="487">
      <c r="A487" s="8" t="s">
        <v>36</v>
      </c>
      <c r="B487" s="9" t="s">
        <v>80</v>
      </c>
      <c r="C487" s="9" t="s">
        <v>81</v>
      </c>
      <c r="D487" s="10"/>
      <c r="E487" s="2" t="str">
        <f>"－"</f>
        <v>－</v>
      </c>
      <c r="F487" s="10"/>
      <c r="G487" s="2" t="str">
        <f>"－"</f>
        <v>－</v>
      </c>
      <c r="H487" s="10"/>
      <c r="I487" s="2" t="str">
        <f>"－"</f>
        <v>－</v>
      </c>
      <c r="J487" s="10"/>
      <c r="K487" s="2" t="str">
        <f>"－"</f>
        <v>－</v>
      </c>
    </row>
    <row r="488">
      <c r="A488" s="8" t="s">
        <v>37</v>
      </c>
      <c r="B488" s="9" t="s">
        <v>80</v>
      </c>
      <c r="C488" s="9" t="s">
        <v>81</v>
      </c>
      <c r="D488" s="10"/>
      <c r="E488" s="2" t="str">
        <f>"－"</f>
        <v>－</v>
      </c>
      <c r="F488" s="10"/>
      <c r="G488" s="2" t="str">
        <f>"－"</f>
        <v>－</v>
      </c>
      <c r="H488" s="10"/>
      <c r="I488" s="2" t="str">
        <f>"－"</f>
        <v>－</v>
      </c>
      <c r="J488" s="10"/>
      <c r="K488" s="2" t="str">
        <f>"－"</f>
        <v>－</v>
      </c>
    </row>
    <row r="489">
      <c r="A489" s="8" t="s">
        <v>38</v>
      </c>
      <c r="B489" s="9" t="s">
        <v>80</v>
      </c>
      <c r="C489" s="9" t="s">
        <v>81</v>
      </c>
      <c r="D489" s="10"/>
      <c r="E489" s="2" t="str">
        <f>"－"</f>
        <v>－</v>
      </c>
      <c r="F489" s="10"/>
      <c r="G489" s="2" t="str">
        <f>"－"</f>
        <v>－</v>
      </c>
      <c r="H489" s="10"/>
      <c r="I489" s="2" t="str">
        <f>"－"</f>
        <v>－</v>
      </c>
      <c r="J489" s="10"/>
      <c r="K489" s="2" t="str">
        <f>"－"</f>
        <v>－</v>
      </c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 t="str">
        <f>"－"</f>
        <v>－</v>
      </c>
      <c r="F492" s="10"/>
      <c r="G492" s="2" t="str">
        <f>"－"</f>
        <v>－</v>
      </c>
      <c r="H492" s="10"/>
      <c r="I492" s="2" t="str">
        <f>"－"</f>
        <v>－</v>
      </c>
      <c r="J492" s="10"/>
      <c r="K492" s="2" t="str">
        <f>"－"</f>
        <v>－</v>
      </c>
    </row>
    <row r="493">
      <c r="A493" s="8" t="s">
        <v>42</v>
      </c>
      <c r="B493" s="9" t="s">
        <v>80</v>
      </c>
      <c r="C493" s="9" t="s">
        <v>81</v>
      </c>
      <c r="D493" s="10"/>
      <c r="E493" s="2" t="str">
        <f>"－"</f>
        <v>－</v>
      </c>
      <c r="F493" s="10"/>
      <c r="G493" s="2" t="str">
        <f>"－"</f>
        <v>－</v>
      </c>
      <c r="H493" s="10"/>
      <c r="I493" s="2" t="str">
        <f>"－"</f>
        <v>－</v>
      </c>
      <c r="J493" s="10"/>
      <c r="K493" s="2" t="str">
        <f>"－"</f>
        <v>－</v>
      </c>
    </row>
    <row r="494">
      <c r="A494" s="8" t="s">
        <v>43</v>
      </c>
      <c r="B494" s="9" t="s">
        <v>80</v>
      </c>
      <c r="C494" s="9" t="s">
        <v>81</v>
      </c>
      <c r="D494" s="10"/>
      <c r="E494" s="2" t="str">
        <f>"－"</f>
        <v>－</v>
      </c>
      <c r="F494" s="10"/>
      <c r="G494" s="2" t="str">
        <f>"－"</f>
        <v>－</v>
      </c>
      <c r="H494" s="10"/>
      <c r="I494" s="2" t="str">
        <f>"－"</f>
        <v>－</v>
      </c>
      <c r="J494" s="10"/>
      <c r="K494" s="2" t="str">
        <f>"－"</f>
        <v>－</v>
      </c>
    </row>
    <row r="495">
      <c r="A495" s="8" t="s">
        <v>44</v>
      </c>
      <c r="B495" s="9" t="s">
        <v>80</v>
      </c>
      <c r="C495" s="9" t="s">
        <v>81</v>
      </c>
      <c r="D495" s="10"/>
      <c r="E495" s="2" t="str">
        <f>"－"</f>
        <v>－</v>
      </c>
      <c r="F495" s="10"/>
      <c r="G495" s="2" t="str">
        <f>"－"</f>
        <v>－</v>
      </c>
      <c r="H495" s="10"/>
      <c r="I495" s="2" t="str">
        <f>"－"</f>
        <v>－</v>
      </c>
      <c r="J495" s="10"/>
      <c r="K495" s="2" t="str">
        <f>"－"</f>
        <v>－</v>
      </c>
    </row>
    <row r="496">
      <c r="A496" s="8" t="s">
        <v>45</v>
      </c>
      <c r="B496" s="9" t="s">
        <v>80</v>
      </c>
      <c r="C496" s="9" t="s">
        <v>81</v>
      </c>
      <c r="D496" s="10"/>
      <c r="E496" s="2" t="str">
        <f>"－"</f>
        <v>－</v>
      </c>
      <c r="F496" s="10"/>
      <c r="G496" s="2" t="str">
        <f>"－"</f>
        <v>－</v>
      </c>
      <c r="H496" s="10"/>
      <c r="I496" s="2" t="str">
        <f>"－"</f>
        <v>－</v>
      </c>
      <c r="J496" s="10"/>
      <c r="K496" s="2" t="str">
        <f>"－"</f>
        <v>－</v>
      </c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 t="str">
        <f>"－"</f>
        <v>－</v>
      </c>
      <c r="F499" s="10"/>
      <c r="G499" s="2" t="str">
        <f>"－"</f>
        <v>－</v>
      </c>
      <c r="H499" s="10"/>
      <c r="I499" s="2" t="str">
        <f>"－"</f>
        <v>－</v>
      </c>
      <c r="J499" s="10"/>
      <c r="K499" s="2" t="str">
        <f>"－"</f>
        <v>－</v>
      </c>
    </row>
    <row r="500">
      <c r="A500" s="8" t="s">
        <v>49</v>
      </c>
      <c r="B500" s="9" t="s">
        <v>80</v>
      </c>
      <c r="C500" s="9" t="s">
        <v>81</v>
      </c>
      <c r="D500" s="10"/>
      <c r="E500" s="2" t="str">
        <f>"－"</f>
        <v>－</v>
      </c>
      <c r="F500" s="10"/>
      <c r="G500" s="2" t="str">
        <f>"－"</f>
        <v>－</v>
      </c>
      <c r="H500" s="10"/>
      <c r="I500" s="2" t="str">
        <f>"－"</f>
        <v>－</v>
      </c>
      <c r="J500" s="10"/>
      <c r="K500" s="2" t="str">
        <f>"－"</f>
        <v>－</v>
      </c>
    </row>
    <row r="501">
      <c r="A501" s="8" t="s">
        <v>50</v>
      </c>
      <c r="B501" s="9" t="s">
        <v>80</v>
      </c>
      <c r="C501" s="9" t="s">
        <v>81</v>
      </c>
      <c r="D501" s="10"/>
      <c r="E501" s="2" t="str">
        <f>"－"</f>
        <v>－</v>
      </c>
      <c r="F501" s="10"/>
      <c r="G501" s="2" t="str">
        <f>"－"</f>
        <v>－</v>
      </c>
      <c r="H501" s="10"/>
      <c r="I501" s="2" t="str">
        <f>"－"</f>
        <v>－</v>
      </c>
      <c r="J501" s="10"/>
      <c r="K501" s="2" t="str">
        <f>"－"</f>
        <v>－</v>
      </c>
    </row>
    <row r="502">
      <c r="A502" s="8" t="s">
        <v>16</v>
      </c>
      <c r="B502" s="9" t="s">
        <v>82</v>
      </c>
      <c r="C502" s="9" t="s">
        <v>83</v>
      </c>
      <c r="D502" s="10"/>
      <c r="E502" s="2" t="n">
        <f>356</f>
        <v>356.0</v>
      </c>
      <c r="F502" s="10"/>
      <c r="G502" s="2" t="n">
        <f>90754500</f>
        <v>9.07545E7</v>
      </c>
      <c r="H502" s="10" t="s">
        <v>67</v>
      </c>
      <c r="I502" s="2" t="str">
        <f>"－"</f>
        <v>－</v>
      </c>
      <c r="J502" s="10"/>
      <c r="K502" s="2" t="n">
        <f>490</f>
        <v>490.0</v>
      </c>
    </row>
    <row r="503">
      <c r="A503" s="8" t="s">
        <v>19</v>
      </c>
      <c r="B503" s="9" t="s">
        <v>82</v>
      </c>
      <c r="C503" s="9" t="s">
        <v>83</v>
      </c>
      <c r="D503" s="10"/>
      <c r="E503" s="2" t="n">
        <f>211</f>
        <v>211.0</v>
      </c>
      <c r="F503" s="10"/>
      <c r="G503" s="2" t="n">
        <f>51878000</f>
        <v>5.1878E7</v>
      </c>
      <c r="H503" s="10"/>
      <c r="I503" s="2" t="str">
        <f>"－"</f>
        <v>－</v>
      </c>
      <c r="J503" s="10"/>
      <c r="K503" s="2" t="n">
        <f>622</f>
        <v>622.0</v>
      </c>
    </row>
    <row r="504">
      <c r="A504" s="8" t="s">
        <v>20</v>
      </c>
      <c r="B504" s="9" t="s">
        <v>82</v>
      </c>
      <c r="C504" s="9" t="s">
        <v>83</v>
      </c>
      <c r="D504" s="10"/>
      <c r="E504" s="2" t="n">
        <f>131</f>
        <v>131.0</v>
      </c>
      <c r="F504" s="10"/>
      <c r="G504" s="2" t="n">
        <f>31437000</f>
        <v>3.1437E7</v>
      </c>
      <c r="H504" s="10"/>
      <c r="I504" s="2" t="str">
        <f>"－"</f>
        <v>－</v>
      </c>
      <c r="J504" s="10"/>
      <c r="K504" s="2" t="n">
        <f>529</f>
        <v>529.0</v>
      </c>
    </row>
    <row r="505">
      <c r="A505" s="8" t="s">
        <v>21</v>
      </c>
      <c r="B505" s="9" t="s">
        <v>82</v>
      </c>
      <c r="C505" s="9" t="s">
        <v>83</v>
      </c>
      <c r="D505" s="10"/>
      <c r="E505" s="2" t="n">
        <f>237</f>
        <v>237.0</v>
      </c>
      <c r="F505" s="10"/>
      <c r="G505" s="2" t="n">
        <f>59962000</f>
        <v>5.9962E7</v>
      </c>
      <c r="H505" s="10"/>
      <c r="I505" s="2" t="str">
        <f>"－"</f>
        <v>－</v>
      </c>
      <c r="J505" s="10"/>
      <c r="K505" s="2" t="n">
        <f>607</f>
        <v>607.0</v>
      </c>
    </row>
    <row r="506">
      <c r="A506" s="8" t="s">
        <v>22</v>
      </c>
      <c r="B506" s="9" t="s">
        <v>82</v>
      </c>
      <c r="C506" s="9" t="s">
        <v>83</v>
      </c>
      <c r="D506" s="10"/>
      <c r="E506" s="2" t="n">
        <f>284</f>
        <v>284.0</v>
      </c>
      <c r="F506" s="10"/>
      <c r="G506" s="2" t="n">
        <f>73114500</f>
        <v>7.31145E7</v>
      </c>
      <c r="H506" s="10"/>
      <c r="I506" s="2" t="str">
        <f>"－"</f>
        <v>－</v>
      </c>
      <c r="J506" s="10"/>
      <c r="K506" s="2" t="n">
        <f>425</f>
        <v>425.0</v>
      </c>
    </row>
    <row r="507">
      <c r="A507" s="8" t="s">
        <v>23</v>
      </c>
      <c r="B507" s="9" t="s">
        <v>82</v>
      </c>
      <c r="C507" s="9" t="s">
        <v>83</v>
      </c>
      <c r="D507" s="10"/>
      <c r="E507" s="2"/>
      <c r="F507" s="10"/>
      <c r="G507" s="2"/>
      <c r="H507" s="10"/>
      <c r="I507" s="2"/>
      <c r="J507" s="10"/>
      <c r="K507" s="2"/>
    </row>
    <row r="508">
      <c r="A508" s="8" t="s">
        <v>24</v>
      </c>
      <c r="B508" s="9" t="s">
        <v>82</v>
      </c>
      <c r="C508" s="9" t="s">
        <v>83</v>
      </c>
      <c r="D508" s="10"/>
      <c r="E508" s="2"/>
      <c r="F508" s="10"/>
      <c r="G508" s="2"/>
      <c r="H508" s="10"/>
      <c r="I508" s="2"/>
      <c r="J508" s="10"/>
      <c r="K508" s="2"/>
    </row>
    <row r="509">
      <c r="A509" s="8" t="s">
        <v>25</v>
      </c>
      <c r="B509" s="9" t="s">
        <v>82</v>
      </c>
      <c r="C509" s="9" t="s">
        <v>83</v>
      </c>
      <c r="D509" s="10"/>
      <c r="E509" s="2" t="n">
        <f>301</f>
        <v>301.0</v>
      </c>
      <c r="F509" s="10"/>
      <c r="G509" s="2" t="n">
        <f>76494500</f>
        <v>7.64945E7</v>
      </c>
      <c r="H509" s="10"/>
      <c r="I509" s="2" t="str">
        <f>"－"</f>
        <v>－</v>
      </c>
      <c r="J509" s="10"/>
      <c r="K509" s="2" t="n">
        <f>382</f>
        <v>382.0</v>
      </c>
    </row>
    <row r="510">
      <c r="A510" s="8" t="s">
        <v>26</v>
      </c>
      <c r="B510" s="9" t="s">
        <v>82</v>
      </c>
      <c r="C510" s="9" t="s">
        <v>83</v>
      </c>
      <c r="D510" s="10"/>
      <c r="E510" s="2" t="n">
        <f>131</f>
        <v>131.0</v>
      </c>
      <c r="F510" s="10"/>
      <c r="G510" s="2" t="n">
        <f>33670500</f>
        <v>3.36705E7</v>
      </c>
      <c r="H510" s="10"/>
      <c r="I510" s="2" t="str">
        <f>"－"</f>
        <v>－</v>
      </c>
      <c r="J510" s="10"/>
      <c r="K510" s="2" t="n">
        <f>372</f>
        <v>372.0</v>
      </c>
    </row>
    <row r="511">
      <c r="A511" s="8" t="s">
        <v>28</v>
      </c>
      <c r="B511" s="9" t="s">
        <v>82</v>
      </c>
      <c r="C511" s="9" t="s">
        <v>83</v>
      </c>
      <c r="D511" s="10"/>
      <c r="E511" s="2" t="n">
        <f>345</f>
        <v>345.0</v>
      </c>
      <c r="F511" s="10"/>
      <c r="G511" s="2" t="n">
        <f>84146000</f>
        <v>8.4146E7</v>
      </c>
      <c r="H511" s="10"/>
      <c r="I511" s="2" t="str">
        <f>"－"</f>
        <v>－</v>
      </c>
      <c r="J511" s="10"/>
      <c r="K511" s="2" t="n">
        <f>161</f>
        <v>161.0</v>
      </c>
    </row>
    <row r="512">
      <c r="A512" s="8" t="s">
        <v>29</v>
      </c>
      <c r="B512" s="9" t="s">
        <v>82</v>
      </c>
      <c r="C512" s="9" t="s">
        <v>83</v>
      </c>
      <c r="D512" s="10"/>
      <c r="E512" s="2" t="n">
        <f>79</f>
        <v>79.0</v>
      </c>
      <c r="F512" s="10"/>
      <c r="G512" s="2" t="n">
        <f>18850500</f>
        <v>1.88505E7</v>
      </c>
      <c r="H512" s="10"/>
      <c r="I512" s="2" t="str">
        <f>"－"</f>
        <v>－</v>
      </c>
      <c r="J512" s="10" t="s">
        <v>34</v>
      </c>
      <c r="K512" s="2" t="n">
        <f>134</f>
        <v>134.0</v>
      </c>
    </row>
    <row r="513">
      <c r="A513" s="8" t="s">
        <v>30</v>
      </c>
      <c r="B513" s="9" t="s">
        <v>82</v>
      </c>
      <c r="C513" s="9" t="s">
        <v>83</v>
      </c>
      <c r="D513" s="10"/>
      <c r="E513" s="2" t="n">
        <f>224</f>
        <v>224.0</v>
      </c>
      <c r="F513" s="10"/>
      <c r="G513" s="2" t="n">
        <f>51269000</f>
        <v>5.1269E7</v>
      </c>
      <c r="H513" s="10"/>
      <c r="I513" s="2" t="str">
        <f>"－"</f>
        <v>－</v>
      </c>
      <c r="J513" s="10"/>
      <c r="K513" s="2" t="n">
        <f>299</f>
        <v>299.0</v>
      </c>
    </row>
    <row r="514">
      <c r="A514" s="8" t="s">
        <v>31</v>
      </c>
      <c r="B514" s="9" t="s">
        <v>82</v>
      </c>
      <c r="C514" s="9" t="s">
        <v>83</v>
      </c>
      <c r="D514" s="10"/>
      <c r="E514" s="2"/>
      <c r="F514" s="10"/>
      <c r="G514" s="2"/>
      <c r="H514" s="10"/>
      <c r="I514" s="2"/>
      <c r="J514" s="10"/>
      <c r="K514" s="2"/>
    </row>
    <row r="515">
      <c r="A515" s="8" t="s">
        <v>32</v>
      </c>
      <c r="B515" s="9" t="s">
        <v>82</v>
      </c>
      <c r="C515" s="9" t="s">
        <v>83</v>
      </c>
      <c r="D515" s="10"/>
      <c r="E515" s="2"/>
      <c r="F515" s="10"/>
      <c r="G515" s="2"/>
      <c r="H515" s="10"/>
      <c r="I515" s="2"/>
      <c r="J515" s="10"/>
      <c r="K515" s="2"/>
    </row>
    <row r="516">
      <c r="A516" s="8" t="s">
        <v>33</v>
      </c>
      <c r="B516" s="9" t="s">
        <v>82</v>
      </c>
      <c r="C516" s="9" t="s">
        <v>83</v>
      </c>
      <c r="D516" s="10"/>
      <c r="E516" s="2" t="n">
        <f>50</f>
        <v>50.0</v>
      </c>
      <c r="F516" s="10"/>
      <c r="G516" s="2" t="n">
        <f>11503500</f>
        <v>1.15035E7</v>
      </c>
      <c r="H516" s="10"/>
      <c r="I516" s="2" t="str">
        <f>"－"</f>
        <v>－</v>
      </c>
      <c r="J516" s="10"/>
      <c r="K516" s="2" t="n">
        <f>313</f>
        <v>313.0</v>
      </c>
    </row>
    <row r="517">
      <c r="A517" s="8" t="s">
        <v>35</v>
      </c>
      <c r="B517" s="9" t="s">
        <v>82</v>
      </c>
      <c r="C517" s="9" t="s">
        <v>83</v>
      </c>
      <c r="D517" s="10"/>
      <c r="E517" s="2" t="n">
        <f>236</f>
        <v>236.0</v>
      </c>
      <c r="F517" s="10"/>
      <c r="G517" s="2" t="n">
        <f>54174000</f>
        <v>5.4174E7</v>
      </c>
      <c r="H517" s="10"/>
      <c r="I517" s="2" t="str">
        <f>"－"</f>
        <v>－</v>
      </c>
      <c r="J517" s="10"/>
      <c r="K517" s="2" t="n">
        <f>371</f>
        <v>371.0</v>
      </c>
    </row>
    <row r="518">
      <c r="A518" s="8" t="s">
        <v>36</v>
      </c>
      <c r="B518" s="9" t="s">
        <v>82</v>
      </c>
      <c r="C518" s="9" t="s">
        <v>83</v>
      </c>
      <c r="D518" s="10" t="s">
        <v>34</v>
      </c>
      <c r="E518" s="2" t="n">
        <f>44</f>
        <v>44.0</v>
      </c>
      <c r="F518" s="10" t="s">
        <v>34</v>
      </c>
      <c r="G518" s="2" t="n">
        <f>9794000</f>
        <v>9794000.0</v>
      </c>
      <c r="H518" s="10"/>
      <c r="I518" s="2" t="str">
        <f>"－"</f>
        <v>－</v>
      </c>
      <c r="J518" s="10"/>
      <c r="K518" s="2" t="n">
        <f>401</f>
        <v>401.0</v>
      </c>
    </row>
    <row r="519">
      <c r="A519" s="8" t="s">
        <v>37</v>
      </c>
      <c r="B519" s="9" t="s">
        <v>82</v>
      </c>
      <c r="C519" s="9" t="s">
        <v>83</v>
      </c>
      <c r="D519" s="10"/>
      <c r="E519" s="2" t="n">
        <f>146</f>
        <v>146.0</v>
      </c>
      <c r="F519" s="10"/>
      <c r="G519" s="2" t="n">
        <f>31787000</f>
        <v>3.1787E7</v>
      </c>
      <c r="H519" s="10"/>
      <c r="I519" s="2" t="str">
        <f>"－"</f>
        <v>－</v>
      </c>
      <c r="J519" s="10"/>
      <c r="K519" s="2" t="n">
        <f>463</f>
        <v>463.0</v>
      </c>
    </row>
    <row r="520">
      <c r="A520" s="8" t="s">
        <v>38</v>
      </c>
      <c r="B520" s="9" t="s">
        <v>82</v>
      </c>
      <c r="C520" s="9" t="s">
        <v>83</v>
      </c>
      <c r="D520" s="10"/>
      <c r="E520" s="2" t="n">
        <f>49</f>
        <v>49.0</v>
      </c>
      <c r="F520" s="10"/>
      <c r="G520" s="2" t="n">
        <f>11305000</f>
        <v>1.1305E7</v>
      </c>
      <c r="H520" s="10"/>
      <c r="I520" s="2" t="str">
        <f>"－"</f>
        <v>－</v>
      </c>
      <c r="J520" s="10"/>
      <c r="K520" s="2" t="n">
        <f>461</f>
        <v>461.0</v>
      </c>
    </row>
    <row r="521">
      <c r="A521" s="8" t="s">
        <v>39</v>
      </c>
      <c r="B521" s="9" t="s">
        <v>82</v>
      </c>
      <c r="C521" s="9" t="s">
        <v>83</v>
      </c>
      <c r="D521" s="10"/>
      <c r="E521" s="2"/>
      <c r="F521" s="10"/>
      <c r="G521" s="2"/>
      <c r="H521" s="10"/>
      <c r="I521" s="2"/>
      <c r="J521" s="10"/>
      <c r="K521" s="2"/>
    </row>
    <row r="522">
      <c r="A522" s="8" t="s">
        <v>40</v>
      </c>
      <c r="B522" s="9" t="s">
        <v>82</v>
      </c>
      <c r="C522" s="9" t="s">
        <v>83</v>
      </c>
      <c r="D522" s="10"/>
      <c r="E522" s="2"/>
      <c r="F522" s="10"/>
      <c r="G522" s="2"/>
      <c r="H522" s="10"/>
      <c r="I522" s="2"/>
      <c r="J522" s="10"/>
      <c r="K522" s="2"/>
    </row>
    <row r="523">
      <c r="A523" s="8" t="s">
        <v>41</v>
      </c>
      <c r="B523" s="9" t="s">
        <v>82</v>
      </c>
      <c r="C523" s="9" t="s">
        <v>83</v>
      </c>
      <c r="D523" s="10"/>
      <c r="E523" s="2" t="n">
        <f>190</f>
        <v>190.0</v>
      </c>
      <c r="F523" s="10"/>
      <c r="G523" s="2" t="n">
        <f>44153000</f>
        <v>4.4153E7</v>
      </c>
      <c r="H523" s="10"/>
      <c r="I523" s="2" t="str">
        <f>"－"</f>
        <v>－</v>
      </c>
      <c r="J523" s="10"/>
      <c r="K523" s="2" t="n">
        <f>478</f>
        <v>478.0</v>
      </c>
    </row>
    <row r="524">
      <c r="A524" s="8" t="s">
        <v>42</v>
      </c>
      <c r="B524" s="9" t="s">
        <v>82</v>
      </c>
      <c r="C524" s="9" t="s">
        <v>83</v>
      </c>
      <c r="D524" s="10"/>
      <c r="E524" s="2" t="n">
        <f>159</f>
        <v>159.0</v>
      </c>
      <c r="F524" s="10"/>
      <c r="G524" s="2" t="n">
        <f>36626500</f>
        <v>3.66265E7</v>
      </c>
      <c r="H524" s="10"/>
      <c r="I524" s="2" t="str">
        <f>"－"</f>
        <v>－</v>
      </c>
      <c r="J524" s="10"/>
      <c r="K524" s="2" t="n">
        <f>511</f>
        <v>511.0</v>
      </c>
    </row>
    <row r="525">
      <c r="A525" s="8" t="s">
        <v>43</v>
      </c>
      <c r="B525" s="9" t="s">
        <v>82</v>
      </c>
      <c r="C525" s="9" t="s">
        <v>83</v>
      </c>
      <c r="D525" s="10"/>
      <c r="E525" s="2" t="n">
        <f>164</f>
        <v>164.0</v>
      </c>
      <c r="F525" s="10"/>
      <c r="G525" s="2" t="n">
        <f>39509500</f>
        <v>3.95095E7</v>
      </c>
      <c r="H525" s="10"/>
      <c r="I525" s="2" t="str">
        <f>"－"</f>
        <v>－</v>
      </c>
      <c r="J525" s="10"/>
      <c r="K525" s="2" t="n">
        <f>606</f>
        <v>606.0</v>
      </c>
    </row>
    <row r="526">
      <c r="A526" s="8" t="s">
        <v>44</v>
      </c>
      <c r="B526" s="9" t="s">
        <v>82</v>
      </c>
      <c r="C526" s="9" t="s">
        <v>83</v>
      </c>
      <c r="D526" s="10"/>
      <c r="E526" s="2" t="n">
        <f>216</f>
        <v>216.0</v>
      </c>
      <c r="F526" s="10"/>
      <c r="G526" s="2" t="n">
        <f>49976500</f>
        <v>4.99765E7</v>
      </c>
      <c r="H526" s="10"/>
      <c r="I526" s="2" t="str">
        <f>"－"</f>
        <v>－</v>
      </c>
      <c r="J526" s="10"/>
      <c r="K526" s="2" t="n">
        <f>707</f>
        <v>707.0</v>
      </c>
    </row>
    <row r="527">
      <c r="A527" s="8" t="s">
        <v>45</v>
      </c>
      <c r="B527" s="9" t="s">
        <v>82</v>
      </c>
      <c r="C527" s="9" t="s">
        <v>83</v>
      </c>
      <c r="D527" s="10"/>
      <c r="E527" s="2" t="n">
        <f>371</f>
        <v>371.0</v>
      </c>
      <c r="F527" s="10"/>
      <c r="G527" s="2" t="n">
        <f>81473500</f>
        <v>8.14735E7</v>
      </c>
      <c r="H527" s="10"/>
      <c r="I527" s="2" t="str">
        <f>"－"</f>
        <v>－</v>
      </c>
      <c r="J527" s="10"/>
      <c r="K527" s="2" t="n">
        <f>920</f>
        <v>920.0</v>
      </c>
    </row>
    <row r="528">
      <c r="A528" s="8" t="s">
        <v>46</v>
      </c>
      <c r="B528" s="9" t="s">
        <v>82</v>
      </c>
      <c r="C528" s="9" t="s">
        <v>83</v>
      </c>
      <c r="D528" s="10"/>
      <c r="E528" s="2"/>
      <c r="F528" s="10"/>
      <c r="G528" s="2"/>
      <c r="H528" s="10"/>
      <c r="I528" s="2"/>
      <c r="J528" s="10"/>
      <c r="K528" s="2"/>
    </row>
    <row r="529">
      <c r="A529" s="8" t="s">
        <v>47</v>
      </c>
      <c r="B529" s="9" t="s">
        <v>82</v>
      </c>
      <c r="C529" s="9" t="s">
        <v>83</v>
      </c>
      <c r="D529" s="10"/>
      <c r="E529" s="2"/>
      <c r="F529" s="10"/>
      <c r="G529" s="2"/>
      <c r="H529" s="10"/>
      <c r="I529" s="2"/>
      <c r="J529" s="10"/>
      <c r="K529" s="2"/>
    </row>
    <row r="530">
      <c r="A530" s="8" t="s">
        <v>48</v>
      </c>
      <c r="B530" s="9" t="s">
        <v>82</v>
      </c>
      <c r="C530" s="9" t="s">
        <v>83</v>
      </c>
      <c r="D530" s="10"/>
      <c r="E530" s="2" t="n">
        <f>321</f>
        <v>321.0</v>
      </c>
      <c r="F530" s="10"/>
      <c r="G530" s="2" t="n">
        <f>70676500</f>
        <v>7.06765E7</v>
      </c>
      <c r="H530" s="10"/>
      <c r="I530" s="2" t="str">
        <f>"－"</f>
        <v>－</v>
      </c>
      <c r="J530" s="10" t="s">
        <v>27</v>
      </c>
      <c r="K530" s="2" t="n">
        <f>1082</f>
        <v>1082.0</v>
      </c>
    </row>
    <row r="531">
      <c r="A531" s="8" t="s">
        <v>49</v>
      </c>
      <c r="B531" s="9" t="s">
        <v>82</v>
      </c>
      <c r="C531" s="9" t="s">
        <v>83</v>
      </c>
      <c r="D531" s="10" t="s">
        <v>27</v>
      </c>
      <c r="E531" s="2" t="n">
        <f>688</f>
        <v>688.0</v>
      </c>
      <c r="F531" s="10" t="s">
        <v>27</v>
      </c>
      <c r="G531" s="2" t="n">
        <f>151994000</f>
        <v>1.51994E8</v>
      </c>
      <c r="H531" s="10"/>
      <c r="I531" s="2" t="str">
        <f>"－"</f>
        <v>－</v>
      </c>
      <c r="J531" s="10"/>
      <c r="K531" s="2" t="n">
        <f>950</f>
        <v>950.0</v>
      </c>
    </row>
    <row r="532">
      <c r="A532" s="8" t="s">
        <v>50</v>
      </c>
      <c r="B532" s="9" t="s">
        <v>82</v>
      </c>
      <c r="C532" s="9" t="s">
        <v>83</v>
      </c>
      <c r="D532" s="10"/>
      <c r="E532" s="2" t="n">
        <f>149</f>
        <v>149.0</v>
      </c>
      <c r="F532" s="10"/>
      <c r="G532" s="2" t="n">
        <f>32503500</f>
        <v>3.25035E7</v>
      </c>
      <c r="H532" s="10"/>
      <c r="I532" s="2" t="str">
        <f>"－"</f>
        <v>－</v>
      </c>
      <c r="J532" s="10"/>
      <c r="K532" s="2" t="n">
        <f>948</f>
        <v>948.0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