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<sst xmlns="http://schemas.openxmlformats.org/spreadsheetml/2006/main" count="512" uniqueCount="68">
  <si>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</si>
  <si>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</si>
  <si>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</si>
  <si>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</si>
  <si>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</si>
  <si>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</si>
  <si>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</si>
  <si>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</si>
  <si>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</si>
  <si>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</si>
  <si>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</si>
  <si>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</si>
  <si>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</si>
  <si>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</si>
  <si>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</si>
  <si>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</si>
  <si>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</si>
  <si>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</si>
  <si>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</si>
  <si>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</si>
  <si>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</si>
  <si>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</si>
  <si>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</si>
  <si>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</si>
  <si>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</si>
  <si>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</si>
  <si>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</si>
  <si>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日経225オプション</t>
  </si>
  <si>
    <t>Nikkei 225 Options</t>
  </si>
  <si>
    <t>2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</si>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</sst>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75959</f>
        <v>75959.0</v>
      </c>
      <c r="F10" s="23"/>
      <c r="G10" s="25" t="n">
        <f>46843</f>
        <v>46843.0</v>
      </c>
      <c r="H10" s="23"/>
      <c r="I10" s="26" t="n">
        <f>122802</f>
        <v>122802.0</v>
      </c>
      <c r="J10" s="24"/>
      <c r="K10" s="25" t="n">
        <f>21039358202</f>
        <v>2.1039358202E10</v>
      </c>
      <c r="L10" s="23"/>
      <c r="M10" s="25" t="n">
        <f>13122159300</f>
        <v>1.31221593E10</v>
      </c>
      <c r="N10" s="23"/>
      <c r="O10" s="26" t="n">
        <f>34161517502</f>
        <v>3.4161517502E10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16674</f>
        <v>16674.0</v>
      </c>
      <c r="U10" s="23"/>
      <c r="V10" s="25" t="n">
        <f>7655</f>
        <v>7655.0</v>
      </c>
      <c r="W10" s="23"/>
      <c r="X10" s="26" t="n">
        <f>24329</f>
        <v>24329.0</v>
      </c>
      <c r="Y10" s="24"/>
      <c r="Z10" s="25" t="n">
        <f>910996</f>
        <v>910996.0</v>
      </c>
      <c r="AA10" s="23"/>
      <c r="AB10" s="25" t="n">
        <f>568156</f>
        <v>568156.0</v>
      </c>
      <c r="AC10" s="23"/>
      <c r="AD10" s="26" t="n">
        <f>1479152</f>
        <v>1479152.0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65636</f>
        <v>65636.0</v>
      </c>
      <c r="F11" s="23"/>
      <c r="G11" s="25" t="n">
        <f>63360</f>
        <v>63360.0</v>
      </c>
      <c r="H11" s="23"/>
      <c r="I11" s="26" t="n">
        <f>128996</f>
        <v>128996.0</v>
      </c>
      <c r="J11" s="24"/>
      <c r="K11" s="25" t="n">
        <f>13715709225</f>
        <v>1.3715709225E10</v>
      </c>
      <c r="L11" s="23"/>
      <c r="M11" s="25" t="n">
        <f>10580069150</f>
        <v>1.058006915E10</v>
      </c>
      <c r="N11" s="23"/>
      <c r="O11" s="26" t="n">
        <f>24295778375</f>
        <v>2.4295778375E10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13595</f>
        <v>13595.0</v>
      </c>
      <c r="U11" s="23" t="s">
        <v>30</v>
      </c>
      <c r="V11" s="25" t="n">
        <f>20445</f>
        <v>20445.0</v>
      </c>
      <c r="W11" s="23"/>
      <c r="X11" s="26" t="n">
        <f>34040</f>
        <v>34040.0</v>
      </c>
      <c r="Y11" s="24"/>
      <c r="Z11" s="25" t="n">
        <f>920430</f>
        <v>920430.0</v>
      </c>
      <c r="AA11" s="23"/>
      <c r="AB11" s="25" t="n">
        <f>570493</f>
        <v>570493.0</v>
      </c>
      <c r="AC11" s="23"/>
      <c r="AD11" s="26" t="n">
        <f>1490923</f>
        <v>1490923.0</v>
      </c>
    </row>
    <row r="12">
      <c r="A12" s="30" t="s">
        <v>31</v>
      </c>
      <c r="B12" s="22" t="s">
        <v>27</v>
      </c>
      <c r="C12" s="22" t="s">
        <v>28</v>
      </c>
      <c r="D12" s="24"/>
      <c r="E12" s="25" t="n">
        <f>50052</f>
        <v>50052.0</v>
      </c>
      <c r="F12" s="23"/>
      <c r="G12" s="25" t="n">
        <f>43077</f>
        <v>43077.0</v>
      </c>
      <c r="H12" s="23"/>
      <c r="I12" s="26" t="n">
        <f>93129</f>
        <v>93129.0</v>
      </c>
      <c r="J12" s="24"/>
      <c r="K12" s="25" t="n">
        <f>14401072000</f>
        <v>1.4401072E10</v>
      </c>
      <c r="L12" s="23"/>
      <c r="M12" s="25" t="n">
        <f>6319913000</f>
        <v>6.319913E9</v>
      </c>
      <c r="N12" s="23"/>
      <c r="O12" s="26" t="n">
        <f>20720985000</f>
        <v>2.0720985E10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6592</f>
        <v>6592.0</v>
      </c>
      <c r="U12" s="23"/>
      <c r="V12" s="25" t="n">
        <f>8287</f>
        <v>8287.0</v>
      </c>
      <c r="W12" s="23"/>
      <c r="X12" s="26" t="n">
        <f>14879</f>
        <v>14879.0</v>
      </c>
      <c r="Y12" s="24"/>
      <c r="Z12" s="25" t="n">
        <f>930705</f>
        <v>930705.0</v>
      </c>
      <c r="AA12" s="23"/>
      <c r="AB12" s="25" t="n">
        <f>574142</f>
        <v>574142.0</v>
      </c>
      <c r="AC12" s="23"/>
      <c r="AD12" s="26" t="n">
        <f>1504847</f>
        <v>1504847.0</v>
      </c>
    </row>
    <row r="13">
      <c r="A13" s="30" t="s">
        <v>32</v>
      </c>
      <c r="B13" s="22" t="s">
        <v>27</v>
      </c>
      <c r="C13" s="22" t="s">
        <v>28</v>
      </c>
      <c r="D13" s="24"/>
      <c r="E13" s="25" t="n">
        <f>97318</f>
        <v>97318.0</v>
      </c>
      <c r="F13" s="23"/>
      <c r="G13" s="25" t="n">
        <f>63927</f>
        <v>63927.0</v>
      </c>
      <c r="H13" s="23"/>
      <c r="I13" s="26" t="n">
        <f>161245</f>
        <v>161245.0</v>
      </c>
      <c r="J13" s="24"/>
      <c r="K13" s="25" t="n">
        <f>26957088100</f>
        <v>2.69570881E10</v>
      </c>
      <c r="L13" s="23"/>
      <c r="M13" s="25" t="n">
        <f>9357402111</f>
        <v>9.357402111E9</v>
      </c>
      <c r="N13" s="23"/>
      <c r="O13" s="26" t="n">
        <f>36314490211</f>
        <v>3.6314490211E10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19928</f>
        <v>19928.0</v>
      </c>
      <c r="U13" s="23"/>
      <c r="V13" s="25" t="n">
        <f>9970</f>
        <v>9970.0</v>
      </c>
      <c r="W13" s="23"/>
      <c r="X13" s="26" t="n">
        <f>29898</f>
        <v>29898.0</v>
      </c>
      <c r="Y13" s="24"/>
      <c r="Z13" s="25" t="n">
        <f>941326</f>
        <v>941326.0</v>
      </c>
      <c r="AA13" s="23"/>
      <c r="AB13" s="25" t="n">
        <f>577296</f>
        <v>577296.0</v>
      </c>
      <c r="AC13" s="23"/>
      <c r="AD13" s="26" t="n">
        <f>1518622</f>
        <v>1518622.0</v>
      </c>
    </row>
    <row r="14">
      <c r="A14" s="30" t="s">
        <v>33</v>
      </c>
      <c r="B14" s="22" t="s">
        <v>27</v>
      </c>
      <c r="C14" s="22" t="s">
        <v>28</v>
      </c>
      <c r="D14" s="24" t="s">
        <v>30</v>
      </c>
      <c r="E14" s="25" t="n">
        <f>114054</f>
        <v>114054.0</v>
      </c>
      <c r="F14" s="23" t="s">
        <v>30</v>
      </c>
      <c r="G14" s="25" t="n">
        <f>79260</f>
        <v>79260.0</v>
      </c>
      <c r="H14" s="23" t="s">
        <v>30</v>
      </c>
      <c r="I14" s="26" t="n">
        <f>193314</f>
        <v>193314.0</v>
      </c>
      <c r="J14" s="24" t="s">
        <v>30</v>
      </c>
      <c r="K14" s="25" t="n">
        <f>30613827080</f>
        <v>3.061382708E10</v>
      </c>
      <c r="L14" s="23"/>
      <c r="M14" s="25" t="n">
        <f>22043914330</f>
        <v>2.204391433E10</v>
      </c>
      <c r="N14" s="23" t="s">
        <v>30</v>
      </c>
      <c r="O14" s="26" t="n">
        <f>52657741410</f>
        <v>5.265774141E10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22289</f>
        <v>22289.0</v>
      </c>
      <c r="U14" s="23"/>
      <c r="V14" s="25" t="n">
        <f>13728</f>
        <v>13728.0</v>
      </c>
      <c r="W14" s="23"/>
      <c r="X14" s="26" t="n">
        <f>36017</f>
        <v>36017.0</v>
      </c>
      <c r="Y14" s="24"/>
      <c r="Z14" s="25" t="n">
        <f>952878</f>
        <v>952878.0</v>
      </c>
      <c r="AA14" s="23"/>
      <c r="AB14" s="25" t="n">
        <f>583660</f>
        <v>583660.0</v>
      </c>
      <c r="AC14" s="23"/>
      <c r="AD14" s="26" t="n">
        <f>1536538</f>
        <v>1536538.0</v>
      </c>
    </row>
    <row r="15">
      <c r="A15" s="30" t="s">
        <v>34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35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36</v>
      </c>
      <c r="B17" s="22" t="s">
        <v>27</v>
      </c>
      <c r="C17" s="22" t="s">
        <v>28</v>
      </c>
      <c r="D17" s="24"/>
      <c r="E17" s="25" t="n">
        <f>97426</f>
        <v>97426.0</v>
      </c>
      <c r="F17" s="23"/>
      <c r="G17" s="25" t="n">
        <f>64963</f>
        <v>64963.0</v>
      </c>
      <c r="H17" s="23"/>
      <c r="I17" s="26" t="n">
        <f>162389</f>
        <v>162389.0</v>
      </c>
      <c r="J17" s="24"/>
      <c r="K17" s="25" t="n">
        <f>17952421240</f>
        <v>1.795242124E10</v>
      </c>
      <c r="L17" s="23"/>
      <c r="M17" s="25" t="n">
        <f>12230655050</f>
        <v>1.223065505E10</v>
      </c>
      <c r="N17" s="23"/>
      <c r="O17" s="26" t="n">
        <f>30183076290</f>
        <v>3.018307629E10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13720</f>
        <v>13720.0</v>
      </c>
      <c r="U17" s="23"/>
      <c r="V17" s="25" t="n">
        <f>11268</f>
        <v>11268.0</v>
      </c>
      <c r="W17" s="23"/>
      <c r="X17" s="26" t="n">
        <f>24988</f>
        <v>24988.0</v>
      </c>
      <c r="Y17" s="24"/>
      <c r="Z17" s="25" t="n">
        <f>952210</f>
        <v>952210.0</v>
      </c>
      <c r="AA17" s="23"/>
      <c r="AB17" s="25" t="n">
        <f>589438</f>
        <v>589438.0</v>
      </c>
      <c r="AC17" s="23"/>
      <c r="AD17" s="26" t="n">
        <f>1541648</f>
        <v>1541648.0</v>
      </c>
    </row>
    <row r="18">
      <c r="A18" s="30" t="s">
        <v>37</v>
      </c>
      <c r="B18" s="22" t="s">
        <v>27</v>
      </c>
      <c r="C18" s="22" t="s">
        <v>28</v>
      </c>
      <c r="D18" s="24"/>
      <c r="E18" s="25" t="n">
        <f>100914</f>
        <v>100914.0</v>
      </c>
      <c r="F18" s="23"/>
      <c r="G18" s="25" t="n">
        <f>67637</f>
        <v>67637.0</v>
      </c>
      <c r="H18" s="23"/>
      <c r="I18" s="26" t="n">
        <f>168551</f>
        <v>168551.0</v>
      </c>
      <c r="J18" s="24"/>
      <c r="K18" s="25" t="n">
        <f>24302168118</f>
        <v>2.4302168118E10</v>
      </c>
      <c r="L18" s="23"/>
      <c r="M18" s="25" t="n">
        <f>12731710896</f>
        <v>1.2731710896E10</v>
      </c>
      <c r="N18" s="23"/>
      <c r="O18" s="26" t="n">
        <f>37033879014</f>
        <v>3.7033879014E10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22116</f>
        <v>22116.0</v>
      </c>
      <c r="U18" s="23"/>
      <c r="V18" s="25" t="n">
        <f>14299</f>
        <v>14299.0</v>
      </c>
      <c r="W18" s="23" t="s">
        <v>30</v>
      </c>
      <c r="X18" s="26" t="n">
        <f>36415</f>
        <v>36415.0</v>
      </c>
      <c r="Y18" s="24"/>
      <c r="Z18" s="25" t="n">
        <f>963270</f>
        <v>963270.0</v>
      </c>
      <c r="AA18" s="23"/>
      <c r="AB18" s="25" t="n">
        <f>590390</f>
        <v>590390.0</v>
      </c>
      <c r="AC18" s="23"/>
      <c r="AD18" s="26" t="n">
        <f>1553660</f>
        <v>1553660.0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70558</f>
        <v>70558.0</v>
      </c>
      <c r="F19" s="23"/>
      <c r="G19" s="25" t="n">
        <f>52894</f>
        <v>52894.0</v>
      </c>
      <c r="H19" s="23"/>
      <c r="I19" s="26" t="n">
        <f>123452</f>
        <v>123452.0</v>
      </c>
      <c r="J19" s="24"/>
      <c r="K19" s="25" t="n">
        <f>16118713400</f>
        <v>1.61187134E10</v>
      </c>
      <c r="L19" s="23"/>
      <c r="M19" s="25" t="n">
        <f>15939836750</f>
        <v>1.593983675E10</v>
      </c>
      <c r="N19" s="23"/>
      <c r="O19" s="26" t="n">
        <f>32058550150</f>
        <v>3.205855015E10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9652</f>
        <v>9652.0</v>
      </c>
      <c r="U19" s="23"/>
      <c r="V19" s="25" t="n">
        <f>9298</f>
        <v>9298.0</v>
      </c>
      <c r="W19" s="23"/>
      <c r="X19" s="26" t="n">
        <f>18950</f>
        <v>18950.0</v>
      </c>
      <c r="Y19" s="24"/>
      <c r="Z19" s="25" t="n">
        <f>969470</f>
        <v>969470.0</v>
      </c>
      <c r="AA19" s="23"/>
      <c r="AB19" s="25" t="n">
        <f>593079</f>
        <v>593079.0</v>
      </c>
      <c r="AC19" s="23"/>
      <c r="AD19" s="26" t="n">
        <f>1562549</f>
        <v>1562549.0</v>
      </c>
    </row>
    <row r="20">
      <c r="A20" s="30" t="s">
        <v>39</v>
      </c>
      <c r="B20" s="22" t="s">
        <v>27</v>
      </c>
      <c r="C20" s="22" t="s">
        <v>28</v>
      </c>
      <c r="D20" s="24"/>
      <c r="E20" s="25" t="n">
        <f>76093</f>
        <v>76093.0</v>
      </c>
      <c r="F20" s="23"/>
      <c r="G20" s="25" t="n">
        <f>53894</f>
        <v>53894.0</v>
      </c>
      <c r="H20" s="23"/>
      <c r="I20" s="26" t="n">
        <f>129987</f>
        <v>129987.0</v>
      </c>
      <c r="J20" s="24"/>
      <c r="K20" s="25" t="n">
        <f>20761408680</f>
        <v>2.076140868E10</v>
      </c>
      <c r="L20" s="23"/>
      <c r="M20" s="25" t="n">
        <f>9788354240</f>
        <v>9.78835424E9</v>
      </c>
      <c r="N20" s="23"/>
      <c r="O20" s="26" t="n">
        <f>30549762920</f>
        <v>3.054976292E10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13108</f>
        <v>13108.0</v>
      </c>
      <c r="U20" s="23"/>
      <c r="V20" s="25" t="n">
        <f>8366</f>
        <v>8366.0</v>
      </c>
      <c r="W20" s="23"/>
      <c r="X20" s="26" t="n">
        <f>21474</f>
        <v>21474.0</v>
      </c>
      <c r="Y20" s="24" t="s">
        <v>30</v>
      </c>
      <c r="Z20" s="25" t="n">
        <f>988643</f>
        <v>988643.0</v>
      </c>
      <c r="AA20" s="23" t="s">
        <v>30</v>
      </c>
      <c r="AB20" s="25" t="n">
        <f>600890</f>
        <v>600890.0</v>
      </c>
      <c r="AC20" s="23" t="s">
        <v>30</v>
      </c>
      <c r="AD20" s="26" t="n">
        <f>1589533</f>
        <v>1589533.0</v>
      </c>
    </row>
    <row r="21">
      <c r="A21" s="30" t="s">
        <v>40</v>
      </c>
      <c r="B21" s="22" t="s">
        <v>27</v>
      </c>
      <c r="C21" s="22" t="s">
        <v>28</v>
      </c>
      <c r="D21" s="24"/>
      <c r="E21" s="25" t="n">
        <f>56698</f>
        <v>56698.0</v>
      </c>
      <c r="F21" s="23"/>
      <c r="G21" s="25" t="n">
        <f>35519</f>
        <v>35519.0</v>
      </c>
      <c r="H21" s="23"/>
      <c r="I21" s="26" t="n">
        <f>92217</f>
        <v>92217.0</v>
      </c>
      <c r="J21" s="24"/>
      <c r="K21" s="25" t="n">
        <f>21792670953</f>
        <v>2.1792670953E10</v>
      </c>
      <c r="L21" s="23"/>
      <c r="M21" s="25" t="n">
        <f>7377752130</f>
        <v>7.37775213E9</v>
      </c>
      <c r="N21" s="23"/>
      <c r="O21" s="26" t="n">
        <f>29170423083</f>
        <v>2.9170423083E10</v>
      </c>
      <c r="P21" s="27" t="n">
        <f>12556</f>
        <v>12556.0</v>
      </c>
      <c r="Q21" s="28" t="n">
        <f>67206</f>
        <v>67206.0</v>
      </c>
      <c r="R21" s="29" t="n">
        <f>79762</f>
        <v>79762.0</v>
      </c>
      <c r="S21" s="24"/>
      <c r="T21" s="25" t="n">
        <f>10279</f>
        <v>10279.0</v>
      </c>
      <c r="U21" s="23"/>
      <c r="V21" s="25" t="n">
        <f>8114</f>
        <v>8114.0</v>
      </c>
      <c r="W21" s="23"/>
      <c r="X21" s="26" t="n">
        <f>18393</f>
        <v>18393.0</v>
      </c>
      <c r="Y21" s="24" t="s">
        <v>41</v>
      </c>
      <c r="Z21" s="25" t="n">
        <f>787749</f>
        <v>787749.0</v>
      </c>
      <c r="AA21" s="23" t="s">
        <v>41</v>
      </c>
      <c r="AB21" s="25" t="n">
        <f>466024</f>
        <v>466024.0</v>
      </c>
      <c r="AC21" s="23" t="s">
        <v>41</v>
      </c>
      <c r="AD21" s="26" t="n">
        <f>1253773</f>
        <v>1253773.0</v>
      </c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 t="n">
        <f>51180</f>
        <v>51180.0</v>
      </c>
      <c r="F24" s="23"/>
      <c r="G24" s="25" t="n">
        <f>30697</f>
        <v>30697.0</v>
      </c>
      <c r="H24" s="23"/>
      <c r="I24" s="26" t="n">
        <f>81877</f>
        <v>81877.0</v>
      </c>
      <c r="J24" s="24"/>
      <c r="K24" s="25" t="n">
        <f>13107426110</f>
        <v>1.310742611E10</v>
      </c>
      <c r="L24" s="23"/>
      <c r="M24" s="25" t="n">
        <f>10477361110</f>
        <v>1.047736111E10</v>
      </c>
      <c r="N24" s="23"/>
      <c r="O24" s="26" t="n">
        <f>23584787220</f>
        <v>2.358478722E10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8955</f>
        <v>8955.0</v>
      </c>
      <c r="U24" s="23"/>
      <c r="V24" s="25" t="n">
        <f>6565</f>
        <v>6565.0</v>
      </c>
      <c r="W24" s="23"/>
      <c r="X24" s="26" t="n">
        <f>15520</f>
        <v>15520.0</v>
      </c>
      <c r="Y24" s="24"/>
      <c r="Z24" s="25" t="n">
        <f>802679</f>
        <v>802679.0</v>
      </c>
      <c r="AA24" s="23"/>
      <c r="AB24" s="25" t="n">
        <f>472242</f>
        <v>472242.0</v>
      </c>
      <c r="AC24" s="23"/>
      <c r="AD24" s="26" t="n">
        <f>1274921</f>
        <v>1274921.0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54957</f>
        <v>54957.0</v>
      </c>
      <c r="F25" s="23"/>
      <c r="G25" s="25" t="n">
        <f>33856</f>
        <v>33856.0</v>
      </c>
      <c r="H25" s="23"/>
      <c r="I25" s="26" t="n">
        <f>88813</f>
        <v>88813.0</v>
      </c>
      <c r="J25" s="24"/>
      <c r="K25" s="25" t="n">
        <f>11116967792</f>
        <v>1.1116967792E10</v>
      </c>
      <c r="L25" s="23"/>
      <c r="M25" s="25" t="n">
        <f>17641307400</f>
        <v>1.76413074E10</v>
      </c>
      <c r="N25" s="23"/>
      <c r="O25" s="26" t="n">
        <f>28758275192</f>
        <v>2.8758275192E10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6080</f>
        <v>6080.0</v>
      </c>
      <c r="U25" s="23"/>
      <c r="V25" s="25" t="n">
        <f>10003</f>
        <v>10003.0</v>
      </c>
      <c r="W25" s="23"/>
      <c r="X25" s="26" t="n">
        <f>16083</f>
        <v>16083.0</v>
      </c>
      <c r="Y25" s="24"/>
      <c r="Z25" s="25" t="n">
        <f>816108</f>
        <v>816108.0</v>
      </c>
      <c r="AA25" s="23"/>
      <c r="AB25" s="25" t="n">
        <f>479491</f>
        <v>479491.0</v>
      </c>
      <c r="AC25" s="23"/>
      <c r="AD25" s="26" t="n">
        <f>1295599</f>
        <v>1295599.0</v>
      </c>
    </row>
    <row r="26">
      <c r="A26" s="30" t="s">
        <v>46</v>
      </c>
      <c r="B26" s="22" t="s">
        <v>27</v>
      </c>
      <c r="C26" s="22" t="s">
        <v>28</v>
      </c>
      <c r="D26" s="24" t="s">
        <v>41</v>
      </c>
      <c r="E26" s="25" t="n">
        <f>39799</f>
        <v>39799.0</v>
      </c>
      <c r="F26" s="23" t="s">
        <v>41</v>
      </c>
      <c r="G26" s="25" t="n">
        <f>25979</f>
        <v>25979.0</v>
      </c>
      <c r="H26" s="23" t="s">
        <v>41</v>
      </c>
      <c r="I26" s="26" t="n">
        <f>65778</f>
        <v>65778.0</v>
      </c>
      <c r="J26" s="24"/>
      <c r="K26" s="25" t="n">
        <f>11383652700</f>
        <v>1.13836527E10</v>
      </c>
      <c r="L26" s="23"/>
      <c r="M26" s="25" t="n">
        <f>16008922200</f>
        <v>1.60089222E10</v>
      </c>
      <c r="N26" s="23"/>
      <c r="O26" s="26" t="n">
        <f>27392574900</f>
        <v>2.73925749E10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5538</f>
        <v>5538.0</v>
      </c>
      <c r="U26" s="23" t="s">
        <v>41</v>
      </c>
      <c r="V26" s="25" t="n">
        <f>4537</f>
        <v>4537.0</v>
      </c>
      <c r="W26" s="23"/>
      <c r="X26" s="26" t="n">
        <f>10075</f>
        <v>10075.0</v>
      </c>
      <c r="Y26" s="24"/>
      <c r="Z26" s="25" t="n">
        <f>822189</f>
        <v>822189.0</v>
      </c>
      <c r="AA26" s="23"/>
      <c r="AB26" s="25" t="n">
        <f>482457</f>
        <v>482457.0</v>
      </c>
      <c r="AC26" s="23"/>
      <c r="AD26" s="26" t="n">
        <f>1304646</f>
        <v>1304646.0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49936</f>
        <v>49936.0</v>
      </c>
      <c r="F27" s="23"/>
      <c r="G27" s="25" t="n">
        <f>40243</f>
        <v>40243.0</v>
      </c>
      <c r="H27" s="23"/>
      <c r="I27" s="26" t="n">
        <f>90179</f>
        <v>90179.0</v>
      </c>
      <c r="J27" s="24"/>
      <c r="K27" s="25" t="n">
        <f>13476592324</f>
        <v>1.3476592324E10</v>
      </c>
      <c r="L27" s="23" t="s">
        <v>30</v>
      </c>
      <c r="M27" s="25" t="n">
        <f>23152316000</f>
        <v>2.3152316E10</v>
      </c>
      <c r="N27" s="23"/>
      <c r="O27" s="26" t="n">
        <f>36628908324</f>
        <v>3.6628908324E10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 t="s">
        <v>41</v>
      </c>
      <c r="T27" s="25" t="n">
        <f>4847</f>
        <v>4847.0</v>
      </c>
      <c r="U27" s="23"/>
      <c r="V27" s="25" t="n">
        <f>7307</f>
        <v>7307.0</v>
      </c>
      <c r="W27" s="23"/>
      <c r="X27" s="26" t="n">
        <f>12154</f>
        <v>12154.0</v>
      </c>
      <c r="Y27" s="24"/>
      <c r="Z27" s="25" t="n">
        <f>830398</f>
        <v>830398.0</v>
      </c>
      <c r="AA27" s="23"/>
      <c r="AB27" s="25" t="n">
        <f>486903</f>
        <v>486903.0</v>
      </c>
      <c r="AC27" s="23"/>
      <c r="AD27" s="26" t="n">
        <f>1317301</f>
        <v>1317301.0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50418</f>
        <v>50418.0</v>
      </c>
      <c r="F28" s="23"/>
      <c r="G28" s="25" t="n">
        <f>33429</f>
        <v>33429.0</v>
      </c>
      <c r="H28" s="23"/>
      <c r="I28" s="26" t="n">
        <f>83847</f>
        <v>83847.0</v>
      </c>
      <c r="J28" s="24"/>
      <c r="K28" s="25" t="n">
        <f>11894238456</f>
        <v>1.1894238456E10</v>
      </c>
      <c r="L28" s="23"/>
      <c r="M28" s="25" t="n">
        <f>8964014482</f>
        <v>8.964014482E9</v>
      </c>
      <c r="N28" s="23"/>
      <c r="O28" s="26" t="n">
        <f>20858252938</f>
        <v>2.0858252938E10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6668</f>
        <v>6668.0</v>
      </c>
      <c r="U28" s="23"/>
      <c r="V28" s="25" t="n">
        <f>5621</f>
        <v>5621.0</v>
      </c>
      <c r="W28" s="23"/>
      <c r="X28" s="26" t="n">
        <f>12289</f>
        <v>12289.0</v>
      </c>
      <c r="Y28" s="24"/>
      <c r="Z28" s="25" t="n">
        <f>840247</f>
        <v>840247.0</v>
      </c>
      <c r="AA28" s="23"/>
      <c r="AB28" s="25" t="n">
        <f>491365</f>
        <v>491365.0</v>
      </c>
      <c r="AC28" s="23"/>
      <c r="AD28" s="26" t="n">
        <f>1331612</f>
        <v>1331612.0</v>
      </c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 t="n">
        <f>74682</f>
        <v>74682.0</v>
      </c>
      <c r="F31" s="23"/>
      <c r="G31" s="25" t="n">
        <f>42130</f>
        <v>42130.0</v>
      </c>
      <c r="H31" s="23"/>
      <c r="I31" s="26" t="n">
        <f>116812</f>
        <v>116812.0</v>
      </c>
      <c r="J31" s="24"/>
      <c r="K31" s="25" t="n">
        <f>18015265464</f>
        <v>1.8015265464E10</v>
      </c>
      <c r="L31" s="23"/>
      <c r="M31" s="25" t="n">
        <f>11287581000</f>
        <v>1.1287581E10</v>
      </c>
      <c r="N31" s="23"/>
      <c r="O31" s="26" t="n">
        <f>29302846464</f>
        <v>2.9302846464E10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21773</f>
        <v>21773.0</v>
      </c>
      <c r="U31" s="23"/>
      <c r="V31" s="25" t="n">
        <f>6750</f>
        <v>6750.0</v>
      </c>
      <c r="W31" s="23"/>
      <c r="X31" s="26" t="n">
        <f>28523</f>
        <v>28523.0</v>
      </c>
      <c r="Y31" s="24"/>
      <c r="Z31" s="25" t="n">
        <f>856204</f>
        <v>856204.0</v>
      </c>
      <c r="AA31" s="23"/>
      <c r="AB31" s="25" t="n">
        <f>497927</f>
        <v>497927.0</v>
      </c>
      <c r="AC31" s="23"/>
      <c r="AD31" s="26" t="n">
        <f>1354131</f>
        <v>1354131.0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51753</f>
        <v>51753.0</v>
      </c>
      <c r="F32" s="23"/>
      <c r="G32" s="25" t="n">
        <f>34326</f>
        <v>34326.0</v>
      </c>
      <c r="H32" s="23"/>
      <c r="I32" s="26" t="n">
        <f>86079</f>
        <v>86079.0</v>
      </c>
      <c r="J32" s="24"/>
      <c r="K32" s="25" t="n">
        <f>13531935952</f>
        <v>1.3531935952E10</v>
      </c>
      <c r="L32" s="23" t="s">
        <v>41</v>
      </c>
      <c r="M32" s="25" t="n">
        <f>4435666300</f>
        <v>4.4356663E9</v>
      </c>
      <c r="N32" s="23"/>
      <c r="O32" s="26" t="n">
        <f>17967602252</f>
        <v>1.7967602252E10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7956</f>
        <v>7956.0</v>
      </c>
      <c r="U32" s="23"/>
      <c r="V32" s="25" t="n">
        <f>5918</f>
        <v>5918.0</v>
      </c>
      <c r="W32" s="23"/>
      <c r="X32" s="26" t="n">
        <f>13874</f>
        <v>13874.0</v>
      </c>
      <c r="Y32" s="24"/>
      <c r="Z32" s="25" t="n">
        <f>855820</f>
        <v>855820.0</v>
      </c>
      <c r="AA32" s="23"/>
      <c r="AB32" s="25" t="n">
        <f>499464</f>
        <v>499464.0</v>
      </c>
      <c r="AC32" s="23"/>
      <c r="AD32" s="26" t="n">
        <f>1355284</f>
        <v>1355284.0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80996</f>
        <v>80996.0</v>
      </c>
      <c r="F33" s="23"/>
      <c r="G33" s="25" t="n">
        <f>54217</f>
        <v>54217.0</v>
      </c>
      <c r="H33" s="23"/>
      <c r="I33" s="26" t="n">
        <f>135213</f>
        <v>135213.0</v>
      </c>
      <c r="J33" s="24"/>
      <c r="K33" s="25" t="n">
        <f>26591958237</f>
        <v>2.6591958237E10</v>
      </c>
      <c r="L33" s="23"/>
      <c r="M33" s="25" t="n">
        <f>13539268000</f>
        <v>1.3539268E10</v>
      </c>
      <c r="N33" s="23"/>
      <c r="O33" s="26" t="n">
        <f>40131226237</f>
        <v>4.0131226237E10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17131</f>
        <v>17131.0</v>
      </c>
      <c r="U33" s="23"/>
      <c r="V33" s="25" t="n">
        <f>12234</f>
        <v>12234.0</v>
      </c>
      <c r="W33" s="23"/>
      <c r="X33" s="26" t="n">
        <f>29365</f>
        <v>29365.0</v>
      </c>
      <c r="Y33" s="24"/>
      <c r="Z33" s="25" t="n">
        <f>861639</f>
        <v>861639.0</v>
      </c>
      <c r="AA33" s="23"/>
      <c r="AB33" s="25" t="n">
        <f>512494</f>
        <v>512494.0</v>
      </c>
      <c r="AC33" s="23"/>
      <c r="AD33" s="26" t="n">
        <f>1374133</f>
        <v>1374133.0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63220</f>
        <v>63220.0</v>
      </c>
      <c r="F34" s="23"/>
      <c r="G34" s="25" t="n">
        <f>45820</f>
        <v>45820.0</v>
      </c>
      <c r="H34" s="23"/>
      <c r="I34" s="26" t="n">
        <f>109040</f>
        <v>109040.0</v>
      </c>
      <c r="J34" s="24"/>
      <c r="K34" s="25" t="n">
        <f>19514380384</f>
        <v>1.9514380384E10</v>
      </c>
      <c r="L34" s="23"/>
      <c r="M34" s="25" t="n">
        <f>7845971000</f>
        <v>7.845971E9</v>
      </c>
      <c r="N34" s="23"/>
      <c r="O34" s="26" t="n">
        <f>27360351384</f>
        <v>2.7360351384E10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17447</f>
        <v>17447.0</v>
      </c>
      <c r="U34" s="23"/>
      <c r="V34" s="25" t="n">
        <f>5774</f>
        <v>5774.0</v>
      </c>
      <c r="W34" s="23"/>
      <c r="X34" s="26" t="n">
        <f>23221</f>
        <v>23221.0</v>
      </c>
      <c r="Y34" s="24"/>
      <c r="Z34" s="25" t="n">
        <f>866847</f>
        <v>866847.0</v>
      </c>
      <c r="AA34" s="23"/>
      <c r="AB34" s="25" t="n">
        <f>522236</f>
        <v>522236.0</v>
      </c>
      <c r="AC34" s="23"/>
      <c r="AD34" s="26" t="n">
        <f>1389083</f>
        <v>1389083.0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73292</f>
        <v>73292.0</v>
      </c>
      <c r="F35" s="23"/>
      <c r="G35" s="25" t="n">
        <f>52739</f>
        <v>52739.0</v>
      </c>
      <c r="H35" s="23"/>
      <c r="I35" s="26" t="n">
        <f>126031</f>
        <v>126031.0</v>
      </c>
      <c r="J35" s="24"/>
      <c r="K35" s="25" t="n">
        <f>16106483750</f>
        <v>1.610648375E10</v>
      </c>
      <c r="L35" s="23"/>
      <c r="M35" s="25" t="n">
        <f>10103927000</f>
        <v>1.0103927E10</v>
      </c>
      <c r="N35" s="23"/>
      <c r="O35" s="26" t="n">
        <f>26210410750</f>
        <v>2.621041075E10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11416</f>
        <v>11416.0</v>
      </c>
      <c r="U35" s="23"/>
      <c r="V35" s="25" t="n">
        <f>8553</f>
        <v>8553.0</v>
      </c>
      <c r="W35" s="23"/>
      <c r="X35" s="26" t="n">
        <f>19969</f>
        <v>19969.0</v>
      </c>
      <c r="Y35" s="24"/>
      <c r="Z35" s="25" t="n">
        <f>877480</f>
        <v>877480.0</v>
      </c>
      <c r="AA35" s="23"/>
      <c r="AB35" s="25" t="n">
        <f>526716</f>
        <v>526716.0</v>
      </c>
      <c r="AC35" s="23"/>
      <c r="AD35" s="26" t="n">
        <f>1404196</f>
        <v>1404196.0</v>
      </c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/>
      <c r="E38" s="25" t="n">
        <f>85884</f>
        <v>85884.0</v>
      </c>
      <c r="F38" s="23"/>
      <c r="G38" s="25" t="n">
        <f>45002</f>
        <v>45002.0</v>
      </c>
      <c r="H38" s="23"/>
      <c r="I38" s="26" t="n">
        <f>130886</f>
        <v>130886.0</v>
      </c>
      <c r="J38" s="24"/>
      <c r="K38" s="25" t="n">
        <f>16828036006</f>
        <v>1.6828036006E10</v>
      </c>
      <c r="L38" s="23"/>
      <c r="M38" s="25" t="n">
        <f>13510057683</f>
        <v>1.3510057683E10</v>
      </c>
      <c r="N38" s="23"/>
      <c r="O38" s="26" t="n">
        <f>30338093689</f>
        <v>3.0338093689E10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 t="s">
        <v>30</v>
      </c>
      <c r="T38" s="25" t="n">
        <f>25638</f>
        <v>25638.0</v>
      </c>
      <c r="U38" s="23"/>
      <c r="V38" s="25" t="n">
        <f>9408</f>
        <v>9408.0</v>
      </c>
      <c r="W38" s="23"/>
      <c r="X38" s="26" t="n">
        <f>35046</f>
        <v>35046.0</v>
      </c>
      <c r="Y38" s="24"/>
      <c r="Z38" s="25" t="n">
        <f>879809</f>
        <v>879809.0</v>
      </c>
      <c r="AA38" s="23"/>
      <c r="AB38" s="25" t="n">
        <f>531247</f>
        <v>531247.0</v>
      </c>
      <c r="AC38" s="23"/>
      <c r="AD38" s="26" t="n">
        <f>1411056</f>
        <v>1411056.0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52818</f>
        <v>52818.0</v>
      </c>
      <c r="F39" s="23"/>
      <c r="G39" s="25" t="n">
        <f>32549</f>
        <v>32549.0</v>
      </c>
      <c r="H39" s="23"/>
      <c r="I39" s="26" t="n">
        <f>85367</f>
        <v>85367.0</v>
      </c>
      <c r="J39" s="24" t="s">
        <v>41</v>
      </c>
      <c r="K39" s="25" t="n">
        <f>8127013000</f>
        <v>8.127013E9</v>
      </c>
      <c r="L39" s="23"/>
      <c r="M39" s="25" t="n">
        <f>7581826000</f>
        <v>7.581826E9</v>
      </c>
      <c r="N39" s="23" t="s">
        <v>41</v>
      </c>
      <c r="O39" s="26" t="n">
        <f>15708839000</f>
        <v>1.5708839E10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6799</f>
        <v>6799.0</v>
      </c>
      <c r="U39" s="23"/>
      <c r="V39" s="25" t="n">
        <f>5922</f>
        <v>5922.0</v>
      </c>
      <c r="W39" s="23"/>
      <c r="X39" s="26" t="n">
        <f>12721</f>
        <v>12721.0</v>
      </c>
      <c r="Y39" s="24"/>
      <c r="Z39" s="25" t="n">
        <f>885680</f>
        <v>885680.0</v>
      </c>
      <c r="AA39" s="23"/>
      <c r="AB39" s="25" t="n">
        <f>532750</f>
        <v>532750.0</v>
      </c>
      <c r="AC39" s="23"/>
      <c r="AD39" s="26" t="n">
        <f>1418430</f>
        <v>1418430.0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48144</f>
        <v>48144.0</v>
      </c>
      <c r="F40" s="23"/>
      <c r="G40" s="25" t="n">
        <f>29338</f>
        <v>29338.0</v>
      </c>
      <c r="H40" s="23"/>
      <c r="I40" s="26" t="n">
        <f>77482</f>
        <v>77482.0</v>
      </c>
      <c r="J40" s="24"/>
      <c r="K40" s="25" t="n">
        <f>14781212250</f>
        <v>1.478121225E10</v>
      </c>
      <c r="L40" s="23"/>
      <c r="M40" s="25" t="n">
        <f>12515947320</f>
        <v>1.251594732E10</v>
      </c>
      <c r="N40" s="23"/>
      <c r="O40" s="26" t="n">
        <f>27297159570</f>
        <v>2.729715957E10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4916</f>
        <v>4916.0</v>
      </c>
      <c r="U40" s="23"/>
      <c r="V40" s="25" t="n">
        <f>4747</f>
        <v>4747.0</v>
      </c>
      <c r="W40" s="23" t="s">
        <v>41</v>
      </c>
      <c r="X40" s="26" t="n">
        <f>9663</f>
        <v>9663.0</v>
      </c>
      <c r="Y40" s="24"/>
      <c r="Z40" s="25" t="n">
        <f>890851</f>
        <v>890851.0</v>
      </c>
      <c r="AA40" s="23"/>
      <c r="AB40" s="25" t="n">
        <f>539667</f>
        <v>539667.0</v>
      </c>
      <c r="AC40" s="23"/>
      <c r="AD40" s="26" t="n">
        <f>1430518</f>
        <v>1430518.0</v>
      </c>
    </row>
    <row r="41">
      <c r="A41" s="30" t="s">
        <v>26</v>
      </c>
      <c r="B41" s="22" t="s">
        <v>61</v>
      </c>
      <c r="C41" s="22" t="s">
        <v>62</v>
      </c>
      <c r="D41" s="24"/>
      <c r="E41" s="25" t="n">
        <f>994</f>
        <v>994.0</v>
      </c>
      <c r="F41" s="23"/>
      <c r="G41" s="25" t="n">
        <f>934</f>
        <v>934.0</v>
      </c>
      <c r="H41" s="23"/>
      <c r="I41" s="26" t="n">
        <f>1928</f>
        <v>1928.0</v>
      </c>
      <c r="J41" s="24"/>
      <c r="K41" s="25" t="n">
        <f>62254000</f>
        <v>6.2254E7</v>
      </c>
      <c r="L41" s="23"/>
      <c r="M41" s="25" t="n">
        <f>63889000</f>
        <v>6.3889E7</v>
      </c>
      <c r="N41" s="23"/>
      <c r="O41" s="26" t="n">
        <f>126143000</f>
        <v>1.26143E8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70</f>
        <v>70.0</v>
      </c>
      <c r="U41" s="23"/>
      <c r="V41" s="25" t="n">
        <f>102</f>
        <v>102.0</v>
      </c>
      <c r="W41" s="23"/>
      <c r="X41" s="26" t="n">
        <f>172</f>
        <v>172.0</v>
      </c>
      <c r="Y41" s="24"/>
      <c r="Z41" s="25" t="n">
        <f>1621</f>
        <v>1621.0</v>
      </c>
      <c r="AA41" s="23"/>
      <c r="AB41" s="25" t="n">
        <f>1750</f>
        <v>1750.0</v>
      </c>
      <c r="AC41" s="23"/>
      <c r="AD41" s="26" t="n">
        <f>3371</f>
        <v>3371.0</v>
      </c>
    </row>
    <row r="42">
      <c r="A42" s="30" t="s">
        <v>29</v>
      </c>
      <c r="B42" s="22" t="s">
        <v>61</v>
      </c>
      <c r="C42" s="22" t="s">
        <v>62</v>
      </c>
      <c r="D42" s="24"/>
      <c r="E42" s="25" t="n">
        <f>1993</f>
        <v>1993.0</v>
      </c>
      <c r="F42" s="23"/>
      <c r="G42" s="25" t="n">
        <f>1222</f>
        <v>1222.0</v>
      </c>
      <c r="H42" s="23"/>
      <c r="I42" s="26" t="n">
        <f>3215</f>
        <v>3215.0</v>
      </c>
      <c r="J42" s="24"/>
      <c r="K42" s="25" t="n">
        <f>92136610</f>
        <v>9.213661E7</v>
      </c>
      <c r="L42" s="23"/>
      <c r="M42" s="25" t="n">
        <f>83556000</f>
        <v>8.3556E7</v>
      </c>
      <c r="N42" s="23"/>
      <c r="O42" s="26" t="n">
        <f>175692610</f>
        <v>1.7569261E8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175</f>
        <v>175.0</v>
      </c>
      <c r="U42" s="23"/>
      <c r="V42" s="25" t="n">
        <f>112</f>
        <v>112.0</v>
      </c>
      <c r="W42" s="23"/>
      <c r="X42" s="26" t="n">
        <f>287</f>
        <v>287.0</v>
      </c>
      <c r="Y42" s="24"/>
      <c r="Z42" s="25" t="n">
        <f>2218</f>
        <v>2218.0</v>
      </c>
      <c r="AA42" s="23"/>
      <c r="AB42" s="25" t="n">
        <f>2023</f>
        <v>2023.0</v>
      </c>
      <c r="AC42" s="23"/>
      <c r="AD42" s="26" t="n">
        <f>4241</f>
        <v>4241.0</v>
      </c>
    </row>
    <row r="43">
      <c r="A43" s="30" t="s">
        <v>31</v>
      </c>
      <c r="B43" s="22" t="s">
        <v>61</v>
      </c>
      <c r="C43" s="22" t="s">
        <v>62</v>
      </c>
      <c r="D43" s="24"/>
      <c r="E43" s="25" t="n">
        <f>1229</f>
        <v>1229.0</v>
      </c>
      <c r="F43" s="23"/>
      <c r="G43" s="25" t="n">
        <f>1186</f>
        <v>1186.0</v>
      </c>
      <c r="H43" s="23"/>
      <c r="I43" s="26" t="n">
        <f>2415</f>
        <v>2415.0</v>
      </c>
      <c r="J43" s="24"/>
      <c r="K43" s="25" t="n">
        <f>63161000</f>
        <v>6.3161E7</v>
      </c>
      <c r="L43" s="23"/>
      <c r="M43" s="25" t="n">
        <f>62332000</f>
        <v>6.2332E7</v>
      </c>
      <c r="N43" s="23"/>
      <c r="O43" s="26" t="n">
        <f>125493000</f>
        <v>1.25493E8</v>
      </c>
      <c r="P43" s="27" t="str">
        <f>"－"</f>
        <v>－</v>
      </c>
      <c r="Q43" s="28" t="str">
        <f>"－"</f>
        <v>－</v>
      </c>
      <c r="R43" s="29" t="str">
        <f>"－"</f>
        <v>－</v>
      </c>
      <c r="S43" s="24"/>
      <c r="T43" s="25" t="n">
        <f>117</f>
        <v>117.0</v>
      </c>
      <c r="U43" s="23"/>
      <c r="V43" s="25" t="n">
        <f>147</f>
        <v>147.0</v>
      </c>
      <c r="W43" s="23"/>
      <c r="X43" s="26" t="n">
        <f>264</f>
        <v>264.0</v>
      </c>
      <c r="Y43" s="24"/>
      <c r="Z43" s="25" t="n">
        <f>2590</f>
        <v>2590.0</v>
      </c>
      <c r="AA43" s="23"/>
      <c r="AB43" s="25" t="n">
        <f>2143</f>
        <v>2143.0</v>
      </c>
      <c r="AC43" s="23"/>
      <c r="AD43" s="26" t="n">
        <f>4733</f>
        <v>4733.0</v>
      </c>
    </row>
    <row r="44">
      <c r="A44" s="30" t="s">
        <v>32</v>
      </c>
      <c r="B44" s="22" t="s">
        <v>61</v>
      </c>
      <c r="C44" s="22" t="s">
        <v>62</v>
      </c>
      <c r="D44" s="24"/>
      <c r="E44" s="25" t="n">
        <f>3079</f>
        <v>3079.0</v>
      </c>
      <c r="F44" s="23"/>
      <c r="G44" s="25" t="n">
        <f>3549</f>
        <v>3549.0</v>
      </c>
      <c r="H44" s="23"/>
      <c r="I44" s="26" t="n">
        <f>6628</f>
        <v>6628.0</v>
      </c>
      <c r="J44" s="24"/>
      <c r="K44" s="25" t="n">
        <f>171478000</f>
        <v>1.71478E8</v>
      </c>
      <c r="L44" s="23" t="s">
        <v>30</v>
      </c>
      <c r="M44" s="25" t="n">
        <f>384778800</f>
        <v>3.847788E8</v>
      </c>
      <c r="N44" s="23"/>
      <c r="O44" s="26" t="n">
        <f>556256800</f>
        <v>5.562568E8</v>
      </c>
      <c r="P44" s="27" t="str">
        <f>"－"</f>
        <v>－</v>
      </c>
      <c r="Q44" s="28" t="str">
        <f>"－"</f>
        <v>－</v>
      </c>
      <c r="R44" s="29" t="str">
        <f>"－"</f>
        <v>－</v>
      </c>
      <c r="S44" s="24"/>
      <c r="T44" s="25" t="n">
        <f>194</f>
        <v>194.0</v>
      </c>
      <c r="U44" s="23" t="s">
        <v>30</v>
      </c>
      <c r="V44" s="25" t="n">
        <f>764</f>
        <v>764.0</v>
      </c>
      <c r="W44" s="23"/>
      <c r="X44" s="26" t="n">
        <f>958</f>
        <v>958.0</v>
      </c>
      <c r="Y44" s="24"/>
      <c r="Z44" s="25" t="n">
        <f>2893</f>
        <v>2893.0</v>
      </c>
      <c r="AA44" s="23"/>
      <c r="AB44" s="25" t="n">
        <f>2833</f>
        <v>2833.0</v>
      </c>
      <c r="AC44" s="23"/>
      <c r="AD44" s="26" t="n">
        <f>5726</f>
        <v>5726.0</v>
      </c>
    </row>
    <row r="45">
      <c r="A45" s="30" t="s">
        <v>33</v>
      </c>
      <c r="B45" s="22" t="s">
        <v>61</v>
      </c>
      <c r="C45" s="22" t="s">
        <v>62</v>
      </c>
      <c r="D45" s="24" t="s">
        <v>41</v>
      </c>
      <c r="E45" s="25" t="n">
        <f>21</f>
        <v>21.0</v>
      </c>
      <c r="F45" s="23" t="s">
        <v>41</v>
      </c>
      <c r="G45" s="25" t="n">
        <f>12</f>
        <v>12.0</v>
      </c>
      <c r="H45" s="23" t="s">
        <v>41</v>
      </c>
      <c r="I45" s="26" t="n">
        <f>33</f>
        <v>33.0</v>
      </c>
      <c r="J45" s="24" t="s">
        <v>41</v>
      </c>
      <c r="K45" s="25" t="n">
        <f>4530000</f>
        <v>4530000.0</v>
      </c>
      <c r="L45" s="23" t="s">
        <v>41</v>
      </c>
      <c r="M45" s="25" t="n">
        <f>2149000</f>
        <v>2149000.0</v>
      </c>
      <c r="N45" s="23" t="s">
        <v>41</v>
      </c>
      <c r="O45" s="26" t="n">
        <f>6679000</f>
        <v>6679000.0</v>
      </c>
      <c r="P45" s="27" t="n">
        <f>870</f>
        <v>870.0</v>
      </c>
      <c r="Q45" s="28" t="n">
        <f>100</f>
        <v>100.0</v>
      </c>
      <c r="R45" s="29" t="n">
        <f>970</f>
        <v>970.0</v>
      </c>
      <c r="S45" s="24"/>
      <c r="T45" s="25" t="n">
        <f>1</f>
        <v>1.0</v>
      </c>
      <c r="U45" s="23"/>
      <c r="V45" s="25" t="n">
        <f>7</f>
        <v>7.0</v>
      </c>
      <c r="W45" s="23"/>
      <c r="X45" s="26" t="n">
        <f>8</f>
        <v>8.0</v>
      </c>
      <c r="Y45" s="24" t="s">
        <v>41</v>
      </c>
      <c r="Z45" s="25" t="n">
        <f>146</f>
        <v>146.0</v>
      </c>
      <c r="AA45" s="23" t="s">
        <v>41</v>
      </c>
      <c r="AB45" s="25" t="n">
        <f>758</f>
        <v>758.0</v>
      </c>
      <c r="AC45" s="23" t="s">
        <v>41</v>
      </c>
      <c r="AD45" s="26" t="n">
        <f>904</f>
        <v>904.0</v>
      </c>
    </row>
    <row r="46">
      <c r="A46" s="30" t="s">
        <v>34</v>
      </c>
      <c r="B46" s="22" t="s">
        <v>61</v>
      </c>
      <c r="C46" s="22" t="s">
        <v>62</v>
      </c>
      <c r="D46" s="24"/>
      <c r="E46" s="25"/>
      <c r="F46" s="23"/>
      <c r="G46" s="25"/>
      <c r="H46" s="23"/>
      <c r="I46" s="26"/>
      <c r="J46" s="24"/>
      <c r="K46" s="25"/>
      <c r="L46" s="23"/>
      <c r="M46" s="25"/>
      <c r="N46" s="23"/>
      <c r="O46" s="26"/>
      <c r="P46" s="27"/>
      <c r="Q46" s="28"/>
      <c r="R46" s="29"/>
      <c r="S46" s="24"/>
      <c r="T46" s="25"/>
      <c r="U46" s="23"/>
      <c r="V46" s="25"/>
      <c r="W46" s="23"/>
      <c r="X46" s="26"/>
      <c r="Y46" s="24"/>
      <c r="Z46" s="25"/>
      <c r="AA46" s="23"/>
      <c r="AB46" s="25"/>
      <c r="AC46" s="23"/>
      <c r="AD46" s="26"/>
    </row>
    <row r="47">
      <c r="A47" s="30" t="s">
        <v>35</v>
      </c>
      <c r="B47" s="22" t="s">
        <v>61</v>
      </c>
      <c r="C47" s="22" t="s">
        <v>62</v>
      </c>
      <c r="D47" s="24"/>
      <c r="E47" s="25"/>
      <c r="F47" s="23"/>
      <c r="G47" s="25"/>
      <c r="H47" s="23"/>
      <c r="I47" s="26"/>
      <c r="J47" s="24"/>
      <c r="K47" s="25"/>
      <c r="L47" s="23"/>
      <c r="M47" s="25"/>
      <c r="N47" s="23"/>
      <c r="O47" s="26"/>
      <c r="P47" s="27"/>
      <c r="Q47" s="28"/>
      <c r="R47" s="29"/>
      <c r="S47" s="24"/>
      <c r="T47" s="25"/>
      <c r="U47" s="23"/>
      <c r="V47" s="25"/>
      <c r="W47" s="23"/>
      <c r="X47" s="26"/>
      <c r="Y47" s="24"/>
      <c r="Z47" s="25"/>
      <c r="AA47" s="23"/>
      <c r="AB47" s="25"/>
      <c r="AC47" s="23"/>
      <c r="AD47" s="26"/>
    </row>
    <row r="48">
      <c r="A48" s="30" t="s">
        <v>36</v>
      </c>
      <c r="B48" s="22" t="s">
        <v>61</v>
      </c>
      <c r="C48" s="22" t="s">
        <v>62</v>
      </c>
      <c r="D48" s="24"/>
      <c r="E48" s="25" t="n">
        <f>79</f>
        <v>79.0</v>
      </c>
      <c r="F48" s="23"/>
      <c r="G48" s="25" t="n">
        <f>68</f>
        <v>68.0</v>
      </c>
      <c r="H48" s="23"/>
      <c r="I48" s="26" t="n">
        <f>147</f>
        <v>147.0</v>
      </c>
      <c r="J48" s="24"/>
      <c r="K48" s="25" t="n">
        <f>20011000</f>
        <v>2.0011E7</v>
      </c>
      <c r="L48" s="23"/>
      <c r="M48" s="25" t="n">
        <f>4931000</f>
        <v>4931000.0</v>
      </c>
      <c r="N48" s="23"/>
      <c r="O48" s="26" t="n">
        <f>24942000</f>
        <v>2.4942E7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 t="s">
        <v>41</v>
      </c>
      <c r="T48" s="25" t="str">
        <f>"－"</f>
        <v>－</v>
      </c>
      <c r="U48" s="23"/>
      <c r="V48" s="25" t="n">
        <f>23</f>
        <v>23.0</v>
      </c>
      <c r="W48" s="23"/>
      <c r="X48" s="26" t="n">
        <f>23</f>
        <v>23.0</v>
      </c>
      <c r="Y48" s="24"/>
      <c r="Z48" s="25" t="n">
        <f>211</f>
        <v>211.0</v>
      </c>
      <c r="AA48" s="23"/>
      <c r="AB48" s="25" t="n">
        <f>819</f>
        <v>819.0</v>
      </c>
      <c r="AC48" s="23"/>
      <c r="AD48" s="26" t="n">
        <f>1030</f>
        <v>1030.0</v>
      </c>
    </row>
    <row r="49">
      <c r="A49" s="30" t="s">
        <v>37</v>
      </c>
      <c r="B49" s="22" t="s">
        <v>61</v>
      </c>
      <c r="C49" s="22" t="s">
        <v>62</v>
      </c>
      <c r="D49" s="24"/>
      <c r="E49" s="25" t="n">
        <f>300</f>
        <v>300.0</v>
      </c>
      <c r="F49" s="23"/>
      <c r="G49" s="25" t="n">
        <f>95</f>
        <v>95.0</v>
      </c>
      <c r="H49" s="23"/>
      <c r="I49" s="26" t="n">
        <f>395</f>
        <v>395.0</v>
      </c>
      <c r="J49" s="24"/>
      <c r="K49" s="25" t="n">
        <f>153027000</f>
        <v>1.53027E8</v>
      </c>
      <c r="L49" s="23"/>
      <c r="M49" s="25" t="n">
        <f>16841000</f>
        <v>1.6841E7</v>
      </c>
      <c r="N49" s="23"/>
      <c r="O49" s="26" t="n">
        <f>169868000</f>
        <v>1.69868E8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2</f>
        <v>2.0</v>
      </c>
      <c r="U49" s="23" t="s">
        <v>41</v>
      </c>
      <c r="V49" s="25" t="n">
        <f>3</f>
        <v>3.0</v>
      </c>
      <c r="W49" s="23" t="s">
        <v>41</v>
      </c>
      <c r="X49" s="26" t="n">
        <f>5</f>
        <v>5.0</v>
      </c>
      <c r="Y49" s="24"/>
      <c r="Z49" s="25" t="n">
        <f>501</f>
        <v>501.0</v>
      </c>
      <c r="AA49" s="23"/>
      <c r="AB49" s="25" t="n">
        <f>899</f>
        <v>899.0</v>
      </c>
      <c r="AC49" s="23"/>
      <c r="AD49" s="26" t="n">
        <f>1400</f>
        <v>1400.0</v>
      </c>
    </row>
    <row r="50">
      <c r="A50" s="30" t="s">
        <v>38</v>
      </c>
      <c r="B50" s="22" t="s">
        <v>61</v>
      </c>
      <c r="C50" s="22" t="s">
        <v>62</v>
      </c>
      <c r="D50" s="24"/>
      <c r="E50" s="25" t="n">
        <f>121</f>
        <v>121.0</v>
      </c>
      <c r="F50" s="23"/>
      <c r="G50" s="25" t="n">
        <f>99</f>
        <v>99.0</v>
      </c>
      <c r="H50" s="23"/>
      <c r="I50" s="26" t="n">
        <f>220</f>
        <v>220.0</v>
      </c>
      <c r="J50" s="24"/>
      <c r="K50" s="25" t="n">
        <f>10259000</f>
        <v>1.0259E7</v>
      </c>
      <c r="L50" s="23"/>
      <c r="M50" s="25" t="n">
        <f>11561000</f>
        <v>1.1561E7</v>
      </c>
      <c r="N50" s="23"/>
      <c r="O50" s="26" t="n">
        <f>21820000</f>
        <v>2.182E7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49</f>
        <v>49.0</v>
      </c>
      <c r="U50" s="23"/>
      <c r="V50" s="25" t="n">
        <f>32</f>
        <v>32.0</v>
      </c>
      <c r="W50" s="23"/>
      <c r="X50" s="26" t="n">
        <f>81</f>
        <v>81.0</v>
      </c>
      <c r="Y50" s="24"/>
      <c r="Z50" s="25" t="n">
        <f>605</f>
        <v>605.0</v>
      </c>
      <c r="AA50" s="23"/>
      <c r="AB50" s="25" t="n">
        <f>954</f>
        <v>954.0</v>
      </c>
      <c r="AC50" s="23"/>
      <c r="AD50" s="26" t="n">
        <f>1559</f>
        <v>1559.0</v>
      </c>
    </row>
    <row r="51">
      <c r="A51" s="30" t="s">
        <v>39</v>
      </c>
      <c r="B51" s="22" t="s">
        <v>61</v>
      </c>
      <c r="C51" s="22" t="s">
        <v>62</v>
      </c>
      <c r="D51" s="24"/>
      <c r="E51" s="25" t="n">
        <f>862</f>
        <v>862.0</v>
      </c>
      <c r="F51" s="23"/>
      <c r="G51" s="25" t="n">
        <f>668</f>
        <v>668.0</v>
      </c>
      <c r="H51" s="23"/>
      <c r="I51" s="26" t="n">
        <f>1530</f>
        <v>1530.0</v>
      </c>
      <c r="J51" s="24"/>
      <c r="K51" s="25" t="n">
        <f>226299000</f>
        <v>2.26299E8</v>
      </c>
      <c r="L51" s="23"/>
      <c r="M51" s="25" t="n">
        <f>158441000</f>
        <v>1.58441E8</v>
      </c>
      <c r="N51" s="23"/>
      <c r="O51" s="26" t="n">
        <f>384740000</f>
        <v>3.8474E8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32</f>
        <v>32.0</v>
      </c>
      <c r="U51" s="23"/>
      <c r="V51" s="25" t="n">
        <f>10</f>
        <v>10.0</v>
      </c>
      <c r="W51" s="23"/>
      <c r="X51" s="26" t="n">
        <f>42</f>
        <v>42.0</v>
      </c>
      <c r="Y51" s="24"/>
      <c r="Z51" s="25" t="n">
        <f>1168</f>
        <v>1168.0</v>
      </c>
      <c r="AA51" s="23"/>
      <c r="AB51" s="25" t="n">
        <f>1425</f>
        <v>1425.0</v>
      </c>
      <c r="AC51" s="23"/>
      <c r="AD51" s="26" t="n">
        <f>2593</f>
        <v>2593.0</v>
      </c>
    </row>
    <row r="52">
      <c r="A52" s="30" t="s">
        <v>40</v>
      </c>
      <c r="B52" s="22" t="s">
        <v>61</v>
      </c>
      <c r="C52" s="22" t="s">
        <v>62</v>
      </c>
      <c r="D52" s="24"/>
      <c r="E52" s="25" t="n">
        <f>943</f>
        <v>943.0</v>
      </c>
      <c r="F52" s="23"/>
      <c r="G52" s="25" t="n">
        <f>699</f>
        <v>699.0</v>
      </c>
      <c r="H52" s="23"/>
      <c r="I52" s="26" t="n">
        <f>1642</f>
        <v>1642.0</v>
      </c>
      <c r="J52" s="24"/>
      <c r="K52" s="25" t="n">
        <f>80287000</f>
        <v>8.0287E7</v>
      </c>
      <c r="L52" s="23"/>
      <c r="M52" s="25" t="n">
        <f>88735000</f>
        <v>8.8735E7</v>
      </c>
      <c r="N52" s="23"/>
      <c r="O52" s="26" t="n">
        <f>169022000</f>
        <v>1.69022E8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86</f>
        <v>86.0</v>
      </c>
      <c r="U52" s="23"/>
      <c r="V52" s="25" t="n">
        <f>33</f>
        <v>33.0</v>
      </c>
      <c r="W52" s="23"/>
      <c r="X52" s="26" t="n">
        <f>119</f>
        <v>119.0</v>
      </c>
      <c r="Y52" s="24"/>
      <c r="Z52" s="25" t="n">
        <f>1447</f>
        <v>1447.0</v>
      </c>
      <c r="AA52" s="23"/>
      <c r="AB52" s="25" t="n">
        <f>1689</f>
        <v>1689.0</v>
      </c>
      <c r="AC52" s="23"/>
      <c r="AD52" s="26" t="n">
        <f>3136</f>
        <v>3136.0</v>
      </c>
    </row>
    <row r="53">
      <c r="A53" s="30" t="s">
        <v>42</v>
      </c>
      <c r="B53" s="22" t="s">
        <v>61</v>
      </c>
      <c r="C53" s="22" t="s">
        <v>62</v>
      </c>
      <c r="D53" s="24"/>
      <c r="E53" s="25"/>
      <c r="F53" s="23"/>
      <c r="G53" s="25"/>
      <c r="H53" s="23"/>
      <c r="I53" s="26"/>
      <c r="J53" s="24"/>
      <c r="K53" s="25"/>
      <c r="L53" s="23"/>
      <c r="M53" s="25"/>
      <c r="N53" s="23"/>
      <c r="O53" s="26"/>
      <c r="P53" s="27"/>
      <c r="Q53" s="28"/>
      <c r="R53" s="29"/>
      <c r="S53" s="24"/>
      <c r="T53" s="25"/>
      <c r="U53" s="23"/>
      <c r="V53" s="25"/>
      <c r="W53" s="23"/>
      <c r="X53" s="26"/>
      <c r="Y53" s="24"/>
      <c r="Z53" s="25"/>
      <c r="AA53" s="23"/>
      <c r="AB53" s="25"/>
      <c r="AC53" s="23"/>
      <c r="AD53" s="26"/>
    </row>
    <row r="54">
      <c r="A54" s="30" t="s">
        <v>43</v>
      </c>
      <c r="B54" s="22" t="s">
        <v>61</v>
      </c>
      <c r="C54" s="22" t="s">
        <v>62</v>
      </c>
      <c r="D54" s="24"/>
      <c r="E54" s="25"/>
      <c r="F54" s="23"/>
      <c r="G54" s="25"/>
      <c r="H54" s="23"/>
      <c r="I54" s="26"/>
      <c r="J54" s="24"/>
      <c r="K54" s="25"/>
      <c r="L54" s="23"/>
      <c r="M54" s="25"/>
      <c r="N54" s="23"/>
      <c r="O54" s="26"/>
      <c r="P54" s="27"/>
      <c r="Q54" s="28"/>
      <c r="R54" s="29"/>
      <c r="S54" s="24"/>
      <c r="T54" s="25"/>
      <c r="U54" s="23"/>
      <c r="V54" s="25"/>
      <c r="W54" s="23"/>
      <c r="X54" s="26"/>
      <c r="Y54" s="24"/>
      <c r="Z54" s="25"/>
      <c r="AA54" s="23"/>
      <c r="AB54" s="25"/>
      <c r="AC54" s="23"/>
      <c r="AD54" s="26"/>
    </row>
    <row r="55">
      <c r="A55" s="30" t="s">
        <v>44</v>
      </c>
      <c r="B55" s="22" t="s">
        <v>61</v>
      </c>
      <c r="C55" s="22" t="s">
        <v>62</v>
      </c>
      <c r="D55" s="24"/>
      <c r="E55" s="25" t="n">
        <f>1653</f>
        <v>1653.0</v>
      </c>
      <c r="F55" s="23"/>
      <c r="G55" s="25" t="n">
        <f>934</f>
        <v>934.0</v>
      </c>
      <c r="H55" s="23"/>
      <c r="I55" s="26" t="n">
        <f>2587</f>
        <v>2587.0</v>
      </c>
      <c r="J55" s="24"/>
      <c r="K55" s="25" t="n">
        <f>100369000</f>
        <v>1.00369E8</v>
      </c>
      <c r="L55" s="23"/>
      <c r="M55" s="25" t="n">
        <f>63614000</f>
        <v>6.3614E7</v>
      </c>
      <c r="N55" s="23"/>
      <c r="O55" s="26" t="n">
        <f>163983000</f>
        <v>1.63983E8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94</f>
        <v>94.0</v>
      </c>
      <c r="U55" s="23"/>
      <c r="V55" s="25" t="n">
        <f>44</f>
        <v>44.0</v>
      </c>
      <c r="W55" s="23"/>
      <c r="X55" s="26" t="n">
        <f>138</f>
        <v>138.0</v>
      </c>
      <c r="Y55" s="24"/>
      <c r="Z55" s="25" t="n">
        <f>2262</f>
        <v>2262.0</v>
      </c>
      <c r="AA55" s="23"/>
      <c r="AB55" s="25" t="n">
        <f>2152</f>
        <v>2152.0</v>
      </c>
      <c r="AC55" s="23"/>
      <c r="AD55" s="26" t="n">
        <f>4414</f>
        <v>4414.0</v>
      </c>
    </row>
    <row r="56">
      <c r="A56" s="30" t="s">
        <v>45</v>
      </c>
      <c r="B56" s="22" t="s">
        <v>61</v>
      </c>
      <c r="C56" s="22" t="s">
        <v>62</v>
      </c>
      <c r="D56" s="24"/>
      <c r="E56" s="25" t="n">
        <f>1524</f>
        <v>1524.0</v>
      </c>
      <c r="F56" s="23"/>
      <c r="G56" s="25" t="n">
        <f>893</f>
        <v>893.0</v>
      </c>
      <c r="H56" s="23"/>
      <c r="I56" s="26" t="n">
        <f>2417</f>
        <v>2417.0</v>
      </c>
      <c r="J56" s="24"/>
      <c r="K56" s="25" t="n">
        <f>71921000</f>
        <v>7.1921E7</v>
      </c>
      <c r="L56" s="23"/>
      <c r="M56" s="25" t="n">
        <f>76341000</f>
        <v>7.6341E7</v>
      </c>
      <c r="N56" s="23"/>
      <c r="O56" s="26" t="n">
        <f>148262000</f>
        <v>1.48262E8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136</f>
        <v>136.0</v>
      </c>
      <c r="U56" s="23"/>
      <c r="V56" s="25" t="n">
        <f>192</f>
        <v>192.0</v>
      </c>
      <c r="W56" s="23"/>
      <c r="X56" s="26" t="n">
        <f>328</f>
        <v>328.0</v>
      </c>
      <c r="Y56" s="24"/>
      <c r="Z56" s="25" t="n">
        <f>2777</f>
        <v>2777.0</v>
      </c>
      <c r="AA56" s="23"/>
      <c r="AB56" s="25" t="n">
        <f>2355</f>
        <v>2355.0</v>
      </c>
      <c r="AC56" s="23"/>
      <c r="AD56" s="26" t="n">
        <f>5132</f>
        <v>5132.0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1596</f>
        <v>1596.0</v>
      </c>
      <c r="F57" s="23"/>
      <c r="G57" s="25" t="n">
        <f>683</f>
        <v>683.0</v>
      </c>
      <c r="H57" s="23"/>
      <c r="I57" s="26" t="n">
        <f>2279</f>
        <v>2279.0</v>
      </c>
      <c r="J57" s="24"/>
      <c r="K57" s="25" t="n">
        <f>71204260</f>
        <v>7.120426E7</v>
      </c>
      <c r="L57" s="23"/>
      <c r="M57" s="25" t="n">
        <f>31451700</f>
        <v>3.14517E7</v>
      </c>
      <c r="N57" s="23"/>
      <c r="O57" s="26" t="n">
        <f>102655960</f>
        <v>1.0265596E8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109</f>
        <v>109.0</v>
      </c>
      <c r="U57" s="23"/>
      <c r="V57" s="25" t="n">
        <f>88</f>
        <v>88.0</v>
      </c>
      <c r="W57" s="23"/>
      <c r="X57" s="26" t="n">
        <f>197</f>
        <v>197.0</v>
      </c>
      <c r="Y57" s="24"/>
      <c r="Z57" s="25" t="n">
        <f>3168</f>
        <v>3168.0</v>
      </c>
      <c r="AA57" s="23"/>
      <c r="AB57" s="25" t="n">
        <f>2565</f>
        <v>2565.0</v>
      </c>
      <c r="AC57" s="23"/>
      <c r="AD57" s="26" t="n">
        <f>5733</f>
        <v>5733.0</v>
      </c>
    </row>
    <row r="58">
      <c r="A58" s="30" t="s">
        <v>47</v>
      </c>
      <c r="B58" s="22" t="s">
        <v>61</v>
      </c>
      <c r="C58" s="22" t="s">
        <v>62</v>
      </c>
      <c r="D58" s="24" t="s">
        <v>30</v>
      </c>
      <c r="E58" s="25" t="n">
        <f>4111</f>
        <v>4111.0</v>
      </c>
      <c r="F58" s="23" t="s">
        <v>30</v>
      </c>
      <c r="G58" s="25" t="n">
        <f>3839</f>
        <v>3839.0</v>
      </c>
      <c r="H58" s="23" t="s">
        <v>30</v>
      </c>
      <c r="I58" s="26" t="n">
        <f>7950</f>
        <v>7950.0</v>
      </c>
      <c r="J58" s="24"/>
      <c r="K58" s="25" t="n">
        <f>174006000</f>
        <v>1.74006E8</v>
      </c>
      <c r="L58" s="23"/>
      <c r="M58" s="25" t="n">
        <f>251434740</f>
        <v>2.5143474E8</v>
      </c>
      <c r="N58" s="23"/>
      <c r="O58" s="26" t="n">
        <f>425440740</f>
        <v>4.2544074E8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239</f>
        <v>239.0</v>
      </c>
      <c r="U58" s="23"/>
      <c r="V58" s="25" t="n">
        <f>283</f>
        <v>283.0</v>
      </c>
      <c r="W58" s="23"/>
      <c r="X58" s="26" t="n">
        <f>522</f>
        <v>522.0</v>
      </c>
      <c r="Y58" s="24"/>
      <c r="Z58" s="25" t="n">
        <f>4221</f>
        <v>4221.0</v>
      </c>
      <c r="AA58" s="23"/>
      <c r="AB58" s="25" t="n">
        <f>3997</f>
        <v>3997.0</v>
      </c>
      <c r="AC58" s="23"/>
      <c r="AD58" s="26" t="n">
        <f>8218</f>
        <v>8218.0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1938</f>
        <v>1938.0</v>
      </c>
      <c r="F59" s="23"/>
      <c r="G59" s="25" t="n">
        <f>1821</f>
        <v>1821.0</v>
      </c>
      <c r="H59" s="23"/>
      <c r="I59" s="26" t="n">
        <f>3759</f>
        <v>3759.0</v>
      </c>
      <c r="J59" s="24"/>
      <c r="K59" s="25" t="n">
        <f>250989000</f>
        <v>2.50989E8</v>
      </c>
      <c r="L59" s="23"/>
      <c r="M59" s="25" t="n">
        <f>207586000</f>
        <v>2.07586E8</v>
      </c>
      <c r="N59" s="23"/>
      <c r="O59" s="26" t="n">
        <f>458575000</f>
        <v>4.58575E8</v>
      </c>
      <c r="P59" s="27" t="n">
        <f>492</f>
        <v>492.0</v>
      </c>
      <c r="Q59" s="28" t="n">
        <f>298</f>
        <v>298.0</v>
      </c>
      <c r="R59" s="29" t="n">
        <f>790</f>
        <v>790.0</v>
      </c>
      <c r="S59" s="24"/>
      <c r="T59" s="25" t="n">
        <f>899</f>
        <v>899.0</v>
      </c>
      <c r="U59" s="23"/>
      <c r="V59" s="25" t="n">
        <f>443</f>
        <v>443.0</v>
      </c>
      <c r="W59" s="23" t="s">
        <v>30</v>
      </c>
      <c r="X59" s="26" t="n">
        <f>1342</f>
        <v>1342.0</v>
      </c>
      <c r="Y59" s="24"/>
      <c r="Z59" s="25" t="n">
        <f>2789</f>
        <v>2789.0</v>
      </c>
      <c r="AA59" s="23"/>
      <c r="AB59" s="25" t="n">
        <f>2529</f>
        <v>2529.0</v>
      </c>
      <c r="AC59" s="23"/>
      <c r="AD59" s="26" t="n">
        <f>5318</f>
        <v>5318.0</v>
      </c>
    </row>
    <row r="60">
      <c r="A60" s="30" t="s">
        <v>49</v>
      </c>
      <c r="B60" s="22" t="s">
        <v>61</v>
      </c>
      <c r="C60" s="22" t="s">
        <v>62</v>
      </c>
      <c r="D60" s="24"/>
      <c r="E60" s="25"/>
      <c r="F60" s="23"/>
      <c r="G60" s="25"/>
      <c r="H60" s="23"/>
      <c r="I60" s="26"/>
      <c r="J60" s="24"/>
      <c r="K60" s="25"/>
      <c r="L60" s="23"/>
      <c r="M60" s="25"/>
      <c r="N60" s="23"/>
      <c r="O60" s="26"/>
      <c r="P60" s="27"/>
      <c r="Q60" s="28"/>
      <c r="R60" s="29"/>
      <c r="S60" s="24"/>
      <c r="T60" s="25"/>
      <c r="U60" s="23"/>
      <c r="V60" s="25"/>
      <c r="W60" s="23"/>
      <c r="X60" s="26"/>
      <c r="Y60" s="24"/>
      <c r="Z60" s="25"/>
      <c r="AA60" s="23"/>
      <c r="AB60" s="25"/>
      <c r="AC60" s="23"/>
      <c r="AD60" s="26"/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 t="n">
        <f>1789</f>
        <v>1789.0</v>
      </c>
      <c r="F62" s="23"/>
      <c r="G62" s="25" t="n">
        <f>2399</f>
        <v>2399.0</v>
      </c>
      <c r="H62" s="23"/>
      <c r="I62" s="26" t="n">
        <f>4188</f>
        <v>4188.0</v>
      </c>
      <c r="J62" s="24"/>
      <c r="K62" s="25" t="n">
        <f>151192480</f>
        <v>1.5119248E8</v>
      </c>
      <c r="L62" s="23"/>
      <c r="M62" s="25" t="n">
        <f>168501000</f>
        <v>1.68501E8</v>
      </c>
      <c r="N62" s="23"/>
      <c r="O62" s="26" t="n">
        <f>319693480</f>
        <v>3.1969348E8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171</f>
        <v>171.0</v>
      </c>
      <c r="U62" s="23"/>
      <c r="V62" s="25" t="n">
        <f>174</f>
        <v>174.0</v>
      </c>
      <c r="W62" s="23"/>
      <c r="X62" s="26" t="n">
        <f>345</f>
        <v>345.0</v>
      </c>
      <c r="Y62" s="24"/>
      <c r="Z62" s="25" t="n">
        <f>3394</f>
        <v>3394.0</v>
      </c>
      <c r="AA62" s="23"/>
      <c r="AB62" s="25" t="n">
        <f>3004</f>
        <v>3004.0</v>
      </c>
      <c r="AC62" s="23"/>
      <c r="AD62" s="26" t="n">
        <f>6398</f>
        <v>6398.0</v>
      </c>
    </row>
    <row r="63">
      <c r="A63" s="30" t="s">
        <v>52</v>
      </c>
      <c r="B63" s="22" t="s">
        <v>61</v>
      </c>
      <c r="C63" s="22" t="s">
        <v>62</v>
      </c>
      <c r="D63" s="24"/>
      <c r="E63" s="25" t="n">
        <f>2080</f>
        <v>2080.0</v>
      </c>
      <c r="F63" s="23"/>
      <c r="G63" s="25" t="n">
        <f>1897</f>
        <v>1897.0</v>
      </c>
      <c r="H63" s="23"/>
      <c r="I63" s="26" t="n">
        <f>3977</f>
        <v>3977.0</v>
      </c>
      <c r="J63" s="24"/>
      <c r="K63" s="25" t="n">
        <f>150386000</f>
        <v>1.50386E8</v>
      </c>
      <c r="L63" s="23"/>
      <c r="M63" s="25" t="n">
        <f>116190000</f>
        <v>1.1619E8</v>
      </c>
      <c r="N63" s="23"/>
      <c r="O63" s="26" t="n">
        <f>266576000</f>
        <v>2.66576E8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118</f>
        <v>118.0</v>
      </c>
      <c r="U63" s="23"/>
      <c r="V63" s="25" t="n">
        <f>178</f>
        <v>178.0</v>
      </c>
      <c r="W63" s="23"/>
      <c r="X63" s="26" t="n">
        <f>296</f>
        <v>296.0</v>
      </c>
      <c r="Y63" s="24"/>
      <c r="Z63" s="25" t="n">
        <f>3995</f>
        <v>3995.0</v>
      </c>
      <c r="AA63" s="23"/>
      <c r="AB63" s="25" t="n">
        <f>3541</f>
        <v>3541.0</v>
      </c>
      <c r="AC63" s="23"/>
      <c r="AD63" s="26" t="n">
        <f>7536</f>
        <v>7536.0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2978</f>
        <v>2978.0</v>
      </c>
      <c r="F64" s="23"/>
      <c r="G64" s="25" t="n">
        <f>2592</f>
        <v>2592.0</v>
      </c>
      <c r="H64" s="23"/>
      <c r="I64" s="26" t="n">
        <f>5570</f>
        <v>5570.0</v>
      </c>
      <c r="J64" s="24" t="s">
        <v>30</v>
      </c>
      <c r="K64" s="25" t="n">
        <f>1021512840</f>
        <v>1.02151284E9</v>
      </c>
      <c r="L64" s="23"/>
      <c r="M64" s="25" t="n">
        <f>145886000</f>
        <v>1.45886E8</v>
      </c>
      <c r="N64" s="23" t="s">
        <v>30</v>
      </c>
      <c r="O64" s="26" t="n">
        <f>1167398840</f>
        <v>1.16739884E9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 t="s">
        <v>30</v>
      </c>
      <c r="T64" s="25" t="n">
        <f>947</f>
        <v>947.0</v>
      </c>
      <c r="U64" s="23"/>
      <c r="V64" s="25" t="n">
        <f>178</f>
        <v>178.0</v>
      </c>
      <c r="W64" s="23"/>
      <c r="X64" s="26" t="n">
        <f>1125</f>
        <v>1125.0</v>
      </c>
      <c r="Y64" s="24"/>
      <c r="Z64" s="25" t="n">
        <f>4266</f>
        <v>4266.0</v>
      </c>
      <c r="AA64" s="23"/>
      <c r="AB64" s="25" t="n">
        <f>4010</f>
        <v>4010.0</v>
      </c>
      <c r="AC64" s="23"/>
      <c r="AD64" s="26" t="n">
        <f>8276</f>
        <v>8276.0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3227</f>
        <v>3227.0</v>
      </c>
      <c r="F65" s="23"/>
      <c r="G65" s="25" t="n">
        <f>2947</f>
        <v>2947.0</v>
      </c>
      <c r="H65" s="23"/>
      <c r="I65" s="26" t="n">
        <f>6174</f>
        <v>6174.0</v>
      </c>
      <c r="J65" s="24"/>
      <c r="K65" s="25" t="n">
        <f>144438000</f>
        <v>1.44438E8</v>
      </c>
      <c r="L65" s="23"/>
      <c r="M65" s="25" t="n">
        <f>139296000</f>
        <v>1.39296E8</v>
      </c>
      <c r="N65" s="23"/>
      <c r="O65" s="26" t="n">
        <f>283734000</f>
        <v>2.83734E8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243</f>
        <v>243.0</v>
      </c>
      <c r="U65" s="23"/>
      <c r="V65" s="25" t="n">
        <f>228</f>
        <v>228.0</v>
      </c>
      <c r="W65" s="23"/>
      <c r="X65" s="26" t="n">
        <f>471</f>
        <v>471.0</v>
      </c>
      <c r="Y65" s="24" t="s">
        <v>30</v>
      </c>
      <c r="Z65" s="25" t="n">
        <f>5435</f>
        <v>5435.0</v>
      </c>
      <c r="AA65" s="23" t="s">
        <v>30</v>
      </c>
      <c r="AB65" s="25" t="n">
        <f>4623</f>
        <v>4623.0</v>
      </c>
      <c r="AC65" s="23" t="s">
        <v>30</v>
      </c>
      <c r="AD65" s="26" t="n">
        <f>10058</f>
        <v>10058.0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735</f>
        <v>735.0</v>
      </c>
      <c r="F66" s="23"/>
      <c r="G66" s="25" t="n">
        <f>945</f>
        <v>945.0</v>
      </c>
      <c r="H66" s="23"/>
      <c r="I66" s="26" t="n">
        <f>1680</f>
        <v>1680.0</v>
      </c>
      <c r="J66" s="24"/>
      <c r="K66" s="25" t="n">
        <f>56901000</f>
        <v>5.6901E7</v>
      </c>
      <c r="L66" s="23"/>
      <c r="M66" s="25" t="n">
        <f>178888000</f>
        <v>1.78888E8</v>
      </c>
      <c r="N66" s="23"/>
      <c r="O66" s="26" t="n">
        <f>235789000</f>
        <v>2.35789E8</v>
      </c>
      <c r="P66" s="27" t="n">
        <f>279</f>
        <v>279.0</v>
      </c>
      <c r="Q66" s="28" t="n">
        <f>814</f>
        <v>814.0</v>
      </c>
      <c r="R66" s="29" t="n">
        <f>1093</f>
        <v>1093.0</v>
      </c>
      <c r="S66" s="24"/>
      <c r="T66" s="25" t="n">
        <f>46</f>
        <v>46.0</v>
      </c>
      <c r="U66" s="23"/>
      <c r="V66" s="25" t="n">
        <f>305</f>
        <v>305.0</v>
      </c>
      <c r="W66" s="23"/>
      <c r="X66" s="26" t="n">
        <f>351</f>
        <v>351.0</v>
      </c>
      <c r="Y66" s="24"/>
      <c r="Z66" s="25" t="n">
        <f>1485</f>
        <v>1485.0</v>
      </c>
      <c r="AA66" s="23"/>
      <c r="AB66" s="25" t="n">
        <f>1812</f>
        <v>1812.0</v>
      </c>
      <c r="AC66" s="23"/>
      <c r="AD66" s="26" t="n">
        <f>3297</f>
        <v>3297.0</v>
      </c>
    </row>
    <row r="67">
      <c r="A67" s="30" t="s">
        <v>56</v>
      </c>
      <c r="B67" s="22" t="s">
        <v>61</v>
      </c>
      <c r="C67" s="22" t="s">
        <v>62</v>
      </c>
      <c r="D67" s="24"/>
      <c r="E67" s="25"/>
      <c r="F67" s="23"/>
      <c r="G67" s="25"/>
      <c r="H67" s="23"/>
      <c r="I67" s="26"/>
      <c r="J67" s="24"/>
      <c r="K67" s="25"/>
      <c r="L67" s="23"/>
      <c r="M67" s="25"/>
      <c r="N67" s="23"/>
      <c r="O67" s="26"/>
      <c r="P67" s="27"/>
      <c r="Q67" s="28"/>
      <c r="R67" s="29"/>
      <c r="S67" s="24"/>
      <c r="T67" s="25"/>
      <c r="U67" s="23"/>
      <c r="V67" s="25"/>
      <c r="W67" s="23"/>
      <c r="X67" s="26"/>
      <c r="Y67" s="24"/>
      <c r="Z67" s="25"/>
      <c r="AA67" s="23"/>
      <c r="AB67" s="25"/>
      <c r="AC67" s="23"/>
      <c r="AD67" s="26"/>
    </row>
    <row r="68">
      <c r="A68" s="30" t="s">
        <v>57</v>
      </c>
      <c r="B68" s="22" t="s">
        <v>61</v>
      </c>
      <c r="C68" s="22" t="s">
        <v>62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58</v>
      </c>
      <c r="B69" s="22" t="s">
        <v>61</v>
      </c>
      <c r="C69" s="22" t="s">
        <v>62</v>
      </c>
      <c r="D69" s="24"/>
      <c r="E69" s="25" t="n">
        <f>2724</f>
        <v>2724.0</v>
      </c>
      <c r="F69" s="23"/>
      <c r="G69" s="25" t="n">
        <f>947</f>
        <v>947.0</v>
      </c>
      <c r="H69" s="23"/>
      <c r="I69" s="26" t="n">
        <f>3671</f>
        <v>3671.0</v>
      </c>
      <c r="J69" s="24"/>
      <c r="K69" s="25" t="n">
        <f>147398500</f>
        <v>1.473985E8</v>
      </c>
      <c r="L69" s="23"/>
      <c r="M69" s="25" t="n">
        <f>82237000</f>
        <v>8.2237E7</v>
      </c>
      <c r="N69" s="23"/>
      <c r="O69" s="26" t="n">
        <f>229635500</f>
        <v>2.296355E8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373</f>
        <v>373.0</v>
      </c>
      <c r="U69" s="23"/>
      <c r="V69" s="25" t="n">
        <f>45</f>
        <v>45.0</v>
      </c>
      <c r="W69" s="23"/>
      <c r="X69" s="26" t="n">
        <f>418</f>
        <v>418.0</v>
      </c>
      <c r="Y69" s="24"/>
      <c r="Z69" s="25" t="n">
        <f>2893</f>
        <v>2893.0</v>
      </c>
      <c r="AA69" s="23"/>
      <c r="AB69" s="25" t="n">
        <f>2118</f>
        <v>2118.0</v>
      </c>
      <c r="AC69" s="23"/>
      <c r="AD69" s="26" t="n">
        <f>5011</f>
        <v>5011.0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844</f>
        <v>844.0</v>
      </c>
      <c r="F70" s="23"/>
      <c r="G70" s="25" t="n">
        <f>714</f>
        <v>714.0</v>
      </c>
      <c r="H70" s="23"/>
      <c r="I70" s="26" t="n">
        <f>1558</f>
        <v>1558.0</v>
      </c>
      <c r="J70" s="24"/>
      <c r="K70" s="25" t="n">
        <f>38831000</f>
        <v>3.8831E7</v>
      </c>
      <c r="L70" s="23"/>
      <c r="M70" s="25" t="n">
        <f>72477000</f>
        <v>7.2477E7</v>
      </c>
      <c r="N70" s="23"/>
      <c r="O70" s="26" t="n">
        <f>111308000</f>
        <v>1.11308E8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185</f>
        <v>185.0</v>
      </c>
      <c r="U70" s="23"/>
      <c r="V70" s="25" t="n">
        <f>142</f>
        <v>142.0</v>
      </c>
      <c r="W70" s="23"/>
      <c r="X70" s="26" t="n">
        <f>327</f>
        <v>327.0</v>
      </c>
      <c r="Y70" s="24"/>
      <c r="Z70" s="25" t="n">
        <f>3132</f>
        <v>3132.0</v>
      </c>
      <c r="AA70" s="23"/>
      <c r="AB70" s="25" t="n">
        <f>2167</f>
        <v>2167.0</v>
      </c>
      <c r="AC70" s="23"/>
      <c r="AD70" s="26" t="n">
        <f>5299</f>
        <v>5299.0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841</f>
        <v>841.0</v>
      </c>
      <c r="F71" s="23"/>
      <c r="G71" s="25" t="n">
        <f>786</f>
        <v>786.0</v>
      </c>
      <c r="H71" s="23"/>
      <c r="I71" s="26" t="n">
        <f>1627</f>
        <v>1627.0</v>
      </c>
      <c r="J71" s="24"/>
      <c r="K71" s="25" t="n">
        <f>47818000</f>
        <v>4.7818E7</v>
      </c>
      <c r="L71" s="23"/>
      <c r="M71" s="25" t="n">
        <f>35322000</f>
        <v>3.5322E7</v>
      </c>
      <c r="N71" s="23"/>
      <c r="O71" s="26" t="n">
        <f>83140000</f>
        <v>8.314E7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71</f>
        <v>71.0</v>
      </c>
      <c r="U71" s="23"/>
      <c r="V71" s="25" t="n">
        <f>175</f>
        <v>175.0</v>
      </c>
      <c r="W71" s="23"/>
      <c r="X71" s="26" t="n">
        <f>246</f>
        <v>246.0</v>
      </c>
      <c r="Y71" s="24"/>
      <c r="Z71" s="25" t="n">
        <f>3279</f>
        <v>3279.0</v>
      </c>
      <c r="AA71" s="23"/>
      <c r="AB71" s="25" t="n">
        <f>2337</f>
        <v>2337.0</v>
      </c>
      <c r="AC71" s="23"/>
      <c r="AD71" s="26" t="n">
        <f>5616</f>
        <v>5616.0</v>
      </c>
    </row>
    <row r="72">
      <c r="A72" s="30" t="s">
        <v>26</v>
      </c>
      <c r="B72" s="22" t="s">
        <v>63</v>
      </c>
      <c r="C72" s="22" t="s">
        <v>64</v>
      </c>
      <c r="D72" s="24"/>
      <c r="E72" s="25" t="n">
        <f>1383</f>
        <v>1383.0</v>
      </c>
      <c r="F72" s="23"/>
      <c r="G72" s="25" t="n">
        <f>100</f>
        <v>100.0</v>
      </c>
      <c r="H72" s="23"/>
      <c r="I72" s="26" t="n">
        <f>1483</f>
        <v>1483.0</v>
      </c>
      <c r="J72" s="24"/>
      <c r="K72" s="25" t="n">
        <f>287270000</f>
        <v>2.8727E8</v>
      </c>
      <c r="L72" s="23"/>
      <c r="M72" s="25" t="n">
        <f>57700000</f>
        <v>5.77E7</v>
      </c>
      <c r="N72" s="23"/>
      <c r="O72" s="26" t="n">
        <f>344970000</f>
        <v>3.4497E8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858</f>
        <v>858.0</v>
      </c>
      <c r="U72" s="23" t="s">
        <v>41</v>
      </c>
      <c r="V72" s="25" t="str">
        <f>"－"</f>
        <v>－</v>
      </c>
      <c r="W72" s="23"/>
      <c r="X72" s="26" t="n">
        <f>858</f>
        <v>858.0</v>
      </c>
      <c r="Y72" s="24"/>
      <c r="Z72" s="25" t="n">
        <f>81862</f>
        <v>81862.0</v>
      </c>
      <c r="AA72" s="23"/>
      <c r="AB72" s="25" t="n">
        <f>17368</f>
        <v>17368.0</v>
      </c>
      <c r="AC72" s="23"/>
      <c r="AD72" s="26" t="n">
        <f>99230</f>
        <v>99230.0</v>
      </c>
    </row>
    <row r="73">
      <c r="A73" s="30" t="s">
        <v>29</v>
      </c>
      <c r="B73" s="22" t="s">
        <v>63</v>
      </c>
      <c r="C73" s="22" t="s">
        <v>64</v>
      </c>
      <c r="D73" s="24"/>
      <c r="E73" s="25" t="n">
        <f>75</f>
        <v>75.0</v>
      </c>
      <c r="F73" s="23"/>
      <c r="G73" s="25" t="n">
        <f>75</f>
        <v>75.0</v>
      </c>
      <c r="H73" s="23"/>
      <c r="I73" s="26" t="n">
        <f>150</f>
        <v>150.0</v>
      </c>
      <c r="J73" s="24"/>
      <c r="K73" s="25" t="n">
        <f>22425000</f>
        <v>2.2425E7</v>
      </c>
      <c r="L73" s="23"/>
      <c r="M73" s="25" t="n">
        <f>27300000</f>
        <v>2.73E7</v>
      </c>
      <c r="N73" s="23"/>
      <c r="O73" s="26" t="n">
        <f>49725000</f>
        <v>4.9725E7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 t="s">
        <v>41</v>
      </c>
      <c r="T73" s="25" t="str">
        <f>"－"</f>
        <v>－</v>
      </c>
      <c r="U73" s="23"/>
      <c r="V73" s="25" t="str">
        <f>"－"</f>
        <v>－</v>
      </c>
      <c r="W73" s="23" t="s">
        <v>41</v>
      </c>
      <c r="X73" s="26" t="str">
        <f>"－"</f>
        <v>－</v>
      </c>
      <c r="Y73" s="24"/>
      <c r="Z73" s="25" t="n">
        <f>81937</f>
        <v>81937.0</v>
      </c>
      <c r="AA73" s="23"/>
      <c r="AB73" s="25" t="n">
        <f>17443</f>
        <v>17443.0</v>
      </c>
      <c r="AC73" s="23"/>
      <c r="AD73" s="26" t="n">
        <f>99380</f>
        <v>99380.0</v>
      </c>
    </row>
    <row r="74">
      <c r="A74" s="30" t="s">
        <v>31</v>
      </c>
      <c r="B74" s="22" t="s">
        <v>63</v>
      </c>
      <c r="C74" s="22" t="s">
        <v>64</v>
      </c>
      <c r="D74" s="24" t="s">
        <v>41</v>
      </c>
      <c r="E74" s="25" t="str">
        <f>"－"</f>
        <v>－</v>
      </c>
      <c r="F74" s="23" t="s">
        <v>41</v>
      </c>
      <c r="G74" s="25" t="str">
        <f>"－"</f>
        <v>－</v>
      </c>
      <c r="H74" s="23" t="s">
        <v>41</v>
      </c>
      <c r="I74" s="26" t="str">
        <f>"－"</f>
        <v>－</v>
      </c>
      <c r="J74" s="24" t="s">
        <v>41</v>
      </c>
      <c r="K74" s="25" t="str">
        <f>"－"</f>
        <v>－</v>
      </c>
      <c r="L74" s="23" t="s">
        <v>41</v>
      </c>
      <c r="M74" s="25" t="str">
        <f>"－"</f>
        <v>－</v>
      </c>
      <c r="N74" s="23" t="s">
        <v>41</v>
      </c>
      <c r="O74" s="26" t="str">
        <f>"－"</f>
        <v>－</v>
      </c>
      <c r="P74" s="27" t="str">
        <f>"－"</f>
        <v>－</v>
      </c>
      <c r="Q74" s="28" t="str">
        <f>"－"</f>
        <v>－</v>
      </c>
      <c r="R74" s="29" t="str">
        <f>"－"</f>
        <v>－</v>
      </c>
      <c r="S74" s="24"/>
      <c r="T74" s="25" t="str">
        <f>"－"</f>
        <v>－</v>
      </c>
      <c r="U74" s="23"/>
      <c r="V74" s="25" t="str">
        <f>"－"</f>
        <v>－</v>
      </c>
      <c r="W74" s="23"/>
      <c r="X74" s="26" t="str">
        <f>"－"</f>
        <v>－</v>
      </c>
      <c r="Y74" s="24"/>
      <c r="Z74" s="25" t="n">
        <f>81937</f>
        <v>81937.0</v>
      </c>
      <c r="AA74" s="23"/>
      <c r="AB74" s="25" t="n">
        <f>17443</f>
        <v>17443.0</v>
      </c>
      <c r="AC74" s="23"/>
      <c r="AD74" s="26" t="n">
        <f>99380</f>
        <v>99380.0</v>
      </c>
    </row>
    <row r="75">
      <c r="A75" s="30" t="s">
        <v>32</v>
      </c>
      <c r="B75" s="22" t="s">
        <v>63</v>
      </c>
      <c r="C75" s="22" t="s">
        <v>64</v>
      </c>
      <c r="D75" s="24"/>
      <c r="E75" s="25" t="str">
        <f>"－"</f>
        <v>－</v>
      </c>
      <c r="F75" s="23"/>
      <c r="G75" s="25" t="n">
        <f>902</f>
        <v>902.0</v>
      </c>
      <c r="H75" s="23"/>
      <c r="I75" s="26" t="n">
        <f>902</f>
        <v>902.0</v>
      </c>
      <c r="J75" s="24"/>
      <c r="K75" s="25" t="str">
        <f>"－"</f>
        <v>－</v>
      </c>
      <c r="L75" s="23"/>
      <c r="M75" s="25" t="n">
        <f>88247750</f>
        <v>8.824775E7</v>
      </c>
      <c r="N75" s="23"/>
      <c r="O75" s="26" t="n">
        <f>88247750</f>
        <v>8.824775E7</v>
      </c>
      <c r="P75" s="27" t="str">
        <f>"－"</f>
        <v>－</v>
      </c>
      <c r="Q75" s="28" t="str">
        <f>"－"</f>
        <v>－</v>
      </c>
      <c r="R75" s="29" t="str">
        <f>"－"</f>
        <v>－</v>
      </c>
      <c r="S75" s="24"/>
      <c r="T75" s="25" t="str">
        <f>"－"</f>
        <v>－</v>
      </c>
      <c r="U75" s="23"/>
      <c r="V75" s="25" t="n">
        <f>902</f>
        <v>902.0</v>
      </c>
      <c r="W75" s="23"/>
      <c r="X75" s="26" t="n">
        <f>902</f>
        <v>902.0</v>
      </c>
      <c r="Y75" s="24"/>
      <c r="Z75" s="25" t="n">
        <f>81937</f>
        <v>81937.0</v>
      </c>
      <c r="AA75" s="23"/>
      <c r="AB75" s="25" t="n">
        <f>17785</f>
        <v>17785.0</v>
      </c>
      <c r="AC75" s="23"/>
      <c r="AD75" s="26" t="n">
        <f>99722</f>
        <v>99722.0</v>
      </c>
    </row>
    <row r="76">
      <c r="A76" s="30" t="s">
        <v>33</v>
      </c>
      <c r="B76" s="22" t="s">
        <v>63</v>
      </c>
      <c r="C76" s="22" t="s">
        <v>64</v>
      </c>
      <c r="D76" s="24"/>
      <c r="E76" s="25" t="n">
        <f>616</f>
        <v>616.0</v>
      </c>
      <c r="F76" s="23"/>
      <c r="G76" s="25" t="n">
        <f>100</f>
        <v>100.0</v>
      </c>
      <c r="H76" s="23"/>
      <c r="I76" s="26" t="n">
        <f>716</f>
        <v>716.0</v>
      </c>
      <c r="J76" s="24"/>
      <c r="K76" s="25" t="n">
        <f>128330800</f>
        <v>1.283308E8</v>
      </c>
      <c r="L76" s="23"/>
      <c r="M76" s="25" t="n">
        <f>26860000</f>
        <v>2.686E7</v>
      </c>
      <c r="N76" s="23"/>
      <c r="O76" s="26" t="n">
        <f>155190800</f>
        <v>1.551908E8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82053</f>
        <v>82053.0</v>
      </c>
      <c r="AA76" s="23"/>
      <c r="AB76" s="25" t="n">
        <f>17685</f>
        <v>17685.0</v>
      </c>
      <c r="AC76" s="23"/>
      <c r="AD76" s="26" t="n">
        <f>99738</f>
        <v>99738.0</v>
      </c>
    </row>
    <row r="77">
      <c r="A77" s="30" t="s">
        <v>34</v>
      </c>
      <c r="B77" s="22" t="s">
        <v>63</v>
      </c>
      <c r="C77" s="22" t="s">
        <v>64</v>
      </c>
      <c r="D77" s="24"/>
      <c r="E77" s="25"/>
      <c r="F77" s="23"/>
      <c r="G77" s="25"/>
      <c r="H77" s="23"/>
      <c r="I77" s="26"/>
      <c r="J77" s="24"/>
      <c r="K77" s="25"/>
      <c r="L77" s="23"/>
      <c r="M77" s="25"/>
      <c r="N77" s="23"/>
      <c r="O77" s="26"/>
      <c r="P77" s="27"/>
      <c r="Q77" s="28"/>
      <c r="R77" s="29"/>
      <c r="S77" s="24"/>
      <c r="T77" s="25"/>
      <c r="U77" s="23"/>
      <c r="V77" s="25"/>
      <c r="W77" s="23"/>
      <c r="X77" s="26"/>
      <c r="Y77" s="24"/>
      <c r="Z77" s="25"/>
      <c r="AA77" s="23"/>
      <c r="AB77" s="25"/>
      <c r="AC77" s="23"/>
      <c r="AD77" s="26"/>
    </row>
    <row r="78">
      <c r="A78" s="30" t="s">
        <v>35</v>
      </c>
      <c r="B78" s="22" t="s">
        <v>63</v>
      </c>
      <c r="C78" s="22" t="s">
        <v>64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36</v>
      </c>
      <c r="B79" s="22" t="s">
        <v>63</v>
      </c>
      <c r="C79" s="22" t="s">
        <v>64</v>
      </c>
      <c r="D79" s="24"/>
      <c r="E79" s="25" t="n">
        <f>1066</f>
        <v>1066.0</v>
      </c>
      <c r="F79" s="23"/>
      <c r="G79" s="25" t="n">
        <f>200</f>
        <v>200.0</v>
      </c>
      <c r="H79" s="23"/>
      <c r="I79" s="26" t="n">
        <f>1266</f>
        <v>1266.0</v>
      </c>
      <c r="J79" s="24"/>
      <c r="K79" s="25" t="n">
        <f>132093400</f>
        <v>1.320934E8</v>
      </c>
      <c r="L79" s="23"/>
      <c r="M79" s="25" t="n">
        <f>99800000</f>
        <v>9.98E7</v>
      </c>
      <c r="N79" s="23"/>
      <c r="O79" s="26" t="n">
        <f>231893400</f>
        <v>2.318934E8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566</f>
        <v>566.0</v>
      </c>
      <c r="U79" s="23"/>
      <c r="V79" s="25" t="str">
        <f>"－"</f>
        <v>－</v>
      </c>
      <c r="W79" s="23"/>
      <c r="X79" s="26" t="n">
        <f>566</f>
        <v>566.0</v>
      </c>
      <c r="Y79" s="24"/>
      <c r="Z79" s="25" t="n">
        <f>83119</f>
        <v>83119.0</v>
      </c>
      <c r="AA79" s="23"/>
      <c r="AB79" s="25" t="n">
        <f>17685</f>
        <v>17685.0</v>
      </c>
      <c r="AC79" s="23"/>
      <c r="AD79" s="26" t="n">
        <f>100804</f>
        <v>100804.0</v>
      </c>
    </row>
    <row r="80">
      <c r="A80" s="30" t="s">
        <v>37</v>
      </c>
      <c r="B80" s="22" t="s">
        <v>63</v>
      </c>
      <c r="C80" s="22" t="s">
        <v>64</v>
      </c>
      <c r="D80" s="24"/>
      <c r="E80" s="25" t="n">
        <f>1666</f>
        <v>1666.0</v>
      </c>
      <c r="F80" s="23"/>
      <c r="G80" s="25" t="n">
        <f>1855</f>
        <v>1855.0</v>
      </c>
      <c r="H80" s="23"/>
      <c r="I80" s="26" t="n">
        <f>3521</f>
        <v>3521.0</v>
      </c>
      <c r="J80" s="24"/>
      <c r="K80" s="25" t="n">
        <f>159011750</f>
        <v>1.5901175E8</v>
      </c>
      <c r="L80" s="23"/>
      <c r="M80" s="25" t="n">
        <f>3345579125</f>
        <v>3.345579125E9</v>
      </c>
      <c r="N80" s="23"/>
      <c r="O80" s="26" t="n">
        <f>3504590875</f>
        <v>3.504590875E9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/>
      <c r="T80" s="25" t="n">
        <f>286</f>
        <v>286.0</v>
      </c>
      <c r="U80" s="23"/>
      <c r="V80" s="25" t="n">
        <f>1175</f>
        <v>1175.0</v>
      </c>
      <c r="W80" s="23"/>
      <c r="X80" s="26" t="n">
        <f>1461</f>
        <v>1461.0</v>
      </c>
      <c r="Y80" s="24"/>
      <c r="Z80" s="25" t="n">
        <f>84165</f>
        <v>84165.0</v>
      </c>
      <c r="AA80" s="23"/>
      <c r="AB80" s="25" t="n">
        <f>17212</f>
        <v>17212.0</v>
      </c>
      <c r="AC80" s="23"/>
      <c r="AD80" s="26" t="n">
        <f>101377</f>
        <v>101377.0</v>
      </c>
    </row>
    <row r="81">
      <c r="A81" s="30" t="s">
        <v>38</v>
      </c>
      <c r="B81" s="22" t="s">
        <v>63</v>
      </c>
      <c r="C81" s="22" t="s">
        <v>64</v>
      </c>
      <c r="D81" s="24"/>
      <c r="E81" s="25" t="n">
        <f>239</f>
        <v>239.0</v>
      </c>
      <c r="F81" s="23"/>
      <c r="G81" s="25" t="n">
        <f>100</f>
        <v>100.0</v>
      </c>
      <c r="H81" s="23"/>
      <c r="I81" s="26" t="n">
        <f>339</f>
        <v>339.0</v>
      </c>
      <c r="J81" s="24"/>
      <c r="K81" s="25" t="n">
        <f>80677500</f>
        <v>8.06775E7</v>
      </c>
      <c r="L81" s="23"/>
      <c r="M81" s="25" t="n">
        <f>70590000</f>
        <v>7.059E7</v>
      </c>
      <c r="N81" s="23"/>
      <c r="O81" s="26" t="n">
        <f>151267500</f>
        <v>1.512675E8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239</f>
        <v>239.0</v>
      </c>
      <c r="U81" s="23"/>
      <c r="V81" s="25" t="str">
        <f>"－"</f>
        <v>－</v>
      </c>
      <c r="W81" s="23"/>
      <c r="X81" s="26" t="n">
        <f>239</f>
        <v>239.0</v>
      </c>
      <c r="Y81" s="24"/>
      <c r="Z81" s="25" t="n">
        <f>84306</f>
        <v>84306.0</v>
      </c>
      <c r="AA81" s="23"/>
      <c r="AB81" s="25" t="n">
        <f>16820</f>
        <v>16820.0</v>
      </c>
      <c r="AC81" s="23"/>
      <c r="AD81" s="26" t="n">
        <f>101126</f>
        <v>101126.0</v>
      </c>
    </row>
    <row r="82">
      <c r="A82" s="30" t="s">
        <v>39</v>
      </c>
      <c r="B82" s="22" t="s">
        <v>63</v>
      </c>
      <c r="C82" s="22" t="s">
        <v>64</v>
      </c>
      <c r="D82" s="24"/>
      <c r="E82" s="25" t="n">
        <f>500</f>
        <v>500.0</v>
      </c>
      <c r="F82" s="23"/>
      <c r="G82" s="25" t="str">
        <f>"－"</f>
        <v>－</v>
      </c>
      <c r="H82" s="23"/>
      <c r="I82" s="26" t="n">
        <f>500</f>
        <v>500.0</v>
      </c>
      <c r="J82" s="24"/>
      <c r="K82" s="25" t="n">
        <f>23500000</f>
        <v>2.35E7</v>
      </c>
      <c r="L82" s="23"/>
      <c r="M82" s="25" t="str">
        <f>"－"</f>
        <v>－</v>
      </c>
      <c r="N82" s="23"/>
      <c r="O82" s="26" t="n">
        <f>23500000</f>
        <v>2.35E7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str">
        <f>"－"</f>
        <v>－</v>
      </c>
      <c r="W82" s="23"/>
      <c r="X82" s="26" t="str">
        <f>"－"</f>
        <v>－</v>
      </c>
      <c r="Y82" s="24" t="s">
        <v>30</v>
      </c>
      <c r="Z82" s="25" t="n">
        <f>84806</f>
        <v>84806.0</v>
      </c>
      <c r="AA82" s="23"/>
      <c r="AB82" s="25" t="n">
        <f>16820</f>
        <v>16820.0</v>
      </c>
      <c r="AC82" s="23" t="s">
        <v>30</v>
      </c>
      <c r="AD82" s="26" t="n">
        <f>101626</f>
        <v>101626.0</v>
      </c>
    </row>
    <row r="83">
      <c r="A83" s="30" t="s">
        <v>40</v>
      </c>
      <c r="B83" s="22" t="s">
        <v>63</v>
      </c>
      <c r="C83" s="22" t="s">
        <v>64</v>
      </c>
      <c r="D83" s="24"/>
      <c r="E83" s="25" t="n">
        <f>888</f>
        <v>888.0</v>
      </c>
      <c r="F83" s="23"/>
      <c r="G83" s="25" t="n">
        <f>400</f>
        <v>400.0</v>
      </c>
      <c r="H83" s="23"/>
      <c r="I83" s="26" t="n">
        <f>1288</f>
        <v>1288.0</v>
      </c>
      <c r="J83" s="24"/>
      <c r="K83" s="25" t="n">
        <f>524620800</f>
        <v>5.246208E8</v>
      </c>
      <c r="L83" s="23"/>
      <c r="M83" s="25" t="n">
        <f>256900000</f>
        <v>2.569E8</v>
      </c>
      <c r="N83" s="23"/>
      <c r="O83" s="26" t="n">
        <f>781520800</f>
        <v>7.815208E8</v>
      </c>
      <c r="P83" s="27" t="str">
        <f>"－"</f>
        <v>－</v>
      </c>
      <c r="Q83" s="28" t="n">
        <f>3750</f>
        <v>3750.0</v>
      </c>
      <c r="R83" s="29" t="n">
        <f>3750</f>
        <v>3750.0</v>
      </c>
      <c r="S83" s="24"/>
      <c r="T83" s="25" t="n">
        <f>788</f>
        <v>788.0</v>
      </c>
      <c r="U83" s="23"/>
      <c r="V83" s="25" t="n">
        <f>300</f>
        <v>300.0</v>
      </c>
      <c r="W83" s="23"/>
      <c r="X83" s="26" t="n">
        <f>1088</f>
        <v>1088.0</v>
      </c>
      <c r="Y83" s="24" t="s">
        <v>41</v>
      </c>
      <c r="Z83" s="25" t="n">
        <f>68808</f>
        <v>68808.0</v>
      </c>
      <c r="AA83" s="23" t="s">
        <v>41</v>
      </c>
      <c r="AB83" s="25" t="n">
        <f>13045</f>
        <v>13045.0</v>
      </c>
      <c r="AC83" s="23" t="s">
        <v>41</v>
      </c>
      <c r="AD83" s="26" t="n">
        <f>81853</f>
        <v>81853.0</v>
      </c>
    </row>
    <row r="84">
      <c r="A84" s="30" t="s">
        <v>42</v>
      </c>
      <c r="B84" s="22" t="s">
        <v>63</v>
      </c>
      <c r="C84" s="22" t="s">
        <v>64</v>
      </c>
      <c r="D84" s="24"/>
      <c r="E84" s="25"/>
      <c r="F84" s="23"/>
      <c r="G84" s="25"/>
      <c r="H84" s="23"/>
      <c r="I84" s="26"/>
      <c r="J84" s="24"/>
      <c r="K84" s="25"/>
      <c r="L84" s="23"/>
      <c r="M84" s="25"/>
      <c r="N84" s="23"/>
      <c r="O84" s="26"/>
      <c r="P84" s="27"/>
      <c r="Q84" s="28"/>
      <c r="R84" s="29"/>
      <c r="S84" s="24"/>
      <c r="T84" s="25"/>
      <c r="U84" s="23"/>
      <c r="V84" s="25"/>
      <c r="W84" s="23"/>
      <c r="X84" s="26"/>
      <c r="Y84" s="24"/>
      <c r="Z84" s="25"/>
      <c r="AA84" s="23"/>
      <c r="AB84" s="25"/>
      <c r="AC84" s="23"/>
      <c r="AD84" s="26"/>
    </row>
    <row r="85">
      <c r="A85" s="30" t="s">
        <v>43</v>
      </c>
      <c r="B85" s="22" t="s">
        <v>63</v>
      </c>
      <c r="C85" s="22" t="s">
        <v>64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44</v>
      </c>
      <c r="B86" s="22" t="s">
        <v>63</v>
      </c>
      <c r="C86" s="22" t="s">
        <v>64</v>
      </c>
      <c r="D86" s="24"/>
      <c r="E86" s="25" t="n">
        <f>500</f>
        <v>500.0</v>
      </c>
      <c r="F86" s="23"/>
      <c r="G86" s="25" t="n">
        <f>684</f>
        <v>684.0</v>
      </c>
      <c r="H86" s="23"/>
      <c r="I86" s="26" t="n">
        <f>1184</f>
        <v>1184.0</v>
      </c>
      <c r="J86" s="24"/>
      <c r="K86" s="25" t="n">
        <f>3150000</f>
        <v>3150000.0</v>
      </c>
      <c r="L86" s="23"/>
      <c r="M86" s="25" t="n">
        <f>138168000</f>
        <v>1.38168E8</v>
      </c>
      <c r="N86" s="23"/>
      <c r="O86" s="26" t="n">
        <f>141318000</f>
        <v>1.41318E8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n">
        <f>684</f>
        <v>684.0</v>
      </c>
      <c r="W86" s="23"/>
      <c r="X86" s="26" t="n">
        <f>684</f>
        <v>684.0</v>
      </c>
      <c r="Y86" s="24"/>
      <c r="Z86" s="25" t="n">
        <f>69308</f>
        <v>69308.0</v>
      </c>
      <c r="AA86" s="23"/>
      <c r="AB86" s="25" t="n">
        <f>13387</f>
        <v>13387.0</v>
      </c>
      <c r="AC86" s="23"/>
      <c r="AD86" s="26" t="n">
        <f>82695</f>
        <v>82695.0</v>
      </c>
    </row>
    <row r="87">
      <c r="A87" s="30" t="s">
        <v>45</v>
      </c>
      <c r="B87" s="22" t="s">
        <v>63</v>
      </c>
      <c r="C87" s="22" t="s">
        <v>64</v>
      </c>
      <c r="D87" s="24"/>
      <c r="E87" s="25" t="n">
        <f>983</f>
        <v>983.0</v>
      </c>
      <c r="F87" s="23"/>
      <c r="G87" s="25" t="n">
        <f>700</f>
        <v>700.0</v>
      </c>
      <c r="H87" s="23"/>
      <c r="I87" s="26" t="n">
        <f>1683</f>
        <v>1683.0</v>
      </c>
      <c r="J87" s="24"/>
      <c r="K87" s="25" t="n">
        <f>353218583</f>
        <v>3.53218583E8</v>
      </c>
      <c r="L87" s="23"/>
      <c r="M87" s="25" t="n">
        <f>87100000</f>
        <v>8.71E7</v>
      </c>
      <c r="N87" s="23"/>
      <c r="O87" s="26" t="n">
        <f>440318583</f>
        <v>4.40318583E8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 t="s">
        <v>30</v>
      </c>
      <c r="T87" s="25" t="n">
        <f>983</f>
        <v>983.0</v>
      </c>
      <c r="U87" s="23"/>
      <c r="V87" s="25" t="n">
        <f>700</f>
        <v>700.0</v>
      </c>
      <c r="W87" s="23"/>
      <c r="X87" s="26" t="n">
        <f>1683</f>
        <v>1683.0</v>
      </c>
      <c r="Y87" s="24"/>
      <c r="Z87" s="25" t="n">
        <f>69941</f>
        <v>69941.0</v>
      </c>
      <c r="AA87" s="23"/>
      <c r="AB87" s="25" t="n">
        <f>13745</f>
        <v>13745.0</v>
      </c>
      <c r="AC87" s="23"/>
      <c r="AD87" s="26" t="n">
        <f>83686</f>
        <v>83686.0</v>
      </c>
    </row>
    <row r="88">
      <c r="A88" s="30" t="s">
        <v>46</v>
      </c>
      <c r="B88" s="22" t="s">
        <v>63</v>
      </c>
      <c r="C88" s="22" t="s">
        <v>64</v>
      </c>
      <c r="D88" s="24"/>
      <c r="E88" s="25" t="str">
        <f>"－"</f>
        <v>－</v>
      </c>
      <c r="F88" s="23"/>
      <c r="G88" s="25" t="str">
        <f>"－"</f>
        <v>－</v>
      </c>
      <c r="H88" s="23"/>
      <c r="I88" s="26" t="str">
        <f>"－"</f>
        <v>－</v>
      </c>
      <c r="J88" s="24"/>
      <c r="K88" s="25" t="str">
        <f>"－"</f>
        <v>－</v>
      </c>
      <c r="L88" s="23"/>
      <c r="M88" s="25" t="str">
        <f>"－"</f>
        <v>－</v>
      </c>
      <c r="N88" s="23"/>
      <c r="O88" s="26" t="str">
        <f>"－"</f>
        <v>－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str">
        <f>"－"</f>
        <v>－</v>
      </c>
      <c r="U88" s="23"/>
      <c r="V88" s="25" t="str">
        <f>"－"</f>
        <v>－</v>
      </c>
      <c r="W88" s="23"/>
      <c r="X88" s="26" t="str">
        <f>"－"</f>
        <v>－</v>
      </c>
      <c r="Y88" s="24"/>
      <c r="Z88" s="25" t="n">
        <f>69941</f>
        <v>69941.0</v>
      </c>
      <c r="AA88" s="23"/>
      <c r="AB88" s="25" t="n">
        <f>13745</f>
        <v>13745.0</v>
      </c>
      <c r="AC88" s="23"/>
      <c r="AD88" s="26" t="n">
        <f>83686</f>
        <v>83686.0</v>
      </c>
    </row>
    <row r="89">
      <c r="A89" s="30" t="s">
        <v>47</v>
      </c>
      <c r="B89" s="22" t="s">
        <v>63</v>
      </c>
      <c r="C89" s="22" t="s">
        <v>64</v>
      </c>
      <c r="D89" s="24"/>
      <c r="E89" s="25" t="n">
        <f>50</f>
        <v>50.0</v>
      </c>
      <c r="F89" s="23"/>
      <c r="G89" s="25" t="n">
        <f>100</f>
        <v>100.0</v>
      </c>
      <c r="H89" s="23"/>
      <c r="I89" s="26" t="n">
        <f>150</f>
        <v>150.0</v>
      </c>
      <c r="J89" s="24"/>
      <c r="K89" s="25" t="n">
        <f>65000000</f>
        <v>6.5E7</v>
      </c>
      <c r="L89" s="23"/>
      <c r="M89" s="25" t="n">
        <f>70350000</f>
        <v>7.035E7</v>
      </c>
      <c r="N89" s="23"/>
      <c r="O89" s="26" t="n">
        <f>135350000</f>
        <v>1.3535E8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n">
        <f>50</f>
        <v>50.0</v>
      </c>
      <c r="W89" s="23"/>
      <c r="X89" s="26" t="n">
        <f>50</f>
        <v>50.0</v>
      </c>
      <c r="Y89" s="24"/>
      <c r="Z89" s="25" t="n">
        <f>69991</f>
        <v>69991.0</v>
      </c>
      <c r="AA89" s="23"/>
      <c r="AB89" s="25" t="n">
        <f>13845</f>
        <v>13845.0</v>
      </c>
      <c r="AC89" s="23"/>
      <c r="AD89" s="26" t="n">
        <f>83836</f>
        <v>83836.0</v>
      </c>
    </row>
    <row r="90">
      <c r="A90" s="30" t="s">
        <v>48</v>
      </c>
      <c r="B90" s="22" t="s">
        <v>63</v>
      </c>
      <c r="C90" s="22" t="s">
        <v>64</v>
      </c>
      <c r="D90" s="24" t="s">
        <v>30</v>
      </c>
      <c r="E90" s="25" t="n">
        <f>4056</f>
        <v>4056.0</v>
      </c>
      <c r="F90" s="23" t="s">
        <v>30</v>
      </c>
      <c r="G90" s="25" t="n">
        <f>2215</f>
        <v>2215.0</v>
      </c>
      <c r="H90" s="23" t="s">
        <v>30</v>
      </c>
      <c r="I90" s="26" t="n">
        <f>6271</f>
        <v>6271.0</v>
      </c>
      <c r="J90" s="24" t="s">
        <v>30</v>
      </c>
      <c r="K90" s="25" t="n">
        <f>577795442</f>
        <v>5.77795442E8</v>
      </c>
      <c r="L90" s="23"/>
      <c r="M90" s="25" t="n">
        <f>819388120</f>
        <v>8.1938812E8</v>
      </c>
      <c r="N90" s="23"/>
      <c r="O90" s="26" t="n">
        <f>1397183562</f>
        <v>1.397183562E9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556</f>
        <v>556.0</v>
      </c>
      <c r="U90" s="23"/>
      <c r="V90" s="25" t="n">
        <f>1625</f>
        <v>1625.0</v>
      </c>
      <c r="W90" s="23"/>
      <c r="X90" s="26" t="n">
        <f>2181</f>
        <v>2181.0</v>
      </c>
      <c r="Y90" s="24"/>
      <c r="Z90" s="25" t="n">
        <f>73271</f>
        <v>73271.0</v>
      </c>
      <c r="AA90" s="23"/>
      <c r="AB90" s="25" t="n">
        <f>16010</f>
        <v>16010.0</v>
      </c>
      <c r="AC90" s="23"/>
      <c r="AD90" s="26" t="n">
        <f>89281</f>
        <v>89281.0</v>
      </c>
    </row>
    <row r="91">
      <c r="A91" s="30" t="s">
        <v>49</v>
      </c>
      <c r="B91" s="22" t="s">
        <v>63</v>
      </c>
      <c r="C91" s="22" t="s">
        <v>64</v>
      </c>
      <c r="D91" s="24"/>
      <c r="E91" s="25"/>
      <c r="F91" s="23"/>
      <c r="G91" s="25"/>
      <c r="H91" s="23"/>
      <c r="I91" s="26"/>
      <c r="J91" s="24"/>
      <c r="K91" s="25"/>
      <c r="L91" s="23"/>
      <c r="M91" s="25"/>
      <c r="N91" s="23"/>
      <c r="O91" s="26"/>
      <c r="P91" s="27"/>
      <c r="Q91" s="28"/>
      <c r="R91" s="29"/>
      <c r="S91" s="24"/>
      <c r="T91" s="25"/>
      <c r="U91" s="23"/>
      <c r="V91" s="25"/>
      <c r="W91" s="23"/>
      <c r="X91" s="26"/>
      <c r="Y91" s="24"/>
      <c r="Z91" s="25"/>
      <c r="AA91" s="23"/>
      <c r="AB91" s="25"/>
      <c r="AC91" s="23"/>
      <c r="AD91" s="26"/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 t="n">
        <f>857</f>
        <v>857.0</v>
      </c>
      <c r="F93" s="23"/>
      <c r="G93" s="25" t="n">
        <f>1025</f>
        <v>1025.0</v>
      </c>
      <c r="H93" s="23"/>
      <c r="I93" s="26" t="n">
        <f>1882</f>
        <v>1882.0</v>
      </c>
      <c r="J93" s="24"/>
      <c r="K93" s="25" t="n">
        <f>207765875</f>
        <v>2.07765875E8</v>
      </c>
      <c r="L93" s="23"/>
      <c r="M93" s="25" t="n">
        <f>631585000</f>
        <v>6.31585E8</v>
      </c>
      <c r="N93" s="23"/>
      <c r="O93" s="26" t="n">
        <f>839350875</f>
        <v>8.39350875E8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218</f>
        <v>218.0</v>
      </c>
      <c r="U93" s="23"/>
      <c r="V93" s="25" t="n">
        <f>750</f>
        <v>750.0</v>
      </c>
      <c r="W93" s="23"/>
      <c r="X93" s="26" t="n">
        <f>968</f>
        <v>968.0</v>
      </c>
      <c r="Y93" s="24"/>
      <c r="Z93" s="25" t="n">
        <f>73542</f>
        <v>73542.0</v>
      </c>
      <c r="AA93" s="23"/>
      <c r="AB93" s="25" t="n">
        <f>16685</f>
        <v>16685.0</v>
      </c>
      <c r="AC93" s="23"/>
      <c r="AD93" s="26" t="n">
        <f>90227</f>
        <v>90227.0</v>
      </c>
    </row>
    <row r="94">
      <c r="A94" s="30" t="s">
        <v>52</v>
      </c>
      <c r="B94" s="22" t="s">
        <v>63</v>
      </c>
      <c r="C94" s="22" t="s">
        <v>64</v>
      </c>
      <c r="D94" s="24"/>
      <c r="E94" s="25" t="str">
        <f>"－"</f>
        <v>－</v>
      </c>
      <c r="F94" s="23"/>
      <c r="G94" s="25" t="n">
        <f>100</f>
        <v>100.0</v>
      </c>
      <c r="H94" s="23"/>
      <c r="I94" s="26" t="n">
        <f>100</f>
        <v>100.0</v>
      </c>
      <c r="J94" s="24"/>
      <c r="K94" s="25" t="str">
        <f>"－"</f>
        <v>－</v>
      </c>
      <c r="L94" s="23"/>
      <c r="M94" s="25" t="n">
        <f>14100000</f>
        <v>1.41E7</v>
      </c>
      <c r="N94" s="23"/>
      <c r="O94" s="26" t="n">
        <f>14100000</f>
        <v>1.41E7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str">
        <f>"－"</f>
        <v>－</v>
      </c>
      <c r="U94" s="23"/>
      <c r="V94" s="25" t="n">
        <f>100</f>
        <v>100.0</v>
      </c>
      <c r="W94" s="23"/>
      <c r="X94" s="26" t="n">
        <f>100</f>
        <v>100.0</v>
      </c>
      <c r="Y94" s="24"/>
      <c r="Z94" s="25" t="n">
        <f>73542</f>
        <v>73542.0</v>
      </c>
      <c r="AA94" s="23"/>
      <c r="AB94" s="25" t="n">
        <f>16785</f>
        <v>16785.0</v>
      </c>
      <c r="AC94" s="23"/>
      <c r="AD94" s="26" t="n">
        <f>90327</f>
        <v>90327.0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300</f>
        <v>300.0</v>
      </c>
      <c r="F95" s="23"/>
      <c r="G95" s="25" t="n">
        <f>600</f>
        <v>600.0</v>
      </c>
      <c r="H95" s="23"/>
      <c r="I95" s="26" t="n">
        <f>900</f>
        <v>900.0</v>
      </c>
      <c r="J95" s="24"/>
      <c r="K95" s="25" t="n">
        <f>6000000</f>
        <v>6000000.0</v>
      </c>
      <c r="L95" s="23"/>
      <c r="M95" s="25" t="n">
        <f>167715000</f>
        <v>1.67715E8</v>
      </c>
      <c r="N95" s="23"/>
      <c r="O95" s="26" t="n">
        <f>173715000</f>
        <v>1.73715E8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str">
        <f>"－"</f>
        <v>－</v>
      </c>
      <c r="U95" s="23"/>
      <c r="V95" s="25" t="n">
        <f>500</f>
        <v>500.0</v>
      </c>
      <c r="W95" s="23"/>
      <c r="X95" s="26" t="n">
        <f>500</f>
        <v>500.0</v>
      </c>
      <c r="Y95" s="24"/>
      <c r="Z95" s="25" t="n">
        <f>73842</f>
        <v>73842.0</v>
      </c>
      <c r="AA95" s="23"/>
      <c r="AB95" s="25" t="n">
        <f>17185</f>
        <v>17185.0</v>
      </c>
      <c r="AC95" s="23"/>
      <c r="AD95" s="26" t="n">
        <f>91027</f>
        <v>91027.0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510</f>
        <v>510.0</v>
      </c>
      <c r="F96" s="23"/>
      <c r="G96" s="25" t="n">
        <f>492</f>
        <v>492.0</v>
      </c>
      <c r="H96" s="23"/>
      <c r="I96" s="26" t="n">
        <f>1002</f>
        <v>1002.0</v>
      </c>
      <c r="J96" s="24"/>
      <c r="K96" s="25" t="n">
        <f>245537800</f>
        <v>2.455378E8</v>
      </c>
      <c r="L96" s="23"/>
      <c r="M96" s="25" t="n">
        <f>217716600</f>
        <v>2.177166E8</v>
      </c>
      <c r="N96" s="23"/>
      <c r="O96" s="26" t="n">
        <f>463254400</f>
        <v>4.632544E8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 t="s">
        <v>30</v>
      </c>
      <c r="V96" s="25" t="n">
        <f>3078</f>
        <v>3078.0</v>
      </c>
      <c r="W96" s="23" t="s">
        <v>30</v>
      </c>
      <c r="X96" s="26" t="n">
        <f>3078</f>
        <v>3078.0</v>
      </c>
      <c r="Y96" s="24"/>
      <c r="Z96" s="25" t="n">
        <f>73992</f>
        <v>73992.0</v>
      </c>
      <c r="AA96" s="23"/>
      <c r="AB96" s="25" t="n">
        <f>17677</f>
        <v>17677.0</v>
      </c>
      <c r="AC96" s="23"/>
      <c r="AD96" s="26" t="n">
        <f>91669</f>
        <v>91669.0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587</f>
        <v>587.0</v>
      </c>
      <c r="F97" s="23"/>
      <c r="G97" s="25" t="n">
        <f>1838</f>
        <v>1838.0</v>
      </c>
      <c r="H97" s="23"/>
      <c r="I97" s="26" t="n">
        <f>2425</f>
        <v>2425.0</v>
      </c>
      <c r="J97" s="24"/>
      <c r="K97" s="25" t="n">
        <f>135207200</f>
        <v>1.352072E8</v>
      </c>
      <c r="L97" s="23" t="s">
        <v>30</v>
      </c>
      <c r="M97" s="25" t="n">
        <f>3651369000</f>
        <v>3.651369E9</v>
      </c>
      <c r="N97" s="23" t="s">
        <v>30</v>
      </c>
      <c r="O97" s="26" t="n">
        <f>3786576200</f>
        <v>3.7865762E9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n">
        <f>1838</f>
        <v>1838.0</v>
      </c>
      <c r="W97" s="23"/>
      <c r="X97" s="26" t="n">
        <f>1838</f>
        <v>1838.0</v>
      </c>
      <c r="Y97" s="24"/>
      <c r="Z97" s="25" t="n">
        <f>73632</f>
        <v>73632.0</v>
      </c>
      <c r="AA97" s="23"/>
      <c r="AB97" s="25" t="n">
        <f>18373</f>
        <v>18373.0</v>
      </c>
      <c r="AC97" s="23"/>
      <c r="AD97" s="26" t="n">
        <f>92005</f>
        <v>92005.0</v>
      </c>
    </row>
    <row r="98">
      <c r="A98" s="30" t="s">
        <v>56</v>
      </c>
      <c r="B98" s="22" t="s">
        <v>63</v>
      </c>
      <c r="C98" s="22" t="s">
        <v>64</v>
      </c>
      <c r="D98" s="24"/>
      <c r="E98" s="25"/>
      <c r="F98" s="23"/>
      <c r="G98" s="25"/>
      <c r="H98" s="23"/>
      <c r="I98" s="26"/>
      <c r="J98" s="24"/>
      <c r="K98" s="25"/>
      <c r="L98" s="23"/>
      <c r="M98" s="25"/>
      <c r="N98" s="23"/>
      <c r="O98" s="26"/>
      <c r="P98" s="27"/>
      <c r="Q98" s="28"/>
      <c r="R98" s="29"/>
      <c r="S98" s="24"/>
      <c r="T98" s="25"/>
      <c r="U98" s="23"/>
      <c r="V98" s="25"/>
      <c r="W98" s="23"/>
      <c r="X98" s="26"/>
      <c r="Y98" s="24"/>
      <c r="Z98" s="25"/>
      <c r="AA98" s="23"/>
      <c r="AB98" s="25"/>
      <c r="AC98" s="23"/>
      <c r="AD98" s="26"/>
    </row>
    <row r="99">
      <c r="A99" s="30" t="s">
        <v>57</v>
      </c>
      <c r="B99" s="22" t="s">
        <v>63</v>
      </c>
      <c r="C99" s="22" t="s">
        <v>64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58</v>
      </c>
      <c r="B100" s="22" t="s">
        <v>63</v>
      </c>
      <c r="C100" s="22" t="s">
        <v>64</v>
      </c>
      <c r="D100" s="24"/>
      <c r="E100" s="25" t="n">
        <f>468</f>
        <v>468.0</v>
      </c>
      <c r="F100" s="23"/>
      <c r="G100" s="25" t="n">
        <f>1400</f>
        <v>1400.0</v>
      </c>
      <c r="H100" s="23"/>
      <c r="I100" s="26" t="n">
        <f>1868</f>
        <v>1868.0</v>
      </c>
      <c r="J100" s="24"/>
      <c r="K100" s="25" t="n">
        <f>40542800</f>
        <v>4.05428E7</v>
      </c>
      <c r="L100" s="23"/>
      <c r="M100" s="25" t="n">
        <f>202540000</f>
        <v>2.0254E8</v>
      </c>
      <c r="N100" s="23"/>
      <c r="O100" s="26" t="n">
        <f>243082800</f>
        <v>2.430828E8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n">
        <f>468</f>
        <v>468.0</v>
      </c>
      <c r="U100" s="23"/>
      <c r="V100" s="25" t="n">
        <f>1400</f>
        <v>1400.0</v>
      </c>
      <c r="W100" s="23"/>
      <c r="X100" s="26" t="n">
        <f>1868</f>
        <v>1868.0</v>
      </c>
      <c r="Y100" s="24"/>
      <c r="Z100" s="25" t="n">
        <f>73632</f>
        <v>73632.0</v>
      </c>
      <c r="AA100" s="23"/>
      <c r="AB100" s="25" t="n">
        <f>19773</f>
        <v>19773.0</v>
      </c>
      <c r="AC100" s="23"/>
      <c r="AD100" s="26" t="n">
        <f>93405</f>
        <v>93405.0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 t="n">
        <f>225</f>
        <v>225.0</v>
      </c>
      <c r="F101" s="23"/>
      <c r="G101" s="25" t="n">
        <f>225</f>
        <v>225.0</v>
      </c>
      <c r="H101" s="23"/>
      <c r="I101" s="26" t="n">
        <f>450</f>
        <v>450.0</v>
      </c>
      <c r="J101" s="24"/>
      <c r="K101" s="25" t="n">
        <f>83250000</f>
        <v>8.325E7</v>
      </c>
      <c r="L101" s="23"/>
      <c r="M101" s="25" t="n">
        <f>81000000</f>
        <v>8.1E7</v>
      </c>
      <c r="N101" s="23"/>
      <c r="O101" s="26" t="n">
        <f>164250000</f>
        <v>1.6425E8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n">
        <f>73857</f>
        <v>73857.0</v>
      </c>
      <c r="AA101" s="23" t="s">
        <v>30</v>
      </c>
      <c r="AB101" s="25" t="n">
        <f>19998</f>
        <v>19998.0</v>
      </c>
      <c r="AC101" s="23"/>
      <c r="AD101" s="26" t="n">
        <f>93855</f>
        <v>93855.0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35</f>
        <v>35.0</v>
      </c>
      <c r="F102" s="23"/>
      <c r="G102" s="25" t="n">
        <f>235</f>
        <v>235.0</v>
      </c>
      <c r="H102" s="23"/>
      <c r="I102" s="26" t="n">
        <f>270</f>
        <v>270.0</v>
      </c>
      <c r="J102" s="24"/>
      <c r="K102" s="25" t="n">
        <f>35000</f>
        <v>35000.0</v>
      </c>
      <c r="L102" s="23"/>
      <c r="M102" s="25" t="n">
        <f>440135000</f>
        <v>4.40135E8</v>
      </c>
      <c r="N102" s="23"/>
      <c r="O102" s="26" t="n">
        <f>440170000</f>
        <v>4.4017E8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n">
        <f>73857</f>
        <v>73857.0</v>
      </c>
      <c r="AA102" s="23"/>
      <c r="AB102" s="25" t="n">
        <f>19898</f>
        <v>19898.0</v>
      </c>
      <c r="AC102" s="23"/>
      <c r="AD102" s="26" t="n">
        <f>93755</f>
        <v>93755.0</v>
      </c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31</v>
      </c>
      <c r="B105" s="22" t="s">
        <v>65</v>
      </c>
      <c r="C105" s="22" t="s">
        <v>66</v>
      </c>
      <c r="D105" s="24"/>
      <c r="E105" s="25" t="str">
        <f>"－"</f>
        <v>－</v>
      </c>
      <c r="F105" s="23"/>
      <c r="G105" s="25" t="str">
        <f>"－"</f>
        <v>－</v>
      </c>
      <c r="H105" s="23"/>
      <c r="I105" s="26" t="str">
        <f>"－"</f>
        <v>－</v>
      </c>
      <c r="J105" s="24"/>
      <c r="K105" s="25" t="str">
        <f>"－"</f>
        <v>－</v>
      </c>
      <c r="L105" s="23"/>
      <c r="M105" s="25" t="str">
        <f>"－"</f>
        <v>－</v>
      </c>
      <c r="N105" s="23"/>
      <c r="O105" s="26" t="str">
        <f>"－"</f>
        <v>－</v>
      </c>
      <c r="P105" s="27" t="str">
        <f>"－"</f>
        <v>－</v>
      </c>
      <c r="Q105" s="28" t="str">
        <f>"－"</f>
        <v>－</v>
      </c>
      <c r="R105" s="29" t="str">
        <f>"－"</f>
        <v>－</v>
      </c>
      <c r="S105" s="24"/>
      <c r="T105" s="25" t="str">
        <f>"－"</f>
        <v>－</v>
      </c>
      <c r="U105" s="23"/>
      <c r="V105" s="25" t="str">
        <f>"－"</f>
        <v>－</v>
      </c>
      <c r="W105" s="23"/>
      <c r="X105" s="26" t="str">
        <f>"－"</f>
        <v>－</v>
      </c>
      <c r="Y105" s="24"/>
      <c r="Z105" s="25" t="str">
        <f>"－"</f>
        <v>－</v>
      </c>
      <c r="AA105" s="23"/>
      <c r="AB105" s="25" t="str">
        <f>"－"</f>
        <v>－</v>
      </c>
      <c r="AC105" s="23"/>
      <c r="AD105" s="26" t="str">
        <f>"－"</f>
        <v>－</v>
      </c>
    </row>
    <row r="106">
      <c r="A106" s="30" t="s">
        <v>32</v>
      </c>
      <c r="B106" s="22" t="s">
        <v>65</v>
      </c>
      <c r="C106" s="22" t="s">
        <v>66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33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34</v>
      </c>
      <c r="B108" s="22" t="s">
        <v>65</v>
      </c>
      <c r="C108" s="22" t="s">
        <v>66</v>
      </c>
      <c r="D108" s="24"/>
      <c r="E108" s="25"/>
      <c r="F108" s="23"/>
      <c r="G108" s="25"/>
      <c r="H108" s="23"/>
      <c r="I108" s="26"/>
      <c r="J108" s="24"/>
      <c r="K108" s="25"/>
      <c r="L108" s="23"/>
      <c r="M108" s="25"/>
      <c r="N108" s="23"/>
      <c r="O108" s="26"/>
      <c r="P108" s="27"/>
      <c r="Q108" s="28"/>
      <c r="R108" s="29"/>
      <c r="S108" s="24"/>
      <c r="T108" s="25"/>
      <c r="U108" s="23"/>
      <c r="V108" s="25"/>
      <c r="W108" s="23"/>
      <c r="X108" s="26"/>
      <c r="Y108" s="24"/>
      <c r="Z108" s="25"/>
      <c r="AA108" s="23"/>
      <c r="AB108" s="25"/>
      <c r="AC108" s="23"/>
      <c r="AD108" s="26"/>
    </row>
    <row r="109">
      <c r="A109" s="30" t="s">
        <v>35</v>
      </c>
      <c r="B109" s="22" t="s">
        <v>65</v>
      </c>
      <c r="C109" s="22" t="s">
        <v>66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37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39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40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/>
      <c r="F115" s="23"/>
      <c r="G115" s="25"/>
      <c r="H115" s="23"/>
      <c r="I115" s="26"/>
      <c r="J115" s="24"/>
      <c r="K115" s="25"/>
      <c r="L115" s="23"/>
      <c r="M115" s="25"/>
      <c r="N115" s="23"/>
      <c r="O115" s="26"/>
      <c r="P115" s="27"/>
      <c r="Q115" s="28"/>
      <c r="R115" s="29"/>
      <c r="S115" s="24"/>
      <c r="T115" s="25"/>
      <c r="U115" s="23"/>
      <c r="V115" s="25"/>
      <c r="W115" s="23"/>
      <c r="X115" s="26"/>
      <c r="Y115" s="24"/>
      <c r="Z115" s="25"/>
      <c r="AA115" s="23"/>
      <c r="AB115" s="25"/>
      <c r="AC115" s="23"/>
      <c r="AD115" s="26"/>
    </row>
    <row r="116">
      <c r="A116" s="30" t="s">
        <v>43</v>
      </c>
      <c r="B116" s="22" t="s">
        <v>65</v>
      </c>
      <c r="C116" s="22" t="s">
        <v>66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/>
      <c r="F122" s="23"/>
      <c r="G122" s="25"/>
      <c r="H122" s="23"/>
      <c r="I122" s="26"/>
      <c r="J122" s="24"/>
      <c r="K122" s="25"/>
      <c r="L122" s="23"/>
      <c r="M122" s="25"/>
      <c r="N122" s="23"/>
      <c r="O122" s="26"/>
      <c r="P122" s="27"/>
      <c r="Q122" s="28"/>
      <c r="R122" s="29"/>
      <c r="S122" s="24"/>
      <c r="T122" s="25"/>
      <c r="U122" s="23"/>
      <c r="V122" s="25"/>
      <c r="W122" s="23"/>
      <c r="X122" s="26"/>
      <c r="Y122" s="24"/>
      <c r="Z122" s="25"/>
      <c r="AA122" s="23"/>
      <c r="AB122" s="25"/>
      <c r="AC122" s="23"/>
      <c r="AD122" s="26"/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/>
      <c r="F129" s="23"/>
      <c r="G129" s="25"/>
      <c r="H129" s="23"/>
      <c r="I129" s="26"/>
      <c r="J129" s="24"/>
      <c r="K129" s="25"/>
      <c r="L129" s="23"/>
      <c r="M129" s="25"/>
      <c r="N129" s="23"/>
      <c r="O129" s="26"/>
      <c r="P129" s="27"/>
      <c r="Q129" s="28"/>
      <c r="R129" s="29"/>
      <c r="S129" s="24"/>
      <c r="T129" s="25"/>
      <c r="U129" s="23"/>
      <c r="V129" s="25"/>
      <c r="W129" s="23"/>
      <c r="X129" s="26"/>
      <c r="Y129" s="24"/>
      <c r="Z129" s="25"/>
      <c r="AA129" s="23"/>
      <c r="AB129" s="25"/>
      <c r="AC129" s="23"/>
      <c r="AD129" s="26"/>
    </row>
    <row r="130">
      <c r="A130" s="30" t="s">
        <v>57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