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<sst xmlns="http://schemas.openxmlformats.org/spreadsheetml/2006/main" count="1274" uniqueCount="75">
  <si>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</si>
  <si>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</si>
  <si>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</si>
  <si>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</si>
  <si>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</si>
  <si>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</si>
  <si>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</si>
  <si>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</si>
  <si>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</si>
  <si>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</si>
  <si>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</si>
  <si>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</si>
  <si>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</si>
  <si>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</si>
  <si>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</si>
  <si>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</si>
  <si>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4.1</t>
  </si>
  <si>
    <t>金標準先物</t>
  </si>
  <si>
    <t>Gold Standard Futures</t>
  </si>
  <si>
    <t>2</t>
  </si>
  <si>
    <t>◎</t>
  </si>
  <si>
    <t>3</t>
  </si>
  <si>
    <t>4</t>
  </si>
  <si>
    <t>5</t>
  </si>
  <si>
    <t>●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</si>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</sst>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39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27705</f>
        <v>27705.0</v>
      </c>
      <c r="F6" s="10"/>
      <c r="G6" s="11" t="n">
        <f>168060919000</f>
        <v>1.68060919E11</v>
      </c>
      <c r="H6" s="10"/>
      <c r="I6" s="11" t="n">
        <f>6</f>
        <v>6.0</v>
      </c>
      <c r="J6" s="10"/>
      <c r="K6" s="11" t="n">
        <f>49345</f>
        <v>49345.0</v>
      </c>
    </row>
    <row r="7">
      <c r="A7" s="8" t="s">
        <v>19</v>
      </c>
      <c r="B7" s="9" t="s">
        <v>17</v>
      </c>
      <c r="C7" s="9" t="s">
        <v>18</v>
      </c>
      <c r="D7" s="10"/>
      <c r="E7" s="11" t="n">
        <f>19757</f>
        <v>19757.0</v>
      </c>
      <c r="F7" s="10"/>
      <c r="G7" s="11" t="n">
        <f>121077690000</f>
        <v>1.2107769E11</v>
      </c>
      <c r="H7" s="10" t="s">
        <v>20</v>
      </c>
      <c r="I7" s="11" t="n">
        <f>10</f>
        <v>10.0</v>
      </c>
      <c r="J7" s="10"/>
      <c r="K7" s="11" t="n">
        <f>49919</f>
        <v>49919.0</v>
      </c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23</v>
      </c>
      <c r="B10" s="9" t="s">
        <v>17</v>
      </c>
      <c r="C10" s="9" t="s">
        <v>18</v>
      </c>
      <c r="D10" s="10" t="s">
        <v>24</v>
      </c>
      <c r="E10" s="11" t="n">
        <f>9713</f>
        <v>9713.0</v>
      </c>
      <c r="F10" s="10" t="s">
        <v>24</v>
      </c>
      <c r="G10" s="11" t="n">
        <f>59539170000</f>
        <v>5.953917E10</v>
      </c>
      <c r="H10" s="10"/>
      <c r="I10" s="11" t="n">
        <f>3</f>
        <v>3.0</v>
      </c>
      <c r="J10" s="10"/>
      <c r="K10" s="11" t="n">
        <f>49810</f>
        <v>49810.0</v>
      </c>
    </row>
    <row r="11">
      <c r="A11" s="8" t="s">
        <v>25</v>
      </c>
      <c r="B11" s="9" t="s">
        <v>17</v>
      </c>
      <c r="C11" s="9" t="s">
        <v>18</v>
      </c>
      <c r="D11" s="10"/>
      <c r="E11" s="11" t="n">
        <f>15604</f>
        <v>15604.0</v>
      </c>
      <c r="F11" s="10"/>
      <c r="G11" s="11" t="n">
        <f>95727829000</f>
        <v>9.5727829E10</v>
      </c>
      <c r="H11" s="10"/>
      <c r="I11" s="11" t="n">
        <f>7</f>
        <v>7.0</v>
      </c>
      <c r="J11" s="10" t="s">
        <v>20</v>
      </c>
      <c r="K11" s="11" t="n">
        <f>50107</f>
        <v>50107.0</v>
      </c>
    </row>
    <row r="12">
      <c r="A12" s="8" t="s">
        <v>26</v>
      </c>
      <c r="B12" s="9" t="s">
        <v>17</v>
      </c>
      <c r="C12" s="9" t="s">
        <v>18</v>
      </c>
      <c r="D12" s="10"/>
      <c r="E12" s="11" t="n">
        <f>17293</f>
        <v>17293.0</v>
      </c>
      <c r="F12" s="10"/>
      <c r="G12" s="11" t="n">
        <f>106226801000</f>
        <v>1.06226801E11</v>
      </c>
      <c r="H12" s="10"/>
      <c r="I12" s="11" t="n">
        <f>2</f>
        <v>2.0</v>
      </c>
      <c r="J12" s="10"/>
      <c r="K12" s="11" t="n">
        <f>49770</f>
        <v>49770.0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11395</f>
        <v>11395.0</v>
      </c>
      <c r="F13" s="10"/>
      <c r="G13" s="11" t="n">
        <f>69892965000</f>
        <v>6.9892965E10</v>
      </c>
      <c r="H13" s="10"/>
      <c r="I13" s="11" t="n">
        <f>3</f>
        <v>3.0</v>
      </c>
      <c r="J13" s="10"/>
      <c r="K13" s="11" t="n">
        <f>49820</f>
        <v>49820.0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16776</f>
        <v>16776.0</v>
      </c>
      <c r="F14" s="10"/>
      <c r="G14" s="11" t="n">
        <f>103254994000</f>
        <v>1.03254994E11</v>
      </c>
      <c r="H14" s="10" t="s">
        <v>24</v>
      </c>
      <c r="I14" s="11" t="str">
        <f>"－"</f>
        <v>－</v>
      </c>
      <c r="J14" s="10"/>
      <c r="K14" s="11" t="n">
        <f>49790</f>
        <v>49790.0</v>
      </c>
    </row>
    <row r="15">
      <c r="A15" s="8" t="s">
        <v>29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 t="n">
        <f>16907</f>
        <v>16907.0</v>
      </c>
      <c r="F17" s="10"/>
      <c r="G17" s="11" t="n">
        <f>103726798000</f>
        <v>1.03726798E11</v>
      </c>
      <c r="H17" s="10"/>
      <c r="I17" s="11" t="str">
        <f>"－"</f>
        <v>－</v>
      </c>
      <c r="J17" s="10"/>
      <c r="K17" s="11" t="n">
        <f>49570</f>
        <v>49570.0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21221</f>
        <v>21221.0</v>
      </c>
      <c r="F18" s="10"/>
      <c r="G18" s="11" t="n">
        <f>129462972000</f>
        <v>1.29462972E11</v>
      </c>
      <c r="H18" s="10"/>
      <c r="I18" s="11" t="str">
        <f>"－"</f>
        <v>－</v>
      </c>
      <c r="J18" s="10"/>
      <c r="K18" s="11" t="n">
        <f>49780</f>
        <v>49780.0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20122</f>
        <v>20122.0</v>
      </c>
      <c r="F19" s="10"/>
      <c r="G19" s="11" t="n">
        <f>122811623000</f>
        <v>1.22811623E11</v>
      </c>
      <c r="H19" s="10"/>
      <c r="I19" s="11" t="str">
        <f>"－"</f>
        <v>－</v>
      </c>
      <c r="J19" s="10"/>
      <c r="K19" s="11" t="n">
        <f>49615</f>
        <v>49615.0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16310</f>
        <v>16310.0</v>
      </c>
      <c r="F20" s="10"/>
      <c r="G20" s="11" t="n">
        <f>99331938000</f>
        <v>9.9331938E10</v>
      </c>
      <c r="H20" s="10"/>
      <c r="I20" s="11" t="str">
        <f>"－"</f>
        <v>－</v>
      </c>
      <c r="J20" s="10"/>
      <c r="K20" s="11" t="n">
        <f>49276</f>
        <v>49276.0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29266</f>
        <v>29266.0</v>
      </c>
      <c r="F21" s="10"/>
      <c r="G21" s="11" t="n">
        <f>179938778000</f>
        <v>1.79938778E11</v>
      </c>
      <c r="H21" s="10"/>
      <c r="I21" s="11" t="str">
        <f>"－"</f>
        <v>－</v>
      </c>
      <c r="J21" s="10"/>
      <c r="K21" s="11" t="n">
        <f>49961</f>
        <v>49961.0</v>
      </c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 t="s">
        <v>20</v>
      </c>
      <c r="E24" s="11" t="n">
        <f>29428</f>
        <v>29428.0</v>
      </c>
      <c r="F24" s="10" t="s">
        <v>20</v>
      </c>
      <c r="G24" s="11" t="n">
        <f>182757609000</f>
        <v>1.82757609E11</v>
      </c>
      <c r="H24" s="10"/>
      <c r="I24" s="11" t="n">
        <f>8</f>
        <v>8.0</v>
      </c>
      <c r="J24" s="10"/>
      <c r="K24" s="11" t="n">
        <f>49614</f>
        <v>49614.0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26123</f>
        <v>26123.0</v>
      </c>
      <c r="F25" s="10"/>
      <c r="G25" s="11" t="n">
        <f>161233739000</f>
        <v>1.61233739E11</v>
      </c>
      <c r="H25" s="10"/>
      <c r="I25" s="11" t="n">
        <f>5</f>
        <v>5.0</v>
      </c>
      <c r="J25" s="10"/>
      <c r="K25" s="11" t="n">
        <f>49268</f>
        <v>49268.0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19188</f>
        <v>19188.0</v>
      </c>
      <c r="F26" s="10"/>
      <c r="G26" s="11" t="n">
        <f>118572811000</f>
        <v>1.18572811E11</v>
      </c>
      <c r="H26" s="10"/>
      <c r="I26" s="11" t="str">
        <f>"－"</f>
        <v>－</v>
      </c>
      <c r="J26" s="10"/>
      <c r="K26" s="11" t="n">
        <f>48921</f>
        <v>48921.0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25433</f>
        <v>25433.0</v>
      </c>
      <c r="F27" s="10"/>
      <c r="G27" s="11" t="n">
        <f>158195673000</f>
        <v>1.58195673E11</v>
      </c>
      <c r="H27" s="10"/>
      <c r="I27" s="11" t="n">
        <f>10</f>
        <v>10.0</v>
      </c>
      <c r="J27" s="10"/>
      <c r="K27" s="11" t="n">
        <f>48210</f>
        <v>48210.0</v>
      </c>
    </row>
    <row r="28">
      <c r="A28" s="8" t="s">
        <v>42</v>
      </c>
      <c r="B28" s="9" t="s">
        <v>17</v>
      </c>
      <c r="C28" s="9" t="s">
        <v>18</v>
      </c>
      <c r="D28" s="10"/>
      <c r="E28" s="11" t="n">
        <f>22337</f>
        <v>22337.0</v>
      </c>
      <c r="F28" s="10"/>
      <c r="G28" s="11" t="n">
        <f>138493817000</f>
        <v>1.38493817E11</v>
      </c>
      <c r="H28" s="10"/>
      <c r="I28" s="11" t="n">
        <f>9</f>
        <v>9.0</v>
      </c>
      <c r="J28" s="10"/>
      <c r="K28" s="11" t="n">
        <f>47559</f>
        <v>47559.0</v>
      </c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45</v>
      </c>
      <c r="B31" s="9" t="s">
        <v>17</v>
      </c>
      <c r="C31" s="9" t="s">
        <v>18</v>
      </c>
      <c r="D31" s="10"/>
      <c r="E31" s="11" t="n">
        <f>21927</f>
        <v>21927.0</v>
      </c>
      <c r="F31" s="10"/>
      <c r="G31" s="11" t="n">
        <f>135428521000</f>
        <v>1.35428521E11</v>
      </c>
      <c r="H31" s="10"/>
      <c r="I31" s="11" t="str">
        <f>"－"</f>
        <v>－</v>
      </c>
      <c r="J31" s="10"/>
      <c r="K31" s="11" t="n">
        <f>47690</f>
        <v>47690.0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17598</f>
        <v>17598.0</v>
      </c>
      <c r="F32" s="10"/>
      <c r="G32" s="11" t="n">
        <f>108798747000</f>
        <v>1.08798747E11</v>
      </c>
      <c r="H32" s="10"/>
      <c r="I32" s="11" t="n">
        <f>1</f>
        <v>1.0</v>
      </c>
      <c r="J32" s="10" t="s">
        <v>24</v>
      </c>
      <c r="K32" s="11" t="n">
        <f>46827</f>
        <v>46827.0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15014</f>
        <v>15014.0</v>
      </c>
      <c r="F33" s="10"/>
      <c r="G33" s="11" t="n">
        <f>93107949000</f>
        <v>9.3107949E10</v>
      </c>
      <c r="H33" s="10"/>
      <c r="I33" s="11" t="str">
        <f>"－"</f>
        <v>－</v>
      </c>
      <c r="J33" s="10"/>
      <c r="K33" s="11" t="n">
        <f>47111</f>
        <v>47111.0</v>
      </c>
    </row>
    <row r="34">
      <c r="A34" s="8" t="s">
        <v>48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49</v>
      </c>
      <c r="B35" s="9" t="s">
        <v>17</v>
      </c>
      <c r="C35" s="9" t="s">
        <v>18</v>
      </c>
      <c r="D35" s="10"/>
      <c r="E35" s="11" t="n">
        <f>23228</f>
        <v>23228.0</v>
      </c>
      <c r="F35" s="10"/>
      <c r="G35" s="11" t="n">
        <f>143914736000</f>
        <v>1.43914736E11</v>
      </c>
      <c r="H35" s="10"/>
      <c r="I35" s="11" t="n">
        <f>4</f>
        <v>4.0</v>
      </c>
      <c r="J35" s="10"/>
      <c r="K35" s="11" t="n">
        <f>48394</f>
        <v>48394.0</v>
      </c>
    </row>
    <row r="36">
      <c r="A36" s="8" t="s">
        <v>16</v>
      </c>
      <c r="B36" s="9" t="s">
        <v>50</v>
      </c>
      <c r="C36" s="9" t="s">
        <v>51</v>
      </c>
      <c r="D36" s="10"/>
      <c r="E36" s="11" t="n">
        <f>9824</f>
        <v>9824.0</v>
      </c>
      <c r="F36" s="10"/>
      <c r="G36" s="11" t="n">
        <f>5951148900</f>
        <v>5.9511489E9</v>
      </c>
      <c r="H36" s="10" t="s">
        <v>52</v>
      </c>
      <c r="I36" s="11" t="str">
        <f>"－"</f>
        <v>－</v>
      </c>
      <c r="J36" s="10"/>
      <c r="K36" s="11" t="n">
        <f>14292</f>
        <v>14292.0</v>
      </c>
    </row>
    <row r="37">
      <c r="A37" s="8" t="s">
        <v>19</v>
      </c>
      <c r="B37" s="9" t="s">
        <v>50</v>
      </c>
      <c r="C37" s="9" t="s">
        <v>51</v>
      </c>
      <c r="D37" s="10"/>
      <c r="E37" s="11" t="n">
        <f>8294</f>
        <v>8294.0</v>
      </c>
      <c r="F37" s="10"/>
      <c r="G37" s="11" t="n">
        <f>5080079300</f>
        <v>5.0800793E9</v>
      </c>
      <c r="H37" s="10"/>
      <c r="I37" s="11" t="str">
        <f>"－"</f>
        <v>－</v>
      </c>
      <c r="J37" s="10"/>
      <c r="K37" s="11" t="n">
        <f>14392</f>
        <v>14392.0</v>
      </c>
    </row>
    <row r="38">
      <c r="A38" s="8" t="s">
        <v>21</v>
      </c>
      <c r="B38" s="9" t="s">
        <v>50</v>
      </c>
      <c r="C38" s="9" t="s">
        <v>51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22</v>
      </c>
      <c r="B39" s="9" t="s">
        <v>50</v>
      </c>
      <c r="C39" s="9" t="s">
        <v>51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23</v>
      </c>
      <c r="B40" s="9" t="s">
        <v>50</v>
      </c>
      <c r="C40" s="9" t="s">
        <v>51</v>
      </c>
      <c r="D40" s="10"/>
      <c r="E40" s="11" t="n">
        <f>4297</f>
        <v>4297.0</v>
      </c>
      <c r="F40" s="10"/>
      <c r="G40" s="11" t="n">
        <f>2631709700</f>
        <v>2.6317097E9</v>
      </c>
      <c r="H40" s="10"/>
      <c r="I40" s="11" t="str">
        <f>"－"</f>
        <v>－</v>
      </c>
      <c r="J40" s="10" t="s">
        <v>20</v>
      </c>
      <c r="K40" s="11" t="n">
        <f>14487</f>
        <v>14487.0</v>
      </c>
    </row>
    <row r="41">
      <c r="A41" s="8" t="s">
        <v>25</v>
      </c>
      <c r="B41" s="9" t="s">
        <v>50</v>
      </c>
      <c r="C41" s="9" t="s">
        <v>51</v>
      </c>
      <c r="D41" s="10"/>
      <c r="E41" s="11" t="n">
        <f>5400</f>
        <v>5400.0</v>
      </c>
      <c r="F41" s="10"/>
      <c r="G41" s="11" t="n">
        <f>3313330500</f>
        <v>3.3133305E9</v>
      </c>
      <c r="H41" s="10"/>
      <c r="I41" s="11" t="str">
        <f>"－"</f>
        <v>－</v>
      </c>
      <c r="J41" s="10"/>
      <c r="K41" s="11" t="n">
        <f>14444</f>
        <v>14444.0</v>
      </c>
    </row>
    <row r="42">
      <c r="A42" s="8" t="s">
        <v>26</v>
      </c>
      <c r="B42" s="9" t="s">
        <v>50</v>
      </c>
      <c r="C42" s="9" t="s">
        <v>51</v>
      </c>
      <c r="D42" s="10"/>
      <c r="E42" s="11" t="n">
        <f>9682</f>
        <v>9682.0</v>
      </c>
      <c r="F42" s="10"/>
      <c r="G42" s="11" t="n">
        <f>5947800200</f>
        <v>5.9478002E9</v>
      </c>
      <c r="H42" s="10"/>
      <c r="I42" s="11" t="str">
        <f>"－"</f>
        <v>－</v>
      </c>
      <c r="J42" s="10"/>
      <c r="K42" s="11" t="n">
        <f>14253</f>
        <v>14253.0</v>
      </c>
    </row>
    <row r="43">
      <c r="A43" s="8" t="s">
        <v>27</v>
      </c>
      <c r="B43" s="9" t="s">
        <v>50</v>
      </c>
      <c r="C43" s="9" t="s">
        <v>51</v>
      </c>
      <c r="D43" s="10"/>
      <c r="E43" s="11" t="n">
        <f>9114</f>
        <v>9114.0</v>
      </c>
      <c r="F43" s="10"/>
      <c r="G43" s="11" t="n">
        <f>5589304900</f>
        <v>5.5893049E9</v>
      </c>
      <c r="H43" s="10"/>
      <c r="I43" s="11" t="str">
        <f>"－"</f>
        <v>－</v>
      </c>
      <c r="J43" s="10"/>
      <c r="K43" s="11" t="n">
        <f>14266</f>
        <v>14266.0</v>
      </c>
    </row>
    <row r="44">
      <c r="A44" s="8" t="s">
        <v>28</v>
      </c>
      <c r="B44" s="9" t="s">
        <v>50</v>
      </c>
      <c r="C44" s="9" t="s">
        <v>51</v>
      </c>
      <c r="D44" s="10" t="s">
        <v>20</v>
      </c>
      <c r="E44" s="11" t="n">
        <f>11820</f>
        <v>11820.0</v>
      </c>
      <c r="F44" s="10" t="s">
        <v>20</v>
      </c>
      <c r="G44" s="11" t="n">
        <f>7268266900</f>
        <v>7.2682669E9</v>
      </c>
      <c r="H44" s="10"/>
      <c r="I44" s="11" t="str">
        <f>"－"</f>
        <v>－</v>
      </c>
      <c r="J44" s="10"/>
      <c r="K44" s="11" t="n">
        <f>14445</f>
        <v>14445.0</v>
      </c>
    </row>
    <row r="45">
      <c r="A45" s="8" t="s">
        <v>29</v>
      </c>
      <c r="B45" s="9" t="s">
        <v>50</v>
      </c>
      <c r="C45" s="9" t="s">
        <v>51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30</v>
      </c>
      <c r="B46" s="9" t="s">
        <v>50</v>
      </c>
      <c r="C46" s="9" t="s">
        <v>51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31</v>
      </c>
      <c r="B47" s="9" t="s">
        <v>50</v>
      </c>
      <c r="C47" s="9" t="s">
        <v>51</v>
      </c>
      <c r="D47" s="10"/>
      <c r="E47" s="11" t="n">
        <f>8476</f>
        <v>8476.0</v>
      </c>
      <c r="F47" s="10"/>
      <c r="G47" s="11" t="n">
        <f>5201376100</f>
        <v>5.2013761E9</v>
      </c>
      <c r="H47" s="10"/>
      <c r="I47" s="11" t="str">
        <f>"－"</f>
        <v>－</v>
      </c>
      <c r="J47" s="10"/>
      <c r="K47" s="11" t="n">
        <f>14233</f>
        <v>14233.0</v>
      </c>
    </row>
    <row r="48">
      <c r="A48" s="8" t="s">
        <v>32</v>
      </c>
      <c r="B48" s="9" t="s">
        <v>50</v>
      </c>
      <c r="C48" s="9" t="s">
        <v>51</v>
      </c>
      <c r="D48" s="10"/>
      <c r="E48" s="11" t="n">
        <f>7468</f>
        <v>7468.0</v>
      </c>
      <c r="F48" s="10"/>
      <c r="G48" s="11" t="n">
        <f>4557076900</f>
        <v>4.5570769E9</v>
      </c>
      <c r="H48" s="10"/>
      <c r="I48" s="11" t="str">
        <f>"－"</f>
        <v>－</v>
      </c>
      <c r="J48" s="10"/>
      <c r="K48" s="11" t="n">
        <f>14279</f>
        <v>14279.0</v>
      </c>
    </row>
    <row r="49">
      <c r="A49" s="8" t="s">
        <v>33</v>
      </c>
      <c r="B49" s="9" t="s">
        <v>50</v>
      </c>
      <c r="C49" s="9" t="s">
        <v>51</v>
      </c>
      <c r="D49" s="10"/>
      <c r="E49" s="11" t="n">
        <f>8203</f>
        <v>8203.0</v>
      </c>
      <c r="F49" s="10"/>
      <c r="G49" s="11" t="n">
        <f>5003268900</f>
        <v>5.0032689E9</v>
      </c>
      <c r="H49" s="10"/>
      <c r="I49" s="11" t="str">
        <f>"－"</f>
        <v>－</v>
      </c>
      <c r="J49" s="10"/>
      <c r="K49" s="11" t="n">
        <f>14362</f>
        <v>14362.0</v>
      </c>
    </row>
    <row r="50">
      <c r="A50" s="8" t="s">
        <v>34</v>
      </c>
      <c r="B50" s="9" t="s">
        <v>50</v>
      </c>
      <c r="C50" s="9" t="s">
        <v>51</v>
      </c>
      <c r="D50" s="10"/>
      <c r="E50" s="11" t="n">
        <f>6463</f>
        <v>6463.0</v>
      </c>
      <c r="F50" s="10"/>
      <c r="G50" s="11" t="n">
        <f>3937324000</f>
        <v>3.937324E9</v>
      </c>
      <c r="H50" s="10"/>
      <c r="I50" s="11" t="str">
        <f>"－"</f>
        <v>－</v>
      </c>
      <c r="J50" s="10" t="s">
        <v>24</v>
      </c>
      <c r="K50" s="11" t="n">
        <f>14121</f>
        <v>14121.0</v>
      </c>
    </row>
    <row r="51">
      <c r="A51" s="8" t="s">
        <v>35</v>
      </c>
      <c r="B51" s="9" t="s">
        <v>50</v>
      </c>
      <c r="C51" s="9" t="s">
        <v>51</v>
      </c>
      <c r="D51" s="10"/>
      <c r="E51" s="11" t="n">
        <f>8162</f>
        <v>8162.0</v>
      </c>
      <c r="F51" s="10"/>
      <c r="G51" s="11" t="n">
        <f>5015825400</f>
        <v>5.0158254E9</v>
      </c>
      <c r="H51" s="10"/>
      <c r="I51" s="11" t="str">
        <f>"－"</f>
        <v>－</v>
      </c>
      <c r="J51" s="10"/>
      <c r="K51" s="11" t="n">
        <f>14398</f>
        <v>14398.0</v>
      </c>
    </row>
    <row r="52">
      <c r="A52" s="8" t="s">
        <v>36</v>
      </c>
      <c r="B52" s="9" t="s">
        <v>50</v>
      </c>
      <c r="C52" s="9" t="s">
        <v>51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37</v>
      </c>
      <c r="B53" s="9" t="s">
        <v>50</v>
      </c>
      <c r="C53" s="9" t="s">
        <v>51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38</v>
      </c>
      <c r="B54" s="9" t="s">
        <v>50</v>
      </c>
      <c r="C54" s="9" t="s">
        <v>51</v>
      </c>
      <c r="D54" s="10"/>
      <c r="E54" s="11" t="n">
        <f>9981</f>
        <v>9981.0</v>
      </c>
      <c r="F54" s="10"/>
      <c r="G54" s="11" t="n">
        <f>6196166100</f>
        <v>6.1961661E9</v>
      </c>
      <c r="H54" s="10"/>
      <c r="I54" s="11" t="str">
        <f>"－"</f>
        <v>－</v>
      </c>
      <c r="J54" s="10"/>
      <c r="K54" s="11" t="n">
        <f>14416</f>
        <v>14416.0</v>
      </c>
    </row>
    <row r="55">
      <c r="A55" s="8" t="s">
        <v>39</v>
      </c>
      <c r="B55" s="9" t="s">
        <v>50</v>
      </c>
      <c r="C55" s="9" t="s">
        <v>51</v>
      </c>
      <c r="D55" s="10"/>
      <c r="E55" s="11" t="n">
        <f>9043</f>
        <v>9043.0</v>
      </c>
      <c r="F55" s="10"/>
      <c r="G55" s="11" t="n">
        <f>5582589700</f>
        <v>5.5825897E9</v>
      </c>
      <c r="H55" s="10"/>
      <c r="I55" s="11" t="str">
        <f>"－"</f>
        <v>－</v>
      </c>
      <c r="J55" s="10"/>
      <c r="K55" s="11" t="n">
        <f>14287</f>
        <v>14287.0</v>
      </c>
    </row>
    <row r="56">
      <c r="A56" s="8" t="s">
        <v>40</v>
      </c>
      <c r="B56" s="9" t="s">
        <v>50</v>
      </c>
      <c r="C56" s="9" t="s">
        <v>51</v>
      </c>
      <c r="D56" s="10"/>
      <c r="E56" s="11" t="n">
        <f>7752</f>
        <v>7752.0</v>
      </c>
      <c r="F56" s="10"/>
      <c r="G56" s="11" t="n">
        <f>4788076900</f>
        <v>4.7880769E9</v>
      </c>
      <c r="H56" s="10"/>
      <c r="I56" s="11" t="str">
        <f>"－"</f>
        <v>－</v>
      </c>
      <c r="J56" s="10"/>
      <c r="K56" s="11" t="n">
        <f>14480</f>
        <v>14480.0</v>
      </c>
    </row>
    <row r="57">
      <c r="A57" s="8" t="s">
        <v>41</v>
      </c>
      <c r="B57" s="9" t="s">
        <v>50</v>
      </c>
      <c r="C57" s="9" t="s">
        <v>51</v>
      </c>
      <c r="D57" s="10"/>
      <c r="E57" s="11" t="n">
        <f>5682</f>
        <v>5682.0</v>
      </c>
      <c r="F57" s="10"/>
      <c r="G57" s="11" t="n">
        <f>3533348800</f>
        <v>3.5333488E9</v>
      </c>
      <c r="H57" s="10"/>
      <c r="I57" s="11" t="str">
        <f>"－"</f>
        <v>－</v>
      </c>
      <c r="J57" s="10"/>
      <c r="K57" s="11" t="n">
        <f>14481</f>
        <v>14481.0</v>
      </c>
    </row>
    <row r="58">
      <c r="A58" s="8" t="s">
        <v>42</v>
      </c>
      <c r="B58" s="9" t="s">
        <v>50</v>
      </c>
      <c r="C58" s="9" t="s">
        <v>51</v>
      </c>
      <c r="D58" s="10"/>
      <c r="E58" s="11" t="n">
        <f>5854</f>
        <v>5854.0</v>
      </c>
      <c r="F58" s="10"/>
      <c r="G58" s="11" t="n">
        <f>3629990300</f>
        <v>3.6299903E9</v>
      </c>
      <c r="H58" s="10"/>
      <c r="I58" s="11" t="str">
        <f>"－"</f>
        <v>－</v>
      </c>
      <c r="J58" s="10"/>
      <c r="K58" s="11" t="n">
        <f>14453</f>
        <v>14453.0</v>
      </c>
    </row>
    <row r="59">
      <c r="A59" s="8" t="s">
        <v>43</v>
      </c>
      <c r="B59" s="9" t="s">
        <v>50</v>
      </c>
      <c r="C59" s="9" t="s">
        <v>51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44</v>
      </c>
      <c r="B60" s="9" t="s">
        <v>50</v>
      </c>
      <c r="C60" s="9" t="s">
        <v>51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45</v>
      </c>
      <c r="B61" s="9" t="s">
        <v>50</v>
      </c>
      <c r="C61" s="9" t="s">
        <v>51</v>
      </c>
      <c r="D61" s="10"/>
      <c r="E61" s="11" t="n">
        <f>6374</f>
        <v>6374.0</v>
      </c>
      <c r="F61" s="10"/>
      <c r="G61" s="11" t="n">
        <f>3936861500</f>
        <v>3.9368615E9</v>
      </c>
      <c r="H61" s="10"/>
      <c r="I61" s="11" t="str">
        <f>"－"</f>
        <v>－</v>
      </c>
      <c r="J61" s="10"/>
      <c r="K61" s="11" t="n">
        <f>14476</f>
        <v>14476.0</v>
      </c>
    </row>
    <row r="62">
      <c r="A62" s="8" t="s">
        <v>46</v>
      </c>
      <c r="B62" s="9" t="s">
        <v>50</v>
      </c>
      <c r="C62" s="9" t="s">
        <v>51</v>
      </c>
      <c r="D62" s="10"/>
      <c r="E62" s="11" t="n">
        <f>4653</f>
        <v>4653.0</v>
      </c>
      <c r="F62" s="10"/>
      <c r="G62" s="11" t="n">
        <f>2874946400</f>
        <v>2.8749464E9</v>
      </c>
      <c r="H62" s="10"/>
      <c r="I62" s="11" t="str">
        <f>"－"</f>
        <v>－</v>
      </c>
      <c r="J62" s="10"/>
      <c r="K62" s="11" t="n">
        <f>14295</f>
        <v>14295.0</v>
      </c>
    </row>
    <row r="63">
      <c r="A63" s="8" t="s">
        <v>47</v>
      </c>
      <c r="B63" s="9" t="s">
        <v>50</v>
      </c>
      <c r="C63" s="9" t="s">
        <v>51</v>
      </c>
      <c r="D63" s="10" t="s">
        <v>24</v>
      </c>
      <c r="E63" s="11" t="n">
        <f>3525</f>
        <v>3525.0</v>
      </c>
      <c r="F63" s="10" t="s">
        <v>24</v>
      </c>
      <c r="G63" s="11" t="n">
        <f>2186064200</f>
        <v>2.1860642E9</v>
      </c>
      <c r="H63" s="10"/>
      <c r="I63" s="11" t="str">
        <f>"－"</f>
        <v>－</v>
      </c>
      <c r="J63" s="10"/>
      <c r="K63" s="11" t="n">
        <f>14176</f>
        <v>14176.0</v>
      </c>
    </row>
    <row r="64">
      <c r="A64" s="8" t="s">
        <v>48</v>
      </c>
      <c r="B64" s="9" t="s">
        <v>50</v>
      </c>
      <c r="C64" s="9" t="s">
        <v>51</v>
      </c>
      <c r="D64" s="10"/>
      <c r="E64" s="11"/>
      <c r="F64" s="10"/>
      <c r="G64" s="11"/>
      <c r="H64" s="10"/>
      <c r="I64" s="11"/>
      <c r="J64" s="10"/>
      <c r="K64" s="11"/>
    </row>
    <row r="65">
      <c r="A65" s="8" t="s">
        <v>49</v>
      </c>
      <c r="B65" s="9" t="s">
        <v>50</v>
      </c>
      <c r="C65" s="9" t="s">
        <v>51</v>
      </c>
      <c r="D65" s="10"/>
      <c r="E65" s="11" t="n">
        <f>5109</f>
        <v>5109.0</v>
      </c>
      <c r="F65" s="10"/>
      <c r="G65" s="11" t="n">
        <f>3165206900</f>
        <v>3.1652069E9</v>
      </c>
      <c r="H65" s="10"/>
      <c r="I65" s="11" t="str">
        <f>"－"</f>
        <v>－</v>
      </c>
      <c r="J65" s="10"/>
      <c r="K65" s="11" t="n">
        <f>14183</f>
        <v>14183.0</v>
      </c>
    </row>
    <row r="66">
      <c r="A66" s="8" t="s">
        <v>16</v>
      </c>
      <c r="B66" s="9" t="s">
        <v>53</v>
      </c>
      <c r="C66" s="9" t="s">
        <v>54</v>
      </c>
      <c r="D66" s="10"/>
      <c r="E66" s="11" t="n">
        <f>2443</f>
        <v>2443.0</v>
      </c>
      <c r="F66" s="10"/>
      <c r="G66" s="11" t="n">
        <f>1500930500</f>
        <v>1.5009305E9</v>
      </c>
      <c r="H66" s="10" t="s">
        <v>52</v>
      </c>
      <c r="I66" s="11" t="str">
        <f>"－"</f>
        <v>－</v>
      </c>
      <c r="J66" s="10"/>
      <c r="K66" s="11" t="n">
        <f>53480</f>
        <v>53480.0</v>
      </c>
    </row>
    <row r="67">
      <c r="A67" s="8" t="s">
        <v>19</v>
      </c>
      <c r="B67" s="9" t="s">
        <v>53</v>
      </c>
      <c r="C67" s="9" t="s">
        <v>54</v>
      </c>
      <c r="D67" s="10"/>
      <c r="E67" s="11" t="n">
        <f>3096</f>
        <v>3096.0</v>
      </c>
      <c r="F67" s="10"/>
      <c r="G67" s="11" t="n">
        <f>1918500000</f>
        <v>1.9185E9</v>
      </c>
      <c r="H67" s="10"/>
      <c r="I67" s="11" t="str">
        <f>"－"</f>
        <v>－</v>
      </c>
      <c r="J67" s="10" t="s">
        <v>24</v>
      </c>
      <c r="K67" s="11" t="n">
        <f>53278</f>
        <v>53278.0</v>
      </c>
    </row>
    <row r="68">
      <c r="A68" s="8" t="s">
        <v>21</v>
      </c>
      <c r="B68" s="9" t="s">
        <v>53</v>
      </c>
      <c r="C68" s="9" t="s">
        <v>54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22</v>
      </c>
      <c r="B69" s="9" t="s">
        <v>53</v>
      </c>
      <c r="C69" s="9" t="s">
        <v>54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23</v>
      </c>
      <c r="B70" s="9" t="s">
        <v>53</v>
      </c>
      <c r="C70" s="9" t="s">
        <v>54</v>
      </c>
      <c r="D70" s="10"/>
      <c r="E70" s="11" t="n">
        <f>2072</f>
        <v>2072.0</v>
      </c>
      <c r="F70" s="10"/>
      <c r="G70" s="11" t="n">
        <f>1282507800</f>
        <v>1.2825078E9</v>
      </c>
      <c r="H70" s="10"/>
      <c r="I70" s="11" t="str">
        <f>"－"</f>
        <v>－</v>
      </c>
      <c r="J70" s="10"/>
      <c r="K70" s="11" t="n">
        <f>53399</f>
        <v>53399.0</v>
      </c>
    </row>
    <row r="71">
      <c r="A71" s="8" t="s">
        <v>25</v>
      </c>
      <c r="B71" s="9" t="s">
        <v>53</v>
      </c>
      <c r="C71" s="9" t="s">
        <v>54</v>
      </c>
      <c r="D71" s="10"/>
      <c r="E71" s="11" t="n">
        <f>1477</f>
        <v>1477.0</v>
      </c>
      <c r="F71" s="10"/>
      <c r="G71" s="11" t="n">
        <f>916750900</f>
        <v>9.167509E8</v>
      </c>
      <c r="H71" s="10"/>
      <c r="I71" s="11" t="str">
        <f>"－"</f>
        <v>－</v>
      </c>
      <c r="J71" s="10"/>
      <c r="K71" s="11" t="n">
        <f>53646</f>
        <v>53646.0</v>
      </c>
    </row>
    <row r="72">
      <c r="A72" s="8" t="s">
        <v>26</v>
      </c>
      <c r="B72" s="9" t="s">
        <v>53</v>
      </c>
      <c r="C72" s="9" t="s">
        <v>54</v>
      </c>
      <c r="D72" s="10"/>
      <c r="E72" s="11" t="n">
        <f>1543</f>
        <v>1543.0</v>
      </c>
      <c r="F72" s="10"/>
      <c r="G72" s="11" t="n">
        <f>958024600</f>
        <v>9.580246E8</v>
      </c>
      <c r="H72" s="10"/>
      <c r="I72" s="11" t="str">
        <f>"－"</f>
        <v>－</v>
      </c>
      <c r="J72" s="10"/>
      <c r="K72" s="11" t="n">
        <f>53596</f>
        <v>53596.0</v>
      </c>
    </row>
    <row r="73">
      <c r="A73" s="8" t="s">
        <v>27</v>
      </c>
      <c r="B73" s="9" t="s">
        <v>53</v>
      </c>
      <c r="C73" s="9" t="s">
        <v>54</v>
      </c>
      <c r="D73" s="10" t="s">
        <v>24</v>
      </c>
      <c r="E73" s="11" t="n">
        <f>1118</f>
        <v>1118.0</v>
      </c>
      <c r="F73" s="10" t="s">
        <v>24</v>
      </c>
      <c r="G73" s="11" t="n">
        <f>693126300</f>
        <v>6.931263E8</v>
      </c>
      <c r="H73" s="10"/>
      <c r="I73" s="11" t="str">
        <f>"－"</f>
        <v>－</v>
      </c>
      <c r="J73" s="10"/>
      <c r="K73" s="11" t="n">
        <f>53578</f>
        <v>53578.0</v>
      </c>
    </row>
    <row r="74">
      <c r="A74" s="8" t="s">
        <v>28</v>
      </c>
      <c r="B74" s="9" t="s">
        <v>53</v>
      </c>
      <c r="C74" s="9" t="s">
        <v>54</v>
      </c>
      <c r="D74" s="10"/>
      <c r="E74" s="11" t="n">
        <f>1622</f>
        <v>1622.0</v>
      </c>
      <c r="F74" s="10"/>
      <c r="G74" s="11" t="n">
        <f>1009284900</f>
        <v>1.0092849E9</v>
      </c>
      <c r="H74" s="10"/>
      <c r="I74" s="11" t="str">
        <f>"－"</f>
        <v>－</v>
      </c>
      <c r="J74" s="10"/>
      <c r="K74" s="11" t="n">
        <f>53600</f>
        <v>53600.0</v>
      </c>
    </row>
    <row r="75">
      <c r="A75" s="8" t="s">
        <v>29</v>
      </c>
      <c r="B75" s="9" t="s">
        <v>53</v>
      </c>
      <c r="C75" s="9" t="s">
        <v>54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30</v>
      </c>
      <c r="B76" s="9" t="s">
        <v>53</v>
      </c>
      <c r="C76" s="9" t="s">
        <v>54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31</v>
      </c>
      <c r="B77" s="9" t="s">
        <v>53</v>
      </c>
      <c r="C77" s="9" t="s">
        <v>54</v>
      </c>
      <c r="D77" s="10"/>
      <c r="E77" s="11" t="n">
        <f>1285</f>
        <v>1285.0</v>
      </c>
      <c r="F77" s="10"/>
      <c r="G77" s="11" t="n">
        <f>797102600</f>
        <v>7.971026E8</v>
      </c>
      <c r="H77" s="10"/>
      <c r="I77" s="11" t="str">
        <f>"－"</f>
        <v>－</v>
      </c>
      <c r="J77" s="10"/>
      <c r="K77" s="11" t="n">
        <f>53523</f>
        <v>53523.0</v>
      </c>
    </row>
    <row r="78">
      <c r="A78" s="8" t="s">
        <v>32</v>
      </c>
      <c r="B78" s="9" t="s">
        <v>53</v>
      </c>
      <c r="C78" s="9" t="s">
        <v>54</v>
      </c>
      <c r="D78" s="10"/>
      <c r="E78" s="11" t="n">
        <f>1501</f>
        <v>1501.0</v>
      </c>
      <c r="F78" s="10"/>
      <c r="G78" s="11" t="n">
        <f>927093000</f>
        <v>9.27093E8</v>
      </c>
      <c r="H78" s="10"/>
      <c r="I78" s="11" t="str">
        <f>"－"</f>
        <v>－</v>
      </c>
      <c r="J78" s="10"/>
      <c r="K78" s="11" t="n">
        <f>53512</f>
        <v>53512.0</v>
      </c>
    </row>
    <row r="79">
      <c r="A79" s="8" t="s">
        <v>33</v>
      </c>
      <c r="B79" s="9" t="s">
        <v>53</v>
      </c>
      <c r="C79" s="9" t="s">
        <v>54</v>
      </c>
      <c r="D79" s="10"/>
      <c r="E79" s="11" t="n">
        <f>1419</f>
        <v>1419.0</v>
      </c>
      <c r="F79" s="10"/>
      <c r="G79" s="11" t="n">
        <f>877297000</f>
        <v>8.77297E8</v>
      </c>
      <c r="H79" s="10"/>
      <c r="I79" s="11" t="str">
        <f>"－"</f>
        <v>－</v>
      </c>
      <c r="J79" s="10"/>
      <c r="K79" s="11" t="n">
        <f>53539</f>
        <v>53539.0</v>
      </c>
    </row>
    <row r="80">
      <c r="A80" s="8" t="s">
        <v>34</v>
      </c>
      <c r="B80" s="9" t="s">
        <v>53</v>
      </c>
      <c r="C80" s="9" t="s">
        <v>54</v>
      </c>
      <c r="D80" s="10"/>
      <c r="E80" s="11" t="n">
        <f>1598</f>
        <v>1598.0</v>
      </c>
      <c r="F80" s="10"/>
      <c r="G80" s="11" t="n">
        <f>986434400</f>
        <v>9.864344E8</v>
      </c>
      <c r="H80" s="10"/>
      <c r="I80" s="11" t="str">
        <f>"－"</f>
        <v>－</v>
      </c>
      <c r="J80" s="10"/>
      <c r="K80" s="11" t="n">
        <f>53693</f>
        <v>53693.0</v>
      </c>
    </row>
    <row r="81">
      <c r="A81" s="8" t="s">
        <v>35</v>
      </c>
      <c r="B81" s="9" t="s">
        <v>53</v>
      </c>
      <c r="C81" s="9" t="s">
        <v>54</v>
      </c>
      <c r="D81" s="10" t="s">
        <v>20</v>
      </c>
      <c r="E81" s="11" t="n">
        <f>3143</f>
        <v>3143.0</v>
      </c>
      <c r="F81" s="10" t="s">
        <v>20</v>
      </c>
      <c r="G81" s="11" t="n">
        <f>1957150800</f>
        <v>1.9571508E9</v>
      </c>
      <c r="H81" s="10"/>
      <c r="I81" s="11" t="str">
        <f>"－"</f>
        <v>－</v>
      </c>
      <c r="J81" s="10"/>
      <c r="K81" s="11" t="n">
        <f>53334</f>
        <v>53334.0</v>
      </c>
    </row>
    <row r="82">
      <c r="A82" s="8" t="s">
        <v>36</v>
      </c>
      <c r="B82" s="9" t="s">
        <v>53</v>
      </c>
      <c r="C82" s="9" t="s">
        <v>54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37</v>
      </c>
      <c r="B83" s="9" t="s">
        <v>53</v>
      </c>
      <c r="C83" s="9" t="s">
        <v>54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38</v>
      </c>
      <c r="B84" s="9" t="s">
        <v>53</v>
      </c>
      <c r="C84" s="9" t="s">
        <v>54</v>
      </c>
      <c r="D84" s="10"/>
      <c r="E84" s="11" t="n">
        <f>2966</f>
        <v>2966.0</v>
      </c>
      <c r="F84" s="10"/>
      <c r="G84" s="11" t="n">
        <f>1861572400</f>
        <v>1.8615724E9</v>
      </c>
      <c r="H84" s="10"/>
      <c r="I84" s="11" t="str">
        <f>"－"</f>
        <v>－</v>
      </c>
      <c r="J84" s="10"/>
      <c r="K84" s="11" t="n">
        <f>53580</f>
        <v>53580.0</v>
      </c>
    </row>
    <row r="85">
      <c r="A85" s="8" t="s">
        <v>39</v>
      </c>
      <c r="B85" s="9" t="s">
        <v>53</v>
      </c>
      <c r="C85" s="9" t="s">
        <v>54</v>
      </c>
      <c r="D85" s="10"/>
      <c r="E85" s="11" t="n">
        <f>2581</f>
        <v>2581.0</v>
      </c>
      <c r="F85" s="10"/>
      <c r="G85" s="11" t="n">
        <f>1612970600</f>
        <v>1.6129706E9</v>
      </c>
      <c r="H85" s="10"/>
      <c r="I85" s="11" t="str">
        <f>"－"</f>
        <v>－</v>
      </c>
      <c r="J85" s="10"/>
      <c r="K85" s="11" t="n">
        <f>53562</f>
        <v>53562.0</v>
      </c>
    </row>
    <row r="86">
      <c r="A86" s="8" t="s">
        <v>40</v>
      </c>
      <c r="B86" s="9" t="s">
        <v>53</v>
      </c>
      <c r="C86" s="9" t="s">
        <v>54</v>
      </c>
      <c r="D86" s="10"/>
      <c r="E86" s="11" t="n">
        <f>1188</f>
        <v>1188.0</v>
      </c>
      <c r="F86" s="10"/>
      <c r="G86" s="11" t="n">
        <f>743281400</f>
        <v>7.432814E8</v>
      </c>
      <c r="H86" s="10"/>
      <c r="I86" s="11" t="str">
        <f>"－"</f>
        <v>－</v>
      </c>
      <c r="J86" s="10"/>
      <c r="K86" s="11" t="n">
        <f>53437</f>
        <v>53437.0</v>
      </c>
    </row>
    <row r="87">
      <c r="A87" s="8" t="s">
        <v>41</v>
      </c>
      <c r="B87" s="9" t="s">
        <v>53</v>
      </c>
      <c r="C87" s="9" t="s">
        <v>54</v>
      </c>
      <c r="D87" s="10"/>
      <c r="E87" s="11" t="n">
        <f>2643</f>
        <v>2643.0</v>
      </c>
      <c r="F87" s="10"/>
      <c r="G87" s="11" t="n">
        <f>1663991900</f>
        <v>1.6639919E9</v>
      </c>
      <c r="H87" s="10"/>
      <c r="I87" s="11" t="str">
        <f>"－"</f>
        <v>－</v>
      </c>
      <c r="J87" s="10"/>
      <c r="K87" s="11" t="n">
        <f>53306</f>
        <v>53306.0</v>
      </c>
    </row>
    <row r="88">
      <c r="A88" s="8" t="s">
        <v>42</v>
      </c>
      <c r="B88" s="9" t="s">
        <v>53</v>
      </c>
      <c r="C88" s="9" t="s">
        <v>54</v>
      </c>
      <c r="D88" s="10"/>
      <c r="E88" s="11" t="n">
        <f>1421</f>
        <v>1421.0</v>
      </c>
      <c r="F88" s="10"/>
      <c r="G88" s="11" t="n">
        <f>891587600</f>
        <v>8.915876E8</v>
      </c>
      <c r="H88" s="10"/>
      <c r="I88" s="11" t="str">
        <f>"－"</f>
        <v>－</v>
      </c>
      <c r="J88" s="10"/>
      <c r="K88" s="11" t="n">
        <f>53448</f>
        <v>53448.0</v>
      </c>
    </row>
    <row r="89">
      <c r="A89" s="8" t="s">
        <v>43</v>
      </c>
      <c r="B89" s="9" t="s">
        <v>53</v>
      </c>
      <c r="C89" s="9" t="s">
        <v>54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44</v>
      </c>
      <c r="B90" s="9" t="s">
        <v>53</v>
      </c>
      <c r="C90" s="9" t="s">
        <v>54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45</v>
      </c>
      <c r="B91" s="9" t="s">
        <v>53</v>
      </c>
      <c r="C91" s="9" t="s">
        <v>54</v>
      </c>
      <c r="D91" s="10"/>
      <c r="E91" s="11" t="n">
        <f>2026</f>
        <v>2026.0</v>
      </c>
      <c r="F91" s="10"/>
      <c r="G91" s="11" t="n">
        <f>1266219900</f>
        <v>1.2662199E9</v>
      </c>
      <c r="H91" s="10"/>
      <c r="I91" s="11" t="str">
        <f>"－"</f>
        <v>－</v>
      </c>
      <c r="J91" s="10"/>
      <c r="K91" s="11" t="n">
        <f>53730</f>
        <v>53730.0</v>
      </c>
    </row>
    <row r="92">
      <c r="A92" s="8" t="s">
        <v>46</v>
      </c>
      <c r="B92" s="9" t="s">
        <v>53</v>
      </c>
      <c r="C92" s="9" t="s">
        <v>54</v>
      </c>
      <c r="D92" s="10"/>
      <c r="E92" s="11" t="n">
        <f>1533</f>
        <v>1533.0</v>
      </c>
      <c r="F92" s="10"/>
      <c r="G92" s="11" t="n">
        <f>960163100</f>
        <v>9.601631E8</v>
      </c>
      <c r="H92" s="10"/>
      <c r="I92" s="11" t="str">
        <f>"－"</f>
        <v>－</v>
      </c>
      <c r="J92" s="10"/>
      <c r="K92" s="11" t="n">
        <f>53785</f>
        <v>53785.0</v>
      </c>
    </row>
    <row r="93">
      <c r="A93" s="8" t="s">
        <v>47</v>
      </c>
      <c r="B93" s="9" t="s">
        <v>53</v>
      </c>
      <c r="C93" s="9" t="s">
        <v>54</v>
      </c>
      <c r="D93" s="10"/>
      <c r="E93" s="11" t="n">
        <f>1336</f>
        <v>1336.0</v>
      </c>
      <c r="F93" s="10"/>
      <c r="G93" s="11" t="n">
        <f>838401600</f>
        <v>8.384016E8</v>
      </c>
      <c r="H93" s="10"/>
      <c r="I93" s="11" t="str">
        <f>"－"</f>
        <v>－</v>
      </c>
      <c r="J93" s="10"/>
      <c r="K93" s="11" t="n">
        <f>53644</f>
        <v>53644.0</v>
      </c>
    </row>
    <row r="94">
      <c r="A94" s="8" t="s">
        <v>48</v>
      </c>
      <c r="B94" s="9" t="s">
        <v>53</v>
      </c>
      <c r="C94" s="9" t="s">
        <v>54</v>
      </c>
      <c r="D94" s="10"/>
      <c r="E94" s="11"/>
      <c r="F94" s="10"/>
      <c r="G94" s="11"/>
      <c r="H94" s="10"/>
      <c r="I94" s="11"/>
      <c r="J94" s="10"/>
      <c r="K94" s="11"/>
    </row>
    <row r="95">
      <c r="A95" s="8" t="s">
        <v>49</v>
      </c>
      <c r="B95" s="9" t="s">
        <v>53</v>
      </c>
      <c r="C95" s="9" t="s">
        <v>54</v>
      </c>
      <c r="D95" s="10"/>
      <c r="E95" s="11" t="n">
        <f>2050</f>
        <v>2050.0</v>
      </c>
      <c r="F95" s="10"/>
      <c r="G95" s="11" t="n">
        <f>1283996600</f>
        <v>1.2839966E9</v>
      </c>
      <c r="H95" s="10"/>
      <c r="I95" s="11" t="str">
        <f>"－"</f>
        <v>－</v>
      </c>
      <c r="J95" s="10" t="s">
        <v>20</v>
      </c>
      <c r="K95" s="11" t="n">
        <f>54042</f>
        <v>54042.0</v>
      </c>
    </row>
    <row r="96">
      <c r="A96" s="8" t="s">
        <v>16</v>
      </c>
      <c r="B96" s="9" t="s">
        <v>55</v>
      </c>
      <c r="C96" s="9" t="s">
        <v>56</v>
      </c>
      <c r="D96" s="10"/>
      <c r="E96" s="11" t="n">
        <f>103</f>
        <v>103.0</v>
      </c>
      <c r="F96" s="10"/>
      <c r="G96" s="11" t="n">
        <f>90137000</f>
        <v>9.0137E7</v>
      </c>
      <c r="H96" s="10" t="s">
        <v>52</v>
      </c>
      <c r="I96" s="11" t="str">
        <f>"－"</f>
        <v>－</v>
      </c>
      <c r="J96" s="10"/>
      <c r="K96" s="11" t="n">
        <f>2043</f>
        <v>2043.0</v>
      </c>
    </row>
    <row r="97">
      <c r="A97" s="8" t="s">
        <v>19</v>
      </c>
      <c r="B97" s="9" t="s">
        <v>55</v>
      </c>
      <c r="C97" s="9" t="s">
        <v>56</v>
      </c>
      <c r="D97" s="10"/>
      <c r="E97" s="11" t="n">
        <f>182</f>
        <v>182.0</v>
      </c>
      <c r="F97" s="10"/>
      <c r="G97" s="11" t="n">
        <f>162300000</f>
        <v>1.623E8</v>
      </c>
      <c r="H97" s="10"/>
      <c r="I97" s="11" t="str">
        <f>"－"</f>
        <v>－</v>
      </c>
      <c r="J97" s="10"/>
      <c r="K97" s="11" t="n">
        <f>2052</f>
        <v>2052.0</v>
      </c>
    </row>
    <row r="98">
      <c r="A98" s="8" t="s">
        <v>21</v>
      </c>
      <c r="B98" s="9" t="s">
        <v>55</v>
      </c>
      <c r="C98" s="9" t="s">
        <v>56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22</v>
      </c>
      <c r="B99" s="9" t="s">
        <v>55</v>
      </c>
      <c r="C99" s="9" t="s">
        <v>56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23</v>
      </c>
      <c r="B100" s="9" t="s">
        <v>55</v>
      </c>
      <c r="C100" s="9" t="s">
        <v>56</v>
      </c>
      <c r="D100" s="10"/>
      <c r="E100" s="11" t="n">
        <f>137</f>
        <v>137.0</v>
      </c>
      <c r="F100" s="10"/>
      <c r="G100" s="11" t="n">
        <f>122297000</f>
        <v>1.22297E8</v>
      </c>
      <c r="H100" s="10"/>
      <c r="I100" s="11" t="str">
        <f>"－"</f>
        <v>－</v>
      </c>
      <c r="J100" s="10"/>
      <c r="K100" s="11" t="n">
        <f>2024</f>
        <v>2024.0</v>
      </c>
    </row>
    <row r="101">
      <c r="A101" s="8" t="s">
        <v>25</v>
      </c>
      <c r="B101" s="9" t="s">
        <v>55</v>
      </c>
      <c r="C101" s="9" t="s">
        <v>56</v>
      </c>
      <c r="D101" s="10" t="s">
        <v>24</v>
      </c>
      <c r="E101" s="11" t="n">
        <f>30</f>
        <v>30.0</v>
      </c>
      <c r="F101" s="10" t="s">
        <v>24</v>
      </c>
      <c r="G101" s="11" t="n">
        <f>26826000</f>
        <v>2.6826E7</v>
      </c>
      <c r="H101" s="10"/>
      <c r="I101" s="11" t="str">
        <f>"－"</f>
        <v>－</v>
      </c>
      <c r="J101" s="10"/>
      <c r="K101" s="11" t="n">
        <f>2024</f>
        <v>2024.0</v>
      </c>
    </row>
    <row r="102">
      <c r="A102" s="8" t="s">
        <v>26</v>
      </c>
      <c r="B102" s="9" t="s">
        <v>55</v>
      </c>
      <c r="C102" s="9" t="s">
        <v>56</v>
      </c>
      <c r="D102" s="10"/>
      <c r="E102" s="11" t="n">
        <f>82</f>
        <v>82.0</v>
      </c>
      <c r="F102" s="10"/>
      <c r="G102" s="11" t="n">
        <f>73707000</f>
        <v>7.3707E7</v>
      </c>
      <c r="H102" s="10"/>
      <c r="I102" s="11" t="str">
        <f>"－"</f>
        <v>－</v>
      </c>
      <c r="J102" s="10"/>
      <c r="K102" s="11" t="n">
        <f>2008</f>
        <v>2008.0</v>
      </c>
    </row>
    <row r="103">
      <c r="A103" s="8" t="s">
        <v>27</v>
      </c>
      <c r="B103" s="9" t="s">
        <v>55</v>
      </c>
      <c r="C103" s="9" t="s">
        <v>56</v>
      </c>
      <c r="D103" s="10"/>
      <c r="E103" s="11" t="n">
        <f>79</f>
        <v>79.0</v>
      </c>
      <c r="F103" s="10"/>
      <c r="G103" s="11" t="n">
        <f>71065000</f>
        <v>7.1065E7</v>
      </c>
      <c r="H103" s="10"/>
      <c r="I103" s="11" t="str">
        <f>"－"</f>
        <v>－</v>
      </c>
      <c r="J103" s="10"/>
      <c r="K103" s="11" t="n">
        <f>2020</f>
        <v>2020.0</v>
      </c>
    </row>
    <row r="104">
      <c r="A104" s="8" t="s">
        <v>28</v>
      </c>
      <c r="B104" s="9" t="s">
        <v>55</v>
      </c>
      <c r="C104" s="9" t="s">
        <v>56</v>
      </c>
      <c r="D104" s="10"/>
      <c r="E104" s="11" t="n">
        <f>119</f>
        <v>119.0</v>
      </c>
      <c r="F104" s="10"/>
      <c r="G104" s="11" t="n">
        <f>107898000</f>
        <v>1.07898E8</v>
      </c>
      <c r="H104" s="10"/>
      <c r="I104" s="11" t="str">
        <f>"－"</f>
        <v>－</v>
      </c>
      <c r="J104" s="10"/>
      <c r="K104" s="11" t="n">
        <f>2036</f>
        <v>2036.0</v>
      </c>
    </row>
    <row r="105">
      <c r="A105" s="8" t="s">
        <v>29</v>
      </c>
      <c r="B105" s="9" t="s">
        <v>55</v>
      </c>
      <c r="C105" s="9" t="s">
        <v>56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30</v>
      </c>
      <c r="B106" s="9" t="s">
        <v>55</v>
      </c>
      <c r="C106" s="9" t="s">
        <v>56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31</v>
      </c>
      <c r="B107" s="9" t="s">
        <v>55</v>
      </c>
      <c r="C107" s="9" t="s">
        <v>56</v>
      </c>
      <c r="D107" s="10"/>
      <c r="E107" s="11" t="n">
        <f>98</f>
        <v>98.0</v>
      </c>
      <c r="F107" s="10"/>
      <c r="G107" s="11" t="n">
        <f>88346000</f>
        <v>8.8346E7</v>
      </c>
      <c r="H107" s="10"/>
      <c r="I107" s="11" t="str">
        <f>"－"</f>
        <v>－</v>
      </c>
      <c r="J107" s="10"/>
      <c r="K107" s="11" t="n">
        <f>2058</f>
        <v>2058.0</v>
      </c>
    </row>
    <row r="108">
      <c r="A108" s="8" t="s">
        <v>32</v>
      </c>
      <c r="B108" s="9" t="s">
        <v>55</v>
      </c>
      <c r="C108" s="9" t="s">
        <v>56</v>
      </c>
      <c r="D108" s="10"/>
      <c r="E108" s="11" t="n">
        <f>126</f>
        <v>126.0</v>
      </c>
      <c r="F108" s="10"/>
      <c r="G108" s="11" t="n">
        <f>112404000</f>
        <v>1.12404E8</v>
      </c>
      <c r="H108" s="10"/>
      <c r="I108" s="11" t="str">
        <f>"－"</f>
        <v>－</v>
      </c>
      <c r="J108" s="10"/>
      <c r="K108" s="11" t="n">
        <f>2064</f>
        <v>2064.0</v>
      </c>
    </row>
    <row r="109">
      <c r="A109" s="8" t="s">
        <v>33</v>
      </c>
      <c r="B109" s="9" t="s">
        <v>55</v>
      </c>
      <c r="C109" s="9" t="s">
        <v>56</v>
      </c>
      <c r="D109" s="10"/>
      <c r="E109" s="11" t="n">
        <f>128</f>
        <v>128.0</v>
      </c>
      <c r="F109" s="10"/>
      <c r="G109" s="11" t="n">
        <f>114678000</f>
        <v>1.14678E8</v>
      </c>
      <c r="H109" s="10"/>
      <c r="I109" s="11" t="str">
        <f>"－"</f>
        <v>－</v>
      </c>
      <c r="J109" s="10" t="s">
        <v>20</v>
      </c>
      <c r="K109" s="11" t="n">
        <f>2065</f>
        <v>2065.0</v>
      </c>
    </row>
    <row r="110">
      <c r="A110" s="8" t="s">
        <v>34</v>
      </c>
      <c r="B110" s="9" t="s">
        <v>55</v>
      </c>
      <c r="C110" s="9" t="s">
        <v>56</v>
      </c>
      <c r="D110" s="10"/>
      <c r="E110" s="11" t="n">
        <f>118</f>
        <v>118.0</v>
      </c>
      <c r="F110" s="10"/>
      <c r="G110" s="11" t="n">
        <f>106334000</f>
        <v>1.06334E8</v>
      </c>
      <c r="H110" s="10"/>
      <c r="I110" s="11" t="str">
        <f>"－"</f>
        <v>－</v>
      </c>
      <c r="J110" s="10"/>
      <c r="K110" s="11" t="n">
        <f>2034</f>
        <v>2034.0</v>
      </c>
    </row>
    <row r="111">
      <c r="A111" s="8" t="s">
        <v>35</v>
      </c>
      <c r="B111" s="9" t="s">
        <v>55</v>
      </c>
      <c r="C111" s="9" t="s">
        <v>56</v>
      </c>
      <c r="D111" s="10"/>
      <c r="E111" s="11" t="n">
        <f>62</f>
        <v>62.0</v>
      </c>
      <c r="F111" s="10"/>
      <c r="G111" s="11" t="n">
        <f>56029000</f>
        <v>5.6029E7</v>
      </c>
      <c r="H111" s="10"/>
      <c r="I111" s="11" t="str">
        <f>"－"</f>
        <v>－</v>
      </c>
      <c r="J111" s="10"/>
      <c r="K111" s="11" t="n">
        <f>2025</f>
        <v>2025.0</v>
      </c>
    </row>
    <row r="112">
      <c r="A112" s="8" t="s">
        <v>36</v>
      </c>
      <c r="B112" s="9" t="s">
        <v>55</v>
      </c>
      <c r="C112" s="9" t="s">
        <v>56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37</v>
      </c>
      <c r="B113" s="9" t="s">
        <v>55</v>
      </c>
      <c r="C113" s="9" t="s">
        <v>56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38</v>
      </c>
      <c r="B114" s="9" t="s">
        <v>55</v>
      </c>
      <c r="C114" s="9" t="s">
        <v>56</v>
      </c>
      <c r="D114" s="10"/>
      <c r="E114" s="11" t="n">
        <f>142</f>
        <v>142.0</v>
      </c>
      <c r="F114" s="10"/>
      <c r="G114" s="11" t="n">
        <f>130153000</f>
        <v>1.30153E8</v>
      </c>
      <c r="H114" s="10"/>
      <c r="I114" s="11" t="str">
        <f>"－"</f>
        <v>－</v>
      </c>
      <c r="J114" s="10"/>
      <c r="K114" s="11" t="n">
        <f>2057</f>
        <v>2057.0</v>
      </c>
    </row>
    <row r="115">
      <c r="A115" s="8" t="s">
        <v>39</v>
      </c>
      <c r="B115" s="9" t="s">
        <v>55</v>
      </c>
      <c r="C115" s="9" t="s">
        <v>56</v>
      </c>
      <c r="D115" s="10"/>
      <c r="E115" s="11" t="n">
        <f>116</f>
        <v>116.0</v>
      </c>
      <c r="F115" s="10"/>
      <c r="G115" s="11" t="n">
        <f>105138000</f>
        <v>1.05138E8</v>
      </c>
      <c r="H115" s="10"/>
      <c r="I115" s="11" t="str">
        <f>"－"</f>
        <v>－</v>
      </c>
      <c r="J115" s="10"/>
      <c r="K115" s="11" t="n">
        <f>2037</f>
        <v>2037.0</v>
      </c>
    </row>
    <row r="116">
      <c r="A116" s="8" t="s">
        <v>40</v>
      </c>
      <c r="B116" s="9" t="s">
        <v>55</v>
      </c>
      <c r="C116" s="9" t="s">
        <v>56</v>
      </c>
      <c r="D116" s="10"/>
      <c r="E116" s="11" t="n">
        <f>266</f>
        <v>266.0</v>
      </c>
      <c r="F116" s="10"/>
      <c r="G116" s="11" t="n">
        <f>239564000</f>
        <v>2.39564E8</v>
      </c>
      <c r="H116" s="10"/>
      <c r="I116" s="11" t="str">
        <f>"－"</f>
        <v>－</v>
      </c>
      <c r="J116" s="10"/>
      <c r="K116" s="11" t="n">
        <f>2009</f>
        <v>2009.0</v>
      </c>
    </row>
    <row r="117">
      <c r="A117" s="8" t="s">
        <v>41</v>
      </c>
      <c r="B117" s="9" t="s">
        <v>55</v>
      </c>
      <c r="C117" s="9" t="s">
        <v>56</v>
      </c>
      <c r="D117" s="10"/>
      <c r="E117" s="11" t="n">
        <f>409</f>
        <v>409.0</v>
      </c>
      <c r="F117" s="10"/>
      <c r="G117" s="11" t="n">
        <f>373760000</f>
        <v>3.7376E8</v>
      </c>
      <c r="H117" s="10"/>
      <c r="I117" s="11" t="str">
        <f>"－"</f>
        <v>－</v>
      </c>
      <c r="J117" s="10"/>
      <c r="K117" s="11" t="n">
        <f>1884</f>
        <v>1884.0</v>
      </c>
    </row>
    <row r="118">
      <c r="A118" s="8" t="s">
        <v>42</v>
      </c>
      <c r="B118" s="9" t="s">
        <v>55</v>
      </c>
      <c r="C118" s="9" t="s">
        <v>56</v>
      </c>
      <c r="D118" s="10"/>
      <c r="E118" s="11" t="n">
        <f>51</f>
        <v>51.0</v>
      </c>
      <c r="F118" s="10"/>
      <c r="G118" s="11" t="n">
        <f>46507000</f>
        <v>4.6507E7</v>
      </c>
      <c r="H118" s="10"/>
      <c r="I118" s="11" t="str">
        <f>"－"</f>
        <v>－</v>
      </c>
      <c r="J118" s="10"/>
      <c r="K118" s="11" t="n">
        <f>1880</f>
        <v>1880.0</v>
      </c>
    </row>
    <row r="119">
      <c r="A119" s="8" t="s">
        <v>43</v>
      </c>
      <c r="B119" s="9" t="s">
        <v>55</v>
      </c>
      <c r="C119" s="9" t="s">
        <v>56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44</v>
      </c>
      <c r="B120" s="9" t="s">
        <v>55</v>
      </c>
      <c r="C120" s="9" t="s">
        <v>56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45</v>
      </c>
      <c r="B121" s="9" t="s">
        <v>55</v>
      </c>
      <c r="C121" s="9" t="s">
        <v>56</v>
      </c>
      <c r="D121" s="10"/>
      <c r="E121" s="11" t="n">
        <f>117</f>
        <v>117.0</v>
      </c>
      <c r="F121" s="10"/>
      <c r="G121" s="11" t="n">
        <f>106181000</f>
        <v>1.06181E8</v>
      </c>
      <c r="H121" s="10"/>
      <c r="I121" s="11" t="str">
        <f>"－"</f>
        <v>－</v>
      </c>
      <c r="J121" s="10"/>
      <c r="K121" s="11" t="n">
        <f>1866</f>
        <v>1866.0</v>
      </c>
    </row>
    <row r="122">
      <c r="A122" s="8" t="s">
        <v>46</v>
      </c>
      <c r="B122" s="9" t="s">
        <v>55</v>
      </c>
      <c r="C122" s="9" t="s">
        <v>56</v>
      </c>
      <c r="D122" s="10"/>
      <c r="E122" s="11" t="n">
        <f>232</f>
        <v>232.0</v>
      </c>
      <c r="F122" s="10"/>
      <c r="G122" s="11" t="n">
        <f>212063000</f>
        <v>2.12063E8</v>
      </c>
      <c r="H122" s="10"/>
      <c r="I122" s="11" t="str">
        <f>"－"</f>
        <v>－</v>
      </c>
      <c r="J122" s="10" t="s">
        <v>24</v>
      </c>
      <c r="K122" s="11" t="n">
        <f>1844</f>
        <v>1844.0</v>
      </c>
    </row>
    <row r="123">
      <c r="A123" s="8" t="s">
        <v>47</v>
      </c>
      <c r="B123" s="9" t="s">
        <v>55</v>
      </c>
      <c r="C123" s="9" t="s">
        <v>56</v>
      </c>
      <c r="D123" s="10" t="s">
        <v>20</v>
      </c>
      <c r="E123" s="11" t="n">
        <f>447</f>
        <v>447.0</v>
      </c>
      <c r="F123" s="10" t="s">
        <v>20</v>
      </c>
      <c r="G123" s="11" t="n">
        <f>410315000</f>
        <v>4.10315E8</v>
      </c>
      <c r="H123" s="10"/>
      <c r="I123" s="11" t="str">
        <f>"－"</f>
        <v>－</v>
      </c>
      <c r="J123" s="10"/>
      <c r="K123" s="11" t="n">
        <f>1854</f>
        <v>1854.0</v>
      </c>
    </row>
    <row r="124">
      <c r="A124" s="8" t="s">
        <v>48</v>
      </c>
      <c r="B124" s="9" t="s">
        <v>55</v>
      </c>
      <c r="C124" s="9" t="s">
        <v>56</v>
      </c>
      <c r="D124" s="10"/>
      <c r="E124" s="11"/>
      <c r="F124" s="10"/>
      <c r="G124" s="11"/>
      <c r="H124" s="10"/>
      <c r="I124" s="11"/>
      <c r="J124" s="10"/>
      <c r="K124" s="11"/>
    </row>
    <row r="125">
      <c r="A125" s="8" t="s">
        <v>49</v>
      </c>
      <c r="B125" s="9" t="s">
        <v>55</v>
      </c>
      <c r="C125" s="9" t="s">
        <v>56</v>
      </c>
      <c r="D125" s="10"/>
      <c r="E125" s="11" t="n">
        <f>84</f>
        <v>84.0</v>
      </c>
      <c r="F125" s="10"/>
      <c r="G125" s="11" t="n">
        <f>76865000</f>
        <v>7.6865E7</v>
      </c>
      <c r="H125" s="10"/>
      <c r="I125" s="11" t="str">
        <f>"－"</f>
        <v>－</v>
      </c>
      <c r="J125" s="10"/>
      <c r="K125" s="11" t="n">
        <f>1870</f>
        <v>1870.0</v>
      </c>
    </row>
    <row r="126">
      <c r="A126" s="8" t="s">
        <v>16</v>
      </c>
      <c r="B126" s="9" t="s">
        <v>57</v>
      </c>
      <c r="C126" s="9" t="s">
        <v>58</v>
      </c>
      <c r="D126" s="10"/>
      <c r="E126" s="11" t="n">
        <f>7510</f>
        <v>7510.0</v>
      </c>
      <c r="F126" s="10"/>
      <c r="G126" s="11" t="n">
        <f>15766433500</f>
        <v>1.57664335E10</v>
      </c>
      <c r="H126" s="10"/>
      <c r="I126" s="11" t="n">
        <f>1</f>
        <v>1.0</v>
      </c>
      <c r="J126" s="10"/>
      <c r="K126" s="11" t="n">
        <f>28301</f>
        <v>28301.0</v>
      </c>
    </row>
    <row r="127">
      <c r="A127" s="8" t="s">
        <v>19</v>
      </c>
      <c r="B127" s="9" t="s">
        <v>57</v>
      </c>
      <c r="C127" s="9" t="s">
        <v>58</v>
      </c>
      <c r="D127" s="10"/>
      <c r="E127" s="11" t="n">
        <f>7097</f>
        <v>7097.0</v>
      </c>
      <c r="F127" s="10"/>
      <c r="G127" s="11" t="n">
        <f>15059107000</f>
        <v>1.5059107E10</v>
      </c>
      <c r="H127" s="10"/>
      <c r="I127" s="11" t="n">
        <f>3</f>
        <v>3.0</v>
      </c>
      <c r="J127" s="10"/>
      <c r="K127" s="11" t="n">
        <f>27796</f>
        <v>27796.0</v>
      </c>
    </row>
    <row r="128">
      <c r="A128" s="8" t="s">
        <v>21</v>
      </c>
      <c r="B128" s="9" t="s">
        <v>57</v>
      </c>
      <c r="C128" s="9" t="s">
        <v>58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22</v>
      </c>
      <c r="B129" s="9" t="s">
        <v>57</v>
      </c>
      <c r="C129" s="9" t="s">
        <v>58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23</v>
      </c>
      <c r="B130" s="9" t="s">
        <v>57</v>
      </c>
      <c r="C130" s="9" t="s">
        <v>58</v>
      </c>
      <c r="D130" s="10" t="s">
        <v>24</v>
      </c>
      <c r="E130" s="11" t="n">
        <f>4641</f>
        <v>4641.0</v>
      </c>
      <c r="F130" s="10" t="s">
        <v>24</v>
      </c>
      <c r="G130" s="11" t="n">
        <f>9943489500</f>
        <v>9.9434895E9</v>
      </c>
      <c r="H130" s="10"/>
      <c r="I130" s="11" t="n">
        <f>1</f>
        <v>1.0</v>
      </c>
      <c r="J130" s="10"/>
      <c r="K130" s="11" t="n">
        <f>27546</f>
        <v>27546.0</v>
      </c>
    </row>
    <row r="131">
      <c r="A131" s="8" t="s">
        <v>25</v>
      </c>
      <c r="B131" s="9" t="s">
        <v>57</v>
      </c>
      <c r="C131" s="9" t="s">
        <v>58</v>
      </c>
      <c r="D131" s="10"/>
      <c r="E131" s="11" t="n">
        <f>5192</f>
        <v>5192.0</v>
      </c>
      <c r="F131" s="10"/>
      <c r="G131" s="11" t="n">
        <f>11063660000</f>
        <v>1.106366E10</v>
      </c>
      <c r="H131" s="10" t="s">
        <v>24</v>
      </c>
      <c r="I131" s="11" t="str">
        <f>"－"</f>
        <v>－</v>
      </c>
      <c r="J131" s="10"/>
      <c r="K131" s="11" t="n">
        <f>27178</f>
        <v>27178.0</v>
      </c>
    </row>
    <row r="132">
      <c r="A132" s="8" t="s">
        <v>26</v>
      </c>
      <c r="B132" s="9" t="s">
        <v>57</v>
      </c>
      <c r="C132" s="9" t="s">
        <v>58</v>
      </c>
      <c r="D132" s="10"/>
      <c r="E132" s="11" t="n">
        <f>10743</f>
        <v>10743.0</v>
      </c>
      <c r="F132" s="10"/>
      <c r="G132" s="11" t="n">
        <f>23300003500</f>
        <v>2.33000035E10</v>
      </c>
      <c r="H132" s="10"/>
      <c r="I132" s="11" t="str">
        <f>"－"</f>
        <v>－</v>
      </c>
      <c r="J132" s="10" t="s">
        <v>24</v>
      </c>
      <c r="K132" s="11" t="n">
        <f>26734</f>
        <v>26734.0</v>
      </c>
    </row>
    <row r="133">
      <c r="A133" s="8" t="s">
        <v>27</v>
      </c>
      <c r="B133" s="9" t="s">
        <v>57</v>
      </c>
      <c r="C133" s="9" t="s">
        <v>58</v>
      </c>
      <c r="D133" s="10"/>
      <c r="E133" s="11" t="n">
        <f>7871</f>
        <v>7871.0</v>
      </c>
      <c r="F133" s="10"/>
      <c r="G133" s="11" t="n">
        <f>17065899000</f>
        <v>1.7065899E10</v>
      </c>
      <c r="H133" s="10"/>
      <c r="I133" s="11" t="str">
        <f>"－"</f>
        <v>－</v>
      </c>
      <c r="J133" s="10"/>
      <c r="K133" s="11" t="n">
        <f>27470</f>
        <v>27470.0</v>
      </c>
    </row>
    <row r="134">
      <c r="A134" s="8" t="s">
        <v>28</v>
      </c>
      <c r="B134" s="9" t="s">
        <v>57</v>
      </c>
      <c r="C134" s="9" t="s">
        <v>58</v>
      </c>
      <c r="D134" s="10"/>
      <c r="E134" s="11" t="n">
        <f>7853</f>
        <v>7853.0</v>
      </c>
      <c r="F134" s="10"/>
      <c r="G134" s="11" t="n">
        <f>16894974500</f>
        <v>1.68949745E10</v>
      </c>
      <c r="H134" s="10"/>
      <c r="I134" s="11" t="str">
        <f>"－"</f>
        <v>－</v>
      </c>
      <c r="J134" s="10"/>
      <c r="K134" s="11" t="n">
        <f>28158</f>
        <v>28158.0</v>
      </c>
    </row>
    <row r="135">
      <c r="A135" s="8" t="s">
        <v>29</v>
      </c>
      <c r="B135" s="9" t="s">
        <v>57</v>
      </c>
      <c r="C135" s="9" t="s">
        <v>58</v>
      </c>
      <c r="D135" s="10"/>
      <c r="E135" s="11"/>
      <c r="F135" s="10"/>
      <c r="G135" s="11"/>
      <c r="H135" s="10"/>
      <c r="I135" s="11"/>
      <c r="J135" s="10"/>
      <c r="K135" s="11"/>
    </row>
    <row r="136">
      <c r="A136" s="8" t="s">
        <v>30</v>
      </c>
      <c r="B136" s="9" t="s">
        <v>57</v>
      </c>
      <c r="C136" s="9" t="s">
        <v>58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31</v>
      </c>
      <c r="B137" s="9" t="s">
        <v>57</v>
      </c>
      <c r="C137" s="9" t="s">
        <v>58</v>
      </c>
      <c r="D137" s="10"/>
      <c r="E137" s="11" t="n">
        <f>11127</f>
        <v>11127.0</v>
      </c>
      <c r="F137" s="10"/>
      <c r="G137" s="11" t="n">
        <f>23557998500</f>
        <v>2.35579985E10</v>
      </c>
      <c r="H137" s="10"/>
      <c r="I137" s="11" t="str">
        <f>"－"</f>
        <v>－</v>
      </c>
      <c r="J137" s="10"/>
      <c r="K137" s="11" t="n">
        <f>29314</f>
        <v>29314.0</v>
      </c>
    </row>
    <row r="138">
      <c r="A138" s="8" t="s">
        <v>32</v>
      </c>
      <c r="B138" s="9" t="s">
        <v>57</v>
      </c>
      <c r="C138" s="9" t="s">
        <v>58</v>
      </c>
      <c r="D138" s="10"/>
      <c r="E138" s="11" t="n">
        <f>11865</f>
        <v>11865.0</v>
      </c>
      <c r="F138" s="10"/>
      <c r="G138" s="11" t="n">
        <f>24551368500</f>
        <v>2.45513685E10</v>
      </c>
      <c r="H138" s="10"/>
      <c r="I138" s="11" t="str">
        <f>"－"</f>
        <v>－</v>
      </c>
      <c r="J138" s="10"/>
      <c r="K138" s="11" t="n">
        <f>30632</f>
        <v>30632.0</v>
      </c>
    </row>
    <row r="139">
      <c r="A139" s="8" t="s">
        <v>33</v>
      </c>
      <c r="B139" s="9" t="s">
        <v>57</v>
      </c>
      <c r="C139" s="9" t="s">
        <v>58</v>
      </c>
      <c r="D139" s="10"/>
      <c r="E139" s="11" t="n">
        <f>10433</f>
        <v>10433.0</v>
      </c>
      <c r="F139" s="10"/>
      <c r="G139" s="11" t="n">
        <f>21382999000</f>
        <v>2.1382999E10</v>
      </c>
      <c r="H139" s="10"/>
      <c r="I139" s="11" t="str">
        <f>"－"</f>
        <v>－</v>
      </c>
      <c r="J139" s="10"/>
      <c r="K139" s="11" t="n">
        <f>31591</f>
        <v>31591.0</v>
      </c>
    </row>
    <row r="140">
      <c r="A140" s="8" t="s">
        <v>34</v>
      </c>
      <c r="B140" s="9" t="s">
        <v>57</v>
      </c>
      <c r="C140" s="9" t="s">
        <v>58</v>
      </c>
      <c r="D140" s="10"/>
      <c r="E140" s="11" t="n">
        <f>9381</f>
        <v>9381.0</v>
      </c>
      <c r="F140" s="10"/>
      <c r="G140" s="11" t="n">
        <f>19402486000</f>
        <v>1.9402486E10</v>
      </c>
      <c r="H140" s="10"/>
      <c r="I140" s="11" t="n">
        <f>1</f>
        <v>1.0</v>
      </c>
      <c r="J140" s="10"/>
      <c r="K140" s="11" t="n">
        <f>32363</f>
        <v>32363.0</v>
      </c>
    </row>
    <row r="141">
      <c r="A141" s="8" t="s">
        <v>35</v>
      </c>
      <c r="B141" s="9" t="s">
        <v>57</v>
      </c>
      <c r="C141" s="9" t="s">
        <v>58</v>
      </c>
      <c r="D141" s="10"/>
      <c r="E141" s="11" t="n">
        <f>9711</f>
        <v>9711.0</v>
      </c>
      <c r="F141" s="10"/>
      <c r="G141" s="11" t="n">
        <f>20349835000</f>
        <v>2.0349835E10</v>
      </c>
      <c r="H141" s="10"/>
      <c r="I141" s="11" t="str">
        <f>"－"</f>
        <v>－</v>
      </c>
      <c r="J141" s="10"/>
      <c r="K141" s="11" t="n">
        <f>32327</f>
        <v>32327.0</v>
      </c>
    </row>
    <row r="142">
      <c r="A142" s="8" t="s">
        <v>36</v>
      </c>
      <c r="B142" s="9" t="s">
        <v>57</v>
      </c>
      <c r="C142" s="9" t="s">
        <v>58</v>
      </c>
      <c r="D142" s="10"/>
      <c r="E142" s="11"/>
      <c r="F142" s="10"/>
      <c r="G142" s="11"/>
      <c r="H142" s="10"/>
      <c r="I142" s="11"/>
      <c r="J142" s="10"/>
      <c r="K142" s="11"/>
    </row>
    <row r="143">
      <c r="A143" s="8" t="s">
        <v>37</v>
      </c>
      <c r="B143" s="9" t="s">
        <v>57</v>
      </c>
      <c r="C143" s="9" t="s">
        <v>58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38</v>
      </c>
      <c r="B144" s="9" t="s">
        <v>57</v>
      </c>
      <c r="C144" s="9" t="s">
        <v>58</v>
      </c>
      <c r="D144" s="10"/>
      <c r="E144" s="11" t="n">
        <f>7945</f>
        <v>7945.0</v>
      </c>
      <c r="F144" s="10"/>
      <c r="G144" s="11" t="n">
        <f>16759528000</f>
        <v>1.6759528E10</v>
      </c>
      <c r="H144" s="10"/>
      <c r="I144" s="11" t="str">
        <f>"－"</f>
        <v>－</v>
      </c>
      <c r="J144" s="10"/>
      <c r="K144" s="11" t="n">
        <f>32769</f>
        <v>32769.0</v>
      </c>
    </row>
    <row r="145">
      <c r="A145" s="8" t="s">
        <v>39</v>
      </c>
      <c r="B145" s="9" t="s">
        <v>57</v>
      </c>
      <c r="C145" s="9" t="s">
        <v>58</v>
      </c>
      <c r="D145" s="10"/>
      <c r="E145" s="11" t="n">
        <f>8774</f>
        <v>8774.0</v>
      </c>
      <c r="F145" s="10"/>
      <c r="G145" s="11" t="n">
        <f>18542609000</f>
        <v>1.8542609E10</v>
      </c>
      <c r="H145" s="10"/>
      <c r="I145" s="11" t="str">
        <f>"－"</f>
        <v>－</v>
      </c>
      <c r="J145" s="10"/>
      <c r="K145" s="11" t="n">
        <f>32871</f>
        <v>32871.0</v>
      </c>
    </row>
    <row r="146">
      <c r="A146" s="8" t="s">
        <v>40</v>
      </c>
      <c r="B146" s="9" t="s">
        <v>57</v>
      </c>
      <c r="C146" s="9" t="s">
        <v>58</v>
      </c>
      <c r="D146" s="10"/>
      <c r="E146" s="11" t="n">
        <f>12941</f>
        <v>12941.0</v>
      </c>
      <c r="F146" s="10"/>
      <c r="G146" s="11" t="n">
        <f>26888453000</f>
        <v>2.6888453E10</v>
      </c>
      <c r="H146" s="10"/>
      <c r="I146" s="11" t="n">
        <f>6</f>
        <v>6.0</v>
      </c>
      <c r="J146" s="10" t="s">
        <v>20</v>
      </c>
      <c r="K146" s="11" t="n">
        <f>33215</f>
        <v>33215.0</v>
      </c>
    </row>
    <row r="147">
      <c r="A147" s="8" t="s">
        <v>41</v>
      </c>
      <c r="B147" s="9" t="s">
        <v>57</v>
      </c>
      <c r="C147" s="9" t="s">
        <v>58</v>
      </c>
      <c r="D147" s="10"/>
      <c r="E147" s="11" t="n">
        <f>10266</f>
        <v>10266.0</v>
      </c>
      <c r="F147" s="10"/>
      <c r="G147" s="11" t="n">
        <f>21524781000</f>
        <v>2.1524781E10</v>
      </c>
      <c r="H147" s="10"/>
      <c r="I147" s="11" t="n">
        <f>1</f>
        <v>1.0</v>
      </c>
      <c r="J147" s="10"/>
      <c r="K147" s="11" t="n">
        <f>33024</f>
        <v>33024.0</v>
      </c>
    </row>
    <row r="148">
      <c r="A148" s="8" t="s">
        <v>42</v>
      </c>
      <c r="B148" s="9" t="s">
        <v>57</v>
      </c>
      <c r="C148" s="9" t="s">
        <v>58</v>
      </c>
      <c r="D148" s="10"/>
      <c r="E148" s="11" t="n">
        <f>8175</f>
        <v>8175.0</v>
      </c>
      <c r="F148" s="10"/>
      <c r="G148" s="11" t="n">
        <f>17130356000</f>
        <v>1.7130356E10</v>
      </c>
      <c r="H148" s="10"/>
      <c r="I148" s="11" t="str">
        <f>"－"</f>
        <v>－</v>
      </c>
      <c r="J148" s="10"/>
      <c r="K148" s="11" t="n">
        <f>32853</f>
        <v>32853.0</v>
      </c>
    </row>
    <row r="149">
      <c r="A149" s="8" t="s">
        <v>43</v>
      </c>
      <c r="B149" s="9" t="s">
        <v>57</v>
      </c>
      <c r="C149" s="9" t="s">
        <v>58</v>
      </c>
      <c r="D149" s="10"/>
      <c r="E149" s="11"/>
      <c r="F149" s="10"/>
      <c r="G149" s="11"/>
      <c r="H149" s="10"/>
      <c r="I149" s="11"/>
      <c r="J149" s="10"/>
      <c r="K149" s="11"/>
    </row>
    <row r="150">
      <c r="A150" s="8" t="s">
        <v>44</v>
      </c>
      <c r="B150" s="9" t="s">
        <v>57</v>
      </c>
      <c r="C150" s="9" t="s">
        <v>58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45</v>
      </c>
      <c r="B151" s="9" t="s">
        <v>57</v>
      </c>
      <c r="C151" s="9" t="s">
        <v>58</v>
      </c>
      <c r="D151" s="10" t="s">
        <v>20</v>
      </c>
      <c r="E151" s="11" t="n">
        <f>15887</f>
        <v>15887.0</v>
      </c>
      <c r="F151" s="10" t="s">
        <v>20</v>
      </c>
      <c r="G151" s="11" t="n">
        <f>33771677000</f>
        <v>3.3771677E10</v>
      </c>
      <c r="H151" s="10" t="s">
        <v>20</v>
      </c>
      <c r="I151" s="11" t="n">
        <f>12</f>
        <v>12.0</v>
      </c>
      <c r="J151" s="10"/>
      <c r="K151" s="11" t="n">
        <f>30906</f>
        <v>30906.0</v>
      </c>
    </row>
    <row r="152">
      <c r="A152" s="8" t="s">
        <v>46</v>
      </c>
      <c r="B152" s="9" t="s">
        <v>57</v>
      </c>
      <c r="C152" s="9" t="s">
        <v>58</v>
      </c>
      <c r="D152" s="10"/>
      <c r="E152" s="11" t="n">
        <f>13727</f>
        <v>13727.0</v>
      </c>
      <c r="F152" s="10"/>
      <c r="G152" s="11" t="n">
        <f>29493017000</f>
        <v>2.9493017E10</v>
      </c>
      <c r="H152" s="10"/>
      <c r="I152" s="11" t="n">
        <f>1</f>
        <v>1.0</v>
      </c>
      <c r="J152" s="10"/>
      <c r="K152" s="11" t="n">
        <f>29694</f>
        <v>29694.0</v>
      </c>
    </row>
    <row r="153">
      <c r="A153" s="8" t="s">
        <v>47</v>
      </c>
      <c r="B153" s="9" t="s">
        <v>57</v>
      </c>
      <c r="C153" s="9" t="s">
        <v>58</v>
      </c>
      <c r="D153" s="10"/>
      <c r="E153" s="11" t="n">
        <f>11327</f>
        <v>11327.0</v>
      </c>
      <c r="F153" s="10"/>
      <c r="G153" s="11" t="n">
        <f>24296785000</f>
        <v>2.4296785E10</v>
      </c>
      <c r="H153" s="10"/>
      <c r="I153" s="11" t="str">
        <f>"－"</f>
        <v>－</v>
      </c>
      <c r="J153" s="10"/>
      <c r="K153" s="11" t="n">
        <f>29945</f>
        <v>29945.0</v>
      </c>
    </row>
    <row r="154">
      <c r="A154" s="8" t="s">
        <v>48</v>
      </c>
      <c r="B154" s="9" t="s">
        <v>57</v>
      </c>
      <c r="C154" s="9" t="s">
        <v>58</v>
      </c>
      <c r="D154" s="10"/>
      <c r="E154" s="11"/>
      <c r="F154" s="10"/>
      <c r="G154" s="11"/>
      <c r="H154" s="10"/>
      <c r="I154" s="11"/>
      <c r="J154" s="10"/>
      <c r="K154" s="11"/>
    </row>
    <row r="155">
      <c r="A155" s="8" t="s">
        <v>49</v>
      </c>
      <c r="B155" s="9" t="s">
        <v>57</v>
      </c>
      <c r="C155" s="9" t="s">
        <v>58</v>
      </c>
      <c r="D155" s="10"/>
      <c r="E155" s="11" t="n">
        <f>13215</f>
        <v>13215.0</v>
      </c>
      <c r="F155" s="10"/>
      <c r="G155" s="11" t="n">
        <f>27979618500</f>
        <v>2.79796185E10</v>
      </c>
      <c r="H155" s="10"/>
      <c r="I155" s="11" t="str">
        <f>"－"</f>
        <v>－</v>
      </c>
      <c r="J155" s="10"/>
      <c r="K155" s="11" t="n">
        <f>31720</f>
        <v>31720.0</v>
      </c>
    </row>
    <row r="156">
      <c r="A156" s="8" t="s">
        <v>16</v>
      </c>
      <c r="B156" s="9" t="s">
        <v>59</v>
      </c>
      <c r="C156" s="9" t="s">
        <v>60</v>
      </c>
      <c r="D156" s="10"/>
      <c r="E156" s="11" t="n">
        <f>991</f>
        <v>991.0</v>
      </c>
      <c r="F156" s="10"/>
      <c r="G156" s="11" t="n">
        <f>415577300</f>
        <v>4.155773E8</v>
      </c>
      <c r="H156" s="10" t="s">
        <v>52</v>
      </c>
      <c r="I156" s="11" t="str">
        <f>"－"</f>
        <v>－</v>
      </c>
      <c r="J156" s="10"/>
      <c r="K156" s="11" t="n">
        <f>2264</f>
        <v>2264.0</v>
      </c>
    </row>
    <row r="157">
      <c r="A157" s="8" t="s">
        <v>19</v>
      </c>
      <c r="B157" s="9" t="s">
        <v>59</v>
      </c>
      <c r="C157" s="9" t="s">
        <v>60</v>
      </c>
      <c r="D157" s="10"/>
      <c r="E157" s="11" t="n">
        <f>946</f>
        <v>946.0</v>
      </c>
      <c r="F157" s="10"/>
      <c r="G157" s="11" t="n">
        <f>401230200</f>
        <v>4.012302E8</v>
      </c>
      <c r="H157" s="10"/>
      <c r="I157" s="11" t="str">
        <f>"－"</f>
        <v>－</v>
      </c>
      <c r="J157" s="10"/>
      <c r="K157" s="11" t="n">
        <f>2205</f>
        <v>2205.0</v>
      </c>
    </row>
    <row r="158">
      <c r="A158" s="8" t="s">
        <v>21</v>
      </c>
      <c r="B158" s="9" t="s">
        <v>59</v>
      </c>
      <c r="C158" s="9" t="s">
        <v>60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22</v>
      </c>
      <c r="B159" s="9" t="s">
        <v>59</v>
      </c>
      <c r="C159" s="9" t="s">
        <v>60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23</v>
      </c>
      <c r="B160" s="9" t="s">
        <v>59</v>
      </c>
      <c r="C160" s="9" t="s">
        <v>60</v>
      </c>
      <c r="D160" s="10"/>
      <c r="E160" s="11" t="n">
        <f>689</f>
        <v>689.0</v>
      </c>
      <c r="F160" s="10"/>
      <c r="G160" s="11" t="n">
        <f>295090500</f>
        <v>2.950905E8</v>
      </c>
      <c r="H160" s="10"/>
      <c r="I160" s="11" t="str">
        <f>"－"</f>
        <v>－</v>
      </c>
      <c r="J160" s="10"/>
      <c r="K160" s="11" t="n">
        <f>2194</f>
        <v>2194.0</v>
      </c>
    </row>
    <row r="161">
      <c r="A161" s="8" t="s">
        <v>25</v>
      </c>
      <c r="B161" s="9" t="s">
        <v>59</v>
      </c>
      <c r="C161" s="9" t="s">
        <v>60</v>
      </c>
      <c r="D161" s="10" t="s">
        <v>24</v>
      </c>
      <c r="E161" s="11" t="n">
        <f>604</f>
        <v>604.0</v>
      </c>
      <c r="F161" s="10" t="s">
        <v>24</v>
      </c>
      <c r="G161" s="11" t="n">
        <f>257405700</f>
        <v>2.574057E8</v>
      </c>
      <c r="H161" s="10"/>
      <c r="I161" s="11" t="str">
        <f>"－"</f>
        <v>－</v>
      </c>
      <c r="J161" s="10"/>
      <c r="K161" s="11" t="n">
        <f>2221</f>
        <v>2221.0</v>
      </c>
    </row>
    <row r="162">
      <c r="A162" s="8" t="s">
        <v>26</v>
      </c>
      <c r="B162" s="9" t="s">
        <v>59</v>
      </c>
      <c r="C162" s="9" t="s">
        <v>60</v>
      </c>
      <c r="D162" s="10"/>
      <c r="E162" s="11" t="n">
        <f>1125</f>
        <v>1125.0</v>
      </c>
      <c r="F162" s="10"/>
      <c r="G162" s="11" t="n">
        <f>486964800</f>
        <v>4.869648E8</v>
      </c>
      <c r="H162" s="10"/>
      <c r="I162" s="11" t="str">
        <f>"－"</f>
        <v>－</v>
      </c>
      <c r="J162" s="10"/>
      <c r="K162" s="11" t="n">
        <f>2208</f>
        <v>2208.0</v>
      </c>
    </row>
    <row r="163">
      <c r="A163" s="8" t="s">
        <v>27</v>
      </c>
      <c r="B163" s="9" t="s">
        <v>59</v>
      </c>
      <c r="C163" s="9" t="s">
        <v>60</v>
      </c>
      <c r="D163" s="10"/>
      <c r="E163" s="11" t="n">
        <f>835</f>
        <v>835.0</v>
      </c>
      <c r="F163" s="10"/>
      <c r="G163" s="11" t="n">
        <f>361952700</f>
        <v>3.619527E8</v>
      </c>
      <c r="H163" s="10"/>
      <c r="I163" s="11" t="str">
        <f>"－"</f>
        <v>－</v>
      </c>
      <c r="J163" s="10" t="s">
        <v>24</v>
      </c>
      <c r="K163" s="11" t="n">
        <f>2172</f>
        <v>2172.0</v>
      </c>
    </row>
    <row r="164">
      <c r="A164" s="8" t="s">
        <v>28</v>
      </c>
      <c r="B164" s="9" t="s">
        <v>59</v>
      </c>
      <c r="C164" s="9" t="s">
        <v>60</v>
      </c>
      <c r="D164" s="10"/>
      <c r="E164" s="11" t="n">
        <f>806</f>
        <v>806.0</v>
      </c>
      <c r="F164" s="10"/>
      <c r="G164" s="11" t="n">
        <f>346870600</f>
        <v>3.468706E8</v>
      </c>
      <c r="H164" s="10"/>
      <c r="I164" s="11" t="str">
        <f>"－"</f>
        <v>－</v>
      </c>
      <c r="J164" s="10"/>
      <c r="K164" s="11" t="n">
        <f>2182</f>
        <v>2182.0</v>
      </c>
    </row>
    <row r="165">
      <c r="A165" s="8" t="s">
        <v>29</v>
      </c>
      <c r="B165" s="9" t="s">
        <v>59</v>
      </c>
      <c r="C165" s="9" t="s">
        <v>60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30</v>
      </c>
      <c r="B166" s="9" t="s">
        <v>59</v>
      </c>
      <c r="C166" s="9" t="s">
        <v>60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31</v>
      </c>
      <c r="B167" s="9" t="s">
        <v>59</v>
      </c>
      <c r="C167" s="9" t="s">
        <v>60</v>
      </c>
      <c r="D167" s="10"/>
      <c r="E167" s="11" t="n">
        <f>1062</f>
        <v>1062.0</v>
      </c>
      <c r="F167" s="10"/>
      <c r="G167" s="11" t="n">
        <f>449884700</f>
        <v>4.498847E8</v>
      </c>
      <c r="H167" s="10"/>
      <c r="I167" s="11" t="str">
        <f>"－"</f>
        <v>－</v>
      </c>
      <c r="J167" s="10"/>
      <c r="K167" s="11" t="n">
        <f>2295</f>
        <v>2295.0</v>
      </c>
    </row>
    <row r="168">
      <c r="A168" s="8" t="s">
        <v>32</v>
      </c>
      <c r="B168" s="9" t="s">
        <v>59</v>
      </c>
      <c r="C168" s="9" t="s">
        <v>60</v>
      </c>
      <c r="D168" s="10"/>
      <c r="E168" s="11" t="n">
        <f>1403</f>
        <v>1403.0</v>
      </c>
      <c r="F168" s="10"/>
      <c r="G168" s="11" t="n">
        <f>580844500</f>
        <v>5.808445E8</v>
      </c>
      <c r="H168" s="10"/>
      <c r="I168" s="11" t="str">
        <f>"－"</f>
        <v>－</v>
      </c>
      <c r="J168" s="10"/>
      <c r="K168" s="11" t="n">
        <f>2397</f>
        <v>2397.0</v>
      </c>
    </row>
    <row r="169">
      <c r="A169" s="8" t="s">
        <v>33</v>
      </c>
      <c r="B169" s="9" t="s">
        <v>59</v>
      </c>
      <c r="C169" s="9" t="s">
        <v>60</v>
      </c>
      <c r="D169" s="10"/>
      <c r="E169" s="11" t="n">
        <f>1073</f>
        <v>1073.0</v>
      </c>
      <c r="F169" s="10"/>
      <c r="G169" s="11" t="n">
        <f>440204600</f>
        <v>4.402046E8</v>
      </c>
      <c r="H169" s="10"/>
      <c r="I169" s="11" t="str">
        <f>"－"</f>
        <v>－</v>
      </c>
      <c r="J169" s="10"/>
      <c r="K169" s="11" t="n">
        <f>2474</f>
        <v>2474.0</v>
      </c>
    </row>
    <row r="170">
      <c r="A170" s="8" t="s">
        <v>34</v>
      </c>
      <c r="B170" s="9" t="s">
        <v>59</v>
      </c>
      <c r="C170" s="9" t="s">
        <v>60</v>
      </c>
      <c r="D170" s="10"/>
      <c r="E170" s="11" t="n">
        <f>764</f>
        <v>764.0</v>
      </c>
      <c r="F170" s="10"/>
      <c r="G170" s="11" t="n">
        <f>316107500</f>
        <v>3.161075E8</v>
      </c>
      <c r="H170" s="10"/>
      <c r="I170" s="11" t="str">
        <f>"－"</f>
        <v>－</v>
      </c>
      <c r="J170" s="10"/>
      <c r="K170" s="11" t="n">
        <f>2548</f>
        <v>2548.0</v>
      </c>
    </row>
    <row r="171">
      <c r="A171" s="8" t="s">
        <v>35</v>
      </c>
      <c r="B171" s="9" t="s">
        <v>59</v>
      </c>
      <c r="C171" s="9" t="s">
        <v>60</v>
      </c>
      <c r="D171" s="10"/>
      <c r="E171" s="11" t="n">
        <f>1038</f>
        <v>1038.0</v>
      </c>
      <c r="F171" s="10"/>
      <c r="G171" s="11" t="n">
        <f>435058400</f>
        <v>4.350584E8</v>
      </c>
      <c r="H171" s="10"/>
      <c r="I171" s="11" t="str">
        <f>"－"</f>
        <v>－</v>
      </c>
      <c r="J171" s="10"/>
      <c r="K171" s="11" t="n">
        <f>2538</f>
        <v>2538.0</v>
      </c>
    </row>
    <row r="172">
      <c r="A172" s="8" t="s">
        <v>36</v>
      </c>
      <c r="B172" s="9" t="s">
        <v>59</v>
      </c>
      <c r="C172" s="9" t="s">
        <v>60</v>
      </c>
      <c r="D172" s="10"/>
      <c r="E172" s="11"/>
      <c r="F172" s="10"/>
      <c r="G172" s="11"/>
      <c r="H172" s="10"/>
      <c r="I172" s="11"/>
      <c r="J172" s="10"/>
      <c r="K172" s="11"/>
    </row>
    <row r="173">
      <c r="A173" s="8" t="s">
        <v>37</v>
      </c>
      <c r="B173" s="9" t="s">
        <v>59</v>
      </c>
      <c r="C173" s="9" t="s">
        <v>60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38</v>
      </c>
      <c r="B174" s="9" t="s">
        <v>59</v>
      </c>
      <c r="C174" s="9" t="s">
        <v>60</v>
      </c>
      <c r="D174" s="10"/>
      <c r="E174" s="11" t="n">
        <f>940</f>
        <v>940.0</v>
      </c>
      <c r="F174" s="10"/>
      <c r="G174" s="11" t="n">
        <f>396487400</f>
        <v>3.964874E8</v>
      </c>
      <c r="H174" s="10"/>
      <c r="I174" s="11" t="str">
        <f>"－"</f>
        <v>－</v>
      </c>
      <c r="J174" s="10"/>
      <c r="K174" s="11" t="n">
        <f>2550</f>
        <v>2550.0</v>
      </c>
    </row>
    <row r="175">
      <c r="A175" s="8" t="s">
        <v>39</v>
      </c>
      <c r="B175" s="9" t="s">
        <v>59</v>
      </c>
      <c r="C175" s="9" t="s">
        <v>60</v>
      </c>
      <c r="D175" s="10"/>
      <c r="E175" s="11" t="n">
        <f>970</f>
        <v>970.0</v>
      </c>
      <c r="F175" s="10"/>
      <c r="G175" s="11" t="n">
        <f>410242900</f>
        <v>4.102429E8</v>
      </c>
      <c r="H175" s="10"/>
      <c r="I175" s="11" t="str">
        <f>"－"</f>
        <v>－</v>
      </c>
      <c r="J175" s="10"/>
      <c r="K175" s="11" t="n">
        <f>2564</f>
        <v>2564.0</v>
      </c>
    </row>
    <row r="176">
      <c r="A176" s="8" t="s">
        <v>40</v>
      </c>
      <c r="B176" s="9" t="s">
        <v>59</v>
      </c>
      <c r="C176" s="9" t="s">
        <v>60</v>
      </c>
      <c r="D176" s="10"/>
      <c r="E176" s="11" t="n">
        <f>1004</f>
        <v>1004.0</v>
      </c>
      <c r="F176" s="10"/>
      <c r="G176" s="11" t="n">
        <f>417378300</f>
        <v>4.173783E8</v>
      </c>
      <c r="H176" s="10"/>
      <c r="I176" s="11" t="str">
        <f>"－"</f>
        <v>－</v>
      </c>
      <c r="J176" s="10" t="s">
        <v>20</v>
      </c>
      <c r="K176" s="11" t="n">
        <f>2620</f>
        <v>2620.0</v>
      </c>
    </row>
    <row r="177">
      <c r="A177" s="8" t="s">
        <v>41</v>
      </c>
      <c r="B177" s="9" t="s">
        <v>59</v>
      </c>
      <c r="C177" s="9" t="s">
        <v>60</v>
      </c>
      <c r="D177" s="10"/>
      <c r="E177" s="11" t="n">
        <f>1351</f>
        <v>1351.0</v>
      </c>
      <c r="F177" s="10"/>
      <c r="G177" s="11" t="n">
        <f>566319000</f>
        <v>5.66319E8</v>
      </c>
      <c r="H177" s="10"/>
      <c r="I177" s="11" t="str">
        <f>"－"</f>
        <v>－</v>
      </c>
      <c r="J177" s="10"/>
      <c r="K177" s="11" t="n">
        <f>2538</f>
        <v>2538.0</v>
      </c>
    </row>
    <row r="178">
      <c r="A178" s="8" t="s">
        <v>42</v>
      </c>
      <c r="B178" s="9" t="s">
        <v>59</v>
      </c>
      <c r="C178" s="9" t="s">
        <v>60</v>
      </c>
      <c r="D178" s="10"/>
      <c r="E178" s="11" t="n">
        <f>895</f>
        <v>895.0</v>
      </c>
      <c r="F178" s="10"/>
      <c r="G178" s="11" t="n">
        <f>375019200</f>
        <v>3.750192E8</v>
      </c>
      <c r="H178" s="10"/>
      <c r="I178" s="11" t="str">
        <f>"－"</f>
        <v>－</v>
      </c>
      <c r="J178" s="10"/>
      <c r="K178" s="11" t="n">
        <f>2519</f>
        <v>2519.0</v>
      </c>
    </row>
    <row r="179">
      <c r="A179" s="8" t="s">
        <v>43</v>
      </c>
      <c r="B179" s="9" t="s">
        <v>59</v>
      </c>
      <c r="C179" s="9" t="s">
        <v>60</v>
      </c>
      <c r="D179" s="10"/>
      <c r="E179" s="11"/>
      <c r="F179" s="10"/>
      <c r="G179" s="11"/>
      <c r="H179" s="10"/>
      <c r="I179" s="11"/>
      <c r="J179" s="10"/>
      <c r="K179" s="11"/>
    </row>
    <row r="180">
      <c r="A180" s="8" t="s">
        <v>44</v>
      </c>
      <c r="B180" s="9" t="s">
        <v>59</v>
      </c>
      <c r="C180" s="9" t="s">
        <v>60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45</v>
      </c>
      <c r="B181" s="9" t="s">
        <v>59</v>
      </c>
      <c r="C181" s="9" t="s">
        <v>60</v>
      </c>
      <c r="D181" s="10" t="s">
        <v>20</v>
      </c>
      <c r="E181" s="11" t="n">
        <f>1839</f>
        <v>1839.0</v>
      </c>
      <c r="F181" s="10" t="s">
        <v>20</v>
      </c>
      <c r="G181" s="11" t="n">
        <f>781784100</f>
        <v>7.817841E8</v>
      </c>
      <c r="H181" s="10"/>
      <c r="I181" s="11" t="str">
        <f>"－"</f>
        <v>－</v>
      </c>
      <c r="J181" s="10"/>
      <c r="K181" s="11" t="n">
        <f>2295</f>
        <v>2295.0</v>
      </c>
    </row>
    <row r="182">
      <c r="A182" s="8" t="s">
        <v>46</v>
      </c>
      <c r="B182" s="9" t="s">
        <v>59</v>
      </c>
      <c r="C182" s="9" t="s">
        <v>60</v>
      </c>
      <c r="D182" s="10"/>
      <c r="E182" s="11" t="n">
        <f>1244</f>
        <v>1244.0</v>
      </c>
      <c r="F182" s="10"/>
      <c r="G182" s="11" t="n">
        <f>534234500</f>
        <v>5.342345E8</v>
      </c>
      <c r="H182" s="10"/>
      <c r="I182" s="11" t="str">
        <f>"－"</f>
        <v>－</v>
      </c>
      <c r="J182" s="10"/>
      <c r="K182" s="11" t="n">
        <f>2192</f>
        <v>2192.0</v>
      </c>
    </row>
    <row r="183">
      <c r="A183" s="8" t="s">
        <v>47</v>
      </c>
      <c r="B183" s="9" t="s">
        <v>59</v>
      </c>
      <c r="C183" s="9" t="s">
        <v>60</v>
      </c>
      <c r="D183" s="10"/>
      <c r="E183" s="11" t="n">
        <f>1085</f>
        <v>1085.0</v>
      </c>
      <c r="F183" s="10"/>
      <c r="G183" s="11" t="n">
        <f>465634400</f>
        <v>4.656344E8</v>
      </c>
      <c r="H183" s="10"/>
      <c r="I183" s="11" t="str">
        <f>"－"</f>
        <v>－</v>
      </c>
      <c r="J183" s="10"/>
      <c r="K183" s="11" t="n">
        <f>2209</f>
        <v>2209.0</v>
      </c>
    </row>
    <row r="184">
      <c r="A184" s="8" t="s">
        <v>48</v>
      </c>
      <c r="B184" s="9" t="s">
        <v>59</v>
      </c>
      <c r="C184" s="9" t="s">
        <v>60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49</v>
      </c>
      <c r="B185" s="9" t="s">
        <v>59</v>
      </c>
      <c r="C185" s="9" t="s">
        <v>60</v>
      </c>
      <c r="D185" s="10"/>
      <c r="E185" s="11" t="n">
        <f>914</f>
        <v>914.0</v>
      </c>
      <c r="F185" s="10"/>
      <c r="G185" s="11" t="n">
        <f>387538600</f>
        <v>3.875386E8</v>
      </c>
      <c r="H185" s="10"/>
      <c r="I185" s="11" t="str">
        <f>"－"</f>
        <v>－</v>
      </c>
      <c r="J185" s="10"/>
      <c r="K185" s="11" t="n">
        <f>2247</f>
        <v>2247.0</v>
      </c>
    </row>
    <row r="186">
      <c r="A186" s="8" t="s">
        <v>16</v>
      </c>
      <c r="B186" s="9" t="s">
        <v>61</v>
      </c>
      <c r="C186" s="9" t="s">
        <v>62</v>
      </c>
      <c r="D186" s="10"/>
      <c r="E186" s="11" t="n">
        <f>380</f>
        <v>380.0</v>
      </c>
      <c r="F186" s="10"/>
      <c r="G186" s="11" t="n">
        <f>162693500</f>
        <v>1.626935E8</v>
      </c>
      <c r="H186" s="10" t="s">
        <v>52</v>
      </c>
      <c r="I186" s="11" t="str">
        <f>"－"</f>
        <v>－</v>
      </c>
      <c r="J186" s="10"/>
      <c r="K186" s="11" t="n">
        <f>12529</f>
        <v>12529.0</v>
      </c>
    </row>
    <row r="187">
      <c r="A187" s="8" t="s">
        <v>19</v>
      </c>
      <c r="B187" s="9" t="s">
        <v>61</v>
      </c>
      <c r="C187" s="9" t="s">
        <v>62</v>
      </c>
      <c r="D187" s="10"/>
      <c r="E187" s="11" t="n">
        <f>752</f>
        <v>752.0</v>
      </c>
      <c r="F187" s="10"/>
      <c r="G187" s="11" t="n">
        <f>323842500</f>
        <v>3.238425E8</v>
      </c>
      <c r="H187" s="10"/>
      <c r="I187" s="11" t="str">
        <f>"－"</f>
        <v>－</v>
      </c>
      <c r="J187" s="10"/>
      <c r="K187" s="11" t="n">
        <f>12167</f>
        <v>12167.0</v>
      </c>
    </row>
    <row r="188">
      <c r="A188" s="8" t="s">
        <v>21</v>
      </c>
      <c r="B188" s="9" t="s">
        <v>61</v>
      </c>
      <c r="C188" s="9" t="s">
        <v>62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22</v>
      </c>
      <c r="B189" s="9" t="s">
        <v>61</v>
      </c>
      <c r="C189" s="9" t="s">
        <v>62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23</v>
      </c>
      <c r="B190" s="9" t="s">
        <v>61</v>
      </c>
      <c r="C190" s="9" t="s">
        <v>62</v>
      </c>
      <c r="D190" s="10"/>
      <c r="E190" s="11" t="n">
        <f>392</f>
        <v>392.0</v>
      </c>
      <c r="F190" s="10"/>
      <c r="G190" s="11" t="n">
        <f>170731200</f>
        <v>1.707312E8</v>
      </c>
      <c r="H190" s="10"/>
      <c r="I190" s="11" t="str">
        <f>"－"</f>
        <v>－</v>
      </c>
      <c r="J190" s="10"/>
      <c r="K190" s="11" t="n">
        <f>12189</f>
        <v>12189.0</v>
      </c>
    </row>
    <row r="191">
      <c r="A191" s="8" t="s">
        <v>25</v>
      </c>
      <c r="B191" s="9" t="s">
        <v>61</v>
      </c>
      <c r="C191" s="9" t="s">
        <v>62</v>
      </c>
      <c r="D191" s="10"/>
      <c r="E191" s="11" t="n">
        <f>280</f>
        <v>280.0</v>
      </c>
      <c r="F191" s="10"/>
      <c r="G191" s="11" t="n">
        <f>121697200</f>
        <v>1.216972E8</v>
      </c>
      <c r="H191" s="10"/>
      <c r="I191" s="11" t="str">
        <f>"－"</f>
        <v>－</v>
      </c>
      <c r="J191" s="10"/>
      <c r="K191" s="11" t="n">
        <f>12144</f>
        <v>12144.0</v>
      </c>
    </row>
    <row r="192">
      <c r="A192" s="8" t="s">
        <v>26</v>
      </c>
      <c r="B192" s="9" t="s">
        <v>61</v>
      </c>
      <c r="C192" s="9" t="s">
        <v>62</v>
      </c>
      <c r="D192" s="10"/>
      <c r="E192" s="11" t="n">
        <f>541</f>
        <v>541.0</v>
      </c>
      <c r="F192" s="10"/>
      <c r="G192" s="11" t="n">
        <f>237921400</f>
        <v>2.379214E8</v>
      </c>
      <c r="H192" s="10"/>
      <c r="I192" s="11" t="str">
        <f>"－"</f>
        <v>－</v>
      </c>
      <c r="J192" s="10"/>
      <c r="K192" s="11" t="n">
        <f>12022</f>
        <v>12022.0</v>
      </c>
    </row>
    <row r="193">
      <c r="A193" s="8" t="s">
        <v>27</v>
      </c>
      <c r="B193" s="9" t="s">
        <v>61</v>
      </c>
      <c r="C193" s="9" t="s">
        <v>62</v>
      </c>
      <c r="D193" s="10"/>
      <c r="E193" s="11" t="n">
        <f>459</f>
        <v>459.0</v>
      </c>
      <c r="F193" s="10"/>
      <c r="G193" s="11" t="n">
        <f>201723900</f>
        <v>2.017239E8</v>
      </c>
      <c r="H193" s="10"/>
      <c r="I193" s="11" t="str">
        <f>"－"</f>
        <v>－</v>
      </c>
      <c r="J193" s="10" t="s">
        <v>24</v>
      </c>
      <c r="K193" s="11" t="n">
        <f>11967</f>
        <v>11967.0</v>
      </c>
    </row>
    <row r="194">
      <c r="A194" s="8" t="s">
        <v>28</v>
      </c>
      <c r="B194" s="9" t="s">
        <v>61</v>
      </c>
      <c r="C194" s="9" t="s">
        <v>62</v>
      </c>
      <c r="D194" s="10"/>
      <c r="E194" s="11" t="n">
        <f>299</f>
        <v>299.0</v>
      </c>
      <c r="F194" s="10"/>
      <c r="G194" s="11" t="n">
        <f>130841700</f>
        <v>1.308417E8</v>
      </c>
      <c r="H194" s="10"/>
      <c r="I194" s="11" t="str">
        <f>"－"</f>
        <v>－</v>
      </c>
      <c r="J194" s="10"/>
      <c r="K194" s="11" t="n">
        <f>12048</f>
        <v>12048.0</v>
      </c>
    </row>
    <row r="195">
      <c r="A195" s="8" t="s">
        <v>29</v>
      </c>
      <c r="B195" s="9" t="s">
        <v>61</v>
      </c>
      <c r="C195" s="9" t="s">
        <v>62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30</v>
      </c>
      <c r="B196" s="9" t="s">
        <v>61</v>
      </c>
      <c r="C196" s="9" t="s">
        <v>62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31</v>
      </c>
      <c r="B197" s="9" t="s">
        <v>61</v>
      </c>
      <c r="C197" s="9" t="s">
        <v>62</v>
      </c>
      <c r="D197" s="10"/>
      <c r="E197" s="11" t="n">
        <f>329</f>
        <v>329.0</v>
      </c>
      <c r="F197" s="10"/>
      <c r="G197" s="11" t="n">
        <f>141941700</f>
        <v>1.419417E8</v>
      </c>
      <c r="H197" s="10"/>
      <c r="I197" s="11" t="str">
        <f>"－"</f>
        <v>－</v>
      </c>
      <c r="J197" s="10"/>
      <c r="K197" s="11" t="n">
        <f>12172</f>
        <v>12172.0</v>
      </c>
    </row>
    <row r="198">
      <c r="A198" s="8" t="s">
        <v>32</v>
      </c>
      <c r="B198" s="9" t="s">
        <v>61</v>
      </c>
      <c r="C198" s="9" t="s">
        <v>62</v>
      </c>
      <c r="D198" s="10" t="s">
        <v>20</v>
      </c>
      <c r="E198" s="11" t="n">
        <f>795</f>
        <v>795.0</v>
      </c>
      <c r="F198" s="10" t="s">
        <v>20</v>
      </c>
      <c r="G198" s="11" t="n">
        <f>336030100</f>
        <v>3.360301E8</v>
      </c>
      <c r="H198" s="10"/>
      <c r="I198" s="11" t="str">
        <f>"－"</f>
        <v>－</v>
      </c>
      <c r="J198" s="10"/>
      <c r="K198" s="11" t="n">
        <f>12354</f>
        <v>12354.0</v>
      </c>
    </row>
    <row r="199">
      <c r="A199" s="8" t="s">
        <v>33</v>
      </c>
      <c r="B199" s="9" t="s">
        <v>61</v>
      </c>
      <c r="C199" s="9" t="s">
        <v>62</v>
      </c>
      <c r="D199" s="10"/>
      <c r="E199" s="11" t="n">
        <f>602</f>
        <v>602.0</v>
      </c>
      <c r="F199" s="10"/>
      <c r="G199" s="11" t="n">
        <f>251869400</f>
        <v>2.518694E8</v>
      </c>
      <c r="H199" s="10"/>
      <c r="I199" s="11" t="str">
        <f>"－"</f>
        <v>－</v>
      </c>
      <c r="J199" s="10"/>
      <c r="K199" s="11" t="n">
        <f>12512</f>
        <v>12512.0</v>
      </c>
    </row>
    <row r="200">
      <c r="A200" s="8" t="s">
        <v>34</v>
      </c>
      <c r="B200" s="9" t="s">
        <v>61</v>
      </c>
      <c r="C200" s="9" t="s">
        <v>62</v>
      </c>
      <c r="D200" s="10"/>
      <c r="E200" s="11" t="n">
        <f>500</f>
        <v>500.0</v>
      </c>
      <c r="F200" s="10"/>
      <c r="G200" s="11" t="n">
        <f>211176100</f>
        <v>2.111761E8</v>
      </c>
      <c r="H200" s="10"/>
      <c r="I200" s="11" t="str">
        <f>"－"</f>
        <v>－</v>
      </c>
      <c r="J200" s="10"/>
      <c r="K200" s="11" t="n">
        <f>12647</f>
        <v>12647.0</v>
      </c>
    </row>
    <row r="201">
      <c r="A201" s="8" t="s">
        <v>35</v>
      </c>
      <c r="B201" s="9" t="s">
        <v>61</v>
      </c>
      <c r="C201" s="9" t="s">
        <v>62</v>
      </c>
      <c r="D201" s="10"/>
      <c r="E201" s="11" t="n">
        <f>463</f>
        <v>463.0</v>
      </c>
      <c r="F201" s="10"/>
      <c r="G201" s="11" t="n">
        <f>198051500</f>
        <v>1.980515E8</v>
      </c>
      <c r="H201" s="10"/>
      <c r="I201" s="11" t="str">
        <f>"－"</f>
        <v>－</v>
      </c>
      <c r="J201" s="10"/>
      <c r="K201" s="11" t="n">
        <f>12611</f>
        <v>12611.0</v>
      </c>
    </row>
    <row r="202">
      <c r="A202" s="8" t="s">
        <v>36</v>
      </c>
      <c r="B202" s="9" t="s">
        <v>61</v>
      </c>
      <c r="C202" s="9" t="s">
        <v>62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37</v>
      </c>
      <c r="B203" s="9" t="s">
        <v>61</v>
      </c>
      <c r="C203" s="9" t="s">
        <v>62</v>
      </c>
      <c r="D203" s="10"/>
      <c r="E203" s="11"/>
      <c r="F203" s="10"/>
      <c r="G203" s="11"/>
      <c r="H203" s="10"/>
      <c r="I203" s="11"/>
      <c r="J203" s="10"/>
      <c r="K203" s="11"/>
    </row>
    <row r="204">
      <c r="A204" s="8" t="s">
        <v>38</v>
      </c>
      <c r="B204" s="9" t="s">
        <v>61</v>
      </c>
      <c r="C204" s="9" t="s">
        <v>62</v>
      </c>
      <c r="D204" s="10"/>
      <c r="E204" s="11" t="n">
        <f>171</f>
        <v>171.0</v>
      </c>
      <c r="F204" s="10"/>
      <c r="G204" s="11" t="n">
        <f>73649900</f>
        <v>7.36499E7</v>
      </c>
      <c r="H204" s="10"/>
      <c r="I204" s="11" t="str">
        <f>"－"</f>
        <v>－</v>
      </c>
      <c r="J204" s="10" t="s">
        <v>20</v>
      </c>
      <c r="K204" s="11" t="n">
        <f>12652</f>
        <v>12652.0</v>
      </c>
    </row>
    <row r="205">
      <c r="A205" s="8" t="s">
        <v>39</v>
      </c>
      <c r="B205" s="9" t="s">
        <v>61</v>
      </c>
      <c r="C205" s="9" t="s">
        <v>62</v>
      </c>
      <c r="D205" s="10"/>
      <c r="E205" s="11" t="n">
        <f>424</f>
        <v>424.0</v>
      </c>
      <c r="F205" s="10"/>
      <c r="G205" s="11" t="n">
        <f>181890600</f>
        <v>1.818906E8</v>
      </c>
      <c r="H205" s="10"/>
      <c r="I205" s="11" t="str">
        <f>"－"</f>
        <v>－</v>
      </c>
      <c r="J205" s="10"/>
      <c r="K205" s="11" t="n">
        <f>12541</f>
        <v>12541.0</v>
      </c>
    </row>
    <row r="206">
      <c r="A206" s="8" t="s">
        <v>40</v>
      </c>
      <c r="B206" s="9" t="s">
        <v>61</v>
      </c>
      <c r="C206" s="9" t="s">
        <v>62</v>
      </c>
      <c r="D206" s="10"/>
      <c r="E206" s="11" t="n">
        <f>287</f>
        <v>287.0</v>
      </c>
      <c r="F206" s="10"/>
      <c r="G206" s="11" t="n">
        <f>121158200</f>
        <v>1.211582E8</v>
      </c>
      <c r="H206" s="10"/>
      <c r="I206" s="11" t="str">
        <f>"－"</f>
        <v>－</v>
      </c>
      <c r="J206" s="10"/>
      <c r="K206" s="11" t="n">
        <f>12545</f>
        <v>12545.0</v>
      </c>
    </row>
    <row r="207">
      <c r="A207" s="8" t="s">
        <v>41</v>
      </c>
      <c r="B207" s="9" t="s">
        <v>61</v>
      </c>
      <c r="C207" s="9" t="s">
        <v>62</v>
      </c>
      <c r="D207" s="10"/>
      <c r="E207" s="11" t="n">
        <f>320</f>
        <v>320.0</v>
      </c>
      <c r="F207" s="10"/>
      <c r="G207" s="11" t="n">
        <f>136577700</f>
        <v>1.365777E8</v>
      </c>
      <c r="H207" s="10"/>
      <c r="I207" s="11" t="str">
        <f>"－"</f>
        <v>－</v>
      </c>
      <c r="J207" s="10"/>
      <c r="K207" s="11" t="n">
        <f>12443</f>
        <v>12443.0</v>
      </c>
    </row>
    <row r="208">
      <c r="A208" s="8" t="s">
        <v>42</v>
      </c>
      <c r="B208" s="9" t="s">
        <v>61</v>
      </c>
      <c r="C208" s="9" t="s">
        <v>62</v>
      </c>
      <c r="D208" s="10" t="s">
        <v>24</v>
      </c>
      <c r="E208" s="11" t="n">
        <f>101</f>
        <v>101.0</v>
      </c>
      <c r="F208" s="10" t="s">
        <v>24</v>
      </c>
      <c r="G208" s="11" t="n">
        <f>43033500</f>
        <v>4.30335E7</v>
      </c>
      <c r="H208" s="10"/>
      <c r="I208" s="11" t="str">
        <f>"－"</f>
        <v>－</v>
      </c>
      <c r="J208" s="10"/>
      <c r="K208" s="11" t="n">
        <f>12439</f>
        <v>12439.0</v>
      </c>
    </row>
    <row r="209">
      <c r="A209" s="8" t="s">
        <v>43</v>
      </c>
      <c r="B209" s="9" t="s">
        <v>61</v>
      </c>
      <c r="C209" s="9" t="s">
        <v>62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44</v>
      </c>
      <c r="B210" s="9" t="s">
        <v>61</v>
      </c>
      <c r="C210" s="9" t="s">
        <v>62</v>
      </c>
      <c r="D210" s="10"/>
      <c r="E210" s="11"/>
      <c r="F210" s="10"/>
      <c r="G210" s="11"/>
      <c r="H210" s="10"/>
      <c r="I210" s="11"/>
      <c r="J210" s="10"/>
      <c r="K210" s="11"/>
    </row>
    <row r="211">
      <c r="A211" s="8" t="s">
        <v>45</v>
      </c>
      <c r="B211" s="9" t="s">
        <v>61</v>
      </c>
      <c r="C211" s="9" t="s">
        <v>62</v>
      </c>
      <c r="D211" s="10"/>
      <c r="E211" s="11" t="n">
        <f>739</f>
        <v>739.0</v>
      </c>
      <c r="F211" s="10"/>
      <c r="G211" s="11" t="n">
        <f>319022500</f>
        <v>3.190225E8</v>
      </c>
      <c r="H211" s="10"/>
      <c r="I211" s="11" t="str">
        <f>"－"</f>
        <v>－</v>
      </c>
      <c r="J211" s="10"/>
      <c r="K211" s="11" t="n">
        <f>12166</f>
        <v>12166.0</v>
      </c>
    </row>
    <row r="212">
      <c r="A212" s="8" t="s">
        <v>46</v>
      </c>
      <c r="B212" s="9" t="s">
        <v>61</v>
      </c>
      <c r="C212" s="9" t="s">
        <v>62</v>
      </c>
      <c r="D212" s="10"/>
      <c r="E212" s="11" t="n">
        <f>597</f>
        <v>597.0</v>
      </c>
      <c r="F212" s="10"/>
      <c r="G212" s="11" t="n">
        <f>259918800</f>
        <v>2.599188E8</v>
      </c>
      <c r="H212" s="10"/>
      <c r="I212" s="11" t="str">
        <f>"－"</f>
        <v>－</v>
      </c>
      <c r="J212" s="10"/>
      <c r="K212" s="11" t="n">
        <f>12097</f>
        <v>12097.0</v>
      </c>
    </row>
    <row r="213">
      <c r="A213" s="8" t="s">
        <v>47</v>
      </c>
      <c r="B213" s="9" t="s">
        <v>61</v>
      </c>
      <c r="C213" s="9" t="s">
        <v>62</v>
      </c>
      <c r="D213" s="10"/>
      <c r="E213" s="11" t="n">
        <f>369</f>
        <v>369.0</v>
      </c>
      <c r="F213" s="10"/>
      <c r="G213" s="11" t="n">
        <f>159967900</f>
        <v>1.599679E8</v>
      </c>
      <c r="H213" s="10"/>
      <c r="I213" s="11" t="str">
        <f>"－"</f>
        <v>－</v>
      </c>
      <c r="J213" s="10"/>
      <c r="K213" s="11" t="n">
        <f>12086</f>
        <v>12086.0</v>
      </c>
    </row>
    <row r="214">
      <c r="A214" s="8" t="s">
        <v>48</v>
      </c>
      <c r="B214" s="9" t="s">
        <v>61</v>
      </c>
      <c r="C214" s="9" t="s">
        <v>62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49</v>
      </c>
      <c r="B215" s="9" t="s">
        <v>61</v>
      </c>
      <c r="C215" s="9" t="s">
        <v>62</v>
      </c>
      <c r="D215" s="10"/>
      <c r="E215" s="11" t="n">
        <f>355</f>
        <v>355.0</v>
      </c>
      <c r="F215" s="10"/>
      <c r="G215" s="11" t="n">
        <f>152544300</f>
        <v>1.525443E8</v>
      </c>
      <c r="H215" s="10"/>
      <c r="I215" s="11" t="str">
        <f>"－"</f>
        <v>－</v>
      </c>
      <c r="J215" s="10"/>
      <c r="K215" s="11" t="n">
        <f>12131</f>
        <v>12131.0</v>
      </c>
    </row>
    <row r="216">
      <c r="A216" s="8" t="s">
        <v>16</v>
      </c>
      <c r="B216" s="9" t="s">
        <v>63</v>
      </c>
      <c r="C216" s="9" t="s">
        <v>64</v>
      </c>
      <c r="D216" s="10" t="s">
        <v>24</v>
      </c>
      <c r="E216" s="11" t="str">
        <f>"－"</f>
        <v>－</v>
      </c>
      <c r="F216" s="10" t="s">
        <v>24</v>
      </c>
      <c r="G216" s="11" t="str">
        <f>"－"</f>
        <v>－</v>
      </c>
      <c r="H216" s="10" t="s">
        <v>52</v>
      </c>
      <c r="I216" s="11" t="str">
        <f>"－"</f>
        <v>－</v>
      </c>
      <c r="J216" s="10" t="s">
        <v>20</v>
      </c>
      <c r="K216" s="11" t="n">
        <f>465</f>
        <v>465.0</v>
      </c>
    </row>
    <row r="217">
      <c r="A217" s="8" t="s">
        <v>19</v>
      </c>
      <c r="B217" s="9" t="s">
        <v>63</v>
      </c>
      <c r="C217" s="9" t="s">
        <v>64</v>
      </c>
      <c r="D217" s="10"/>
      <c r="E217" s="11" t="n">
        <f>3</f>
        <v>3.0</v>
      </c>
      <c r="F217" s="10"/>
      <c r="G217" s="11" t="n">
        <f>14239500</f>
        <v>1.42395E7</v>
      </c>
      <c r="H217" s="10"/>
      <c r="I217" s="11" t="str">
        <f>"－"</f>
        <v>－</v>
      </c>
      <c r="J217" s="10"/>
      <c r="K217" s="11" t="n">
        <f>465</f>
        <v>465.0</v>
      </c>
    </row>
    <row r="218">
      <c r="A218" s="8" t="s">
        <v>21</v>
      </c>
      <c r="B218" s="9" t="s">
        <v>63</v>
      </c>
      <c r="C218" s="9" t="s">
        <v>64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22</v>
      </c>
      <c r="B219" s="9" t="s">
        <v>63</v>
      </c>
      <c r="C219" s="9" t="s">
        <v>64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23</v>
      </c>
      <c r="B220" s="9" t="s">
        <v>63</v>
      </c>
      <c r="C220" s="9" t="s">
        <v>64</v>
      </c>
      <c r="D220" s="10"/>
      <c r="E220" s="11" t="str">
        <f>"－"</f>
        <v>－</v>
      </c>
      <c r="F220" s="10"/>
      <c r="G220" s="11" t="str">
        <f>"－"</f>
        <v>－</v>
      </c>
      <c r="H220" s="10"/>
      <c r="I220" s="11" t="str">
        <f>"－"</f>
        <v>－</v>
      </c>
      <c r="J220" s="10"/>
      <c r="K220" s="11" t="n">
        <f>465</f>
        <v>465.0</v>
      </c>
    </row>
    <row r="221">
      <c r="A221" s="8" t="s">
        <v>25</v>
      </c>
      <c r="B221" s="9" t="s">
        <v>63</v>
      </c>
      <c r="C221" s="9" t="s">
        <v>64</v>
      </c>
      <c r="D221" s="10"/>
      <c r="E221" s="11" t="str">
        <f>"－"</f>
        <v>－</v>
      </c>
      <c r="F221" s="10"/>
      <c r="G221" s="11" t="str">
        <f>"－"</f>
        <v>－</v>
      </c>
      <c r="H221" s="10"/>
      <c r="I221" s="11" t="str">
        <f>"－"</f>
        <v>－</v>
      </c>
      <c r="J221" s="10"/>
      <c r="K221" s="11" t="n">
        <f>465</f>
        <v>465.0</v>
      </c>
    </row>
    <row r="222">
      <c r="A222" s="8" t="s">
        <v>26</v>
      </c>
      <c r="B222" s="9" t="s">
        <v>63</v>
      </c>
      <c r="C222" s="9" t="s">
        <v>64</v>
      </c>
      <c r="D222" s="10"/>
      <c r="E222" s="11" t="n">
        <f>1</f>
        <v>1.0</v>
      </c>
      <c r="F222" s="10"/>
      <c r="G222" s="11" t="n">
        <f>4685500</f>
        <v>4685500.0</v>
      </c>
      <c r="H222" s="10"/>
      <c r="I222" s="11" t="str">
        <f>"－"</f>
        <v>－</v>
      </c>
      <c r="J222" s="10"/>
      <c r="K222" s="11" t="n">
        <f>464</f>
        <v>464.0</v>
      </c>
    </row>
    <row r="223">
      <c r="A223" s="8" t="s">
        <v>27</v>
      </c>
      <c r="B223" s="9" t="s">
        <v>63</v>
      </c>
      <c r="C223" s="9" t="s">
        <v>64</v>
      </c>
      <c r="D223" s="10"/>
      <c r="E223" s="11" t="n">
        <f>3</f>
        <v>3.0</v>
      </c>
      <c r="F223" s="10"/>
      <c r="G223" s="11" t="n">
        <f>13930500</f>
        <v>1.39305E7</v>
      </c>
      <c r="H223" s="10"/>
      <c r="I223" s="11" t="str">
        <f>"－"</f>
        <v>－</v>
      </c>
      <c r="J223" s="10"/>
      <c r="K223" s="11" t="n">
        <f>465</f>
        <v>465.0</v>
      </c>
    </row>
    <row r="224">
      <c r="A224" s="8" t="s">
        <v>28</v>
      </c>
      <c r="B224" s="9" t="s">
        <v>63</v>
      </c>
      <c r="C224" s="9" t="s">
        <v>64</v>
      </c>
      <c r="D224" s="10"/>
      <c r="E224" s="11" t="n">
        <f>2</f>
        <v>2.0</v>
      </c>
      <c r="F224" s="10"/>
      <c r="G224" s="11" t="n">
        <f>9305500</f>
        <v>9305500.0</v>
      </c>
      <c r="H224" s="10"/>
      <c r="I224" s="11" t="str">
        <f>"－"</f>
        <v>－</v>
      </c>
      <c r="J224" s="10"/>
      <c r="K224" s="11" t="n">
        <f>464</f>
        <v>464.0</v>
      </c>
    </row>
    <row r="225">
      <c r="A225" s="8" t="s">
        <v>29</v>
      </c>
      <c r="B225" s="9" t="s">
        <v>63</v>
      </c>
      <c r="C225" s="9" t="s">
        <v>64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30</v>
      </c>
      <c r="B226" s="9" t="s">
        <v>63</v>
      </c>
      <c r="C226" s="9" t="s">
        <v>64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31</v>
      </c>
      <c r="B227" s="9" t="s">
        <v>63</v>
      </c>
      <c r="C227" s="9" t="s">
        <v>64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464</f>
        <v>464.0</v>
      </c>
    </row>
    <row r="228">
      <c r="A228" s="8" t="s">
        <v>32</v>
      </c>
      <c r="B228" s="9" t="s">
        <v>63</v>
      </c>
      <c r="C228" s="9" t="s">
        <v>64</v>
      </c>
      <c r="D228" s="10"/>
      <c r="E228" s="11" t="n">
        <f>3</f>
        <v>3.0</v>
      </c>
      <c r="F228" s="10"/>
      <c r="G228" s="11" t="n">
        <f>13948500</f>
        <v>1.39485E7</v>
      </c>
      <c r="H228" s="10"/>
      <c r="I228" s="11" t="str">
        <f>"－"</f>
        <v>－</v>
      </c>
      <c r="J228" s="10"/>
      <c r="K228" s="11" t="n">
        <f>464</f>
        <v>464.0</v>
      </c>
    </row>
    <row r="229">
      <c r="A229" s="8" t="s">
        <v>33</v>
      </c>
      <c r="B229" s="9" t="s">
        <v>63</v>
      </c>
      <c r="C229" s="9" t="s">
        <v>64</v>
      </c>
      <c r="D229" s="10"/>
      <c r="E229" s="11" t="n">
        <f>1</f>
        <v>1.0</v>
      </c>
      <c r="F229" s="10"/>
      <c r="G229" s="11" t="n">
        <f>4756000</f>
        <v>4756000.0</v>
      </c>
      <c r="H229" s="10"/>
      <c r="I229" s="11" t="str">
        <f>"－"</f>
        <v>－</v>
      </c>
      <c r="J229" s="10"/>
      <c r="K229" s="11" t="n">
        <f>463</f>
        <v>463.0</v>
      </c>
    </row>
    <row r="230">
      <c r="A230" s="8" t="s">
        <v>34</v>
      </c>
      <c r="B230" s="9" t="s">
        <v>63</v>
      </c>
      <c r="C230" s="9" t="s">
        <v>64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463</f>
        <v>463.0</v>
      </c>
    </row>
    <row r="231">
      <c r="A231" s="8" t="s">
        <v>35</v>
      </c>
      <c r="B231" s="9" t="s">
        <v>63</v>
      </c>
      <c r="C231" s="9" t="s">
        <v>64</v>
      </c>
      <c r="D231" s="10"/>
      <c r="E231" s="11" t="n">
        <f>2</f>
        <v>2.0</v>
      </c>
      <c r="F231" s="10"/>
      <c r="G231" s="11" t="n">
        <f>9549500</f>
        <v>9549500.0</v>
      </c>
      <c r="H231" s="10"/>
      <c r="I231" s="11" t="str">
        <f>"－"</f>
        <v>－</v>
      </c>
      <c r="J231" s="10"/>
      <c r="K231" s="11" t="n">
        <f>462</f>
        <v>462.0</v>
      </c>
    </row>
    <row r="232">
      <c r="A232" s="8" t="s">
        <v>36</v>
      </c>
      <c r="B232" s="9" t="s">
        <v>63</v>
      </c>
      <c r="C232" s="9" t="s">
        <v>64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37</v>
      </c>
      <c r="B233" s="9" t="s">
        <v>63</v>
      </c>
      <c r="C233" s="9" t="s">
        <v>64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38</v>
      </c>
      <c r="B234" s="9" t="s">
        <v>63</v>
      </c>
      <c r="C234" s="9" t="s">
        <v>64</v>
      </c>
      <c r="D234" s="10"/>
      <c r="E234" s="11" t="n">
        <f>6</f>
        <v>6.0</v>
      </c>
      <c r="F234" s="10"/>
      <c r="G234" s="11" t="n">
        <f>29053500</f>
        <v>2.90535E7</v>
      </c>
      <c r="H234" s="10"/>
      <c r="I234" s="11" t="str">
        <f>"－"</f>
        <v>－</v>
      </c>
      <c r="J234" s="10"/>
      <c r="K234" s="11" t="n">
        <f>461</f>
        <v>461.0</v>
      </c>
    </row>
    <row r="235">
      <c r="A235" s="8" t="s">
        <v>39</v>
      </c>
      <c r="B235" s="9" t="s">
        <v>63</v>
      </c>
      <c r="C235" s="9" t="s">
        <v>64</v>
      </c>
      <c r="D235" s="10"/>
      <c r="E235" s="11" t="n">
        <f>4</f>
        <v>4.0</v>
      </c>
      <c r="F235" s="10"/>
      <c r="G235" s="11" t="n">
        <f>19495500</f>
        <v>1.94955E7</v>
      </c>
      <c r="H235" s="10"/>
      <c r="I235" s="11" t="str">
        <f>"－"</f>
        <v>－</v>
      </c>
      <c r="J235" s="10"/>
      <c r="K235" s="11" t="n">
        <f>461</f>
        <v>461.0</v>
      </c>
    </row>
    <row r="236">
      <c r="A236" s="8" t="s">
        <v>40</v>
      </c>
      <c r="B236" s="9" t="s">
        <v>63</v>
      </c>
      <c r="C236" s="9" t="s">
        <v>64</v>
      </c>
      <c r="D236" s="10"/>
      <c r="E236" s="11" t="n">
        <f>1</f>
        <v>1.0</v>
      </c>
      <c r="F236" s="10"/>
      <c r="G236" s="11" t="n">
        <f>4929500</f>
        <v>4929500.0</v>
      </c>
      <c r="H236" s="10"/>
      <c r="I236" s="11" t="str">
        <f>"－"</f>
        <v>－</v>
      </c>
      <c r="J236" s="10"/>
      <c r="K236" s="11" t="n">
        <f>460</f>
        <v>460.0</v>
      </c>
    </row>
    <row r="237">
      <c r="A237" s="8" t="s">
        <v>41</v>
      </c>
      <c r="B237" s="9" t="s">
        <v>63</v>
      </c>
      <c r="C237" s="9" t="s">
        <v>64</v>
      </c>
      <c r="D237" s="10"/>
      <c r="E237" s="11" t="n">
        <f>5</f>
        <v>5.0</v>
      </c>
      <c r="F237" s="10"/>
      <c r="G237" s="11" t="n">
        <f>24827500</f>
        <v>2.48275E7</v>
      </c>
      <c r="H237" s="10"/>
      <c r="I237" s="11" t="str">
        <f>"－"</f>
        <v>－</v>
      </c>
      <c r="J237" s="10"/>
      <c r="K237" s="11" t="n">
        <f>460</f>
        <v>460.0</v>
      </c>
    </row>
    <row r="238">
      <c r="A238" s="8" t="s">
        <v>42</v>
      </c>
      <c r="B238" s="9" t="s">
        <v>63</v>
      </c>
      <c r="C238" s="9" t="s">
        <v>64</v>
      </c>
      <c r="D238" s="10"/>
      <c r="E238" s="11" t="n">
        <f>1</f>
        <v>1.0</v>
      </c>
      <c r="F238" s="10"/>
      <c r="G238" s="11" t="n">
        <f>4910000</f>
        <v>4910000.0</v>
      </c>
      <c r="H238" s="10"/>
      <c r="I238" s="11" t="str">
        <f>"－"</f>
        <v>－</v>
      </c>
      <c r="J238" s="10"/>
      <c r="K238" s="11" t="n">
        <f>461</f>
        <v>461.0</v>
      </c>
    </row>
    <row r="239">
      <c r="A239" s="8" t="s">
        <v>43</v>
      </c>
      <c r="B239" s="9" t="s">
        <v>63</v>
      </c>
      <c r="C239" s="9" t="s">
        <v>64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44</v>
      </c>
      <c r="B240" s="9" t="s">
        <v>63</v>
      </c>
      <c r="C240" s="9" t="s">
        <v>64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45</v>
      </c>
      <c r="B241" s="9" t="s">
        <v>63</v>
      </c>
      <c r="C241" s="9" t="s">
        <v>64</v>
      </c>
      <c r="D241" s="10"/>
      <c r="E241" s="11" t="n">
        <f>2</f>
        <v>2.0</v>
      </c>
      <c r="F241" s="10"/>
      <c r="G241" s="11" t="n">
        <f>9847000</f>
        <v>9847000.0</v>
      </c>
      <c r="H241" s="10"/>
      <c r="I241" s="11" t="str">
        <f>"－"</f>
        <v>－</v>
      </c>
      <c r="J241" s="10"/>
      <c r="K241" s="11" t="n">
        <f>461</f>
        <v>461.0</v>
      </c>
    </row>
    <row r="242">
      <c r="A242" s="8" t="s">
        <v>46</v>
      </c>
      <c r="B242" s="9" t="s">
        <v>63</v>
      </c>
      <c r="C242" s="9" t="s">
        <v>64</v>
      </c>
      <c r="D242" s="10"/>
      <c r="E242" s="11" t="n">
        <f>10</f>
        <v>10.0</v>
      </c>
      <c r="F242" s="10"/>
      <c r="G242" s="11" t="n">
        <f>50009500</f>
        <v>5.00095E7</v>
      </c>
      <c r="H242" s="10"/>
      <c r="I242" s="11" t="str">
        <f>"－"</f>
        <v>－</v>
      </c>
      <c r="J242" s="10"/>
      <c r="K242" s="11" t="n">
        <f>443</f>
        <v>443.0</v>
      </c>
    </row>
    <row r="243">
      <c r="A243" s="8" t="s">
        <v>47</v>
      </c>
      <c r="B243" s="9" t="s">
        <v>63</v>
      </c>
      <c r="C243" s="9" t="s">
        <v>64</v>
      </c>
      <c r="D243" s="10" t="s">
        <v>20</v>
      </c>
      <c r="E243" s="11" t="n">
        <f>11</f>
        <v>11.0</v>
      </c>
      <c r="F243" s="10" t="s">
        <v>20</v>
      </c>
      <c r="G243" s="11" t="n">
        <f>55557500</f>
        <v>5.55575E7</v>
      </c>
      <c r="H243" s="10"/>
      <c r="I243" s="11" t="str">
        <f>"－"</f>
        <v>－</v>
      </c>
      <c r="J243" s="10"/>
      <c r="K243" s="11" t="n">
        <f>441</f>
        <v>441.0</v>
      </c>
    </row>
    <row r="244">
      <c r="A244" s="8" t="s">
        <v>48</v>
      </c>
      <c r="B244" s="9" t="s">
        <v>63</v>
      </c>
      <c r="C244" s="9" t="s">
        <v>64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49</v>
      </c>
      <c r="B245" s="9" t="s">
        <v>63</v>
      </c>
      <c r="C245" s="9" t="s">
        <v>64</v>
      </c>
      <c r="D245" s="10"/>
      <c r="E245" s="11" t="n">
        <f>4</f>
        <v>4.0</v>
      </c>
      <c r="F245" s="10"/>
      <c r="G245" s="11" t="n">
        <f>20183000</f>
        <v>2.0183E7</v>
      </c>
      <c r="H245" s="10"/>
      <c r="I245" s="11" t="str">
        <f>"－"</f>
        <v>－</v>
      </c>
      <c r="J245" s="10" t="s">
        <v>24</v>
      </c>
      <c r="K245" s="11" t="n">
        <f>440</f>
        <v>440.0</v>
      </c>
    </row>
    <row r="246">
      <c r="A246" s="8" t="s">
        <v>16</v>
      </c>
      <c r="B246" s="9" t="s">
        <v>65</v>
      </c>
      <c r="C246" s="9" t="s">
        <v>66</v>
      </c>
      <c r="D246" s="10"/>
      <c r="E246" s="11" t="n">
        <f>2489</f>
        <v>2489.0</v>
      </c>
      <c r="F246" s="10"/>
      <c r="G246" s="11" t="n">
        <f>3035497000</f>
        <v>3.035497E9</v>
      </c>
      <c r="H246" s="10" t="s">
        <v>52</v>
      </c>
      <c r="I246" s="11" t="str">
        <f>"－"</f>
        <v>－</v>
      </c>
      <c r="J246" s="10"/>
      <c r="K246" s="11" t="n">
        <f>11491</f>
        <v>11491.0</v>
      </c>
    </row>
    <row r="247">
      <c r="A247" s="8" t="s">
        <v>19</v>
      </c>
      <c r="B247" s="9" t="s">
        <v>65</v>
      </c>
      <c r="C247" s="9" t="s">
        <v>66</v>
      </c>
      <c r="D247" s="10"/>
      <c r="E247" s="11" t="n">
        <f>2163</f>
        <v>2163.0</v>
      </c>
      <c r="F247" s="10"/>
      <c r="G247" s="11" t="n">
        <f>2680792000</f>
        <v>2.680792E9</v>
      </c>
      <c r="H247" s="10"/>
      <c r="I247" s="11" t="str">
        <f>"－"</f>
        <v>－</v>
      </c>
      <c r="J247" s="10"/>
      <c r="K247" s="11" t="n">
        <f>11444</f>
        <v>11444.0</v>
      </c>
    </row>
    <row r="248">
      <c r="A248" s="8" t="s">
        <v>21</v>
      </c>
      <c r="B248" s="9" t="s">
        <v>65</v>
      </c>
      <c r="C248" s="9" t="s">
        <v>66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22</v>
      </c>
      <c r="B249" s="9" t="s">
        <v>65</v>
      </c>
      <c r="C249" s="9" t="s">
        <v>66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23</v>
      </c>
      <c r="B250" s="9" t="s">
        <v>65</v>
      </c>
      <c r="C250" s="9" t="s">
        <v>66</v>
      </c>
      <c r="D250" s="10"/>
      <c r="E250" s="11" t="n">
        <f>1723</f>
        <v>1723.0</v>
      </c>
      <c r="F250" s="10"/>
      <c r="G250" s="11" t="n">
        <f>2140296000</f>
        <v>2.140296E9</v>
      </c>
      <c r="H250" s="10"/>
      <c r="I250" s="11" t="str">
        <f>"－"</f>
        <v>－</v>
      </c>
      <c r="J250" s="10"/>
      <c r="K250" s="11" t="n">
        <f>11529</f>
        <v>11529.0</v>
      </c>
    </row>
    <row r="251">
      <c r="A251" s="8" t="s">
        <v>25</v>
      </c>
      <c r="B251" s="9" t="s">
        <v>65</v>
      </c>
      <c r="C251" s="9" t="s">
        <v>66</v>
      </c>
      <c r="D251" s="10"/>
      <c r="E251" s="11" t="n">
        <f>1630</f>
        <v>1630.0</v>
      </c>
      <c r="F251" s="10"/>
      <c r="G251" s="11" t="n">
        <f>2027262000</f>
        <v>2.027262E9</v>
      </c>
      <c r="H251" s="10"/>
      <c r="I251" s="11" t="str">
        <f>"－"</f>
        <v>－</v>
      </c>
      <c r="J251" s="10"/>
      <c r="K251" s="11" t="n">
        <f>11586</f>
        <v>11586.0</v>
      </c>
    </row>
    <row r="252">
      <c r="A252" s="8" t="s">
        <v>26</v>
      </c>
      <c r="B252" s="9" t="s">
        <v>65</v>
      </c>
      <c r="C252" s="9" t="s">
        <v>66</v>
      </c>
      <c r="D252" s="10"/>
      <c r="E252" s="11" t="n">
        <f>1649</f>
        <v>1649.0</v>
      </c>
      <c r="F252" s="10"/>
      <c r="G252" s="11" t="n">
        <f>2033956500</f>
        <v>2.0339565E9</v>
      </c>
      <c r="H252" s="10"/>
      <c r="I252" s="11" t="str">
        <f>"－"</f>
        <v>－</v>
      </c>
      <c r="J252" s="10"/>
      <c r="K252" s="11" t="n">
        <f>11577</f>
        <v>11577.0</v>
      </c>
    </row>
    <row r="253">
      <c r="A253" s="8" t="s">
        <v>27</v>
      </c>
      <c r="B253" s="9" t="s">
        <v>65</v>
      </c>
      <c r="C253" s="9" t="s">
        <v>66</v>
      </c>
      <c r="D253" s="10"/>
      <c r="E253" s="11" t="n">
        <f>2272</f>
        <v>2272.0</v>
      </c>
      <c r="F253" s="10"/>
      <c r="G253" s="11" t="n">
        <f>2766551500</f>
        <v>2.7665515E9</v>
      </c>
      <c r="H253" s="10"/>
      <c r="I253" s="11" t="str">
        <f>"－"</f>
        <v>－</v>
      </c>
      <c r="J253" s="10"/>
      <c r="K253" s="11" t="n">
        <f>11545</f>
        <v>11545.0</v>
      </c>
    </row>
    <row r="254">
      <c r="A254" s="8" t="s">
        <v>28</v>
      </c>
      <c r="B254" s="9" t="s">
        <v>65</v>
      </c>
      <c r="C254" s="9" t="s">
        <v>66</v>
      </c>
      <c r="D254" s="10"/>
      <c r="E254" s="11" t="n">
        <f>4791</f>
        <v>4791.0</v>
      </c>
      <c r="F254" s="10"/>
      <c r="G254" s="11" t="n">
        <f>5686398500</f>
        <v>5.6863985E9</v>
      </c>
      <c r="H254" s="10"/>
      <c r="I254" s="11" t="str">
        <f>"－"</f>
        <v>－</v>
      </c>
      <c r="J254" s="10"/>
      <c r="K254" s="11" t="n">
        <f>11511</f>
        <v>11511.0</v>
      </c>
    </row>
    <row r="255">
      <c r="A255" s="8" t="s">
        <v>29</v>
      </c>
      <c r="B255" s="9" t="s">
        <v>65</v>
      </c>
      <c r="C255" s="9" t="s">
        <v>66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30</v>
      </c>
      <c r="B256" s="9" t="s">
        <v>65</v>
      </c>
      <c r="C256" s="9" t="s">
        <v>66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31</v>
      </c>
      <c r="B257" s="9" t="s">
        <v>65</v>
      </c>
      <c r="C257" s="9" t="s">
        <v>66</v>
      </c>
      <c r="D257" s="10"/>
      <c r="E257" s="11" t="n">
        <f>3897</f>
        <v>3897.0</v>
      </c>
      <c r="F257" s="10"/>
      <c r="G257" s="11" t="n">
        <f>4531153500</f>
        <v>4.5311535E9</v>
      </c>
      <c r="H257" s="10"/>
      <c r="I257" s="11" t="str">
        <f>"－"</f>
        <v>－</v>
      </c>
      <c r="J257" s="10"/>
      <c r="K257" s="11" t="n">
        <f>11809</f>
        <v>11809.0</v>
      </c>
    </row>
    <row r="258">
      <c r="A258" s="8" t="s">
        <v>32</v>
      </c>
      <c r="B258" s="9" t="s">
        <v>65</v>
      </c>
      <c r="C258" s="9" t="s">
        <v>66</v>
      </c>
      <c r="D258" s="10"/>
      <c r="E258" s="11" t="n">
        <f>3633</f>
        <v>3633.0</v>
      </c>
      <c r="F258" s="10"/>
      <c r="G258" s="11" t="n">
        <f>4089603000</f>
        <v>4.089603E9</v>
      </c>
      <c r="H258" s="10"/>
      <c r="I258" s="11" t="str">
        <f>"－"</f>
        <v>－</v>
      </c>
      <c r="J258" s="10"/>
      <c r="K258" s="11" t="n">
        <f>11803</f>
        <v>11803.0</v>
      </c>
    </row>
    <row r="259">
      <c r="A259" s="8" t="s">
        <v>33</v>
      </c>
      <c r="B259" s="9" t="s">
        <v>65</v>
      </c>
      <c r="C259" s="9" t="s">
        <v>66</v>
      </c>
      <c r="D259" s="10"/>
      <c r="E259" s="11" t="n">
        <f>3480</f>
        <v>3480.0</v>
      </c>
      <c r="F259" s="10"/>
      <c r="G259" s="11" t="n">
        <f>3927937500</f>
        <v>3.9279375E9</v>
      </c>
      <c r="H259" s="10"/>
      <c r="I259" s="11" t="str">
        <f>"－"</f>
        <v>－</v>
      </c>
      <c r="J259" s="10" t="s">
        <v>20</v>
      </c>
      <c r="K259" s="11" t="n">
        <f>11894</f>
        <v>11894.0</v>
      </c>
    </row>
    <row r="260">
      <c r="A260" s="8" t="s">
        <v>34</v>
      </c>
      <c r="B260" s="9" t="s">
        <v>65</v>
      </c>
      <c r="C260" s="9" t="s">
        <v>66</v>
      </c>
      <c r="D260" s="10"/>
      <c r="E260" s="11" t="n">
        <f>4506</f>
        <v>4506.0</v>
      </c>
      <c r="F260" s="10"/>
      <c r="G260" s="11" t="n">
        <f>5289726000</f>
        <v>5.289726E9</v>
      </c>
      <c r="H260" s="10"/>
      <c r="I260" s="11" t="str">
        <f>"－"</f>
        <v>－</v>
      </c>
      <c r="J260" s="10"/>
      <c r="K260" s="11" t="n">
        <f>11810</f>
        <v>11810.0</v>
      </c>
    </row>
    <row r="261">
      <c r="A261" s="8" t="s">
        <v>35</v>
      </c>
      <c r="B261" s="9" t="s">
        <v>65</v>
      </c>
      <c r="C261" s="9" t="s">
        <v>66</v>
      </c>
      <c r="D261" s="10"/>
      <c r="E261" s="11" t="n">
        <f>2008</f>
        <v>2008.0</v>
      </c>
      <c r="F261" s="10"/>
      <c r="G261" s="11" t="n">
        <f>2358180500</f>
        <v>2.3581805E9</v>
      </c>
      <c r="H261" s="10"/>
      <c r="I261" s="11" t="str">
        <f>"－"</f>
        <v>－</v>
      </c>
      <c r="J261" s="10"/>
      <c r="K261" s="11" t="n">
        <f>11780</f>
        <v>11780.0</v>
      </c>
    </row>
    <row r="262">
      <c r="A262" s="8" t="s">
        <v>36</v>
      </c>
      <c r="B262" s="9" t="s">
        <v>65</v>
      </c>
      <c r="C262" s="9" t="s">
        <v>66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37</v>
      </c>
      <c r="B263" s="9" t="s">
        <v>65</v>
      </c>
      <c r="C263" s="9" t="s">
        <v>66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38</v>
      </c>
      <c r="B264" s="9" t="s">
        <v>65</v>
      </c>
      <c r="C264" s="9" t="s">
        <v>66</v>
      </c>
      <c r="D264" s="10"/>
      <c r="E264" s="11" t="n">
        <f>2326</f>
        <v>2326.0</v>
      </c>
      <c r="F264" s="10"/>
      <c r="G264" s="11" t="n">
        <f>2686599500</f>
        <v>2.6865995E9</v>
      </c>
      <c r="H264" s="10"/>
      <c r="I264" s="11" t="str">
        <f>"－"</f>
        <v>－</v>
      </c>
      <c r="J264" s="10"/>
      <c r="K264" s="11" t="n">
        <f>11792</f>
        <v>11792.0</v>
      </c>
    </row>
    <row r="265">
      <c r="A265" s="8" t="s">
        <v>39</v>
      </c>
      <c r="B265" s="9" t="s">
        <v>65</v>
      </c>
      <c r="C265" s="9" t="s">
        <v>66</v>
      </c>
      <c r="D265" s="10"/>
      <c r="E265" s="11" t="n">
        <f>2952</f>
        <v>2952.0</v>
      </c>
      <c r="F265" s="10"/>
      <c r="G265" s="11" t="n">
        <f>3394393000</f>
        <v>3.394393E9</v>
      </c>
      <c r="H265" s="10"/>
      <c r="I265" s="11" t="str">
        <f>"－"</f>
        <v>－</v>
      </c>
      <c r="J265" s="10"/>
      <c r="K265" s="11" t="n">
        <f>11616</f>
        <v>11616.0</v>
      </c>
    </row>
    <row r="266">
      <c r="A266" s="8" t="s">
        <v>40</v>
      </c>
      <c r="B266" s="9" t="s">
        <v>65</v>
      </c>
      <c r="C266" s="9" t="s">
        <v>66</v>
      </c>
      <c r="D266" s="10"/>
      <c r="E266" s="11" t="n">
        <f>2168</f>
        <v>2168.0</v>
      </c>
      <c r="F266" s="10"/>
      <c r="G266" s="11" t="n">
        <f>2516280000</f>
        <v>2.51628E9</v>
      </c>
      <c r="H266" s="10"/>
      <c r="I266" s="11" t="str">
        <f>"－"</f>
        <v>－</v>
      </c>
      <c r="J266" s="10"/>
      <c r="K266" s="11" t="n">
        <f>11544</f>
        <v>11544.0</v>
      </c>
    </row>
    <row r="267">
      <c r="A267" s="8" t="s">
        <v>41</v>
      </c>
      <c r="B267" s="9" t="s">
        <v>65</v>
      </c>
      <c r="C267" s="9" t="s">
        <v>66</v>
      </c>
      <c r="D267" s="10"/>
      <c r="E267" s="11" t="n">
        <f>2768</f>
        <v>2768.0</v>
      </c>
      <c r="F267" s="10"/>
      <c r="G267" s="11" t="n">
        <f>3250542500</f>
        <v>3.2505425E9</v>
      </c>
      <c r="H267" s="10"/>
      <c r="I267" s="11" t="str">
        <f>"－"</f>
        <v>－</v>
      </c>
      <c r="J267" s="10"/>
      <c r="K267" s="11" t="n">
        <f>11557</f>
        <v>11557.0</v>
      </c>
    </row>
    <row r="268">
      <c r="A268" s="8" t="s">
        <v>42</v>
      </c>
      <c r="B268" s="9" t="s">
        <v>65</v>
      </c>
      <c r="C268" s="9" t="s">
        <v>66</v>
      </c>
      <c r="D268" s="10" t="s">
        <v>24</v>
      </c>
      <c r="E268" s="11" t="n">
        <f>1277</f>
        <v>1277.0</v>
      </c>
      <c r="F268" s="10" t="s">
        <v>24</v>
      </c>
      <c r="G268" s="11" t="n">
        <f>1502649500</f>
        <v>1.5026495E9</v>
      </c>
      <c r="H268" s="10"/>
      <c r="I268" s="11" t="str">
        <f>"－"</f>
        <v>－</v>
      </c>
      <c r="J268" s="10"/>
      <c r="K268" s="11" t="n">
        <f>11415</f>
        <v>11415.0</v>
      </c>
    </row>
    <row r="269">
      <c r="A269" s="8" t="s">
        <v>43</v>
      </c>
      <c r="B269" s="9" t="s">
        <v>65</v>
      </c>
      <c r="C269" s="9" t="s">
        <v>66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44</v>
      </c>
      <c r="B270" s="9" t="s">
        <v>65</v>
      </c>
      <c r="C270" s="9" t="s">
        <v>66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45</v>
      </c>
      <c r="B271" s="9" t="s">
        <v>65</v>
      </c>
      <c r="C271" s="9" t="s">
        <v>66</v>
      </c>
      <c r="D271" s="10"/>
      <c r="E271" s="11" t="n">
        <f>4134</f>
        <v>4134.0</v>
      </c>
      <c r="F271" s="10"/>
      <c r="G271" s="11" t="n">
        <f>4904942000</f>
        <v>4.904942E9</v>
      </c>
      <c r="H271" s="10"/>
      <c r="I271" s="11" t="str">
        <f>"－"</f>
        <v>－</v>
      </c>
      <c r="J271" s="10" t="s">
        <v>24</v>
      </c>
      <c r="K271" s="11" t="n">
        <f>10855</f>
        <v>10855.0</v>
      </c>
    </row>
    <row r="272">
      <c r="A272" s="8" t="s">
        <v>46</v>
      </c>
      <c r="B272" s="9" t="s">
        <v>65</v>
      </c>
      <c r="C272" s="9" t="s">
        <v>66</v>
      </c>
      <c r="D272" s="10"/>
      <c r="E272" s="11" t="n">
        <f>2034</f>
        <v>2034.0</v>
      </c>
      <c r="F272" s="10"/>
      <c r="G272" s="11" t="n">
        <f>2400006000</f>
        <v>2.400006E9</v>
      </c>
      <c r="H272" s="10"/>
      <c r="I272" s="11" t="str">
        <f>"－"</f>
        <v>－</v>
      </c>
      <c r="J272" s="10"/>
      <c r="K272" s="11" t="n">
        <f>10947</f>
        <v>10947.0</v>
      </c>
    </row>
    <row r="273">
      <c r="A273" s="8" t="s">
        <v>47</v>
      </c>
      <c r="B273" s="9" t="s">
        <v>65</v>
      </c>
      <c r="C273" s="9" t="s">
        <v>66</v>
      </c>
      <c r="D273" s="10"/>
      <c r="E273" s="11" t="n">
        <f>2245</f>
        <v>2245.0</v>
      </c>
      <c r="F273" s="10"/>
      <c r="G273" s="11" t="n">
        <f>2670498500</f>
        <v>2.6704985E9</v>
      </c>
      <c r="H273" s="10"/>
      <c r="I273" s="11" t="str">
        <f>"－"</f>
        <v>－</v>
      </c>
      <c r="J273" s="10"/>
      <c r="K273" s="11" t="n">
        <f>10994</f>
        <v>10994.0</v>
      </c>
    </row>
    <row r="274">
      <c r="A274" s="8" t="s">
        <v>48</v>
      </c>
      <c r="B274" s="9" t="s">
        <v>65</v>
      </c>
      <c r="C274" s="9" t="s">
        <v>66</v>
      </c>
      <c r="D274" s="10"/>
      <c r="E274" s="11"/>
      <c r="F274" s="10"/>
      <c r="G274" s="11"/>
      <c r="H274" s="10"/>
      <c r="I274" s="11"/>
      <c r="J274" s="10"/>
      <c r="K274" s="11"/>
    </row>
    <row r="275">
      <c r="A275" s="8" t="s">
        <v>49</v>
      </c>
      <c r="B275" s="9" t="s">
        <v>65</v>
      </c>
      <c r="C275" s="9" t="s">
        <v>66</v>
      </c>
      <c r="D275" s="10" t="s">
        <v>20</v>
      </c>
      <c r="E275" s="11" t="n">
        <f>5718</f>
        <v>5718.0</v>
      </c>
      <c r="F275" s="10" t="s">
        <v>20</v>
      </c>
      <c r="G275" s="11" t="n">
        <f>6937505500</f>
        <v>6.9375055E9</v>
      </c>
      <c r="H275" s="10"/>
      <c r="I275" s="11" t="str">
        <f>"－"</f>
        <v>－</v>
      </c>
      <c r="J275" s="10"/>
      <c r="K275" s="11" t="n">
        <f>11127</f>
        <v>11127.0</v>
      </c>
    </row>
    <row r="276">
      <c r="A276" s="8" t="s">
        <v>16</v>
      </c>
      <c r="B276" s="9" t="s">
        <v>67</v>
      </c>
      <c r="C276" s="9" t="s">
        <v>68</v>
      </c>
      <c r="D276" s="10" t="s">
        <v>24</v>
      </c>
      <c r="E276" s="11" t="str">
        <f>"－"</f>
        <v>－</v>
      </c>
      <c r="F276" s="10" t="s">
        <v>24</v>
      </c>
      <c r="G276" s="11" t="str">
        <f>"－"</f>
        <v>－</v>
      </c>
      <c r="H276" s="10" t="s">
        <v>52</v>
      </c>
      <c r="I276" s="11" t="str">
        <f>"－"</f>
        <v>－</v>
      </c>
      <c r="J276" s="10" t="s">
        <v>24</v>
      </c>
      <c r="K276" s="11" t="str">
        <f>"－"</f>
        <v>－</v>
      </c>
    </row>
    <row r="277">
      <c r="A277" s="8" t="s">
        <v>19</v>
      </c>
      <c r="B277" s="9" t="s">
        <v>67</v>
      </c>
      <c r="C277" s="9" t="s">
        <v>68</v>
      </c>
      <c r="D277" s="10"/>
      <c r="E277" s="11" t="str">
        <f>"－"</f>
        <v>－</v>
      </c>
      <c r="F277" s="10"/>
      <c r="G277" s="11" t="str">
        <f>"－"</f>
        <v>－</v>
      </c>
      <c r="H277" s="10"/>
      <c r="I277" s="11" t="str">
        <f>"－"</f>
        <v>－</v>
      </c>
      <c r="J277" s="10"/>
      <c r="K277" s="11" t="str">
        <f>"－"</f>
        <v>－</v>
      </c>
    </row>
    <row r="278">
      <c r="A278" s="8" t="s">
        <v>21</v>
      </c>
      <c r="B278" s="9" t="s">
        <v>67</v>
      </c>
      <c r="C278" s="9" t="s">
        <v>68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22</v>
      </c>
      <c r="B279" s="9" t="s">
        <v>67</v>
      </c>
      <c r="C279" s="9" t="s">
        <v>68</v>
      </c>
      <c r="D279" s="10"/>
      <c r="E279" s="11"/>
      <c r="F279" s="10"/>
      <c r="G279" s="11"/>
      <c r="H279" s="10"/>
      <c r="I279" s="11"/>
      <c r="J279" s="10"/>
      <c r="K279" s="11"/>
    </row>
    <row r="280">
      <c r="A280" s="8" t="s">
        <v>23</v>
      </c>
      <c r="B280" s="9" t="s">
        <v>67</v>
      </c>
      <c r="C280" s="9" t="s">
        <v>68</v>
      </c>
      <c r="D280" s="10"/>
      <c r="E280" s="11" t="str">
        <f>"－"</f>
        <v>－</v>
      </c>
      <c r="F280" s="10"/>
      <c r="G280" s="11" t="str">
        <f>"－"</f>
        <v>－</v>
      </c>
      <c r="H280" s="10"/>
      <c r="I280" s="11" t="str">
        <f>"－"</f>
        <v>－</v>
      </c>
      <c r="J280" s="10"/>
      <c r="K280" s="11" t="str">
        <f>"－"</f>
        <v>－</v>
      </c>
    </row>
    <row r="281">
      <c r="A281" s="8" t="s">
        <v>25</v>
      </c>
      <c r="B281" s="9" t="s">
        <v>67</v>
      </c>
      <c r="C281" s="9" t="s">
        <v>68</v>
      </c>
      <c r="D281" s="10"/>
      <c r="E281" s="11" t="str">
        <f>"－"</f>
        <v>－</v>
      </c>
      <c r="F281" s="10"/>
      <c r="G281" s="11" t="str">
        <f>"－"</f>
        <v>－</v>
      </c>
      <c r="H281" s="10"/>
      <c r="I281" s="11" t="str">
        <f>"－"</f>
        <v>－</v>
      </c>
      <c r="J281" s="10"/>
      <c r="K281" s="11" t="str">
        <f>"－"</f>
        <v>－</v>
      </c>
    </row>
    <row r="282">
      <c r="A282" s="8" t="s">
        <v>26</v>
      </c>
      <c r="B282" s="9" t="s">
        <v>67</v>
      </c>
      <c r="C282" s="9" t="s">
        <v>68</v>
      </c>
      <c r="D282" s="10"/>
      <c r="E282" s="11" t="str">
        <f>"－"</f>
        <v>－</v>
      </c>
      <c r="F282" s="10"/>
      <c r="G282" s="11" t="str">
        <f>"－"</f>
        <v>－</v>
      </c>
      <c r="H282" s="10"/>
      <c r="I282" s="11" t="str">
        <f>"－"</f>
        <v>－</v>
      </c>
      <c r="J282" s="10"/>
      <c r="K282" s="11" t="str">
        <f>"－"</f>
        <v>－</v>
      </c>
    </row>
    <row r="283">
      <c r="A283" s="8" t="s">
        <v>27</v>
      </c>
      <c r="B283" s="9" t="s">
        <v>67</v>
      </c>
      <c r="C283" s="9" t="s">
        <v>68</v>
      </c>
      <c r="D283" s="10"/>
      <c r="E283" s="11" t="str">
        <f>"－"</f>
        <v>－</v>
      </c>
      <c r="F283" s="10"/>
      <c r="G283" s="11" t="str">
        <f>"－"</f>
        <v>－</v>
      </c>
      <c r="H283" s="10"/>
      <c r="I283" s="11" t="str">
        <f>"－"</f>
        <v>－</v>
      </c>
      <c r="J283" s="10"/>
      <c r="K283" s="11" t="str">
        <f>"－"</f>
        <v>－</v>
      </c>
    </row>
    <row r="284">
      <c r="A284" s="8" t="s">
        <v>28</v>
      </c>
      <c r="B284" s="9" t="s">
        <v>67</v>
      </c>
      <c r="C284" s="9" t="s">
        <v>68</v>
      </c>
      <c r="D284" s="10"/>
      <c r="E284" s="11" t="n">
        <f>3</f>
        <v>3.0</v>
      </c>
      <c r="F284" s="10"/>
      <c r="G284" s="11" t="n">
        <f>2679000</f>
        <v>2679000.0</v>
      </c>
      <c r="H284" s="10"/>
      <c r="I284" s="11" t="str">
        <f>"－"</f>
        <v>－</v>
      </c>
      <c r="J284" s="10" t="s">
        <v>20</v>
      </c>
      <c r="K284" s="11" t="n">
        <f>3</f>
        <v>3.0</v>
      </c>
    </row>
    <row r="285">
      <c r="A285" s="8" t="s">
        <v>29</v>
      </c>
      <c r="B285" s="9" t="s">
        <v>67</v>
      </c>
      <c r="C285" s="9" t="s">
        <v>68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30</v>
      </c>
      <c r="B286" s="9" t="s">
        <v>67</v>
      </c>
      <c r="C286" s="9" t="s">
        <v>68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31</v>
      </c>
      <c r="B287" s="9" t="s">
        <v>67</v>
      </c>
      <c r="C287" s="9" t="s">
        <v>68</v>
      </c>
      <c r="D287" s="10"/>
      <c r="E287" s="11" t="n">
        <f>3</f>
        <v>3.0</v>
      </c>
      <c r="F287" s="10"/>
      <c r="G287" s="11" t="n">
        <f>2676000</f>
        <v>2676000.0</v>
      </c>
      <c r="H287" s="10"/>
      <c r="I287" s="11" t="str">
        <f>"－"</f>
        <v>－</v>
      </c>
      <c r="J287" s="10"/>
      <c r="K287" s="11" t="str">
        <f>"－"</f>
        <v>－</v>
      </c>
    </row>
    <row r="288">
      <c r="A288" s="8" t="s">
        <v>32</v>
      </c>
      <c r="B288" s="9" t="s">
        <v>67</v>
      </c>
      <c r="C288" s="9" t="s">
        <v>68</v>
      </c>
      <c r="D288" s="10"/>
      <c r="E288" s="11" t="str">
        <f>"－"</f>
        <v>－</v>
      </c>
      <c r="F288" s="10"/>
      <c r="G288" s="11" t="str">
        <f>"－"</f>
        <v>－</v>
      </c>
      <c r="H288" s="10"/>
      <c r="I288" s="11" t="str">
        <f>"－"</f>
        <v>－</v>
      </c>
      <c r="J288" s="10"/>
      <c r="K288" s="11" t="str">
        <f>"－"</f>
        <v>－</v>
      </c>
    </row>
    <row r="289">
      <c r="A289" s="8" t="s">
        <v>33</v>
      </c>
      <c r="B289" s="9" t="s">
        <v>67</v>
      </c>
      <c r="C289" s="9" t="s">
        <v>68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34</v>
      </c>
      <c r="B290" s="9" t="s">
        <v>67</v>
      </c>
      <c r="C290" s="9" t="s">
        <v>68</v>
      </c>
      <c r="D290" s="10"/>
      <c r="E290" s="11" t="str">
        <f>"－"</f>
        <v>－</v>
      </c>
      <c r="F290" s="10"/>
      <c r="G290" s="11" t="str">
        <f>"－"</f>
        <v>－</v>
      </c>
      <c r="H290" s="10"/>
      <c r="I290" s="11" t="str">
        <f>"－"</f>
        <v>－</v>
      </c>
      <c r="J290" s="10"/>
      <c r="K290" s="11" t="str">
        <f>"－"</f>
        <v>－</v>
      </c>
    </row>
    <row r="291">
      <c r="A291" s="8" t="s">
        <v>35</v>
      </c>
      <c r="B291" s="9" t="s">
        <v>67</v>
      </c>
      <c r="C291" s="9" t="s">
        <v>68</v>
      </c>
      <c r="D291" s="10"/>
      <c r="E291" s="11" t="str">
        <f>"－"</f>
        <v>－</v>
      </c>
      <c r="F291" s="10"/>
      <c r="G291" s="11" t="str">
        <f>"－"</f>
        <v>－</v>
      </c>
      <c r="H291" s="10"/>
      <c r="I291" s="11" t="str">
        <f>"－"</f>
        <v>－</v>
      </c>
      <c r="J291" s="10"/>
      <c r="K291" s="11" t="str">
        <f>"－"</f>
        <v>－</v>
      </c>
    </row>
    <row r="292">
      <c r="A292" s="8" t="s">
        <v>36</v>
      </c>
      <c r="B292" s="9" t="s">
        <v>67</v>
      </c>
      <c r="C292" s="9" t="s">
        <v>68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37</v>
      </c>
      <c r="B293" s="9" t="s">
        <v>67</v>
      </c>
      <c r="C293" s="9" t="s">
        <v>68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38</v>
      </c>
      <c r="B294" s="9" t="s">
        <v>67</v>
      </c>
      <c r="C294" s="9" t="s">
        <v>68</v>
      </c>
      <c r="D294" s="10" t="s">
        <v>20</v>
      </c>
      <c r="E294" s="11" t="n">
        <f>12</f>
        <v>12.0</v>
      </c>
      <c r="F294" s="10" t="s">
        <v>20</v>
      </c>
      <c r="G294" s="11" t="n">
        <f>10524500</f>
        <v>1.05245E7</v>
      </c>
      <c r="H294" s="10"/>
      <c r="I294" s="11" t="str">
        <f>"－"</f>
        <v>－</v>
      </c>
      <c r="J294" s="10"/>
      <c r="K294" s="11" t="str">
        <f>"－"</f>
        <v>－</v>
      </c>
    </row>
    <row r="295">
      <c r="A295" s="8" t="s">
        <v>39</v>
      </c>
      <c r="B295" s="9" t="s">
        <v>67</v>
      </c>
      <c r="C295" s="9" t="s">
        <v>68</v>
      </c>
      <c r="D295" s="10"/>
      <c r="E295" s="11" t="str">
        <f>"－"</f>
        <v>－</v>
      </c>
      <c r="F295" s="10"/>
      <c r="G295" s="11" t="str">
        <f>"－"</f>
        <v>－</v>
      </c>
      <c r="H295" s="10"/>
      <c r="I295" s="11" t="str">
        <f>"－"</f>
        <v>－</v>
      </c>
      <c r="J295" s="10"/>
      <c r="K295" s="11" t="str">
        <f>"－"</f>
        <v>－</v>
      </c>
    </row>
    <row r="296">
      <c r="A296" s="8" t="s">
        <v>40</v>
      </c>
      <c r="B296" s="9" t="s">
        <v>67</v>
      </c>
      <c r="C296" s="9" t="s">
        <v>68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41</v>
      </c>
      <c r="B297" s="9" t="s">
        <v>67</v>
      </c>
      <c r="C297" s="9" t="s">
        <v>68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42</v>
      </c>
      <c r="B298" s="9" t="s">
        <v>67</v>
      </c>
      <c r="C298" s="9" t="s">
        <v>68</v>
      </c>
      <c r="D298" s="10"/>
      <c r="E298" s="11" t="str">
        <f>"－"</f>
        <v>－</v>
      </c>
      <c r="F298" s="10"/>
      <c r="G298" s="11" t="str">
        <f>"－"</f>
        <v>－</v>
      </c>
      <c r="H298" s="10"/>
      <c r="I298" s="11" t="str">
        <f>"－"</f>
        <v>－</v>
      </c>
      <c r="J298" s="10"/>
      <c r="K298" s="11" t="str">
        <f>"－"</f>
        <v>－</v>
      </c>
    </row>
    <row r="299">
      <c r="A299" s="8" t="s">
        <v>43</v>
      </c>
      <c r="B299" s="9" t="s">
        <v>67</v>
      </c>
      <c r="C299" s="9" t="s">
        <v>68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44</v>
      </c>
      <c r="B300" s="9" t="s">
        <v>67</v>
      </c>
      <c r="C300" s="9" t="s">
        <v>68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45</v>
      </c>
      <c r="B301" s="9" t="s">
        <v>67</v>
      </c>
      <c r="C301" s="9" t="s">
        <v>68</v>
      </c>
      <c r="D301" s="10"/>
      <c r="E301" s="11" t="str">
        <f>"－"</f>
        <v>－</v>
      </c>
      <c r="F301" s="10"/>
      <c r="G301" s="11" t="str">
        <f>"－"</f>
        <v>－</v>
      </c>
      <c r="H301" s="10"/>
      <c r="I301" s="11" t="str">
        <f>"－"</f>
        <v>－</v>
      </c>
      <c r="J301" s="10"/>
      <c r="K301" s="11" t="str">
        <f>"－"</f>
        <v>－</v>
      </c>
    </row>
    <row r="302">
      <c r="A302" s="8" t="s">
        <v>46</v>
      </c>
      <c r="B302" s="9" t="s">
        <v>67</v>
      </c>
      <c r="C302" s="9" t="s">
        <v>68</v>
      </c>
      <c r="D302" s="10"/>
      <c r="E302" s="11" t="str">
        <f>"－"</f>
        <v>－</v>
      </c>
      <c r="F302" s="10"/>
      <c r="G302" s="11" t="str">
        <f>"－"</f>
        <v>－</v>
      </c>
      <c r="H302" s="10"/>
      <c r="I302" s="11" t="str">
        <f>"－"</f>
        <v>－</v>
      </c>
      <c r="J302" s="10"/>
      <c r="K302" s="11" t="str">
        <f>"－"</f>
        <v>－</v>
      </c>
    </row>
    <row r="303">
      <c r="A303" s="8" t="s">
        <v>47</v>
      </c>
      <c r="B303" s="9" t="s">
        <v>67</v>
      </c>
      <c r="C303" s="9" t="s">
        <v>68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48</v>
      </c>
      <c r="B304" s="9" t="s">
        <v>67</v>
      </c>
      <c r="C304" s="9" t="s">
        <v>68</v>
      </c>
      <c r="D304" s="10"/>
      <c r="E304" s="11"/>
      <c r="F304" s="10"/>
      <c r="G304" s="11"/>
      <c r="H304" s="10"/>
      <c r="I304" s="11"/>
      <c r="J304" s="10"/>
      <c r="K304" s="11"/>
    </row>
    <row r="305">
      <c r="A305" s="8" t="s">
        <v>49</v>
      </c>
      <c r="B305" s="9" t="s">
        <v>67</v>
      </c>
      <c r="C305" s="9" t="s">
        <v>68</v>
      </c>
      <c r="D305" s="10"/>
      <c r="E305" s="11" t="str">
        <f>"－"</f>
        <v>－</v>
      </c>
      <c r="F305" s="10"/>
      <c r="G305" s="11" t="str">
        <f>"－"</f>
        <v>－</v>
      </c>
      <c r="H305" s="10"/>
      <c r="I305" s="11" t="str">
        <f>"－"</f>
        <v>－</v>
      </c>
      <c r="J305" s="10"/>
      <c r="K305" s="11" t="str">
        <f>"－"</f>
        <v>－</v>
      </c>
    </row>
    <row r="306">
      <c r="A306" s="8" t="s">
        <v>16</v>
      </c>
      <c r="B306" s="9" t="s">
        <v>69</v>
      </c>
      <c r="C306" s="9" t="s">
        <v>70</v>
      </c>
      <c r="D306" s="10"/>
      <c r="E306" s="11" t="n">
        <f>451</f>
        <v>451.0</v>
      </c>
      <c r="F306" s="10"/>
      <c r="G306" s="11" t="n">
        <f>696080500</f>
        <v>6.960805E8</v>
      </c>
      <c r="H306" s="10" t="s">
        <v>52</v>
      </c>
      <c r="I306" s="11" t="str">
        <f>"－"</f>
        <v>－</v>
      </c>
      <c r="J306" s="10"/>
      <c r="K306" s="11" t="n">
        <f>1710</f>
        <v>1710.0</v>
      </c>
    </row>
    <row r="307">
      <c r="A307" s="8" t="s">
        <v>19</v>
      </c>
      <c r="B307" s="9" t="s">
        <v>69</v>
      </c>
      <c r="C307" s="9" t="s">
        <v>70</v>
      </c>
      <c r="D307" s="10"/>
      <c r="E307" s="11" t="n">
        <f>570</f>
        <v>570.0</v>
      </c>
      <c r="F307" s="10"/>
      <c r="G307" s="11" t="n">
        <f>896314000</f>
        <v>8.96314E8</v>
      </c>
      <c r="H307" s="10"/>
      <c r="I307" s="11" t="str">
        <f>"－"</f>
        <v>－</v>
      </c>
      <c r="J307" s="10"/>
      <c r="K307" s="11" t="n">
        <f>1712</f>
        <v>1712.0</v>
      </c>
    </row>
    <row r="308">
      <c r="A308" s="8" t="s">
        <v>21</v>
      </c>
      <c r="B308" s="9" t="s">
        <v>69</v>
      </c>
      <c r="C308" s="9" t="s">
        <v>70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22</v>
      </c>
      <c r="B309" s="9" t="s">
        <v>69</v>
      </c>
      <c r="C309" s="9" t="s">
        <v>70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23</v>
      </c>
      <c r="B310" s="9" t="s">
        <v>69</v>
      </c>
      <c r="C310" s="9" t="s">
        <v>70</v>
      </c>
      <c r="D310" s="10"/>
      <c r="E310" s="11" t="n">
        <f>153</f>
        <v>153.0</v>
      </c>
      <c r="F310" s="10"/>
      <c r="G310" s="11" t="n">
        <f>241386500</f>
        <v>2.413865E8</v>
      </c>
      <c r="H310" s="10"/>
      <c r="I310" s="11" t="str">
        <f>"－"</f>
        <v>－</v>
      </c>
      <c r="J310" s="10"/>
      <c r="K310" s="11" t="n">
        <f>1722</f>
        <v>1722.0</v>
      </c>
    </row>
    <row r="311">
      <c r="A311" s="8" t="s">
        <v>25</v>
      </c>
      <c r="B311" s="9" t="s">
        <v>69</v>
      </c>
      <c r="C311" s="9" t="s">
        <v>70</v>
      </c>
      <c r="D311" s="10"/>
      <c r="E311" s="11" t="n">
        <f>165</f>
        <v>165.0</v>
      </c>
      <c r="F311" s="10"/>
      <c r="G311" s="11" t="n">
        <f>261946500</f>
        <v>2.619465E8</v>
      </c>
      <c r="H311" s="10"/>
      <c r="I311" s="11" t="str">
        <f>"－"</f>
        <v>－</v>
      </c>
      <c r="J311" s="10"/>
      <c r="K311" s="11" t="n">
        <f>1724</f>
        <v>1724.0</v>
      </c>
    </row>
    <row r="312">
      <c r="A312" s="8" t="s">
        <v>26</v>
      </c>
      <c r="B312" s="9" t="s">
        <v>69</v>
      </c>
      <c r="C312" s="9" t="s">
        <v>70</v>
      </c>
      <c r="D312" s="10"/>
      <c r="E312" s="11" t="n">
        <f>201</f>
        <v>201.0</v>
      </c>
      <c r="F312" s="10"/>
      <c r="G312" s="11" t="n">
        <f>319468000</f>
        <v>3.19468E8</v>
      </c>
      <c r="H312" s="10"/>
      <c r="I312" s="11" t="str">
        <f>"－"</f>
        <v>－</v>
      </c>
      <c r="J312" s="10"/>
      <c r="K312" s="11" t="n">
        <f>1708</f>
        <v>1708.0</v>
      </c>
    </row>
    <row r="313">
      <c r="A313" s="8" t="s">
        <v>27</v>
      </c>
      <c r="B313" s="9" t="s">
        <v>69</v>
      </c>
      <c r="C313" s="9" t="s">
        <v>70</v>
      </c>
      <c r="D313" s="10" t="s">
        <v>24</v>
      </c>
      <c r="E313" s="11" t="n">
        <f>57</f>
        <v>57.0</v>
      </c>
      <c r="F313" s="10" t="s">
        <v>24</v>
      </c>
      <c r="G313" s="11" t="n">
        <f>91143000</f>
        <v>9.1143E7</v>
      </c>
      <c r="H313" s="10"/>
      <c r="I313" s="11" t="str">
        <f>"－"</f>
        <v>－</v>
      </c>
      <c r="J313" s="10"/>
      <c r="K313" s="11" t="n">
        <f>1711</f>
        <v>1711.0</v>
      </c>
    </row>
    <row r="314">
      <c r="A314" s="8" t="s">
        <v>28</v>
      </c>
      <c r="B314" s="9" t="s">
        <v>69</v>
      </c>
      <c r="C314" s="9" t="s">
        <v>70</v>
      </c>
      <c r="D314" s="10"/>
      <c r="E314" s="11" t="n">
        <f>574</f>
        <v>574.0</v>
      </c>
      <c r="F314" s="10"/>
      <c r="G314" s="11" t="n">
        <f>934263000</f>
        <v>9.34263E8</v>
      </c>
      <c r="H314" s="10"/>
      <c r="I314" s="11" t="str">
        <f>"－"</f>
        <v>－</v>
      </c>
      <c r="J314" s="10" t="s">
        <v>24</v>
      </c>
      <c r="K314" s="11" t="n">
        <f>1609</f>
        <v>1609.0</v>
      </c>
    </row>
    <row r="315">
      <c r="A315" s="8" t="s">
        <v>29</v>
      </c>
      <c r="B315" s="9" t="s">
        <v>69</v>
      </c>
      <c r="C315" s="9" t="s">
        <v>70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30</v>
      </c>
      <c r="B316" s="9" t="s">
        <v>69</v>
      </c>
      <c r="C316" s="9" t="s">
        <v>70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31</v>
      </c>
      <c r="B317" s="9" t="s">
        <v>69</v>
      </c>
      <c r="C317" s="9" t="s">
        <v>70</v>
      </c>
      <c r="D317" s="10"/>
      <c r="E317" s="11" t="n">
        <f>384</f>
        <v>384.0</v>
      </c>
      <c r="F317" s="10"/>
      <c r="G317" s="11" t="n">
        <f>621461500</f>
        <v>6.214615E8</v>
      </c>
      <c r="H317" s="10"/>
      <c r="I317" s="11" t="str">
        <f>"－"</f>
        <v>－</v>
      </c>
      <c r="J317" s="10"/>
      <c r="K317" s="11" t="n">
        <f>1656</f>
        <v>1656.0</v>
      </c>
    </row>
    <row r="318">
      <c r="A318" s="8" t="s">
        <v>32</v>
      </c>
      <c r="B318" s="9" t="s">
        <v>69</v>
      </c>
      <c r="C318" s="9" t="s">
        <v>70</v>
      </c>
      <c r="D318" s="10"/>
      <c r="E318" s="11" t="n">
        <f>394</f>
        <v>394.0</v>
      </c>
      <c r="F318" s="10"/>
      <c r="G318" s="11" t="n">
        <f>615912500</f>
        <v>6.159125E8</v>
      </c>
      <c r="H318" s="10"/>
      <c r="I318" s="11" t="str">
        <f>"－"</f>
        <v>－</v>
      </c>
      <c r="J318" s="10"/>
      <c r="K318" s="11" t="n">
        <f>1664</f>
        <v>1664.0</v>
      </c>
    </row>
    <row r="319">
      <c r="A319" s="8" t="s">
        <v>33</v>
      </c>
      <c r="B319" s="9" t="s">
        <v>69</v>
      </c>
      <c r="C319" s="9" t="s">
        <v>70</v>
      </c>
      <c r="D319" s="10"/>
      <c r="E319" s="11" t="n">
        <f>268</f>
        <v>268.0</v>
      </c>
      <c r="F319" s="10"/>
      <c r="G319" s="11" t="n">
        <f>419380500</f>
        <v>4.193805E8</v>
      </c>
      <c r="H319" s="10"/>
      <c r="I319" s="11" t="str">
        <f>"－"</f>
        <v>－</v>
      </c>
      <c r="J319" s="10"/>
      <c r="K319" s="11" t="n">
        <f>1670</f>
        <v>1670.0</v>
      </c>
    </row>
    <row r="320">
      <c r="A320" s="8" t="s">
        <v>34</v>
      </c>
      <c r="B320" s="9" t="s">
        <v>69</v>
      </c>
      <c r="C320" s="9" t="s">
        <v>70</v>
      </c>
      <c r="D320" s="10"/>
      <c r="E320" s="11" t="n">
        <f>246</f>
        <v>246.0</v>
      </c>
      <c r="F320" s="10"/>
      <c r="G320" s="11" t="n">
        <f>388091500</f>
        <v>3.880915E8</v>
      </c>
      <c r="H320" s="10"/>
      <c r="I320" s="11" t="str">
        <f>"－"</f>
        <v>－</v>
      </c>
      <c r="J320" s="10"/>
      <c r="K320" s="11" t="n">
        <f>1663</f>
        <v>1663.0</v>
      </c>
    </row>
    <row r="321">
      <c r="A321" s="8" t="s">
        <v>35</v>
      </c>
      <c r="B321" s="9" t="s">
        <v>69</v>
      </c>
      <c r="C321" s="9" t="s">
        <v>70</v>
      </c>
      <c r="D321" s="10"/>
      <c r="E321" s="11" t="n">
        <f>212</f>
        <v>212.0</v>
      </c>
      <c r="F321" s="10"/>
      <c r="G321" s="11" t="n">
        <f>338178000</f>
        <v>3.38178E8</v>
      </c>
      <c r="H321" s="10"/>
      <c r="I321" s="11" t="str">
        <f>"－"</f>
        <v>－</v>
      </c>
      <c r="J321" s="10"/>
      <c r="K321" s="11" t="n">
        <f>1705</f>
        <v>1705.0</v>
      </c>
    </row>
    <row r="322">
      <c r="A322" s="8" t="s">
        <v>36</v>
      </c>
      <c r="B322" s="9" t="s">
        <v>69</v>
      </c>
      <c r="C322" s="9" t="s">
        <v>70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37</v>
      </c>
      <c r="B323" s="9" t="s">
        <v>69</v>
      </c>
      <c r="C323" s="9" t="s">
        <v>70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38</v>
      </c>
      <c r="B324" s="9" t="s">
        <v>69</v>
      </c>
      <c r="C324" s="9" t="s">
        <v>70</v>
      </c>
      <c r="D324" s="10"/>
      <c r="E324" s="11" t="n">
        <f>225</f>
        <v>225.0</v>
      </c>
      <c r="F324" s="10"/>
      <c r="G324" s="11" t="n">
        <f>359890500</f>
        <v>3.598905E8</v>
      </c>
      <c r="H324" s="10"/>
      <c r="I324" s="11" t="str">
        <f>"－"</f>
        <v>－</v>
      </c>
      <c r="J324" s="10"/>
      <c r="K324" s="11" t="n">
        <f>1748</f>
        <v>1748.0</v>
      </c>
    </row>
    <row r="325">
      <c r="A325" s="8" t="s">
        <v>39</v>
      </c>
      <c r="B325" s="9" t="s">
        <v>69</v>
      </c>
      <c r="C325" s="9" t="s">
        <v>70</v>
      </c>
      <c r="D325" s="10"/>
      <c r="E325" s="11" t="n">
        <f>198</f>
        <v>198.0</v>
      </c>
      <c r="F325" s="10"/>
      <c r="G325" s="11" t="n">
        <f>319672500</f>
        <v>3.196725E8</v>
      </c>
      <c r="H325" s="10"/>
      <c r="I325" s="11" t="str">
        <f>"－"</f>
        <v>－</v>
      </c>
      <c r="J325" s="10"/>
      <c r="K325" s="11" t="n">
        <f>1761</f>
        <v>1761.0</v>
      </c>
    </row>
    <row r="326">
      <c r="A326" s="8" t="s">
        <v>40</v>
      </c>
      <c r="B326" s="9" t="s">
        <v>69</v>
      </c>
      <c r="C326" s="9" t="s">
        <v>70</v>
      </c>
      <c r="D326" s="10"/>
      <c r="E326" s="11" t="n">
        <f>289</f>
        <v>289.0</v>
      </c>
      <c r="F326" s="10"/>
      <c r="G326" s="11" t="n">
        <f>471090000</f>
        <v>4.7109E8</v>
      </c>
      <c r="H326" s="10"/>
      <c r="I326" s="11" t="str">
        <f>"－"</f>
        <v>－</v>
      </c>
      <c r="J326" s="10"/>
      <c r="K326" s="11" t="n">
        <f>1799</f>
        <v>1799.0</v>
      </c>
    </row>
    <row r="327">
      <c r="A327" s="8" t="s">
        <v>41</v>
      </c>
      <c r="B327" s="9" t="s">
        <v>69</v>
      </c>
      <c r="C327" s="9" t="s">
        <v>70</v>
      </c>
      <c r="D327" s="10"/>
      <c r="E327" s="11" t="n">
        <f>596</f>
        <v>596.0</v>
      </c>
      <c r="F327" s="10"/>
      <c r="G327" s="11" t="n">
        <f>984526000</f>
        <v>9.84526E8</v>
      </c>
      <c r="H327" s="10"/>
      <c r="I327" s="11" t="str">
        <f>"－"</f>
        <v>－</v>
      </c>
      <c r="J327" s="10"/>
      <c r="K327" s="11" t="n">
        <f>1926</f>
        <v>1926.0</v>
      </c>
    </row>
    <row r="328">
      <c r="A328" s="8" t="s">
        <v>42</v>
      </c>
      <c r="B328" s="9" t="s">
        <v>69</v>
      </c>
      <c r="C328" s="9" t="s">
        <v>70</v>
      </c>
      <c r="D328" s="10"/>
      <c r="E328" s="11" t="n">
        <f>556</f>
        <v>556.0</v>
      </c>
      <c r="F328" s="10"/>
      <c r="G328" s="11" t="n">
        <f>931866500</f>
        <v>9.318665E8</v>
      </c>
      <c r="H328" s="10"/>
      <c r="I328" s="11" t="str">
        <f>"－"</f>
        <v>－</v>
      </c>
      <c r="J328" s="10"/>
      <c r="K328" s="11" t="n">
        <f>1887</f>
        <v>1887.0</v>
      </c>
    </row>
    <row r="329">
      <c r="A329" s="8" t="s">
        <v>43</v>
      </c>
      <c r="B329" s="9" t="s">
        <v>69</v>
      </c>
      <c r="C329" s="9" t="s">
        <v>70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44</v>
      </c>
      <c r="B330" s="9" t="s">
        <v>69</v>
      </c>
      <c r="C330" s="9" t="s">
        <v>70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45</v>
      </c>
      <c r="B331" s="9" t="s">
        <v>69</v>
      </c>
      <c r="C331" s="9" t="s">
        <v>70</v>
      </c>
      <c r="D331" s="10"/>
      <c r="E331" s="11" t="n">
        <f>416</f>
        <v>416.0</v>
      </c>
      <c r="F331" s="10"/>
      <c r="G331" s="11" t="n">
        <f>692436000</f>
        <v>6.92436E8</v>
      </c>
      <c r="H331" s="10"/>
      <c r="I331" s="11" t="str">
        <f>"－"</f>
        <v>－</v>
      </c>
      <c r="J331" s="10"/>
      <c r="K331" s="11" t="n">
        <f>1954</f>
        <v>1954.0</v>
      </c>
    </row>
    <row r="332">
      <c r="A332" s="8" t="s">
        <v>46</v>
      </c>
      <c r="B332" s="9" t="s">
        <v>69</v>
      </c>
      <c r="C332" s="9" t="s">
        <v>70</v>
      </c>
      <c r="D332" s="10"/>
      <c r="E332" s="11" t="n">
        <f>472</f>
        <v>472.0</v>
      </c>
      <c r="F332" s="10"/>
      <c r="G332" s="11" t="n">
        <f>803587500</f>
        <v>8.035875E8</v>
      </c>
      <c r="H332" s="10"/>
      <c r="I332" s="11" t="str">
        <f>"－"</f>
        <v>－</v>
      </c>
      <c r="J332" s="10"/>
      <c r="K332" s="11" t="n">
        <f>1966</f>
        <v>1966.0</v>
      </c>
    </row>
    <row r="333">
      <c r="A333" s="8" t="s">
        <v>47</v>
      </c>
      <c r="B333" s="9" t="s">
        <v>69</v>
      </c>
      <c r="C333" s="9" t="s">
        <v>70</v>
      </c>
      <c r="D333" s="10" t="s">
        <v>20</v>
      </c>
      <c r="E333" s="11" t="n">
        <f>1006</f>
        <v>1006.0</v>
      </c>
      <c r="F333" s="10" t="s">
        <v>20</v>
      </c>
      <c r="G333" s="11" t="n">
        <f>1730242000</f>
        <v>1.730242E9</v>
      </c>
      <c r="H333" s="10"/>
      <c r="I333" s="11" t="str">
        <f>"－"</f>
        <v>－</v>
      </c>
      <c r="J333" s="10" t="s">
        <v>20</v>
      </c>
      <c r="K333" s="11" t="n">
        <f>2052</f>
        <v>2052.0</v>
      </c>
    </row>
    <row r="334">
      <c r="A334" s="8" t="s">
        <v>48</v>
      </c>
      <c r="B334" s="9" t="s">
        <v>69</v>
      </c>
      <c r="C334" s="9" t="s">
        <v>70</v>
      </c>
      <c r="D334" s="10"/>
      <c r="E334" s="11"/>
      <c r="F334" s="10"/>
      <c r="G334" s="11"/>
      <c r="H334" s="10"/>
      <c r="I334" s="11"/>
      <c r="J334" s="10"/>
      <c r="K334" s="11"/>
    </row>
    <row r="335">
      <c r="A335" s="8" t="s">
        <v>49</v>
      </c>
      <c r="B335" s="9" t="s">
        <v>69</v>
      </c>
      <c r="C335" s="9" t="s">
        <v>70</v>
      </c>
      <c r="D335" s="10"/>
      <c r="E335" s="11" t="n">
        <f>708</f>
        <v>708.0</v>
      </c>
      <c r="F335" s="10"/>
      <c r="G335" s="11" t="n">
        <f>1217802000</f>
        <v>1.217802E9</v>
      </c>
      <c r="H335" s="10"/>
      <c r="I335" s="11" t="str">
        <f>"－"</f>
        <v>－</v>
      </c>
      <c r="J335" s="10"/>
      <c r="K335" s="11" t="n">
        <f>2040</f>
        <v>2040.0</v>
      </c>
    </row>
    <row r="336">
      <c r="A336" s="8" t="s">
        <v>16</v>
      </c>
      <c r="B336" s="9" t="s">
        <v>71</v>
      </c>
      <c r="C336" s="9" t="s">
        <v>72</v>
      </c>
      <c r="D336" s="10" t="s">
        <v>52</v>
      </c>
      <c r="E336" s="11" t="str">
        <f>"－"</f>
        <v>－</v>
      </c>
      <c r="F336" s="10" t="s">
        <v>52</v>
      </c>
      <c r="G336" s="11" t="str">
        <f>"－"</f>
        <v>－</v>
      </c>
      <c r="H336" s="10" t="s">
        <v>52</v>
      </c>
      <c r="I336" s="11" t="str">
        <f>"－"</f>
        <v>－</v>
      </c>
      <c r="J336" s="10" t="s">
        <v>52</v>
      </c>
      <c r="K336" s="11" t="str">
        <f>"－"</f>
        <v>－</v>
      </c>
    </row>
    <row r="337">
      <c r="A337" s="8" t="s">
        <v>19</v>
      </c>
      <c r="B337" s="9" t="s">
        <v>71</v>
      </c>
      <c r="C337" s="9" t="s">
        <v>72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21</v>
      </c>
      <c r="B338" s="9" t="s">
        <v>71</v>
      </c>
      <c r="C338" s="9" t="s">
        <v>72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22</v>
      </c>
      <c r="B339" s="9" t="s">
        <v>71</v>
      </c>
      <c r="C339" s="9" t="s">
        <v>72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23</v>
      </c>
      <c r="B340" s="9" t="s">
        <v>71</v>
      </c>
      <c r="C340" s="9" t="s">
        <v>72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25</v>
      </c>
      <c r="B341" s="9" t="s">
        <v>71</v>
      </c>
      <c r="C341" s="9" t="s">
        <v>72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26</v>
      </c>
      <c r="B342" s="9" t="s">
        <v>71</v>
      </c>
      <c r="C342" s="9" t="s">
        <v>72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str">
        <f>"－"</f>
        <v>－</v>
      </c>
    </row>
    <row r="343">
      <c r="A343" s="8" t="s">
        <v>27</v>
      </c>
      <c r="B343" s="9" t="s">
        <v>71</v>
      </c>
      <c r="C343" s="9" t="s">
        <v>72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28</v>
      </c>
      <c r="B344" s="9" t="s">
        <v>71</v>
      </c>
      <c r="C344" s="9" t="s">
        <v>72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29</v>
      </c>
      <c r="B345" s="9" t="s">
        <v>71</v>
      </c>
      <c r="C345" s="9" t="s">
        <v>72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30</v>
      </c>
      <c r="B346" s="9" t="s">
        <v>71</v>
      </c>
      <c r="C346" s="9" t="s">
        <v>72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31</v>
      </c>
      <c r="B347" s="9" t="s">
        <v>71</v>
      </c>
      <c r="C347" s="9" t="s">
        <v>72</v>
      </c>
      <c r="D347" s="10"/>
      <c r="E347" s="11" t="str">
        <f>"－"</f>
        <v>－</v>
      </c>
      <c r="F347" s="10"/>
      <c r="G347" s="11" t="str">
        <f>"－"</f>
        <v>－</v>
      </c>
      <c r="H347" s="10"/>
      <c r="I347" s="11" t="str">
        <f>"－"</f>
        <v>－</v>
      </c>
      <c r="J347" s="10"/>
      <c r="K347" s="11" t="str">
        <f>"－"</f>
        <v>－</v>
      </c>
    </row>
    <row r="348">
      <c r="A348" s="8" t="s">
        <v>32</v>
      </c>
      <c r="B348" s="9" t="s">
        <v>71</v>
      </c>
      <c r="C348" s="9" t="s">
        <v>72</v>
      </c>
      <c r="D348" s="10"/>
      <c r="E348" s="11" t="str">
        <f>"－"</f>
        <v>－</v>
      </c>
      <c r="F348" s="10"/>
      <c r="G348" s="11" t="str">
        <f>"－"</f>
        <v>－</v>
      </c>
      <c r="H348" s="10"/>
      <c r="I348" s="11" t="str">
        <f>"－"</f>
        <v>－</v>
      </c>
      <c r="J348" s="10"/>
      <c r="K348" s="11" t="str">
        <f>"－"</f>
        <v>－</v>
      </c>
    </row>
    <row r="349">
      <c r="A349" s="8" t="s">
        <v>33</v>
      </c>
      <c r="B349" s="9" t="s">
        <v>71</v>
      </c>
      <c r="C349" s="9" t="s">
        <v>72</v>
      </c>
      <c r="D349" s="10"/>
      <c r="E349" s="11" t="str">
        <f>"－"</f>
        <v>－</v>
      </c>
      <c r="F349" s="10"/>
      <c r="G349" s="11" t="str">
        <f>"－"</f>
        <v>－</v>
      </c>
      <c r="H349" s="10"/>
      <c r="I349" s="11" t="str">
        <f>"－"</f>
        <v>－</v>
      </c>
      <c r="J349" s="10"/>
      <c r="K349" s="11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11" t="str">
        <f>"－"</f>
        <v>－</v>
      </c>
      <c r="F350" s="10"/>
      <c r="G350" s="11" t="str">
        <f>"－"</f>
        <v>－</v>
      </c>
      <c r="H350" s="10"/>
      <c r="I350" s="11" t="str">
        <f>"－"</f>
        <v>－</v>
      </c>
      <c r="J350" s="10"/>
      <c r="K350" s="11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36</v>
      </c>
      <c r="B352" s="9" t="s">
        <v>71</v>
      </c>
      <c r="C352" s="9" t="s">
        <v>72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37</v>
      </c>
      <c r="B353" s="9" t="s">
        <v>71</v>
      </c>
      <c r="C353" s="9" t="s">
        <v>72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38</v>
      </c>
      <c r="B354" s="9" t="s">
        <v>71</v>
      </c>
      <c r="C354" s="9" t="s">
        <v>72</v>
      </c>
      <c r="D354" s="10"/>
      <c r="E354" s="11" t="str">
        <f>"－"</f>
        <v>－</v>
      </c>
      <c r="F354" s="10"/>
      <c r="G354" s="11" t="str">
        <f>"－"</f>
        <v>－</v>
      </c>
      <c r="H354" s="10"/>
      <c r="I354" s="11" t="str">
        <f>"－"</f>
        <v>－</v>
      </c>
      <c r="J354" s="10"/>
      <c r="K354" s="11" t="str">
        <f>"－"</f>
        <v>－</v>
      </c>
    </row>
    <row r="355">
      <c r="A355" s="8" t="s">
        <v>39</v>
      </c>
      <c r="B355" s="9" t="s">
        <v>71</v>
      </c>
      <c r="C355" s="9" t="s">
        <v>72</v>
      </c>
      <c r="D355" s="10"/>
      <c r="E355" s="11" t="str">
        <f>"－"</f>
        <v>－</v>
      </c>
      <c r="F355" s="10"/>
      <c r="G355" s="11" t="str">
        <f>"－"</f>
        <v>－</v>
      </c>
      <c r="H355" s="10"/>
      <c r="I355" s="11" t="str">
        <f>"－"</f>
        <v>－</v>
      </c>
      <c r="J355" s="10"/>
      <c r="K355" s="11" t="str">
        <f>"－"</f>
        <v>－</v>
      </c>
    </row>
    <row r="356">
      <c r="A356" s="8" t="s">
        <v>40</v>
      </c>
      <c r="B356" s="9" t="s">
        <v>71</v>
      </c>
      <c r="C356" s="9" t="s">
        <v>72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43</v>
      </c>
      <c r="B359" s="9" t="s">
        <v>71</v>
      </c>
      <c r="C359" s="9" t="s">
        <v>72</v>
      </c>
      <c r="D359" s="10"/>
      <c r="E359" s="11"/>
      <c r="F359" s="10"/>
      <c r="G359" s="11"/>
      <c r="H359" s="10"/>
      <c r="I359" s="11"/>
      <c r="J359" s="10"/>
      <c r="K359" s="11"/>
    </row>
    <row r="360">
      <c r="A360" s="8" t="s">
        <v>44</v>
      </c>
      <c r="B360" s="9" t="s">
        <v>71</v>
      </c>
      <c r="C360" s="9" t="s">
        <v>72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45</v>
      </c>
      <c r="B361" s="9" t="s">
        <v>71</v>
      </c>
      <c r="C361" s="9" t="s">
        <v>72</v>
      </c>
      <c r="D361" s="10"/>
      <c r="E361" s="11" t="str">
        <f>"－"</f>
        <v>－</v>
      </c>
      <c r="F361" s="10"/>
      <c r="G361" s="11" t="str">
        <f>"－"</f>
        <v>－</v>
      </c>
      <c r="H361" s="10"/>
      <c r="I361" s="11" t="str">
        <f>"－"</f>
        <v>－</v>
      </c>
      <c r="J361" s="10"/>
      <c r="K361" s="11" t="str">
        <f>"－"</f>
        <v>－</v>
      </c>
    </row>
    <row r="362">
      <c r="A362" s="8" t="s">
        <v>46</v>
      </c>
      <c r="B362" s="9" t="s">
        <v>71</v>
      </c>
      <c r="C362" s="9" t="s">
        <v>72</v>
      </c>
      <c r="D362" s="10"/>
      <c r="E362" s="11" t="str">
        <f>"－"</f>
        <v>－</v>
      </c>
      <c r="F362" s="10"/>
      <c r="G362" s="11" t="str">
        <f>"－"</f>
        <v>－</v>
      </c>
      <c r="H362" s="10"/>
      <c r="I362" s="11" t="str">
        <f>"－"</f>
        <v>－</v>
      </c>
      <c r="J362" s="10"/>
      <c r="K362" s="11" t="str">
        <f>"－"</f>
        <v>－</v>
      </c>
    </row>
    <row r="363">
      <c r="A363" s="8" t="s">
        <v>47</v>
      </c>
      <c r="B363" s="9" t="s">
        <v>71</v>
      </c>
      <c r="C363" s="9" t="s">
        <v>72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49</v>
      </c>
      <c r="B365" s="9" t="s">
        <v>71</v>
      </c>
      <c r="C365" s="9" t="s">
        <v>72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52</v>
      </c>
      <c r="E366" s="11" t="str">
        <f>"－"</f>
        <v>－</v>
      </c>
      <c r="F366" s="10" t="s">
        <v>52</v>
      </c>
      <c r="G366" s="11" t="str">
        <f>"－"</f>
        <v>－</v>
      </c>
      <c r="H366" s="10" t="s">
        <v>52</v>
      </c>
      <c r="I366" s="11" t="str">
        <f>"－"</f>
        <v>－</v>
      </c>
      <c r="J366" s="10" t="s">
        <v>20</v>
      </c>
      <c r="K366" s="11" t="n">
        <f>2</f>
        <v>2.0</v>
      </c>
    </row>
    <row r="367">
      <c r="A367" s="8" t="s">
        <v>19</v>
      </c>
      <c r="B367" s="9" t="s">
        <v>73</v>
      </c>
      <c r="C367" s="9" t="s">
        <v>74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n">
        <f>2</f>
        <v>2.0</v>
      </c>
    </row>
    <row r="368">
      <c r="A368" s="8" t="s">
        <v>21</v>
      </c>
      <c r="B368" s="9" t="s">
        <v>73</v>
      </c>
      <c r="C368" s="9" t="s">
        <v>74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22</v>
      </c>
      <c r="B369" s="9" t="s">
        <v>73</v>
      </c>
      <c r="C369" s="9" t="s">
        <v>74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23</v>
      </c>
      <c r="B370" s="9" t="s">
        <v>73</v>
      </c>
      <c r="C370" s="9" t="s">
        <v>74</v>
      </c>
      <c r="D370" s="10"/>
      <c r="E370" s="11" t="str">
        <f>"－"</f>
        <v>－</v>
      </c>
      <c r="F370" s="10"/>
      <c r="G370" s="11" t="str">
        <f>"－"</f>
        <v>－</v>
      </c>
      <c r="H370" s="10"/>
      <c r="I370" s="11" t="str">
        <f>"－"</f>
        <v>－</v>
      </c>
      <c r="J370" s="10"/>
      <c r="K370" s="11" t="n">
        <f>2</f>
        <v>2.0</v>
      </c>
    </row>
    <row r="371">
      <c r="A371" s="8" t="s">
        <v>25</v>
      </c>
      <c r="B371" s="9" t="s">
        <v>73</v>
      </c>
      <c r="C371" s="9" t="s">
        <v>74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n">
        <f>2</f>
        <v>2.0</v>
      </c>
    </row>
    <row r="372">
      <c r="A372" s="8" t="s">
        <v>26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n">
        <f>2</f>
        <v>2.0</v>
      </c>
    </row>
    <row r="373">
      <c r="A373" s="8" t="s">
        <v>27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n">
        <f>2</f>
        <v>2.0</v>
      </c>
    </row>
    <row r="374">
      <c r="A374" s="8" t="s">
        <v>28</v>
      </c>
      <c r="B374" s="9" t="s">
        <v>73</v>
      </c>
      <c r="C374" s="9" t="s">
        <v>74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n">
        <f>2</f>
        <v>2.0</v>
      </c>
    </row>
    <row r="375">
      <c r="A375" s="8" t="s">
        <v>29</v>
      </c>
      <c r="B375" s="9" t="s">
        <v>73</v>
      </c>
      <c r="C375" s="9" t="s">
        <v>74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30</v>
      </c>
      <c r="B376" s="9" t="s">
        <v>73</v>
      </c>
      <c r="C376" s="9" t="s">
        <v>74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31</v>
      </c>
      <c r="B377" s="9" t="s">
        <v>73</v>
      </c>
      <c r="C377" s="9" t="s">
        <v>74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n">
        <f>2</f>
        <v>2.0</v>
      </c>
    </row>
    <row r="378">
      <c r="A378" s="8" t="s">
        <v>32</v>
      </c>
      <c r="B378" s="9" t="s">
        <v>73</v>
      </c>
      <c r="C378" s="9" t="s">
        <v>74</v>
      </c>
      <c r="D378" s="10"/>
      <c r="E378" s="11" t="str">
        <f>"－"</f>
        <v>－</v>
      </c>
      <c r="F378" s="10"/>
      <c r="G378" s="11" t="str">
        <f>"－"</f>
        <v>－</v>
      </c>
      <c r="H378" s="10"/>
      <c r="I378" s="11" t="str">
        <f>"－"</f>
        <v>－</v>
      </c>
      <c r="J378" s="10"/>
      <c r="K378" s="11" t="n">
        <f>2</f>
        <v>2.0</v>
      </c>
    </row>
    <row r="379">
      <c r="A379" s="8" t="s">
        <v>33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n">
        <f>2</f>
        <v>2.0</v>
      </c>
    </row>
    <row r="380">
      <c r="A380" s="8" t="s">
        <v>34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n">
        <f>2</f>
        <v>2.0</v>
      </c>
    </row>
    <row r="381">
      <c r="A381" s="8" t="s">
        <v>35</v>
      </c>
      <c r="B381" s="9" t="s">
        <v>73</v>
      </c>
      <c r="C381" s="9" t="s">
        <v>74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n">
        <f>2</f>
        <v>2.0</v>
      </c>
    </row>
    <row r="382">
      <c r="A382" s="8" t="s">
        <v>36</v>
      </c>
      <c r="B382" s="9" t="s">
        <v>73</v>
      </c>
      <c r="C382" s="9" t="s">
        <v>74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37</v>
      </c>
      <c r="B383" s="9" t="s">
        <v>73</v>
      </c>
      <c r="C383" s="9" t="s">
        <v>74</v>
      </c>
      <c r="D383" s="10"/>
      <c r="E383" s="11"/>
      <c r="F383" s="10"/>
      <c r="G383" s="11"/>
      <c r="H383" s="10"/>
      <c r="I383" s="11"/>
      <c r="J383" s="10"/>
      <c r="K383" s="11"/>
    </row>
    <row r="384">
      <c r="A384" s="8" t="s">
        <v>38</v>
      </c>
      <c r="B384" s="9" t="s">
        <v>73</v>
      </c>
      <c r="C384" s="9" t="s">
        <v>74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n">
        <f>2</f>
        <v>2.0</v>
      </c>
    </row>
    <row r="385">
      <c r="A385" s="8" t="s">
        <v>39</v>
      </c>
      <c r="B385" s="9" t="s">
        <v>73</v>
      </c>
      <c r="C385" s="9" t="s">
        <v>74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n">
        <f>2</f>
        <v>2.0</v>
      </c>
    </row>
    <row r="386">
      <c r="A386" s="8" t="s">
        <v>40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n">
        <f>2</f>
        <v>2.0</v>
      </c>
    </row>
    <row r="387">
      <c r="A387" s="8" t="s">
        <v>41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n">
        <f>2</f>
        <v>2.0</v>
      </c>
    </row>
    <row r="388">
      <c r="A388" s="8" t="s">
        <v>42</v>
      </c>
      <c r="B388" s="9" t="s">
        <v>73</v>
      </c>
      <c r="C388" s="9" t="s">
        <v>74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n">
        <f>2</f>
        <v>2.0</v>
      </c>
    </row>
    <row r="389">
      <c r="A389" s="8" t="s">
        <v>43</v>
      </c>
      <c r="B389" s="9" t="s">
        <v>73</v>
      </c>
      <c r="C389" s="9" t="s">
        <v>74</v>
      </c>
      <c r="D389" s="10"/>
      <c r="E389" s="11"/>
      <c r="F389" s="10"/>
      <c r="G389" s="11"/>
      <c r="H389" s="10"/>
      <c r="I389" s="11"/>
      <c r="J389" s="10"/>
      <c r="K389" s="11"/>
    </row>
    <row r="390">
      <c r="A390" s="8" t="s">
        <v>44</v>
      </c>
      <c r="B390" s="9" t="s">
        <v>73</v>
      </c>
      <c r="C390" s="9" t="s">
        <v>74</v>
      </c>
      <c r="D390" s="10"/>
      <c r="E390" s="11"/>
      <c r="F390" s="10"/>
      <c r="G390" s="11"/>
      <c r="H390" s="10"/>
      <c r="I390" s="11"/>
      <c r="J390" s="10"/>
      <c r="K390" s="11"/>
    </row>
    <row r="391">
      <c r="A391" s="8" t="s">
        <v>45</v>
      </c>
      <c r="B391" s="9" t="s">
        <v>73</v>
      </c>
      <c r="C391" s="9" t="s">
        <v>74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n">
        <f>2</f>
        <v>2.0</v>
      </c>
    </row>
    <row r="392">
      <c r="A392" s="8" t="s">
        <v>46</v>
      </c>
      <c r="B392" s="9" t="s">
        <v>73</v>
      </c>
      <c r="C392" s="9" t="s">
        <v>74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 t="s">
        <v>24</v>
      </c>
      <c r="K392" s="11" t="n">
        <f>1</f>
        <v>1.0</v>
      </c>
    </row>
    <row r="393">
      <c r="A393" s="8" t="s">
        <v>47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n">
        <f>1</f>
        <v>1.0</v>
      </c>
    </row>
    <row r="394">
      <c r="A394" s="8" t="s">
        <v>48</v>
      </c>
      <c r="B394" s="9" t="s">
        <v>73</v>
      </c>
      <c r="C394" s="9" t="s">
        <v>74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49</v>
      </c>
      <c r="B395" s="9" t="s">
        <v>73</v>
      </c>
      <c r="C395" s="9" t="s">
        <v>74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n">
        <f>1</f>
        <v>1.0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