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<sst xmlns="http://schemas.openxmlformats.org/spreadsheetml/2006/main" count="170" uniqueCount="60">
  <si>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</si>
  <si>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</si>
  <si>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</si>
  <si>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</si>
  <si>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</si>
  <si>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</si>
  <si>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</si>
  <si>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</si>
  <si>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</si>
  <si>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</si>
  <si>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</si>
  <si>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</si>
  <si>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</si>
  <si>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</si>
  <si>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</si>
  <si>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</si>
  <si>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</si>
  <si>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</si>
  <si>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</si>
  <si>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</si>
  <si>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</si>
  <si>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</si>
  <si>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</si>
  <si>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</si>
  <si>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</si>
  <si>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</si>
  <si>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4.1</t>
  </si>
  <si>
    <t>長期国債先物オプション</t>
  </si>
  <si>
    <t>Options on 10-year JGB Futures</t>
  </si>
  <si>
    <t>◎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</si>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</sst>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 t="s">
        <v>29</v>
      </c>
      <c r="E10" s="26" t="n">
        <f>1217</f>
        <v>1217.0</v>
      </c>
      <c r="F10" s="24"/>
      <c r="G10" s="26" t="n">
        <f>767</f>
        <v>767.0</v>
      </c>
      <c r="H10" s="25"/>
      <c r="I10" s="26" t="n">
        <f>1984</f>
        <v>1984.0</v>
      </c>
      <c r="J10" s="23" t="s">
        <v>29</v>
      </c>
      <c r="K10" s="26" t="n">
        <f>151070000</f>
        <v>1.5107E8</v>
      </c>
      <c r="L10" s="24"/>
      <c r="M10" s="26" t="n">
        <f>89370000</f>
        <v>8.937E7</v>
      </c>
      <c r="N10" s="25" t="s">
        <v>29</v>
      </c>
      <c r="O10" s="26" t="n">
        <f>240440000</f>
        <v>2.4044E8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n">
        <f>600</f>
        <v>600.0</v>
      </c>
      <c r="U10" s="24" t="s">
        <v>30</v>
      </c>
      <c r="V10" s="26" t="str">
        <f>"－"</f>
        <v>－</v>
      </c>
      <c r="W10" s="25" t="s">
        <v>29</v>
      </c>
      <c r="X10" s="26" t="n">
        <f>600</f>
        <v>600.0</v>
      </c>
      <c r="Y10" s="23"/>
      <c r="Z10" s="26" t="n">
        <f>1528</f>
        <v>1528.0</v>
      </c>
      <c r="AA10" s="24" t="s">
        <v>30</v>
      </c>
      <c r="AB10" s="26" t="n">
        <f>907</f>
        <v>907.0</v>
      </c>
      <c r="AC10" s="25"/>
      <c r="AD10" s="26" t="n">
        <f>2435</f>
        <v>2435.0</v>
      </c>
    </row>
    <row r="11">
      <c r="A11" s="21" t="s">
        <v>31</v>
      </c>
      <c r="B11" s="22" t="s">
        <v>27</v>
      </c>
      <c r="C11" s="22" t="s">
        <v>28</v>
      </c>
      <c r="D11" s="23"/>
      <c r="E11" s="26" t="n">
        <f>657</f>
        <v>657.0</v>
      </c>
      <c r="F11" s="24"/>
      <c r="G11" s="26" t="n">
        <f>361</f>
        <v>361.0</v>
      </c>
      <c r="H11" s="25"/>
      <c r="I11" s="26" t="n">
        <f>1018</f>
        <v>1018.0</v>
      </c>
      <c r="J11" s="23"/>
      <c r="K11" s="26" t="n">
        <f>45680000</f>
        <v>4.568E7</v>
      </c>
      <c r="L11" s="24"/>
      <c r="M11" s="26" t="n">
        <f>33160000</f>
        <v>3.316E7</v>
      </c>
      <c r="N11" s="25"/>
      <c r="O11" s="26" t="n">
        <f>78840000</f>
        <v>7.884E7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250</f>
        <v>250.0</v>
      </c>
      <c r="U11" s="24"/>
      <c r="V11" s="26" t="str">
        <f>"－"</f>
        <v>－</v>
      </c>
      <c r="W11" s="25"/>
      <c r="X11" s="26" t="n">
        <f>250</f>
        <v>250.0</v>
      </c>
      <c r="Y11" s="23"/>
      <c r="Z11" s="26" t="n">
        <f>2071</f>
        <v>2071.0</v>
      </c>
      <c r="AA11" s="24"/>
      <c r="AB11" s="26" t="n">
        <f>1179</f>
        <v>1179.0</v>
      </c>
      <c r="AC11" s="25"/>
      <c r="AD11" s="26" t="n">
        <f>3250</f>
        <v>3250.0</v>
      </c>
    </row>
    <row r="12">
      <c r="A12" s="21" t="s">
        <v>32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 t="n">
        <f>344</f>
        <v>344.0</v>
      </c>
      <c r="F14" s="24"/>
      <c r="G14" s="26" t="n">
        <f>173</f>
        <v>173.0</v>
      </c>
      <c r="H14" s="25"/>
      <c r="I14" s="26" t="n">
        <f>517</f>
        <v>517.0</v>
      </c>
      <c r="J14" s="23"/>
      <c r="K14" s="26" t="n">
        <f>14510000</f>
        <v>1.451E7</v>
      </c>
      <c r="L14" s="24"/>
      <c r="M14" s="26" t="n">
        <f>12620000</f>
        <v>1.262E7</v>
      </c>
      <c r="N14" s="25"/>
      <c r="O14" s="26" t="n">
        <f>27130000</f>
        <v>2.713E7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100</f>
        <v>100.0</v>
      </c>
      <c r="U14" s="24"/>
      <c r="V14" s="26" t="str">
        <f>"－"</f>
        <v>－</v>
      </c>
      <c r="W14" s="25"/>
      <c r="X14" s="26" t="n">
        <f>100</f>
        <v>100.0</v>
      </c>
      <c r="Y14" s="23"/>
      <c r="Z14" s="26" t="n">
        <f>2339</f>
        <v>2339.0</v>
      </c>
      <c r="AA14" s="24"/>
      <c r="AB14" s="26" t="n">
        <f>1348</f>
        <v>1348.0</v>
      </c>
      <c r="AC14" s="25"/>
      <c r="AD14" s="26" t="n">
        <f>3687</f>
        <v>3687.0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1171</f>
        <v>1171.0</v>
      </c>
      <c r="F15" s="24"/>
      <c r="G15" s="26" t="n">
        <f>772</f>
        <v>772.0</v>
      </c>
      <c r="H15" s="25"/>
      <c r="I15" s="26" t="n">
        <f>1943</f>
        <v>1943.0</v>
      </c>
      <c r="J15" s="23"/>
      <c r="K15" s="26" t="n">
        <f>106930000</f>
        <v>1.0693E8</v>
      </c>
      <c r="L15" s="24"/>
      <c r="M15" s="26" t="n">
        <f>101420000</f>
        <v>1.0142E8</v>
      </c>
      <c r="N15" s="25"/>
      <c r="O15" s="26" t="n">
        <f>208350000</f>
        <v>2.0835E8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300</f>
        <v>300.0</v>
      </c>
      <c r="U15" s="24"/>
      <c r="V15" s="26" t="n">
        <f>30</f>
        <v>30.0</v>
      </c>
      <c r="W15" s="25"/>
      <c r="X15" s="26" t="n">
        <f>330</f>
        <v>330.0</v>
      </c>
      <c r="Y15" s="23"/>
      <c r="Z15" s="26" t="n">
        <f>3056</f>
        <v>3056.0</v>
      </c>
      <c r="AA15" s="24"/>
      <c r="AB15" s="26" t="n">
        <f>1843</f>
        <v>1843.0</v>
      </c>
      <c r="AC15" s="25"/>
      <c r="AD15" s="26" t="n">
        <f>4899</f>
        <v>4899.0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848</f>
        <v>848.0</v>
      </c>
      <c r="F16" s="24"/>
      <c r="G16" s="26" t="n">
        <f>838</f>
        <v>838.0</v>
      </c>
      <c r="H16" s="25"/>
      <c r="I16" s="26" t="n">
        <f>1686</f>
        <v>1686.0</v>
      </c>
      <c r="J16" s="23"/>
      <c r="K16" s="26" t="n">
        <f>70230000</f>
        <v>7.023E7</v>
      </c>
      <c r="L16" s="24"/>
      <c r="M16" s="26" t="n">
        <f>111940000</f>
        <v>1.1194E8</v>
      </c>
      <c r="N16" s="25"/>
      <c r="O16" s="26" t="n">
        <f>182170000</f>
        <v>1.8217E8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230</f>
        <v>230.0</v>
      </c>
      <c r="U16" s="24"/>
      <c r="V16" s="26" t="n">
        <f>90</f>
        <v>90.0</v>
      </c>
      <c r="W16" s="25"/>
      <c r="X16" s="26" t="n">
        <f>320</f>
        <v>320.0</v>
      </c>
      <c r="Y16" s="23"/>
      <c r="Z16" s="26" t="n">
        <f>3583</f>
        <v>3583.0</v>
      </c>
      <c r="AA16" s="24"/>
      <c r="AB16" s="26" t="n">
        <f>2456</f>
        <v>2456.0</v>
      </c>
      <c r="AC16" s="25"/>
      <c r="AD16" s="26" t="n">
        <f>6039</f>
        <v>6039.0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799</f>
        <v>799.0</v>
      </c>
      <c r="F17" s="24"/>
      <c r="G17" s="26" t="n">
        <f>845</f>
        <v>845.0</v>
      </c>
      <c r="H17" s="25"/>
      <c r="I17" s="26" t="n">
        <f>1644</f>
        <v>1644.0</v>
      </c>
      <c r="J17" s="23"/>
      <c r="K17" s="26" t="n">
        <f>57720000</f>
        <v>5.772E7</v>
      </c>
      <c r="L17" s="24"/>
      <c r="M17" s="26" t="n">
        <f>78440000</f>
        <v>7.844E7</v>
      </c>
      <c r="N17" s="25"/>
      <c r="O17" s="26" t="n">
        <f>136160000</f>
        <v>1.3616E8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200</f>
        <v>200.0</v>
      </c>
      <c r="U17" s="24" t="s">
        <v>29</v>
      </c>
      <c r="V17" s="26" t="n">
        <f>200</f>
        <v>200.0</v>
      </c>
      <c r="W17" s="25"/>
      <c r="X17" s="26" t="n">
        <f>400</f>
        <v>400.0</v>
      </c>
      <c r="Y17" s="23"/>
      <c r="Z17" s="26" t="n">
        <f>3739</f>
        <v>3739.0</v>
      </c>
      <c r="AA17" s="24"/>
      <c r="AB17" s="26" t="n">
        <f>2616</f>
        <v>2616.0</v>
      </c>
      <c r="AC17" s="25"/>
      <c r="AD17" s="26" t="n">
        <f>6355</f>
        <v>6355.0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372</f>
        <v>372.0</v>
      </c>
      <c r="F18" s="24"/>
      <c r="G18" s="26" t="n">
        <f>551</f>
        <v>551.0</v>
      </c>
      <c r="H18" s="25"/>
      <c r="I18" s="26" t="n">
        <f>923</f>
        <v>923.0</v>
      </c>
      <c r="J18" s="23"/>
      <c r="K18" s="26" t="n">
        <f>17350000</f>
        <v>1.735E7</v>
      </c>
      <c r="L18" s="24"/>
      <c r="M18" s="26" t="n">
        <f>46730000</f>
        <v>4.673E7</v>
      </c>
      <c r="N18" s="25"/>
      <c r="O18" s="26" t="n">
        <f>64080000</f>
        <v>6.408E7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25</f>
        <v>25.0</v>
      </c>
      <c r="U18" s="24"/>
      <c r="V18" s="26" t="str">
        <f>"－"</f>
        <v>－</v>
      </c>
      <c r="W18" s="25"/>
      <c r="X18" s="26" t="n">
        <f>25</f>
        <v>25.0</v>
      </c>
      <c r="Y18" s="23"/>
      <c r="Z18" s="26" t="n">
        <f>3895</f>
        <v>3895.0</v>
      </c>
      <c r="AA18" s="24"/>
      <c r="AB18" s="26" t="n">
        <f>2702</f>
        <v>2702.0</v>
      </c>
      <c r="AC18" s="25"/>
      <c r="AD18" s="26" t="n">
        <f>6597</f>
        <v>6597.0</v>
      </c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 t="n">
        <f>697</f>
        <v>697.0</v>
      </c>
      <c r="F21" s="24"/>
      <c r="G21" s="26" t="n">
        <f>262</f>
        <v>262.0</v>
      </c>
      <c r="H21" s="25"/>
      <c r="I21" s="26" t="n">
        <f>959</f>
        <v>959.0</v>
      </c>
      <c r="J21" s="23"/>
      <c r="K21" s="26" t="n">
        <f>21170000</f>
        <v>2.117E7</v>
      </c>
      <c r="L21" s="24"/>
      <c r="M21" s="26" t="n">
        <f>16980000</f>
        <v>1.698E7</v>
      </c>
      <c r="N21" s="25"/>
      <c r="O21" s="26" t="n">
        <f>38150000</f>
        <v>3.815E7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n">
        <f>25</f>
        <v>25.0</v>
      </c>
      <c r="U21" s="24"/>
      <c r="V21" s="26" t="str">
        <f>"－"</f>
        <v>－</v>
      </c>
      <c r="W21" s="25"/>
      <c r="X21" s="26" t="n">
        <f>25</f>
        <v>25.0</v>
      </c>
      <c r="Y21" s="23"/>
      <c r="Z21" s="26" t="n">
        <f>3994</f>
        <v>3994.0</v>
      </c>
      <c r="AA21" s="24"/>
      <c r="AB21" s="26" t="n">
        <f>2730</f>
        <v>2730.0</v>
      </c>
      <c r="AC21" s="25"/>
      <c r="AD21" s="26" t="n">
        <f>6724</f>
        <v>6724.0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702</f>
        <v>702.0</v>
      </c>
      <c r="F22" s="24"/>
      <c r="G22" s="26" t="n">
        <f>353</f>
        <v>353.0</v>
      </c>
      <c r="H22" s="25"/>
      <c r="I22" s="26" t="n">
        <f>1055</f>
        <v>1055.0</v>
      </c>
      <c r="J22" s="23"/>
      <c r="K22" s="26" t="n">
        <f>25060000</f>
        <v>2.506E7</v>
      </c>
      <c r="L22" s="24"/>
      <c r="M22" s="26" t="n">
        <f>25340000</f>
        <v>2.534E7</v>
      </c>
      <c r="N22" s="25"/>
      <c r="O22" s="26" t="n">
        <f>50400000</f>
        <v>5.04E7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n">
        <f>100</f>
        <v>100.0</v>
      </c>
      <c r="U22" s="24"/>
      <c r="V22" s="26" t="n">
        <f>50</f>
        <v>50.0</v>
      </c>
      <c r="W22" s="25"/>
      <c r="X22" s="26" t="n">
        <f>150</f>
        <v>150.0</v>
      </c>
      <c r="Y22" s="23"/>
      <c r="Z22" s="26" t="n">
        <f>4030</f>
        <v>4030.0</v>
      </c>
      <c r="AA22" s="24"/>
      <c r="AB22" s="26" t="n">
        <f>2665</f>
        <v>2665.0</v>
      </c>
      <c r="AC22" s="25"/>
      <c r="AD22" s="26" t="n">
        <f>6695</f>
        <v>6695.0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189</f>
        <v>189.0</v>
      </c>
      <c r="F23" s="24"/>
      <c r="G23" s="26" t="n">
        <f>742</f>
        <v>742.0</v>
      </c>
      <c r="H23" s="25"/>
      <c r="I23" s="26" t="n">
        <f>931</f>
        <v>931.0</v>
      </c>
      <c r="J23" s="23"/>
      <c r="K23" s="26" t="n">
        <f>7090000</f>
        <v>7090000.0</v>
      </c>
      <c r="L23" s="24"/>
      <c r="M23" s="26" t="n">
        <f>39950000</f>
        <v>3.995E7</v>
      </c>
      <c r="N23" s="25"/>
      <c r="O23" s="26" t="n">
        <f>47040000</f>
        <v>4.704E7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 t="s">
        <v>30</v>
      </c>
      <c r="T23" s="26" t="str">
        <f>"－"</f>
        <v>－</v>
      </c>
      <c r="U23" s="24"/>
      <c r="V23" s="26" t="n">
        <f>100</f>
        <v>100.0</v>
      </c>
      <c r="W23" s="25"/>
      <c r="X23" s="26" t="n">
        <f>100</f>
        <v>100.0</v>
      </c>
      <c r="Y23" s="23"/>
      <c r="Z23" s="26" t="n">
        <f>4165</f>
        <v>4165.0</v>
      </c>
      <c r="AA23" s="24"/>
      <c r="AB23" s="26" t="n">
        <f>2925</f>
        <v>2925.0</v>
      </c>
      <c r="AC23" s="25"/>
      <c r="AD23" s="26" t="n">
        <f>7090</f>
        <v>7090.0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161</f>
        <v>161.0</v>
      </c>
      <c r="F24" s="24"/>
      <c r="G24" s="26" t="n">
        <f>263</f>
        <v>263.0</v>
      </c>
      <c r="H24" s="25"/>
      <c r="I24" s="26" t="n">
        <f>424</f>
        <v>424.0</v>
      </c>
      <c r="J24" s="23"/>
      <c r="K24" s="26" t="n">
        <f>4830000</f>
        <v>4830000.0</v>
      </c>
      <c r="L24" s="24"/>
      <c r="M24" s="26" t="n">
        <f>18580000</f>
        <v>1.858E7</v>
      </c>
      <c r="N24" s="25"/>
      <c r="O24" s="26" t="n">
        <f>23410000</f>
        <v>2.341E7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10</f>
        <v>10.0</v>
      </c>
      <c r="U24" s="24"/>
      <c r="V24" s="26" t="n">
        <f>5</f>
        <v>5.0</v>
      </c>
      <c r="W24" s="25"/>
      <c r="X24" s="26" t="n">
        <f>15</f>
        <v>15.0</v>
      </c>
      <c r="Y24" s="23"/>
      <c r="Z24" s="26" t="n">
        <f>4311</f>
        <v>4311.0</v>
      </c>
      <c r="AA24" s="24"/>
      <c r="AB24" s="26" t="n">
        <f>3043</f>
        <v>3043.0</v>
      </c>
      <c r="AC24" s="25"/>
      <c r="AD24" s="26" t="n">
        <f>7354</f>
        <v>7354.0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116</f>
        <v>116.0</v>
      </c>
      <c r="F25" s="24"/>
      <c r="G25" s="26" t="n">
        <f>199</f>
        <v>199.0</v>
      </c>
      <c r="H25" s="25" t="s">
        <v>30</v>
      </c>
      <c r="I25" s="26" t="n">
        <f>315</f>
        <v>315.0</v>
      </c>
      <c r="J25" s="23"/>
      <c r="K25" s="26" t="n">
        <f>2930000</f>
        <v>2930000.0</v>
      </c>
      <c r="L25" s="24"/>
      <c r="M25" s="26" t="n">
        <f>16020000</f>
        <v>1.602E7</v>
      </c>
      <c r="N25" s="25" t="s">
        <v>30</v>
      </c>
      <c r="O25" s="26" t="n">
        <f>18950000</f>
        <v>1.895E7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40</f>
        <v>40.0</v>
      </c>
      <c r="U25" s="24"/>
      <c r="V25" s="26" t="str">
        <f>"－"</f>
        <v>－</v>
      </c>
      <c r="W25" s="25"/>
      <c r="X25" s="26" t="n">
        <f>40</f>
        <v>40.0</v>
      </c>
      <c r="Y25" s="23"/>
      <c r="Z25" s="26" t="n">
        <f>4265</f>
        <v>4265.0</v>
      </c>
      <c r="AA25" s="24"/>
      <c r="AB25" s="26" t="n">
        <f>2939</f>
        <v>2939.0</v>
      </c>
      <c r="AC25" s="25"/>
      <c r="AD25" s="26" t="n">
        <f>7204</f>
        <v>7204.0</v>
      </c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 t="s">
        <v>30</v>
      </c>
      <c r="E28" s="26" t="n">
        <f>107</f>
        <v>107.0</v>
      </c>
      <c r="F28" s="24"/>
      <c r="G28" s="26" t="n">
        <f>320</f>
        <v>320.0</v>
      </c>
      <c r="H28" s="25"/>
      <c r="I28" s="26" t="n">
        <f>427</f>
        <v>427.0</v>
      </c>
      <c r="J28" s="23" t="s">
        <v>30</v>
      </c>
      <c r="K28" s="26" t="n">
        <f>2130000</f>
        <v>2130000.0</v>
      </c>
      <c r="L28" s="24"/>
      <c r="M28" s="26" t="n">
        <f>22120000</f>
        <v>2.212E7</v>
      </c>
      <c r="N28" s="25"/>
      <c r="O28" s="26" t="n">
        <f>24250000</f>
        <v>2.425E7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 t="s">
        <v>30</v>
      </c>
      <c r="X28" s="26" t="str">
        <f>"－"</f>
        <v>－</v>
      </c>
      <c r="Y28" s="23"/>
      <c r="Z28" s="26" t="n">
        <f>4204</f>
        <v>4204.0</v>
      </c>
      <c r="AA28" s="24" t="s">
        <v>29</v>
      </c>
      <c r="AB28" s="26" t="n">
        <f>3087</f>
        <v>3087.0</v>
      </c>
      <c r="AC28" s="25"/>
      <c r="AD28" s="26" t="n">
        <f>7291</f>
        <v>7291.0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219</f>
        <v>219.0</v>
      </c>
      <c r="F29" s="24"/>
      <c r="G29" s="26" t="n">
        <f>226</f>
        <v>226.0</v>
      </c>
      <c r="H29" s="25"/>
      <c r="I29" s="26" t="n">
        <f>445</f>
        <v>445.0</v>
      </c>
      <c r="J29" s="23"/>
      <c r="K29" s="26" t="n">
        <f>4210000</f>
        <v>4210000.0</v>
      </c>
      <c r="L29" s="24"/>
      <c r="M29" s="26" t="n">
        <f>53120000</f>
        <v>5.312E7</v>
      </c>
      <c r="N29" s="25"/>
      <c r="O29" s="26" t="n">
        <f>57330000</f>
        <v>5.733E7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95</f>
        <v>95.0</v>
      </c>
      <c r="U29" s="24"/>
      <c r="V29" s="26" t="n">
        <f>20</f>
        <v>20.0</v>
      </c>
      <c r="W29" s="25"/>
      <c r="X29" s="26" t="n">
        <f>115</f>
        <v>115.0</v>
      </c>
      <c r="Y29" s="23"/>
      <c r="Z29" s="26" t="n">
        <f>4198</f>
        <v>4198.0</v>
      </c>
      <c r="AA29" s="24"/>
      <c r="AB29" s="26" t="n">
        <f>2919</f>
        <v>2919.0</v>
      </c>
      <c r="AC29" s="25"/>
      <c r="AD29" s="26" t="n">
        <f>7117</f>
        <v>7117.0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800</f>
        <v>800.0</v>
      </c>
      <c r="F30" s="24"/>
      <c r="G30" s="26" t="n">
        <f>532</f>
        <v>532.0</v>
      </c>
      <c r="H30" s="25"/>
      <c r="I30" s="26" t="n">
        <f>1332</f>
        <v>1332.0</v>
      </c>
      <c r="J30" s="23"/>
      <c r="K30" s="26" t="n">
        <f>56655000</f>
        <v>5.6655E7</v>
      </c>
      <c r="L30" s="24"/>
      <c r="M30" s="26" t="n">
        <f>64010000</f>
        <v>6.401E7</v>
      </c>
      <c r="N30" s="25"/>
      <c r="O30" s="26" t="n">
        <f>120665000</f>
        <v>1.20665E8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n">
        <f>150</f>
        <v>150.0</v>
      </c>
      <c r="U30" s="24"/>
      <c r="V30" s="26" t="n">
        <f>3</f>
        <v>3.0</v>
      </c>
      <c r="W30" s="25"/>
      <c r="X30" s="26" t="n">
        <f>153</f>
        <v>153.0</v>
      </c>
      <c r="Y30" s="23"/>
      <c r="Z30" s="26" t="n">
        <f>4846</f>
        <v>4846.0</v>
      </c>
      <c r="AA30" s="24"/>
      <c r="AB30" s="26" t="n">
        <f>2748</f>
        <v>2748.0</v>
      </c>
      <c r="AC30" s="25"/>
      <c r="AD30" s="26" t="n">
        <f>7594</f>
        <v>7594.0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527</f>
        <v>527.0</v>
      </c>
      <c r="F31" s="24" t="s">
        <v>30</v>
      </c>
      <c r="G31" s="26" t="n">
        <f>49</f>
        <v>49.0</v>
      </c>
      <c r="H31" s="25"/>
      <c r="I31" s="26" t="n">
        <f>576</f>
        <v>576.0</v>
      </c>
      <c r="J31" s="23"/>
      <c r="K31" s="26" t="n">
        <f>21240000</f>
        <v>2.124E7</v>
      </c>
      <c r="L31" s="24" t="s">
        <v>30</v>
      </c>
      <c r="M31" s="26" t="n">
        <f>6710000</f>
        <v>6710000.0</v>
      </c>
      <c r="N31" s="25"/>
      <c r="O31" s="26" t="n">
        <f>27950000</f>
        <v>2.795E7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n">
        <f>20</f>
        <v>20.0</v>
      </c>
      <c r="U31" s="24"/>
      <c r="V31" s="26" t="n">
        <f>4</f>
        <v>4.0</v>
      </c>
      <c r="W31" s="25"/>
      <c r="X31" s="26" t="n">
        <f>24</f>
        <v>24.0</v>
      </c>
      <c r="Y31" s="23"/>
      <c r="Z31" s="26" t="n">
        <f>5110</f>
        <v>5110.0</v>
      </c>
      <c r="AA31" s="24"/>
      <c r="AB31" s="26" t="n">
        <f>2762</f>
        <v>2762.0</v>
      </c>
      <c r="AC31" s="25"/>
      <c r="AD31" s="26" t="n">
        <f>7872</f>
        <v>7872.0</v>
      </c>
    </row>
    <row r="32">
      <c r="A32" s="21" t="s">
        <v>52</v>
      </c>
      <c r="B32" s="22" t="s">
        <v>27</v>
      </c>
      <c r="C32" s="22" t="s">
        <v>28</v>
      </c>
      <c r="D32" s="23"/>
      <c r="E32" s="26" t="n">
        <f>225</f>
        <v>225.0</v>
      </c>
      <c r="F32" s="24"/>
      <c r="G32" s="26" t="n">
        <f>159</f>
        <v>159.0</v>
      </c>
      <c r="H32" s="25"/>
      <c r="I32" s="26" t="n">
        <f>384</f>
        <v>384.0</v>
      </c>
      <c r="J32" s="23"/>
      <c r="K32" s="26" t="n">
        <f>17890000</f>
        <v>1.789E7</v>
      </c>
      <c r="L32" s="24"/>
      <c r="M32" s="26" t="n">
        <f>24940000</f>
        <v>2.494E7</v>
      </c>
      <c r="N32" s="25"/>
      <c r="O32" s="26" t="n">
        <f>42830000</f>
        <v>4.283E7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n">
        <f>5</f>
        <v>5.0</v>
      </c>
      <c r="W32" s="25"/>
      <c r="X32" s="26" t="n">
        <f>5</f>
        <v>5.0</v>
      </c>
      <c r="Y32" s="23"/>
      <c r="Z32" s="26" t="n">
        <f>5150</f>
        <v>5150.0</v>
      </c>
      <c r="AA32" s="24"/>
      <c r="AB32" s="26" t="n">
        <f>2763</f>
        <v>2763.0</v>
      </c>
      <c r="AC32" s="25"/>
      <c r="AD32" s="26" t="n">
        <f>7913</f>
        <v>7913.0</v>
      </c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 t="n">
        <f>316</f>
        <v>316.0</v>
      </c>
      <c r="F35" s="24"/>
      <c r="G35" s="26" t="n">
        <f>304</f>
        <v>304.0</v>
      </c>
      <c r="H35" s="25"/>
      <c r="I35" s="26" t="n">
        <f>620</f>
        <v>620.0</v>
      </c>
      <c r="J35" s="23"/>
      <c r="K35" s="26" t="n">
        <f>28890000</f>
        <v>2.889E7</v>
      </c>
      <c r="L35" s="24"/>
      <c r="M35" s="26" t="n">
        <f>23540000</f>
        <v>2.354E7</v>
      </c>
      <c r="N35" s="25"/>
      <c r="O35" s="26" t="n">
        <f>52430000</f>
        <v>5.243E7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n">
        <f>50</f>
        <v>50.0</v>
      </c>
      <c r="U35" s="24"/>
      <c r="V35" s="26" t="n">
        <f>5</f>
        <v>5.0</v>
      </c>
      <c r="W35" s="25"/>
      <c r="X35" s="26" t="n">
        <f>55</f>
        <v>55.0</v>
      </c>
      <c r="Y35" s="23"/>
      <c r="Z35" s="26" t="n">
        <f>5296</f>
        <v>5296.0</v>
      </c>
      <c r="AA35" s="24"/>
      <c r="AB35" s="26" t="n">
        <f>2834</f>
        <v>2834.0</v>
      </c>
      <c r="AC35" s="25"/>
      <c r="AD35" s="26" t="n">
        <f>8130</f>
        <v>8130.0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845</f>
        <v>845.0</v>
      </c>
      <c r="F36" s="24"/>
      <c r="G36" s="26" t="n">
        <f>630</f>
        <v>630.0</v>
      </c>
      <c r="H36" s="25"/>
      <c r="I36" s="26" t="n">
        <f>1475</f>
        <v>1475.0</v>
      </c>
      <c r="J36" s="23"/>
      <c r="K36" s="26" t="n">
        <f>50050000</f>
        <v>5.005E7</v>
      </c>
      <c r="L36" s="24"/>
      <c r="M36" s="26" t="n">
        <f>34000000</f>
        <v>3.4E7</v>
      </c>
      <c r="N36" s="25"/>
      <c r="O36" s="26" t="n">
        <f>84050000</f>
        <v>8.405E7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n">
        <f>165</f>
        <v>165.0</v>
      </c>
      <c r="U36" s="24"/>
      <c r="V36" s="26" t="n">
        <f>67</f>
        <v>67.0</v>
      </c>
      <c r="W36" s="25"/>
      <c r="X36" s="26" t="n">
        <f>232</f>
        <v>232.0</v>
      </c>
      <c r="Y36" s="23"/>
      <c r="Z36" s="26" t="n">
        <f>5306</f>
        <v>5306.0</v>
      </c>
      <c r="AA36" s="24"/>
      <c r="AB36" s="26" t="n">
        <f>2983</f>
        <v>2983.0</v>
      </c>
      <c r="AC36" s="25" t="s">
        <v>29</v>
      </c>
      <c r="AD36" s="26" t="n">
        <f>8289</f>
        <v>8289.0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825</f>
        <v>825.0</v>
      </c>
      <c r="F37" s="24" t="s">
        <v>29</v>
      </c>
      <c r="G37" s="26" t="n">
        <f>1989</f>
        <v>1989.0</v>
      </c>
      <c r="H37" s="25" t="s">
        <v>29</v>
      </c>
      <c r="I37" s="26" t="n">
        <f>2814</f>
        <v>2814.0</v>
      </c>
      <c r="J37" s="23"/>
      <c r="K37" s="26" t="n">
        <f>62670000</f>
        <v>6.267E7</v>
      </c>
      <c r="L37" s="24" t="s">
        <v>29</v>
      </c>
      <c r="M37" s="26" t="n">
        <f>124980000</f>
        <v>1.2498E8</v>
      </c>
      <c r="N37" s="25"/>
      <c r="O37" s="26" t="n">
        <f>187650000</f>
        <v>1.8765E8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n">
        <f>150</f>
        <v>150.0</v>
      </c>
      <c r="W37" s="25"/>
      <c r="X37" s="26" t="n">
        <f>150</f>
        <v>150.0</v>
      </c>
      <c r="Y37" s="23" t="s">
        <v>29</v>
      </c>
      <c r="Z37" s="26" t="n">
        <f>5590</f>
        <v>5590.0</v>
      </c>
      <c r="AA37" s="24"/>
      <c r="AB37" s="26" t="n">
        <f>2681</f>
        <v>2681.0</v>
      </c>
      <c r="AC37" s="25"/>
      <c r="AD37" s="26" t="n">
        <f>8271</f>
        <v>8271.0</v>
      </c>
    </row>
    <row r="38">
      <c r="A38" s="21" t="s">
        <v>58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59</v>
      </c>
      <c r="B39" s="22" t="s">
        <v>27</v>
      </c>
      <c r="C39" s="22" t="s">
        <v>28</v>
      </c>
      <c r="D39" s="23"/>
      <c r="E39" s="26" t="n">
        <f>432</f>
        <v>432.0</v>
      </c>
      <c r="F39" s="24"/>
      <c r="G39" s="26" t="n">
        <f>183</f>
        <v>183.0</v>
      </c>
      <c r="H39" s="25"/>
      <c r="I39" s="26" t="n">
        <f>615</f>
        <v>615.0</v>
      </c>
      <c r="J39" s="23"/>
      <c r="K39" s="26" t="n">
        <f>32940000</f>
        <v>3.294E7</v>
      </c>
      <c r="L39" s="24"/>
      <c r="M39" s="26" t="n">
        <f>27750000</f>
        <v>2.775E7</v>
      </c>
      <c r="N39" s="25"/>
      <c r="O39" s="26" t="n">
        <f>60690000</f>
        <v>6.069E7</v>
      </c>
      <c r="P39" s="27" t="n">
        <f>286</f>
        <v>286.0</v>
      </c>
      <c r="Q39" s="28" t="n">
        <f>313</f>
        <v>313.0</v>
      </c>
      <c r="R39" s="29" t="n">
        <f>599</f>
        <v>599.0</v>
      </c>
      <c r="S39" s="23"/>
      <c r="T39" s="26" t="n">
        <f>20</f>
        <v>20.0</v>
      </c>
      <c r="U39" s="24"/>
      <c r="V39" s="26" t="n">
        <f>20</f>
        <v>20.0</v>
      </c>
      <c r="W39" s="25"/>
      <c r="X39" s="26" t="n">
        <f>40</f>
        <v>40.0</v>
      </c>
      <c r="Y39" s="23" t="s">
        <v>30</v>
      </c>
      <c r="Z39" s="26" t="n">
        <f>1429</f>
        <v>1429.0</v>
      </c>
      <c r="AA39" s="24"/>
      <c r="AB39" s="26" t="n">
        <f>976</f>
        <v>976.0</v>
      </c>
      <c r="AC39" s="25" t="s">
        <v>30</v>
      </c>
      <c r="AD39" s="26" t="n">
        <f>2405</f>
        <v>2405.0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