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<sst xmlns="http://schemas.openxmlformats.org/spreadsheetml/2006/main" count="1660" uniqueCount="83">
  <si>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</si>
  <si>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</si>
  <si>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</si>
  <si>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</si>
  <si>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</si>
  <si>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</si>
  <si>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</si>
  <si>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</si>
  <si>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</si>
  <si>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</si>
  <si>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</si>
  <si>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</si>
  <si>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</si>
  <si>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</si>
  <si>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</si>
  <si>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</si>
  <si>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4.1</t>
  </si>
  <si>
    <t>日経225先物</t>
  </si>
  <si>
    <t>Nikkei 225 Futures</t>
  </si>
  <si>
    <t>◎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</si>
  <si>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</si>
  <si>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</si>
  <si>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</si>
  <si>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</si>
  <si>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</si>
  <si>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</si>
  <si>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</si>
  <si>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</si>
  <si>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</si>
  <si>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</si>
  <si>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</si>
  <si>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</si>
  <si>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</si>
  <si>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</si>
  <si>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</si>
  <si>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</si>
  <si>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</si>
  <si>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</si>
  <si>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</si>
  <si>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</si>
  <si>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</si>
  <si>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</si>
  <si>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</si>
  <si>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</si>
  <si>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</si>
  <si>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</si>
  <si>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●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</si>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</sst>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1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56263</f>
        <v>56263.0</v>
      </c>
      <c r="F6" s="10"/>
      <c r="G6" s="2" t="n">
        <f>1654668294060</f>
        <v>1.65466829406E12</v>
      </c>
      <c r="H6" s="10"/>
      <c r="I6" s="2" t="n">
        <f>5888</f>
        <v>5888.0</v>
      </c>
      <c r="J6" s="10" t="s">
        <v>19</v>
      </c>
      <c r="K6" s="2" t="n">
        <f>310952</f>
        <v>310952.0</v>
      </c>
    </row>
    <row r="7">
      <c r="A7" s="8" t="s">
        <v>20</v>
      </c>
      <c r="B7" s="9" t="s">
        <v>17</v>
      </c>
      <c r="C7" s="9" t="s">
        <v>18</v>
      </c>
      <c r="D7" s="10"/>
      <c r="E7" s="2" t="n">
        <f>50128</f>
        <v>50128.0</v>
      </c>
      <c r="F7" s="10"/>
      <c r="G7" s="2" t="n">
        <f>1491705510560</f>
        <v>1.49170551056E12</v>
      </c>
      <c r="H7" s="10"/>
      <c r="I7" s="2" t="n">
        <f>6158</f>
        <v>6158.0</v>
      </c>
      <c r="J7" s="10"/>
      <c r="K7" s="2" t="n">
        <f>307487</f>
        <v>307487.0</v>
      </c>
    </row>
    <row r="8">
      <c r="A8" s="8" t="s">
        <v>21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22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23</v>
      </c>
      <c r="B10" s="9" t="s">
        <v>17</v>
      </c>
      <c r="C10" s="9" t="s">
        <v>18</v>
      </c>
      <c r="D10" s="10"/>
      <c r="E10" s="2" t="n">
        <f>41764</f>
        <v>41764.0</v>
      </c>
      <c r="F10" s="10"/>
      <c r="G10" s="2" t="n">
        <f>1256065904400</f>
        <v>1.2560659044E12</v>
      </c>
      <c r="H10" s="10"/>
      <c r="I10" s="2" t="n">
        <f>5861</f>
        <v>5861.0</v>
      </c>
      <c r="J10" s="10"/>
      <c r="K10" s="2" t="n">
        <f>305064</f>
        <v>305064.0</v>
      </c>
    </row>
    <row r="11">
      <c r="A11" s="8" t="s">
        <v>24</v>
      </c>
      <c r="B11" s="9" t="s">
        <v>17</v>
      </c>
      <c r="C11" s="9" t="s">
        <v>18</v>
      </c>
      <c r="D11" s="10"/>
      <c r="E11" s="2" t="n">
        <f>54252</f>
        <v>54252.0</v>
      </c>
      <c r="F11" s="10"/>
      <c r="G11" s="2" t="n">
        <f>1620901399383</f>
        <v>1.620901399383E12</v>
      </c>
      <c r="H11" s="10"/>
      <c r="I11" s="2" t="n">
        <f>6667</f>
        <v>6667.0</v>
      </c>
      <c r="J11" s="10"/>
      <c r="K11" s="2" t="n">
        <f>303734</f>
        <v>303734.0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51726</f>
        <v>51726.0</v>
      </c>
      <c r="F12" s="10"/>
      <c r="G12" s="2" t="n">
        <f>1537628600293</f>
        <v>1.537628600293E12</v>
      </c>
      <c r="H12" s="10"/>
      <c r="I12" s="2" t="n">
        <f>8836</f>
        <v>8836.0</v>
      </c>
      <c r="J12" s="10"/>
      <c r="K12" s="2" t="n">
        <f>299884</f>
        <v>299884.0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43922</f>
        <v>43922.0</v>
      </c>
      <c r="F13" s="10"/>
      <c r="G13" s="2" t="n">
        <f>1300840625402</f>
        <v>1.300840625402E12</v>
      </c>
      <c r="H13" s="10"/>
      <c r="I13" s="2" t="n">
        <f>7384</f>
        <v>7384.0</v>
      </c>
      <c r="J13" s="10"/>
      <c r="K13" s="2" t="n">
        <f>302326</f>
        <v>302326.0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51198</f>
        <v>51198.0</v>
      </c>
      <c r="F14" s="10"/>
      <c r="G14" s="2" t="n">
        <f>1526774345900</f>
        <v>1.5267743459E12</v>
      </c>
      <c r="H14" s="10"/>
      <c r="I14" s="2" t="n">
        <f>5943</f>
        <v>5943.0</v>
      </c>
      <c r="J14" s="10"/>
      <c r="K14" s="2" t="n">
        <f>302049</f>
        <v>302049.0</v>
      </c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 t="n">
        <f>34649</f>
        <v>34649.0</v>
      </c>
      <c r="F17" s="10"/>
      <c r="G17" s="2" t="n">
        <f>1029092281310</f>
        <v>1.02909228131E12</v>
      </c>
      <c r="H17" s="10"/>
      <c r="I17" s="2" t="n">
        <f>3583</f>
        <v>3583.0</v>
      </c>
      <c r="J17" s="10"/>
      <c r="K17" s="2" t="n">
        <f>303895</f>
        <v>303895.0</v>
      </c>
    </row>
    <row r="18">
      <c r="A18" s="8" t="s">
        <v>31</v>
      </c>
      <c r="B18" s="9" t="s">
        <v>17</v>
      </c>
      <c r="C18" s="9" t="s">
        <v>18</v>
      </c>
      <c r="D18" s="10"/>
      <c r="E18" s="2" t="n">
        <f>36640</f>
        <v>36640.0</v>
      </c>
      <c r="F18" s="10"/>
      <c r="G18" s="2" t="n">
        <f>1089015846644</f>
        <v>1.089015846644E12</v>
      </c>
      <c r="H18" s="10"/>
      <c r="I18" s="2" t="n">
        <f>4438</f>
        <v>4438.0</v>
      </c>
      <c r="J18" s="10"/>
      <c r="K18" s="2" t="n">
        <f>302545</f>
        <v>302545.0</v>
      </c>
    </row>
    <row r="19">
      <c r="A19" s="8" t="s">
        <v>32</v>
      </c>
      <c r="B19" s="9" t="s">
        <v>17</v>
      </c>
      <c r="C19" s="9" t="s">
        <v>18</v>
      </c>
      <c r="D19" s="10"/>
      <c r="E19" s="2" t="n">
        <f>39817</f>
        <v>39817.0</v>
      </c>
      <c r="F19" s="10"/>
      <c r="G19" s="2" t="n">
        <f>1180543732340</f>
        <v>1.18054373234E12</v>
      </c>
      <c r="H19" s="10"/>
      <c r="I19" s="2" t="n">
        <f>6068</f>
        <v>6068.0</v>
      </c>
      <c r="J19" s="10"/>
      <c r="K19" s="2" t="n">
        <f>301884</f>
        <v>301884.0</v>
      </c>
    </row>
    <row r="20">
      <c r="A20" s="8" t="s">
        <v>33</v>
      </c>
      <c r="B20" s="9" t="s">
        <v>17</v>
      </c>
      <c r="C20" s="9" t="s">
        <v>18</v>
      </c>
      <c r="D20" s="10"/>
      <c r="E20" s="2" t="n">
        <f>36179</f>
        <v>36179.0</v>
      </c>
      <c r="F20" s="10"/>
      <c r="G20" s="2" t="n">
        <f>1072196096540</f>
        <v>1.07219609654E12</v>
      </c>
      <c r="H20" s="10"/>
      <c r="I20" s="2" t="n">
        <f>4813</f>
        <v>4813.0</v>
      </c>
      <c r="J20" s="10"/>
      <c r="K20" s="2" t="n">
        <f>303384</f>
        <v>303384.0</v>
      </c>
    </row>
    <row r="21">
      <c r="A21" s="8" t="s">
        <v>34</v>
      </c>
      <c r="B21" s="9" t="s">
        <v>17</v>
      </c>
      <c r="C21" s="9" t="s">
        <v>18</v>
      </c>
      <c r="D21" s="10"/>
      <c r="E21" s="2" t="n">
        <f>37757</f>
        <v>37757.0</v>
      </c>
      <c r="F21" s="10"/>
      <c r="G21" s="2" t="n">
        <f>1121095066040</f>
        <v>1.12109506604E12</v>
      </c>
      <c r="H21" s="10"/>
      <c r="I21" s="2" t="n">
        <f>5352</f>
        <v>5352.0</v>
      </c>
      <c r="J21" s="10"/>
      <c r="K21" s="2" t="n">
        <f>305370</f>
        <v>305370.0</v>
      </c>
    </row>
    <row r="22">
      <c r="A22" s="8" t="s">
        <v>35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36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37</v>
      </c>
      <c r="B24" s="9" t="s">
        <v>17</v>
      </c>
      <c r="C24" s="9" t="s">
        <v>18</v>
      </c>
      <c r="D24" s="10"/>
      <c r="E24" s="2" t="n">
        <f>47204</f>
        <v>47204.0</v>
      </c>
      <c r="F24" s="10"/>
      <c r="G24" s="2" t="n">
        <f>1401546209510</f>
        <v>1.40154620951E12</v>
      </c>
      <c r="H24" s="10"/>
      <c r="I24" s="2" t="n">
        <f>5770</f>
        <v>5770.0</v>
      </c>
      <c r="J24" s="10"/>
      <c r="K24" s="2" t="n">
        <f>302841</f>
        <v>302841.0</v>
      </c>
    </row>
    <row r="25">
      <c r="A25" s="8" t="s">
        <v>38</v>
      </c>
      <c r="B25" s="9" t="s">
        <v>17</v>
      </c>
      <c r="C25" s="9" t="s">
        <v>18</v>
      </c>
      <c r="D25" s="10"/>
      <c r="E25" s="2" t="n">
        <f>79164</f>
        <v>79164.0</v>
      </c>
      <c r="F25" s="10"/>
      <c r="G25" s="2" t="n">
        <f>2310624994225</f>
        <v>2.310624994225E12</v>
      </c>
      <c r="H25" s="10"/>
      <c r="I25" s="2" t="n">
        <f>10475</f>
        <v>10475.0</v>
      </c>
      <c r="J25" s="10"/>
      <c r="K25" s="2" t="n">
        <f>302535</f>
        <v>302535.0</v>
      </c>
    </row>
    <row r="26">
      <c r="A26" s="8" t="s">
        <v>39</v>
      </c>
      <c r="B26" s="9" t="s">
        <v>17</v>
      </c>
      <c r="C26" s="9" t="s">
        <v>18</v>
      </c>
      <c r="D26" s="10" t="s">
        <v>19</v>
      </c>
      <c r="E26" s="2" t="n">
        <f>82052</f>
        <v>82052.0</v>
      </c>
      <c r="F26" s="10" t="s">
        <v>19</v>
      </c>
      <c r="G26" s="2" t="n">
        <f>2349417331429</f>
        <v>2.349417331429E12</v>
      </c>
      <c r="H26" s="10"/>
      <c r="I26" s="2" t="n">
        <f>11464</f>
        <v>11464.0</v>
      </c>
      <c r="J26" s="10"/>
      <c r="K26" s="2" t="n">
        <f>303386</f>
        <v>303386.0</v>
      </c>
    </row>
    <row r="27">
      <c r="A27" s="8" t="s">
        <v>40</v>
      </c>
      <c r="B27" s="9" t="s">
        <v>17</v>
      </c>
      <c r="C27" s="9" t="s">
        <v>18</v>
      </c>
      <c r="D27" s="10"/>
      <c r="E27" s="2" t="n">
        <f>69806</f>
        <v>69806.0</v>
      </c>
      <c r="F27" s="10"/>
      <c r="G27" s="2" t="n">
        <f>2020178001826</f>
        <v>2.020178001826E12</v>
      </c>
      <c r="H27" s="10" t="s">
        <v>19</v>
      </c>
      <c r="I27" s="2" t="n">
        <f>11857</f>
        <v>11857.0</v>
      </c>
      <c r="J27" s="10"/>
      <c r="K27" s="2" t="n">
        <f>302669</f>
        <v>302669.0</v>
      </c>
    </row>
    <row r="28">
      <c r="A28" s="8" t="s">
        <v>41</v>
      </c>
      <c r="B28" s="9" t="s">
        <v>17</v>
      </c>
      <c r="C28" s="9" t="s">
        <v>18</v>
      </c>
      <c r="D28" s="10"/>
      <c r="E28" s="2" t="n">
        <f>45039</f>
        <v>45039.0</v>
      </c>
      <c r="F28" s="10"/>
      <c r="G28" s="2" t="n">
        <f>1305356194690</f>
        <v>1.30535619469E12</v>
      </c>
      <c r="H28" s="10"/>
      <c r="I28" s="2" t="n">
        <f>4847</f>
        <v>4847.0</v>
      </c>
      <c r="J28" s="10"/>
      <c r="K28" s="2" t="n">
        <f>300507</f>
        <v>300507.0</v>
      </c>
    </row>
    <row r="29">
      <c r="A29" s="8" t="s">
        <v>42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43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44</v>
      </c>
      <c r="B31" s="9" t="s">
        <v>17</v>
      </c>
      <c r="C31" s="9" t="s">
        <v>18</v>
      </c>
      <c r="D31" s="10"/>
      <c r="E31" s="2" t="n">
        <f>45539</f>
        <v>45539.0</v>
      </c>
      <c r="F31" s="10"/>
      <c r="G31" s="2" t="n">
        <f>1324741827590</f>
        <v>1.32474182759E12</v>
      </c>
      <c r="H31" s="10"/>
      <c r="I31" s="2" t="n">
        <f>7489</f>
        <v>7489.0</v>
      </c>
      <c r="J31" s="10"/>
      <c r="K31" s="2" t="n">
        <f>298959</f>
        <v>298959.0</v>
      </c>
    </row>
    <row r="32">
      <c r="A32" s="8" t="s">
        <v>45</v>
      </c>
      <c r="B32" s="9" t="s">
        <v>17</v>
      </c>
      <c r="C32" s="9" t="s">
        <v>18</v>
      </c>
      <c r="D32" s="10" t="s">
        <v>46</v>
      </c>
      <c r="E32" s="2" t="n">
        <f>33936</f>
        <v>33936.0</v>
      </c>
      <c r="F32" s="10" t="s">
        <v>46</v>
      </c>
      <c r="G32" s="2" t="n">
        <f>987465796350</f>
        <v>9.8746579635E11</v>
      </c>
      <c r="H32" s="10" t="s">
        <v>46</v>
      </c>
      <c r="I32" s="2" t="n">
        <f>3338</f>
        <v>3338.0</v>
      </c>
      <c r="J32" s="10"/>
      <c r="K32" s="2" t="n">
        <f>297773</f>
        <v>297773.0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35910</f>
        <v>35910.0</v>
      </c>
      <c r="F33" s="10"/>
      <c r="G33" s="2" t="n">
        <f>1041732734270</f>
        <v>1.04173273427E12</v>
      </c>
      <c r="H33" s="10"/>
      <c r="I33" s="2" t="n">
        <f>3344</f>
        <v>3344.0</v>
      </c>
      <c r="J33" s="10"/>
      <c r="K33" s="2" t="n">
        <f>298064</f>
        <v>298064.0</v>
      </c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 t="n">
        <f>44384</f>
        <v>44384.0</v>
      </c>
      <c r="F35" s="10"/>
      <c r="G35" s="2" t="n">
        <f>1283040373800</f>
        <v>1.2830403738E12</v>
      </c>
      <c r="H35" s="10"/>
      <c r="I35" s="2" t="n">
        <f>6001</f>
        <v>6001.0</v>
      </c>
      <c r="J35" s="10" t="s">
        <v>46</v>
      </c>
      <c r="K35" s="2" t="n">
        <f>296568</f>
        <v>296568.0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738862</f>
        <v>738862.0</v>
      </c>
      <c r="F36" s="10"/>
      <c r="G36" s="2" t="n">
        <f>2172523432654</f>
        <v>2.172523432654E12</v>
      </c>
      <c r="H36" s="10"/>
      <c r="I36" s="2" t="n">
        <f>102047</f>
        <v>102047.0</v>
      </c>
      <c r="J36" s="10"/>
      <c r="K36" s="2" t="n">
        <f>389175</f>
        <v>389175.0</v>
      </c>
    </row>
    <row r="37">
      <c r="A37" s="8" t="s">
        <v>20</v>
      </c>
      <c r="B37" s="9" t="s">
        <v>50</v>
      </c>
      <c r="C37" s="9" t="s">
        <v>51</v>
      </c>
      <c r="D37" s="10"/>
      <c r="E37" s="2" t="n">
        <f>625571</f>
        <v>625571.0</v>
      </c>
      <c r="F37" s="10"/>
      <c r="G37" s="2" t="n">
        <f>1858563067913</f>
        <v>1.858563067913E12</v>
      </c>
      <c r="H37" s="10"/>
      <c r="I37" s="2" t="n">
        <f>112250</f>
        <v>112250.0</v>
      </c>
      <c r="J37" s="10"/>
      <c r="K37" s="2" t="n">
        <f>400832</f>
        <v>400832.0</v>
      </c>
    </row>
    <row r="38">
      <c r="A38" s="8" t="s">
        <v>21</v>
      </c>
      <c r="B38" s="9" t="s">
        <v>50</v>
      </c>
      <c r="C38" s="9" t="s">
        <v>51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22</v>
      </c>
      <c r="B39" s="9" t="s">
        <v>50</v>
      </c>
      <c r="C39" s="9" t="s">
        <v>51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23</v>
      </c>
      <c r="B40" s="9" t="s">
        <v>50</v>
      </c>
      <c r="C40" s="9" t="s">
        <v>51</v>
      </c>
      <c r="D40" s="10" t="s">
        <v>46</v>
      </c>
      <c r="E40" s="2" t="n">
        <f>517214</f>
        <v>517214.0</v>
      </c>
      <c r="F40" s="10" t="s">
        <v>46</v>
      </c>
      <c r="G40" s="2" t="n">
        <f>1555394350986</f>
        <v>1.555394350986E12</v>
      </c>
      <c r="H40" s="10"/>
      <c r="I40" s="2" t="n">
        <f>90899</f>
        <v>90899.0</v>
      </c>
      <c r="J40" s="10"/>
      <c r="K40" s="2" t="n">
        <f>415840</f>
        <v>415840.0</v>
      </c>
    </row>
    <row r="41">
      <c r="A41" s="8" t="s">
        <v>24</v>
      </c>
      <c r="B41" s="9" t="s">
        <v>50</v>
      </c>
      <c r="C41" s="9" t="s">
        <v>51</v>
      </c>
      <c r="D41" s="10"/>
      <c r="E41" s="2" t="n">
        <f>748005</f>
        <v>748005.0</v>
      </c>
      <c r="F41" s="10"/>
      <c r="G41" s="2" t="n">
        <f>2239259238786</f>
        <v>2.239259238786E12</v>
      </c>
      <c r="H41" s="10"/>
      <c r="I41" s="2" t="n">
        <f>114163</f>
        <v>114163.0</v>
      </c>
      <c r="J41" s="10"/>
      <c r="K41" s="2" t="n">
        <f>444905</f>
        <v>444905.0</v>
      </c>
    </row>
    <row r="42">
      <c r="A42" s="8" t="s">
        <v>25</v>
      </c>
      <c r="B42" s="9" t="s">
        <v>50</v>
      </c>
      <c r="C42" s="9" t="s">
        <v>51</v>
      </c>
      <c r="D42" s="10"/>
      <c r="E42" s="2" t="n">
        <f>797357</f>
        <v>797357.0</v>
      </c>
      <c r="F42" s="10"/>
      <c r="G42" s="2" t="n">
        <f>2370560335618</f>
        <v>2.370560335618E12</v>
      </c>
      <c r="H42" s="10"/>
      <c r="I42" s="2" t="n">
        <f>98484</f>
        <v>98484.0</v>
      </c>
      <c r="J42" s="10"/>
      <c r="K42" s="2" t="n">
        <f>445589</f>
        <v>445589.0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658249</f>
        <v>658249.0</v>
      </c>
      <c r="F43" s="10"/>
      <c r="G43" s="2" t="n">
        <f>1950225751549</f>
        <v>1.950225751549E12</v>
      </c>
      <c r="H43" s="10"/>
      <c r="I43" s="2" t="n">
        <f>82088</f>
        <v>82088.0</v>
      </c>
      <c r="J43" s="10"/>
      <c r="K43" s="2" t="n">
        <f>445052</f>
        <v>445052.0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735322</f>
        <v>735322.0</v>
      </c>
      <c r="F44" s="10"/>
      <c r="G44" s="2" t="n">
        <f>2193184040250</f>
        <v>2.19318404025E12</v>
      </c>
      <c r="H44" s="10"/>
      <c r="I44" s="2" t="n">
        <f>102043</f>
        <v>102043.0</v>
      </c>
      <c r="J44" s="10" t="s">
        <v>19</v>
      </c>
      <c r="K44" s="2" t="n">
        <f>452964</f>
        <v>452964.0</v>
      </c>
    </row>
    <row r="45">
      <c r="A45" s="8" t="s">
        <v>28</v>
      </c>
      <c r="B45" s="9" t="s">
        <v>50</v>
      </c>
      <c r="C45" s="9" t="s">
        <v>51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29</v>
      </c>
      <c r="B46" s="9" t="s">
        <v>50</v>
      </c>
      <c r="C46" s="9" t="s">
        <v>51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50</v>
      </c>
      <c r="C47" s="9" t="s">
        <v>51</v>
      </c>
      <c r="D47" s="10"/>
      <c r="E47" s="2" t="n">
        <f>642766</f>
        <v>642766.0</v>
      </c>
      <c r="F47" s="10"/>
      <c r="G47" s="2" t="n">
        <f>1911078058630</f>
        <v>1.91107805863E12</v>
      </c>
      <c r="H47" s="10"/>
      <c r="I47" s="2" t="n">
        <f>84600</f>
        <v>84600.0</v>
      </c>
      <c r="J47" s="10" t="s">
        <v>46</v>
      </c>
      <c r="K47" s="2" t="n">
        <f>328524</f>
        <v>328524.0</v>
      </c>
    </row>
    <row r="48">
      <c r="A48" s="8" t="s">
        <v>31</v>
      </c>
      <c r="B48" s="9" t="s">
        <v>50</v>
      </c>
      <c r="C48" s="9" t="s">
        <v>51</v>
      </c>
      <c r="D48" s="10"/>
      <c r="E48" s="2" t="n">
        <f>649865</f>
        <v>649865.0</v>
      </c>
      <c r="F48" s="10"/>
      <c r="G48" s="2" t="n">
        <f>1931025746065</f>
        <v>1.931025746065E12</v>
      </c>
      <c r="H48" s="10"/>
      <c r="I48" s="2" t="n">
        <f>82027</f>
        <v>82027.0</v>
      </c>
      <c r="J48" s="10"/>
      <c r="K48" s="2" t="n">
        <f>335051</f>
        <v>335051.0</v>
      </c>
    </row>
    <row r="49">
      <c r="A49" s="8" t="s">
        <v>32</v>
      </c>
      <c r="B49" s="9" t="s">
        <v>50</v>
      </c>
      <c r="C49" s="9" t="s">
        <v>51</v>
      </c>
      <c r="D49" s="10"/>
      <c r="E49" s="2" t="n">
        <f>703753</f>
        <v>703753.0</v>
      </c>
      <c r="F49" s="10"/>
      <c r="G49" s="2" t="n">
        <f>2088365999611</f>
        <v>2.088365999611E12</v>
      </c>
      <c r="H49" s="10"/>
      <c r="I49" s="2" t="n">
        <f>97887</f>
        <v>97887.0</v>
      </c>
      <c r="J49" s="10"/>
      <c r="K49" s="2" t="n">
        <f>334526</f>
        <v>334526.0</v>
      </c>
    </row>
    <row r="50">
      <c r="A50" s="8" t="s">
        <v>33</v>
      </c>
      <c r="B50" s="9" t="s">
        <v>50</v>
      </c>
      <c r="C50" s="9" t="s">
        <v>51</v>
      </c>
      <c r="D50" s="10"/>
      <c r="E50" s="2" t="n">
        <f>637725</f>
        <v>637725.0</v>
      </c>
      <c r="F50" s="10"/>
      <c r="G50" s="2" t="n">
        <f>1891574098600</f>
        <v>1.8915740986E12</v>
      </c>
      <c r="H50" s="10"/>
      <c r="I50" s="2" t="n">
        <f>77135</f>
        <v>77135.0</v>
      </c>
      <c r="J50" s="10"/>
      <c r="K50" s="2" t="n">
        <f>342397</f>
        <v>342397.0</v>
      </c>
    </row>
    <row r="51">
      <c r="A51" s="8" t="s">
        <v>34</v>
      </c>
      <c r="B51" s="9" t="s">
        <v>50</v>
      </c>
      <c r="C51" s="9" t="s">
        <v>51</v>
      </c>
      <c r="D51" s="10"/>
      <c r="E51" s="2" t="n">
        <f>592896</f>
        <v>592896.0</v>
      </c>
      <c r="F51" s="10"/>
      <c r="G51" s="2" t="n">
        <f>1761330749188</f>
        <v>1.761330749188E12</v>
      </c>
      <c r="H51" s="10"/>
      <c r="I51" s="2" t="n">
        <f>81561</f>
        <v>81561.0</v>
      </c>
      <c r="J51" s="10"/>
      <c r="K51" s="2" t="n">
        <f>346558</f>
        <v>346558.0</v>
      </c>
    </row>
    <row r="52">
      <c r="A52" s="8" t="s">
        <v>35</v>
      </c>
      <c r="B52" s="9" t="s">
        <v>50</v>
      </c>
      <c r="C52" s="9" t="s">
        <v>51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36</v>
      </c>
      <c r="B53" s="9" t="s">
        <v>50</v>
      </c>
      <c r="C53" s="9" t="s">
        <v>51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37</v>
      </c>
      <c r="B54" s="9" t="s">
        <v>50</v>
      </c>
      <c r="C54" s="9" t="s">
        <v>51</v>
      </c>
      <c r="D54" s="10"/>
      <c r="E54" s="2" t="n">
        <f>646722</f>
        <v>646722.0</v>
      </c>
      <c r="F54" s="10"/>
      <c r="G54" s="2" t="n">
        <f>1920516789300</f>
        <v>1.9205167893E12</v>
      </c>
      <c r="H54" s="10"/>
      <c r="I54" s="2" t="n">
        <f>77169</f>
        <v>77169.0</v>
      </c>
      <c r="J54" s="10"/>
      <c r="K54" s="2" t="n">
        <f>351318</f>
        <v>351318.0</v>
      </c>
    </row>
    <row r="55">
      <c r="A55" s="8" t="s">
        <v>38</v>
      </c>
      <c r="B55" s="9" t="s">
        <v>50</v>
      </c>
      <c r="C55" s="9" t="s">
        <v>51</v>
      </c>
      <c r="D55" s="10"/>
      <c r="E55" s="2" t="n">
        <f>968500</f>
        <v>968500.0</v>
      </c>
      <c r="F55" s="10"/>
      <c r="G55" s="2" t="n">
        <f>2834279687053</f>
        <v>2.834279687053E12</v>
      </c>
      <c r="H55" s="10"/>
      <c r="I55" s="2" t="n">
        <f>131232</f>
        <v>131232.0</v>
      </c>
      <c r="J55" s="10"/>
      <c r="K55" s="2" t="n">
        <f>369597</f>
        <v>369597.0</v>
      </c>
    </row>
    <row r="56">
      <c r="A56" s="8" t="s">
        <v>39</v>
      </c>
      <c r="B56" s="9" t="s">
        <v>50</v>
      </c>
      <c r="C56" s="9" t="s">
        <v>51</v>
      </c>
      <c r="D56" s="10" t="s">
        <v>19</v>
      </c>
      <c r="E56" s="2" t="n">
        <f>1248397</f>
        <v>1248397.0</v>
      </c>
      <c r="F56" s="10" t="s">
        <v>19</v>
      </c>
      <c r="G56" s="2" t="n">
        <f>3577454133694</f>
        <v>3.577454133694E12</v>
      </c>
      <c r="H56" s="10" t="s">
        <v>19</v>
      </c>
      <c r="I56" s="2" t="n">
        <f>163792</f>
        <v>163792.0</v>
      </c>
      <c r="J56" s="10"/>
      <c r="K56" s="2" t="n">
        <f>377805</f>
        <v>377805.0</v>
      </c>
    </row>
    <row r="57">
      <c r="A57" s="8" t="s">
        <v>40</v>
      </c>
      <c r="B57" s="9" t="s">
        <v>50</v>
      </c>
      <c r="C57" s="9" t="s">
        <v>51</v>
      </c>
      <c r="D57" s="10"/>
      <c r="E57" s="2" t="n">
        <f>1049626</f>
        <v>1049626.0</v>
      </c>
      <c r="F57" s="10"/>
      <c r="G57" s="2" t="n">
        <f>3029233836187</f>
        <v>3.029233836187E12</v>
      </c>
      <c r="H57" s="10"/>
      <c r="I57" s="2" t="n">
        <f>140519</f>
        <v>140519.0</v>
      </c>
      <c r="J57" s="10"/>
      <c r="K57" s="2" t="n">
        <f>370236</f>
        <v>370236.0</v>
      </c>
    </row>
    <row r="58">
      <c r="A58" s="8" t="s">
        <v>41</v>
      </c>
      <c r="B58" s="9" t="s">
        <v>50</v>
      </c>
      <c r="C58" s="9" t="s">
        <v>51</v>
      </c>
      <c r="D58" s="10"/>
      <c r="E58" s="2" t="n">
        <f>824410</f>
        <v>824410.0</v>
      </c>
      <c r="F58" s="10"/>
      <c r="G58" s="2" t="n">
        <f>2390484071096</f>
        <v>2.390484071096E12</v>
      </c>
      <c r="H58" s="10"/>
      <c r="I58" s="2" t="n">
        <f>101449</f>
        <v>101449.0</v>
      </c>
      <c r="J58" s="10"/>
      <c r="K58" s="2" t="n">
        <f>371566</f>
        <v>371566.0</v>
      </c>
    </row>
    <row r="59">
      <c r="A59" s="8" t="s">
        <v>42</v>
      </c>
      <c r="B59" s="9" t="s">
        <v>50</v>
      </c>
      <c r="C59" s="9" t="s">
        <v>51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50</v>
      </c>
      <c r="C60" s="9" t="s">
        <v>51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44</v>
      </c>
      <c r="B61" s="9" t="s">
        <v>50</v>
      </c>
      <c r="C61" s="9" t="s">
        <v>51</v>
      </c>
      <c r="D61" s="10"/>
      <c r="E61" s="2" t="n">
        <f>793251</f>
        <v>793251.0</v>
      </c>
      <c r="F61" s="10"/>
      <c r="G61" s="2" t="n">
        <f>2305599999350</f>
        <v>2.30559999935E12</v>
      </c>
      <c r="H61" s="10"/>
      <c r="I61" s="2" t="n">
        <f>114749</f>
        <v>114749.0</v>
      </c>
      <c r="J61" s="10"/>
      <c r="K61" s="2" t="n">
        <f>381119</f>
        <v>381119.0</v>
      </c>
    </row>
    <row r="62">
      <c r="A62" s="8" t="s">
        <v>45</v>
      </c>
      <c r="B62" s="9" t="s">
        <v>50</v>
      </c>
      <c r="C62" s="9" t="s">
        <v>51</v>
      </c>
      <c r="D62" s="10"/>
      <c r="E62" s="2" t="n">
        <f>558462</f>
        <v>558462.0</v>
      </c>
      <c r="F62" s="10"/>
      <c r="G62" s="2" t="n">
        <f>1626970537408</f>
        <v>1.626970537408E12</v>
      </c>
      <c r="H62" s="10" t="s">
        <v>46</v>
      </c>
      <c r="I62" s="2" t="n">
        <f>74707</f>
        <v>74707.0</v>
      </c>
      <c r="J62" s="10"/>
      <c r="K62" s="2" t="n">
        <f>393336</f>
        <v>393336.0</v>
      </c>
    </row>
    <row r="63">
      <c r="A63" s="8" t="s">
        <v>47</v>
      </c>
      <c r="B63" s="9" t="s">
        <v>50</v>
      </c>
      <c r="C63" s="9" t="s">
        <v>51</v>
      </c>
      <c r="D63" s="10"/>
      <c r="E63" s="2" t="n">
        <f>635784</f>
        <v>635784.0</v>
      </c>
      <c r="F63" s="10"/>
      <c r="G63" s="2" t="n">
        <f>1843886132150</f>
        <v>1.84388613215E12</v>
      </c>
      <c r="H63" s="10"/>
      <c r="I63" s="2" t="n">
        <f>80801</f>
        <v>80801.0</v>
      </c>
      <c r="J63" s="10"/>
      <c r="K63" s="2" t="n">
        <f>402832</f>
        <v>402832.0</v>
      </c>
    </row>
    <row r="64">
      <c r="A64" s="8" t="s">
        <v>48</v>
      </c>
      <c r="B64" s="9" t="s">
        <v>50</v>
      </c>
      <c r="C64" s="9" t="s">
        <v>51</v>
      </c>
      <c r="D64" s="10"/>
      <c r="E64" s="2"/>
      <c r="F64" s="10"/>
      <c r="G64" s="2"/>
      <c r="H64" s="10"/>
      <c r="I64" s="2"/>
      <c r="J64" s="10"/>
      <c r="K64" s="2"/>
    </row>
    <row r="65">
      <c r="A65" s="8" t="s">
        <v>49</v>
      </c>
      <c r="B65" s="9" t="s">
        <v>50</v>
      </c>
      <c r="C65" s="9" t="s">
        <v>51</v>
      </c>
      <c r="D65" s="10"/>
      <c r="E65" s="2" t="n">
        <f>648294</f>
        <v>648294.0</v>
      </c>
      <c r="F65" s="10"/>
      <c r="G65" s="2" t="n">
        <f>1876121115600</f>
        <v>1.8761211156E12</v>
      </c>
      <c r="H65" s="10"/>
      <c r="I65" s="2" t="n">
        <f>78455</f>
        <v>78455.0</v>
      </c>
      <c r="J65" s="10"/>
      <c r="K65" s="2" t="n">
        <f>423806</f>
        <v>423806.0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77618</f>
        <v>77618.0</v>
      </c>
      <c r="F66" s="10"/>
      <c r="G66" s="2" t="n">
        <f>1522609651167</f>
        <v>1.522609651167E12</v>
      </c>
      <c r="H66" s="10"/>
      <c r="I66" s="2" t="n">
        <f>14367</f>
        <v>14367.0</v>
      </c>
      <c r="J66" s="10"/>
      <c r="K66" s="2" t="n">
        <f>534509</f>
        <v>534509.0</v>
      </c>
    </row>
    <row r="67">
      <c r="A67" s="8" t="s">
        <v>20</v>
      </c>
      <c r="B67" s="9" t="s">
        <v>52</v>
      </c>
      <c r="C67" s="9" t="s">
        <v>53</v>
      </c>
      <c r="D67" s="10"/>
      <c r="E67" s="2" t="n">
        <f>46634</f>
        <v>46634.0</v>
      </c>
      <c r="F67" s="10"/>
      <c r="G67" s="2" t="n">
        <f>918960915249</f>
        <v>9.18960915249E11</v>
      </c>
      <c r="H67" s="10"/>
      <c r="I67" s="2" t="n">
        <f>9294</f>
        <v>9294.0</v>
      </c>
      <c r="J67" s="10"/>
      <c r="K67" s="2" t="n">
        <f>535248</f>
        <v>535248.0</v>
      </c>
    </row>
    <row r="68">
      <c r="A68" s="8" t="s">
        <v>21</v>
      </c>
      <c r="B68" s="9" t="s">
        <v>52</v>
      </c>
      <c r="C68" s="9" t="s">
        <v>53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22</v>
      </c>
      <c r="B69" s="9" t="s">
        <v>52</v>
      </c>
      <c r="C69" s="9" t="s">
        <v>53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23</v>
      </c>
      <c r="B70" s="9" t="s">
        <v>52</v>
      </c>
      <c r="C70" s="9" t="s">
        <v>53</v>
      </c>
      <c r="D70" s="10" t="s">
        <v>46</v>
      </c>
      <c r="E70" s="2" t="n">
        <f>37683</f>
        <v>37683.0</v>
      </c>
      <c r="F70" s="10" t="s">
        <v>46</v>
      </c>
      <c r="G70" s="2" t="n">
        <f>746571727325</f>
        <v>7.46571727325E11</v>
      </c>
      <c r="H70" s="10" t="s">
        <v>46</v>
      </c>
      <c r="I70" s="2" t="n">
        <f>6632</f>
        <v>6632.0</v>
      </c>
      <c r="J70" s="10" t="s">
        <v>19</v>
      </c>
      <c r="K70" s="2" t="n">
        <f>535905</f>
        <v>535905.0</v>
      </c>
    </row>
    <row r="71">
      <c r="A71" s="8" t="s">
        <v>24</v>
      </c>
      <c r="B71" s="9" t="s">
        <v>52</v>
      </c>
      <c r="C71" s="9" t="s">
        <v>53</v>
      </c>
      <c r="D71" s="10"/>
      <c r="E71" s="2" t="n">
        <f>57043</f>
        <v>57043.0</v>
      </c>
      <c r="F71" s="10"/>
      <c r="G71" s="2" t="n">
        <f>1121776306582</f>
        <v>1.121776306582E12</v>
      </c>
      <c r="H71" s="10"/>
      <c r="I71" s="2" t="n">
        <f>13209</f>
        <v>13209.0</v>
      </c>
      <c r="J71" s="10"/>
      <c r="K71" s="2" t="n">
        <f>533756</f>
        <v>533756.0</v>
      </c>
    </row>
    <row r="72">
      <c r="A72" s="8" t="s">
        <v>25</v>
      </c>
      <c r="B72" s="9" t="s">
        <v>52</v>
      </c>
      <c r="C72" s="9" t="s">
        <v>53</v>
      </c>
      <c r="D72" s="10"/>
      <c r="E72" s="2" t="n">
        <f>64124</f>
        <v>64124.0</v>
      </c>
      <c r="F72" s="10"/>
      <c r="G72" s="2" t="n">
        <f>1258117078100</f>
        <v>1.2581170781E12</v>
      </c>
      <c r="H72" s="10"/>
      <c r="I72" s="2" t="n">
        <f>15326</f>
        <v>15326.0</v>
      </c>
      <c r="J72" s="10"/>
      <c r="K72" s="2" t="n">
        <f>533862</f>
        <v>533862.0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63348</f>
        <v>63348.0</v>
      </c>
      <c r="F73" s="10"/>
      <c r="G73" s="2" t="n">
        <f>1238200412850</f>
        <v>1.23820041285E12</v>
      </c>
      <c r="H73" s="10"/>
      <c r="I73" s="2" t="n">
        <f>14154</f>
        <v>14154.0</v>
      </c>
      <c r="J73" s="10"/>
      <c r="K73" s="2" t="n">
        <f>531926</f>
        <v>531926.0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66208</f>
        <v>66208.0</v>
      </c>
      <c r="F74" s="10"/>
      <c r="G74" s="2" t="n">
        <f>1298695207550</f>
        <v>1.29869520755E12</v>
      </c>
      <c r="H74" s="10"/>
      <c r="I74" s="2" t="n">
        <f>14539</f>
        <v>14539.0</v>
      </c>
      <c r="J74" s="10"/>
      <c r="K74" s="2" t="n">
        <f>532161</f>
        <v>532161.0</v>
      </c>
    </row>
    <row r="75">
      <c r="A75" s="8" t="s">
        <v>28</v>
      </c>
      <c r="B75" s="9" t="s">
        <v>52</v>
      </c>
      <c r="C75" s="9" t="s">
        <v>53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29</v>
      </c>
      <c r="B76" s="9" t="s">
        <v>52</v>
      </c>
      <c r="C76" s="9" t="s">
        <v>53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30</v>
      </c>
      <c r="B77" s="9" t="s">
        <v>52</v>
      </c>
      <c r="C77" s="9" t="s">
        <v>53</v>
      </c>
      <c r="D77" s="10"/>
      <c r="E77" s="2" t="n">
        <f>43673</f>
        <v>43673.0</v>
      </c>
      <c r="F77" s="10"/>
      <c r="G77" s="2" t="n">
        <f>856130740704</f>
        <v>8.56130740704E11</v>
      </c>
      <c r="H77" s="10"/>
      <c r="I77" s="2" t="n">
        <f>8936</f>
        <v>8936.0</v>
      </c>
      <c r="J77" s="10"/>
      <c r="K77" s="2" t="n">
        <f>533379</f>
        <v>533379.0</v>
      </c>
    </row>
    <row r="78">
      <c r="A78" s="8" t="s">
        <v>31</v>
      </c>
      <c r="B78" s="9" t="s">
        <v>52</v>
      </c>
      <c r="C78" s="9" t="s">
        <v>53</v>
      </c>
      <c r="D78" s="10"/>
      <c r="E78" s="2" t="n">
        <f>47859</f>
        <v>47859.0</v>
      </c>
      <c r="F78" s="10"/>
      <c r="G78" s="2" t="n">
        <f>939068560097</f>
        <v>9.39068560097E11</v>
      </c>
      <c r="H78" s="10"/>
      <c r="I78" s="2" t="n">
        <f>11091</f>
        <v>11091.0</v>
      </c>
      <c r="J78" s="10"/>
      <c r="K78" s="2" t="n">
        <f>534677</f>
        <v>534677.0</v>
      </c>
    </row>
    <row r="79">
      <c r="A79" s="8" t="s">
        <v>32</v>
      </c>
      <c r="B79" s="9" t="s">
        <v>52</v>
      </c>
      <c r="C79" s="9" t="s">
        <v>53</v>
      </c>
      <c r="D79" s="10"/>
      <c r="E79" s="2" t="n">
        <f>58436</f>
        <v>58436.0</v>
      </c>
      <c r="F79" s="10"/>
      <c r="G79" s="2" t="n">
        <f>1141187474084</f>
        <v>1.141187474084E12</v>
      </c>
      <c r="H79" s="10"/>
      <c r="I79" s="2" t="n">
        <f>11509</f>
        <v>11509.0</v>
      </c>
      <c r="J79" s="10"/>
      <c r="K79" s="2" t="n">
        <f>532751</f>
        <v>532751.0</v>
      </c>
    </row>
    <row r="80">
      <c r="A80" s="8" t="s">
        <v>33</v>
      </c>
      <c r="B80" s="9" t="s">
        <v>52</v>
      </c>
      <c r="C80" s="9" t="s">
        <v>53</v>
      </c>
      <c r="D80" s="10"/>
      <c r="E80" s="2" t="n">
        <f>64568</f>
        <v>64568.0</v>
      </c>
      <c r="F80" s="10"/>
      <c r="G80" s="2" t="n">
        <f>1264901395778</f>
        <v>1.264901395778E12</v>
      </c>
      <c r="H80" s="10"/>
      <c r="I80" s="2" t="n">
        <f>12638</f>
        <v>12638.0</v>
      </c>
      <c r="J80" s="10"/>
      <c r="K80" s="2" t="n">
        <f>534849</f>
        <v>534849.0</v>
      </c>
    </row>
    <row r="81">
      <c r="A81" s="8" t="s">
        <v>34</v>
      </c>
      <c r="B81" s="9" t="s">
        <v>52</v>
      </c>
      <c r="C81" s="9" t="s">
        <v>53</v>
      </c>
      <c r="D81" s="10"/>
      <c r="E81" s="2" t="n">
        <f>49490</f>
        <v>49490.0</v>
      </c>
      <c r="F81" s="10"/>
      <c r="G81" s="2" t="n">
        <f>970196780111</f>
        <v>9.70196780111E11</v>
      </c>
      <c r="H81" s="10"/>
      <c r="I81" s="2" t="n">
        <f>10198</f>
        <v>10198.0</v>
      </c>
      <c r="J81" s="10"/>
      <c r="K81" s="2" t="n">
        <f>534770</f>
        <v>534770.0</v>
      </c>
    </row>
    <row r="82">
      <c r="A82" s="8" t="s">
        <v>35</v>
      </c>
      <c r="B82" s="9" t="s">
        <v>52</v>
      </c>
      <c r="C82" s="9" t="s">
        <v>53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36</v>
      </c>
      <c r="B83" s="9" t="s">
        <v>52</v>
      </c>
      <c r="C83" s="9" t="s">
        <v>53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37</v>
      </c>
      <c r="B84" s="9" t="s">
        <v>52</v>
      </c>
      <c r="C84" s="9" t="s">
        <v>53</v>
      </c>
      <c r="D84" s="10"/>
      <c r="E84" s="2" t="n">
        <f>52104</f>
        <v>52104.0</v>
      </c>
      <c r="F84" s="10"/>
      <c r="G84" s="2" t="n">
        <f>1020856524150</f>
        <v>1.02085652415E12</v>
      </c>
      <c r="H84" s="10"/>
      <c r="I84" s="2" t="n">
        <f>10931</f>
        <v>10931.0</v>
      </c>
      <c r="J84" s="10"/>
      <c r="K84" s="2" t="n">
        <f>533440</f>
        <v>533440.0</v>
      </c>
    </row>
    <row r="85">
      <c r="A85" s="8" t="s">
        <v>38</v>
      </c>
      <c r="B85" s="9" t="s">
        <v>52</v>
      </c>
      <c r="C85" s="9" t="s">
        <v>53</v>
      </c>
      <c r="D85" s="10"/>
      <c r="E85" s="2" t="n">
        <f>88673</f>
        <v>88673.0</v>
      </c>
      <c r="F85" s="10"/>
      <c r="G85" s="2" t="n">
        <f>1714258767550</f>
        <v>1.71425876755E12</v>
      </c>
      <c r="H85" s="10"/>
      <c r="I85" s="2" t="n">
        <f>19076</f>
        <v>19076.0</v>
      </c>
      <c r="J85" s="10"/>
      <c r="K85" s="2" t="n">
        <f>530537</f>
        <v>530537.0</v>
      </c>
    </row>
    <row r="86">
      <c r="A86" s="8" t="s">
        <v>39</v>
      </c>
      <c r="B86" s="9" t="s">
        <v>52</v>
      </c>
      <c r="C86" s="9" t="s">
        <v>53</v>
      </c>
      <c r="D86" s="10" t="s">
        <v>19</v>
      </c>
      <c r="E86" s="2" t="n">
        <f>91375</f>
        <v>91375.0</v>
      </c>
      <c r="F86" s="10" t="s">
        <v>19</v>
      </c>
      <c r="G86" s="2" t="n">
        <f>1728969603553</f>
        <v>1.728969603553E12</v>
      </c>
      <c r="H86" s="10"/>
      <c r="I86" s="2" t="n">
        <f>21053</f>
        <v>21053.0</v>
      </c>
      <c r="J86" s="10"/>
      <c r="K86" s="2" t="n">
        <f>526967</f>
        <v>526967.0</v>
      </c>
    </row>
    <row r="87">
      <c r="A87" s="8" t="s">
        <v>40</v>
      </c>
      <c r="B87" s="9" t="s">
        <v>52</v>
      </c>
      <c r="C87" s="9" t="s">
        <v>53</v>
      </c>
      <c r="D87" s="10"/>
      <c r="E87" s="2" t="n">
        <f>77394</f>
        <v>77394.0</v>
      </c>
      <c r="F87" s="10"/>
      <c r="G87" s="2" t="n">
        <f>1480306460710</f>
        <v>1.48030646071E12</v>
      </c>
      <c r="H87" s="10"/>
      <c r="I87" s="2" t="n">
        <f>12469</f>
        <v>12469.0</v>
      </c>
      <c r="J87" s="10"/>
      <c r="K87" s="2" t="n">
        <f>524875</f>
        <v>524875.0</v>
      </c>
    </row>
    <row r="88">
      <c r="A88" s="8" t="s">
        <v>41</v>
      </c>
      <c r="B88" s="9" t="s">
        <v>52</v>
      </c>
      <c r="C88" s="9" t="s">
        <v>53</v>
      </c>
      <c r="D88" s="10"/>
      <c r="E88" s="2" t="n">
        <f>61923</f>
        <v>61923.0</v>
      </c>
      <c r="F88" s="10"/>
      <c r="G88" s="2" t="n">
        <f>1184682070300</f>
        <v>1.1846820703E12</v>
      </c>
      <c r="H88" s="10"/>
      <c r="I88" s="2" t="n">
        <f>10816</f>
        <v>10816.0</v>
      </c>
      <c r="J88" s="10"/>
      <c r="K88" s="2" t="n">
        <f>524327</f>
        <v>524327.0</v>
      </c>
    </row>
    <row r="89">
      <c r="A89" s="8" t="s">
        <v>42</v>
      </c>
      <c r="B89" s="9" t="s">
        <v>52</v>
      </c>
      <c r="C89" s="9" t="s">
        <v>53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43</v>
      </c>
      <c r="B90" s="9" t="s">
        <v>52</v>
      </c>
      <c r="C90" s="9" t="s">
        <v>53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44</v>
      </c>
      <c r="B91" s="9" t="s">
        <v>52</v>
      </c>
      <c r="C91" s="9" t="s">
        <v>53</v>
      </c>
      <c r="D91" s="10"/>
      <c r="E91" s="2" t="n">
        <f>67278</f>
        <v>67278.0</v>
      </c>
      <c r="F91" s="10"/>
      <c r="G91" s="2" t="n">
        <f>1289645212550</f>
        <v>1.28964521255E12</v>
      </c>
      <c r="H91" s="10"/>
      <c r="I91" s="2" t="n">
        <f>11740</f>
        <v>11740.0</v>
      </c>
      <c r="J91" s="10"/>
      <c r="K91" s="2" t="n">
        <f>526348</f>
        <v>526348.0</v>
      </c>
    </row>
    <row r="92">
      <c r="A92" s="8" t="s">
        <v>45</v>
      </c>
      <c r="B92" s="9" t="s">
        <v>52</v>
      </c>
      <c r="C92" s="9" t="s">
        <v>53</v>
      </c>
      <c r="D92" s="10"/>
      <c r="E92" s="2" t="n">
        <f>68576</f>
        <v>68576.0</v>
      </c>
      <c r="F92" s="10"/>
      <c r="G92" s="2" t="n">
        <f>1308960414166</f>
        <v>1.308960414166E12</v>
      </c>
      <c r="H92" s="10"/>
      <c r="I92" s="2" t="n">
        <f>10338</f>
        <v>10338.0</v>
      </c>
      <c r="J92" s="10"/>
      <c r="K92" s="2" t="n">
        <f>523298</f>
        <v>523298.0</v>
      </c>
    </row>
    <row r="93">
      <c r="A93" s="8" t="s">
        <v>47</v>
      </c>
      <c r="B93" s="9" t="s">
        <v>52</v>
      </c>
      <c r="C93" s="9" t="s">
        <v>53</v>
      </c>
      <c r="D93" s="10"/>
      <c r="E93" s="2" t="n">
        <f>73256</f>
        <v>73256.0</v>
      </c>
      <c r="F93" s="10"/>
      <c r="G93" s="2" t="n">
        <f>1397052684740</f>
        <v>1.39705268474E12</v>
      </c>
      <c r="H93" s="10"/>
      <c r="I93" s="2" t="n">
        <f>9798</f>
        <v>9798.0</v>
      </c>
      <c r="J93" s="10" t="s">
        <v>46</v>
      </c>
      <c r="K93" s="2" t="n">
        <f>522857</f>
        <v>522857.0</v>
      </c>
    </row>
    <row r="94">
      <c r="A94" s="8" t="s">
        <v>48</v>
      </c>
      <c r="B94" s="9" t="s">
        <v>52</v>
      </c>
      <c r="C94" s="9" t="s">
        <v>53</v>
      </c>
      <c r="D94" s="10"/>
      <c r="E94" s="2"/>
      <c r="F94" s="10"/>
      <c r="G94" s="2"/>
      <c r="H94" s="10"/>
      <c r="I94" s="2"/>
      <c r="J94" s="10"/>
      <c r="K94" s="2"/>
    </row>
    <row r="95">
      <c r="A95" s="8" t="s">
        <v>49</v>
      </c>
      <c r="B95" s="9" t="s">
        <v>52</v>
      </c>
      <c r="C95" s="9" t="s">
        <v>53</v>
      </c>
      <c r="D95" s="10"/>
      <c r="E95" s="2" t="n">
        <f>83741</f>
        <v>83741.0</v>
      </c>
      <c r="F95" s="10"/>
      <c r="G95" s="2" t="n">
        <f>1593693820020</f>
        <v>1.59369382002E12</v>
      </c>
      <c r="H95" s="10" t="s">
        <v>19</v>
      </c>
      <c r="I95" s="2" t="n">
        <f>22888</f>
        <v>22888.0</v>
      </c>
      <c r="J95" s="10"/>
      <c r="K95" s="2" t="n">
        <f>524304</f>
        <v>524304.0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40315</f>
        <v>40315.0</v>
      </c>
      <c r="F96" s="10"/>
      <c r="G96" s="2" t="n">
        <f>79125349250</f>
        <v>7.912534925E10</v>
      </c>
      <c r="H96" s="10"/>
      <c r="I96" s="2" t="n">
        <f>3809</f>
        <v>3809.0</v>
      </c>
      <c r="J96" s="10"/>
      <c r="K96" s="2" t="n">
        <f>63027</f>
        <v>63027.0</v>
      </c>
    </row>
    <row r="97">
      <c r="A97" s="8" t="s">
        <v>20</v>
      </c>
      <c r="B97" s="9" t="s">
        <v>54</v>
      </c>
      <c r="C97" s="9" t="s">
        <v>55</v>
      </c>
      <c r="D97" s="10"/>
      <c r="E97" s="2" t="n">
        <f>33104</f>
        <v>33104.0</v>
      </c>
      <c r="F97" s="10"/>
      <c r="G97" s="2" t="n">
        <f>65224594625</f>
        <v>6.5224594625E10</v>
      </c>
      <c r="H97" s="10"/>
      <c r="I97" s="2" t="n">
        <f>3306</f>
        <v>3306.0</v>
      </c>
      <c r="J97" s="10"/>
      <c r="K97" s="2" t="n">
        <f>63557</f>
        <v>63557.0</v>
      </c>
    </row>
    <row r="98">
      <c r="A98" s="8" t="s">
        <v>21</v>
      </c>
      <c r="B98" s="9" t="s">
        <v>54</v>
      </c>
      <c r="C98" s="9" t="s">
        <v>55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22</v>
      </c>
      <c r="B99" s="9" t="s">
        <v>54</v>
      </c>
      <c r="C99" s="9" t="s">
        <v>55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23</v>
      </c>
      <c r="B100" s="9" t="s">
        <v>54</v>
      </c>
      <c r="C100" s="9" t="s">
        <v>55</v>
      </c>
      <c r="D100" s="10"/>
      <c r="E100" s="2" t="n">
        <f>23561</f>
        <v>23561.0</v>
      </c>
      <c r="F100" s="10"/>
      <c r="G100" s="2" t="n">
        <f>46668366300</f>
        <v>4.66683663E10</v>
      </c>
      <c r="H100" s="10" t="s">
        <v>46</v>
      </c>
      <c r="I100" s="2" t="n">
        <f>1524</f>
        <v>1524.0</v>
      </c>
      <c r="J100" s="10"/>
      <c r="K100" s="2" t="n">
        <f>64421</f>
        <v>64421.0</v>
      </c>
    </row>
    <row r="101">
      <c r="A101" s="8" t="s">
        <v>24</v>
      </c>
      <c r="B101" s="9" t="s">
        <v>54</v>
      </c>
      <c r="C101" s="9" t="s">
        <v>55</v>
      </c>
      <c r="D101" s="10"/>
      <c r="E101" s="2" t="n">
        <f>35217</f>
        <v>35217.0</v>
      </c>
      <c r="F101" s="10"/>
      <c r="G101" s="2" t="n">
        <f>69328492570</f>
        <v>6.932849257E10</v>
      </c>
      <c r="H101" s="10"/>
      <c r="I101" s="2" t="n">
        <f>3930</f>
        <v>3930.0</v>
      </c>
      <c r="J101" s="10"/>
      <c r="K101" s="2" t="n">
        <f>64280</f>
        <v>64280.0</v>
      </c>
    </row>
    <row r="102">
      <c r="A102" s="8" t="s">
        <v>25</v>
      </c>
      <c r="B102" s="9" t="s">
        <v>54</v>
      </c>
      <c r="C102" s="9" t="s">
        <v>55</v>
      </c>
      <c r="D102" s="10"/>
      <c r="E102" s="2" t="n">
        <f>35494</f>
        <v>35494.0</v>
      </c>
      <c r="F102" s="10"/>
      <c r="G102" s="2" t="n">
        <f>69600786220</f>
        <v>6.960078622E10</v>
      </c>
      <c r="H102" s="10"/>
      <c r="I102" s="2" t="n">
        <f>3052</f>
        <v>3052.0</v>
      </c>
      <c r="J102" s="10" t="s">
        <v>19</v>
      </c>
      <c r="K102" s="2" t="n">
        <f>65263</f>
        <v>65263.0</v>
      </c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34468</f>
        <v>34468.0</v>
      </c>
      <c r="F103" s="10"/>
      <c r="G103" s="2" t="n">
        <f>67335185250</f>
        <v>6.733518525E10</v>
      </c>
      <c r="H103" s="10"/>
      <c r="I103" s="2" t="n">
        <f>4111</f>
        <v>4111.0</v>
      </c>
      <c r="J103" s="10"/>
      <c r="K103" s="2" t="n">
        <f>62754</f>
        <v>62754.0</v>
      </c>
    </row>
    <row r="104">
      <c r="A104" s="8" t="s">
        <v>27</v>
      </c>
      <c r="B104" s="9" t="s">
        <v>54</v>
      </c>
      <c r="C104" s="9" t="s">
        <v>55</v>
      </c>
      <c r="D104" s="10"/>
      <c r="E104" s="2" t="n">
        <f>35573</f>
        <v>35573.0</v>
      </c>
      <c r="F104" s="10"/>
      <c r="G104" s="2" t="n">
        <f>69808210350</f>
        <v>6.980821035E10</v>
      </c>
      <c r="H104" s="10"/>
      <c r="I104" s="2" t="n">
        <f>4569</f>
        <v>4569.0</v>
      </c>
      <c r="J104" s="10"/>
      <c r="K104" s="2" t="n">
        <f>64274</f>
        <v>64274.0</v>
      </c>
    </row>
    <row r="105">
      <c r="A105" s="8" t="s">
        <v>28</v>
      </c>
      <c r="B105" s="9" t="s">
        <v>54</v>
      </c>
      <c r="C105" s="9" t="s">
        <v>55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29</v>
      </c>
      <c r="B106" s="9" t="s">
        <v>54</v>
      </c>
      <c r="C106" s="9" t="s">
        <v>55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30</v>
      </c>
      <c r="B107" s="9" t="s">
        <v>54</v>
      </c>
      <c r="C107" s="9" t="s">
        <v>55</v>
      </c>
      <c r="D107" s="10"/>
      <c r="E107" s="2" t="n">
        <f>25237</f>
        <v>25237.0</v>
      </c>
      <c r="F107" s="10"/>
      <c r="G107" s="2" t="n">
        <f>49499536825</f>
        <v>4.9499536825E10</v>
      </c>
      <c r="H107" s="10"/>
      <c r="I107" s="2" t="n">
        <f>1950</f>
        <v>1950.0</v>
      </c>
      <c r="J107" s="10"/>
      <c r="K107" s="2" t="n">
        <f>64422</f>
        <v>64422.0</v>
      </c>
    </row>
    <row r="108">
      <c r="A108" s="8" t="s">
        <v>31</v>
      </c>
      <c r="B108" s="9" t="s">
        <v>54</v>
      </c>
      <c r="C108" s="9" t="s">
        <v>55</v>
      </c>
      <c r="D108" s="10" t="s">
        <v>46</v>
      </c>
      <c r="E108" s="2" t="n">
        <f>22678</f>
        <v>22678.0</v>
      </c>
      <c r="F108" s="10"/>
      <c r="G108" s="2" t="n">
        <f>44498364050</f>
        <v>4.449836405E10</v>
      </c>
      <c r="H108" s="10"/>
      <c r="I108" s="2" t="n">
        <f>1893</f>
        <v>1893.0</v>
      </c>
      <c r="J108" s="10"/>
      <c r="K108" s="2" t="n">
        <f>65171</f>
        <v>65171.0</v>
      </c>
    </row>
    <row r="109">
      <c r="A109" s="8" t="s">
        <v>32</v>
      </c>
      <c r="B109" s="9" t="s">
        <v>54</v>
      </c>
      <c r="C109" s="9" t="s">
        <v>55</v>
      </c>
      <c r="D109" s="10"/>
      <c r="E109" s="2" t="n">
        <f>24855</f>
        <v>24855.0</v>
      </c>
      <c r="F109" s="10"/>
      <c r="G109" s="2" t="n">
        <f>48546221000</f>
        <v>4.8546221E10</v>
      </c>
      <c r="H109" s="10"/>
      <c r="I109" s="2" t="n">
        <f>2263</f>
        <v>2263.0</v>
      </c>
      <c r="J109" s="10"/>
      <c r="K109" s="2" t="n">
        <f>63223</f>
        <v>63223.0</v>
      </c>
    </row>
    <row r="110">
      <c r="A110" s="8" t="s">
        <v>33</v>
      </c>
      <c r="B110" s="9" t="s">
        <v>54</v>
      </c>
      <c r="C110" s="9" t="s">
        <v>55</v>
      </c>
      <c r="D110" s="10"/>
      <c r="E110" s="2" t="n">
        <f>26629</f>
        <v>26629.0</v>
      </c>
      <c r="F110" s="10"/>
      <c r="G110" s="2" t="n">
        <f>52193542350</f>
        <v>5.219354235E10</v>
      </c>
      <c r="H110" s="10"/>
      <c r="I110" s="2" t="n">
        <f>2522</f>
        <v>2522.0</v>
      </c>
      <c r="J110" s="10"/>
      <c r="K110" s="2" t="n">
        <f>64552</f>
        <v>64552.0</v>
      </c>
    </row>
    <row r="111">
      <c r="A111" s="8" t="s">
        <v>34</v>
      </c>
      <c r="B111" s="9" t="s">
        <v>54</v>
      </c>
      <c r="C111" s="9" t="s">
        <v>55</v>
      </c>
      <c r="D111" s="10"/>
      <c r="E111" s="2" t="n">
        <f>23819</f>
        <v>23819.0</v>
      </c>
      <c r="F111" s="10"/>
      <c r="G111" s="2" t="n">
        <f>46688170400</f>
        <v>4.66881704E10</v>
      </c>
      <c r="H111" s="10"/>
      <c r="I111" s="2" t="n">
        <f>1959</f>
        <v>1959.0</v>
      </c>
      <c r="J111" s="10"/>
      <c r="K111" s="2" t="n">
        <f>63307</f>
        <v>63307.0</v>
      </c>
    </row>
    <row r="112">
      <c r="A112" s="8" t="s">
        <v>35</v>
      </c>
      <c r="B112" s="9" t="s">
        <v>54</v>
      </c>
      <c r="C112" s="9" t="s">
        <v>55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36</v>
      </c>
      <c r="B113" s="9" t="s">
        <v>54</v>
      </c>
      <c r="C113" s="9" t="s">
        <v>55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37</v>
      </c>
      <c r="B114" s="9" t="s">
        <v>54</v>
      </c>
      <c r="C114" s="9" t="s">
        <v>55</v>
      </c>
      <c r="D114" s="10"/>
      <c r="E114" s="2" t="n">
        <f>27564</f>
        <v>27564.0</v>
      </c>
      <c r="F114" s="10"/>
      <c r="G114" s="2" t="n">
        <f>54022380600</f>
        <v>5.40223806E10</v>
      </c>
      <c r="H114" s="10"/>
      <c r="I114" s="2" t="n">
        <f>2391</f>
        <v>2391.0</v>
      </c>
      <c r="J114" s="10"/>
      <c r="K114" s="2" t="n">
        <f>61948</f>
        <v>61948.0</v>
      </c>
    </row>
    <row r="115">
      <c r="A115" s="8" t="s">
        <v>38</v>
      </c>
      <c r="B115" s="9" t="s">
        <v>54</v>
      </c>
      <c r="C115" s="9" t="s">
        <v>55</v>
      </c>
      <c r="D115" s="10"/>
      <c r="E115" s="2" t="n">
        <f>42419</f>
        <v>42419.0</v>
      </c>
      <c r="F115" s="10"/>
      <c r="G115" s="2" t="n">
        <f>81962456450</f>
        <v>8.196245645E10</v>
      </c>
      <c r="H115" s="10"/>
      <c r="I115" s="2" t="n">
        <f>4896</f>
        <v>4896.0</v>
      </c>
      <c r="J115" s="10"/>
      <c r="K115" s="2" t="n">
        <f>56925</f>
        <v>56925.0</v>
      </c>
    </row>
    <row r="116">
      <c r="A116" s="8" t="s">
        <v>39</v>
      </c>
      <c r="B116" s="9" t="s">
        <v>54</v>
      </c>
      <c r="C116" s="9" t="s">
        <v>55</v>
      </c>
      <c r="D116" s="10" t="s">
        <v>19</v>
      </c>
      <c r="E116" s="2" t="n">
        <f>50482</f>
        <v>50482.0</v>
      </c>
      <c r="F116" s="10" t="s">
        <v>19</v>
      </c>
      <c r="G116" s="2" t="n">
        <f>95616228200</f>
        <v>9.56162282E10</v>
      </c>
      <c r="H116" s="10" t="s">
        <v>19</v>
      </c>
      <c r="I116" s="2" t="n">
        <f>7311</f>
        <v>7311.0</v>
      </c>
      <c r="J116" s="10"/>
      <c r="K116" s="2" t="n">
        <f>56800</f>
        <v>56800.0</v>
      </c>
    </row>
    <row r="117">
      <c r="A117" s="8" t="s">
        <v>40</v>
      </c>
      <c r="B117" s="9" t="s">
        <v>54</v>
      </c>
      <c r="C117" s="9" t="s">
        <v>55</v>
      </c>
      <c r="D117" s="10"/>
      <c r="E117" s="2" t="n">
        <f>33301</f>
        <v>33301.0</v>
      </c>
      <c r="F117" s="10"/>
      <c r="G117" s="2" t="n">
        <f>63601130120</f>
        <v>6.360113012E10</v>
      </c>
      <c r="H117" s="10"/>
      <c r="I117" s="2" t="n">
        <f>2958</f>
        <v>2958.0</v>
      </c>
      <c r="J117" s="10"/>
      <c r="K117" s="2" t="n">
        <f>55040</f>
        <v>55040.0</v>
      </c>
    </row>
    <row r="118">
      <c r="A118" s="8" t="s">
        <v>41</v>
      </c>
      <c r="B118" s="9" t="s">
        <v>54</v>
      </c>
      <c r="C118" s="9" t="s">
        <v>55</v>
      </c>
      <c r="D118" s="10"/>
      <c r="E118" s="2" t="n">
        <f>25895</f>
        <v>25895.0</v>
      </c>
      <c r="F118" s="10"/>
      <c r="G118" s="2" t="n">
        <f>49559892740</f>
        <v>4.955989274E10</v>
      </c>
      <c r="H118" s="10"/>
      <c r="I118" s="2" t="n">
        <f>2105</f>
        <v>2105.0</v>
      </c>
      <c r="J118" s="10" t="s">
        <v>46</v>
      </c>
      <c r="K118" s="2" t="n">
        <f>54574</f>
        <v>54574.0</v>
      </c>
    </row>
    <row r="119">
      <c r="A119" s="8" t="s">
        <v>42</v>
      </c>
      <c r="B119" s="9" t="s">
        <v>54</v>
      </c>
      <c r="C119" s="9" t="s">
        <v>55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43</v>
      </c>
      <c r="B120" s="9" t="s">
        <v>54</v>
      </c>
      <c r="C120" s="9" t="s">
        <v>55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44</v>
      </c>
      <c r="B121" s="9" t="s">
        <v>54</v>
      </c>
      <c r="C121" s="9" t="s">
        <v>55</v>
      </c>
      <c r="D121" s="10"/>
      <c r="E121" s="2" t="n">
        <f>26957</f>
        <v>26957.0</v>
      </c>
      <c r="F121" s="10"/>
      <c r="G121" s="2" t="n">
        <f>51668876700</f>
        <v>5.16688767E10</v>
      </c>
      <c r="H121" s="10"/>
      <c r="I121" s="2" t="n">
        <f>1816</f>
        <v>1816.0</v>
      </c>
      <c r="J121" s="10"/>
      <c r="K121" s="2" t="n">
        <f>54701</f>
        <v>54701.0</v>
      </c>
    </row>
    <row r="122">
      <c r="A122" s="8" t="s">
        <v>45</v>
      </c>
      <c r="B122" s="9" t="s">
        <v>54</v>
      </c>
      <c r="C122" s="9" t="s">
        <v>55</v>
      </c>
      <c r="D122" s="10"/>
      <c r="E122" s="2" t="n">
        <f>23008</f>
        <v>23008.0</v>
      </c>
      <c r="F122" s="10" t="s">
        <v>46</v>
      </c>
      <c r="G122" s="2" t="n">
        <f>43979842050</f>
        <v>4.397984205E10</v>
      </c>
      <c r="H122" s="10"/>
      <c r="I122" s="2" t="n">
        <f>1833</f>
        <v>1833.0</v>
      </c>
      <c r="J122" s="10"/>
      <c r="K122" s="2" t="n">
        <f>54951</f>
        <v>54951.0</v>
      </c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25094</f>
        <v>25094.0</v>
      </c>
      <c r="F123" s="10"/>
      <c r="G123" s="2" t="n">
        <f>47863506625</f>
        <v>4.7863506625E10</v>
      </c>
      <c r="H123" s="10"/>
      <c r="I123" s="2" t="n">
        <f>2095</f>
        <v>2095.0</v>
      </c>
      <c r="J123" s="10"/>
      <c r="K123" s="2" t="n">
        <f>55227</f>
        <v>55227.0</v>
      </c>
    </row>
    <row r="124">
      <c r="A124" s="8" t="s">
        <v>48</v>
      </c>
      <c r="B124" s="9" t="s">
        <v>54</v>
      </c>
      <c r="C124" s="9" t="s">
        <v>55</v>
      </c>
      <c r="D124" s="10"/>
      <c r="E124" s="2"/>
      <c r="F124" s="10"/>
      <c r="G124" s="2"/>
      <c r="H124" s="10"/>
      <c r="I124" s="2"/>
      <c r="J124" s="10"/>
      <c r="K124" s="2"/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32638</f>
        <v>32638.0</v>
      </c>
      <c r="F125" s="10"/>
      <c r="G125" s="2" t="n">
        <f>62171913250</f>
        <v>6.217191325E10</v>
      </c>
      <c r="H125" s="10"/>
      <c r="I125" s="2" t="n">
        <f>2855</f>
        <v>2855.0</v>
      </c>
      <c r="J125" s="10"/>
      <c r="K125" s="2" t="n">
        <f>57165</f>
        <v>57165.0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21321</f>
        <v>21321.0</v>
      </c>
      <c r="F126" s="10"/>
      <c r="G126" s="2" t="n">
        <f>37770393400</f>
        <v>3.77703934E10</v>
      </c>
      <c r="H126" s="10"/>
      <c r="I126" s="2" t="n">
        <f>875</f>
        <v>875.0</v>
      </c>
      <c r="J126" s="10" t="s">
        <v>19</v>
      </c>
      <c r="K126" s="2" t="n">
        <f>101869</f>
        <v>101869.0</v>
      </c>
    </row>
    <row r="127">
      <c r="A127" s="8" t="s">
        <v>20</v>
      </c>
      <c r="B127" s="9" t="s">
        <v>56</v>
      </c>
      <c r="C127" s="9" t="s">
        <v>57</v>
      </c>
      <c r="D127" s="10"/>
      <c r="E127" s="2" t="n">
        <f>12274</f>
        <v>12274.0</v>
      </c>
      <c r="F127" s="10"/>
      <c r="G127" s="2" t="n">
        <f>21819554500</f>
        <v>2.18195545E10</v>
      </c>
      <c r="H127" s="10"/>
      <c r="I127" s="2" t="n">
        <f>640</f>
        <v>640.0</v>
      </c>
      <c r="J127" s="10"/>
      <c r="K127" s="2" t="n">
        <f>101770</f>
        <v>101770.0</v>
      </c>
    </row>
    <row r="128">
      <c r="A128" s="8" t="s">
        <v>21</v>
      </c>
      <c r="B128" s="9" t="s">
        <v>56</v>
      </c>
      <c r="C128" s="9" t="s">
        <v>57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22</v>
      </c>
      <c r="B129" s="9" t="s">
        <v>56</v>
      </c>
      <c r="C129" s="9" t="s">
        <v>57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23</v>
      </c>
      <c r="B130" s="9" t="s">
        <v>56</v>
      </c>
      <c r="C130" s="9" t="s">
        <v>57</v>
      </c>
      <c r="D130" s="10" t="s">
        <v>46</v>
      </c>
      <c r="E130" s="2" t="n">
        <f>9885</f>
        <v>9885.0</v>
      </c>
      <c r="F130" s="10" t="s">
        <v>46</v>
      </c>
      <c r="G130" s="2" t="n">
        <f>17676042500</f>
        <v>1.76760425E10</v>
      </c>
      <c r="H130" s="10"/>
      <c r="I130" s="2" t="n">
        <f>808</f>
        <v>808.0</v>
      </c>
      <c r="J130" s="10"/>
      <c r="K130" s="2" t="n">
        <f>101160</f>
        <v>101160.0</v>
      </c>
    </row>
    <row r="131">
      <c r="A131" s="8" t="s">
        <v>24</v>
      </c>
      <c r="B131" s="9" t="s">
        <v>56</v>
      </c>
      <c r="C131" s="9" t="s">
        <v>57</v>
      </c>
      <c r="D131" s="10"/>
      <c r="E131" s="2" t="n">
        <f>14869</f>
        <v>14869.0</v>
      </c>
      <c r="F131" s="10"/>
      <c r="G131" s="2" t="n">
        <f>26394057500</f>
        <v>2.63940575E10</v>
      </c>
      <c r="H131" s="10" t="s">
        <v>46</v>
      </c>
      <c r="I131" s="2" t="n">
        <f>397</f>
        <v>397.0</v>
      </c>
      <c r="J131" s="10"/>
      <c r="K131" s="2" t="n">
        <f>100950</f>
        <v>100950.0</v>
      </c>
    </row>
    <row r="132">
      <c r="A132" s="8" t="s">
        <v>25</v>
      </c>
      <c r="B132" s="9" t="s">
        <v>56</v>
      </c>
      <c r="C132" s="9" t="s">
        <v>57</v>
      </c>
      <c r="D132" s="10"/>
      <c r="E132" s="2" t="n">
        <f>22251</f>
        <v>22251.0</v>
      </c>
      <c r="F132" s="10"/>
      <c r="G132" s="2" t="n">
        <f>39359397746</f>
        <v>3.9359397746E10</v>
      </c>
      <c r="H132" s="10"/>
      <c r="I132" s="2" t="n">
        <f>846</f>
        <v>846.0</v>
      </c>
      <c r="J132" s="10"/>
      <c r="K132" s="2" t="n">
        <f>95701</f>
        <v>95701.0</v>
      </c>
    </row>
    <row r="133">
      <c r="A133" s="8" t="s">
        <v>26</v>
      </c>
      <c r="B133" s="9" t="s">
        <v>56</v>
      </c>
      <c r="C133" s="9" t="s">
        <v>57</v>
      </c>
      <c r="D133" s="10"/>
      <c r="E133" s="2" t="n">
        <f>10359</f>
        <v>10359.0</v>
      </c>
      <c r="F133" s="10"/>
      <c r="G133" s="2" t="n">
        <f>18247131310</f>
        <v>1.824713131E10</v>
      </c>
      <c r="H133" s="10"/>
      <c r="I133" s="2" t="n">
        <f>1077</f>
        <v>1077.0</v>
      </c>
      <c r="J133" s="10" t="s">
        <v>46</v>
      </c>
      <c r="K133" s="2" t="n">
        <f>95024</f>
        <v>95024.0</v>
      </c>
    </row>
    <row r="134">
      <c r="A134" s="8" t="s">
        <v>27</v>
      </c>
      <c r="B134" s="9" t="s">
        <v>56</v>
      </c>
      <c r="C134" s="9" t="s">
        <v>57</v>
      </c>
      <c r="D134" s="10"/>
      <c r="E134" s="2" t="n">
        <f>16491</f>
        <v>16491.0</v>
      </c>
      <c r="F134" s="10"/>
      <c r="G134" s="2" t="n">
        <f>29167040900</f>
        <v>2.91670409E10</v>
      </c>
      <c r="H134" s="10"/>
      <c r="I134" s="2" t="n">
        <f>1132</f>
        <v>1132.0</v>
      </c>
      <c r="J134" s="10"/>
      <c r="K134" s="2" t="n">
        <f>96568</f>
        <v>96568.0</v>
      </c>
    </row>
    <row r="135">
      <c r="A135" s="8" t="s">
        <v>28</v>
      </c>
      <c r="B135" s="9" t="s">
        <v>56</v>
      </c>
      <c r="C135" s="9" t="s">
        <v>57</v>
      </c>
      <c r="D135" s="10"/>
      <c r="E135" s="2"/>
      <c r="F135" s="10"/>
      <c r="G135" s="2"/>
      <c r="H135" s="10"/>
      <c r="I135" s="2"/>
      <c r="J135" s="10"/>
      <c r="K135" s="2"/>
    </row>
    <row r="136">
      <c r="A136" s="8" t="s">
        <v>29</v>
      </c>
      <c r="B136" s="9" t="s">
        <v>56</v>
      </c>
      <c r="C136" s="9" t="s">
        <v>57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30</v>
      </c>
      <c r="B137" s="9" t="s">
        <v>56</v>
      </c>
      <c r="C137" s="9" t="s">
        <v>57</v>
      </c>
      <c r="D137" s="10"/>
      <c r="E137" s="2" t="n">
        <f>12370</f>
        <v>12370.0</v>
      </c>
      <c r="F137" s="10"/>
      <c r="G137" s="2" t="n">
        <f>21862305000</f>
        <v>2.1862305E10</v>
      </c>
      <c r="H137" s="10"/>
      <c r="I137" s="2" t="n">
        <f>1075</f>
        <v>1075.0</v>
      </c>
      <c r="J137" s="10"/>
      <c r="K137" s="2" t="n">
        <f>95259</f>
        <v>95259.0</v>
      </c>
    </row>
    <row r="138">
      <c r="A138" s="8" t="s">
        <v>31</v>
      </c>
      <c r="B138" s="9" t="s">
        <v>56</v>
      </c>
      <c r="C138" s="9" t="s">
        <v>57</v>
      </c>
      <c r="D138" s="10"/>
      <c r="E138" s="2" t="n">
        <f>11183</f>
        <v>11183.0</v>
      </c>
      <c r="F138" s="10"/>
      <c r="G138" s="2" t="n">
        <f>19752672904</f>
        <v>1.9752672904E10</v>
      </c>
      <c r="H138" s="10"/>
      <c r="I138" s="2" t="n">
        <f>875</f>
        <v>875.0</v>
      </c>
      <c r="J138" s="10"/>
      <c r="K138" s="2" t="n">
        <f>96471</f>
        <v>96471.0</v>
      </c>
    </row>
    <row r="139">
      <c r="A139" s="8" t="s">
        <v>32</v>
      </c>
      <c r="B139" s="9" t="s">
        <v>56</v>
      </c>
      <c r="C139" s="9" t="s">
        <v>57</v>
      </c>
      <c r="D139" s="10"/>
      <c r="E139" s="2" t="n">
        <f>15350</f>
        <v>15350.0</v>
      </c>
      <c r="F139" s="10"/>
      <c r="G139" s="2" t="n">
        <f>26990189108</f>
        <v>2.6990189108E10</v>
      </c>
      <c r="H139" s="10"/>
      <c r="I139" s="2" t="n">
        <f>999</f>
        <v>999.0</v>
      </c>
      <c r="J139" s="10"/>
      <c r="K139" s="2" t="n">
        <f>96730</f>
        <v>96730.0</v>
      </c>
    </row>
    <row r="140">
      <c r="A140" s="8" t="s">
        <v>33</v>
      </c>
      <c r="B140" s="9" t="s">
        <v>56</v>
      </c>
      <c r="C140" s="9" t="s">
        <v>57</v>
      </c>
      <c r="D140" s="10"/>
      <c r="E140" s="2" t="n">
        <f>11819</f>
        <v>11819.0</v>
      </c>
      <c r="F140" s="10"/>
      <c r="G140" s="2" t="n">
        <f>20853784000</f>
        <v>2.0853784E10</v>
      </c>
      <c r="H140" s="10"/>
      <c r="I140" s="2" t="n">
        <f>535</f>
        <v>535.0</v>
      </c>
      <c r="J140" s="10"/>
      <c r="K140" s="2" t="n">
        <f>96662</f>
        <v>96662.0</v>
      </c>
    </row>
    <row r="141">
      <c r="A141" s="8" t="s">
        <v>34</v>
      </c>
      <c r="B141" s="9" t="s">
        <v>56</v>
      </c>
      <c r="C141" s="9" t="s">
        <v>57</v>
      </c>
      <c r="D141" s="10"/>
      <c r="E141" s="2" t="n">
        <f>12818</f>
        <v>12818.0</v>
      </c>
      <c r="F141" s="10"/>
      <c r="G141" s="2" t="n">
        <f>22628487297</f>
        <v>2.2628487297E10</v>
      </c>
      <c r="H141" s="10"/>
      <c r="I141" s="2" t="n">
        <f>528</f>
        <v>528.0</v>
      </c>
      <c r="J141" s="10"/>
      <c r="K141" s="2" t="n">
        <f>97531</f>
        <v>97531.0</v>
      </c>
    </row>
    <row r="142">
      <c r="A142" s="8" t="s">
        <v>35</v>
      </c>
      <c r="B142" s="9" t="s">
        <v>56</v>
      </c>
      <c r="C142" s="9" t="s">
        <v>57</v>
      </c>
      <c r="D142" s="10"/>
      <c r="E142" s="2"/>
      <c r="F142" s="10"/>
      <c r="G142" s="2"/>
      <c r="H142" s="10"/>
      <c r="I142" s="2"/>
      <c r="J142" s="10"/>
      <c r="K142" s="2"/>
    </row>
    <row r="143">
      <c r="A143" s="8" t="s">
        <v>36</v>
      </c>
      <c r="B143" s="9" t="s">
        <v>56</v>
      </c>
      <c r="C143" s="9" t="s">
        <v>57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37</v>
      </c>
      <c r="B144" s="9" t="s">
        <v>56</v>
      </c>
      <c r="C144" s="9" t="s">
        <v>57</v>
      </c>
      <c r="D144" s="10"/>
      <c r="E144" s="2" t="n">
        <f>13511</f>
        <v>13511.0</v>
      </c>
      <c r="F144" s="10"/>
      <c r="G144" s="2" t="n">
        <f>23851435924</f>
        <v>2.3851435924E10</v>
      </c>
      <c r="H144" s="10"/>
      <c r="I144" s="2" t="n">
        <f>1254</f>
        <v>1254.0</v>
      </c>
      <c r="J144" s="10"/>
      <c r="K144" s="2" t="n">
        <f>98299</f>
        <v>98299.0</v>
      </c>
    </row>
    <row r="145">
      <c r="A145" s="8" t="s">
        <v>38</v>
      </c>
      <c r="B145" s="9" t="s">
        <v>56</v>
      </c>
      <c r="C145" s="9" t="s">
        <v>57</v>
      </c>
      <c r="D145" s="10"/>
      <c r="E145" s="2" t="n">
        <f>20284</f>
        <v>20284.0</v>
      </c>
      <c r="F145" s="10"/>
      <c r="G145" s="2" t="n">
        <f>35292925292</f>
        <v>3.5292925292E10</v>
      </c>
      <c r="H145" s="10"/>
      <c r="I145" s="2" t="n">
        <f>806</f>
        <v>806.0</v>
      </c>
      <c r="J145" s="10"/>
      <c r="K145" s="2" t="n">
        <f>97946</f>
        <v>97946.0</v>
      </c>
    </row>
    <row r="146">
      <c r="A146" s="8" t="s">
        <v>39</v>
      </c>
      <c r="B146" s="9" t="s">
        <v>56</v>
      </c>
      <c r="C146" s="9" t="s">
        <v>57</v>
      </c>
      <c r="D146" s="10" t="s">
        <v>19</v>
      </c>
      <c r="E146" s="2" t="n">
        <f>26011</f>
        <v>26011.0</v>
      </c>
      <c r="F146" s="10" t="s">
        <v>19</v>
      </c>
      <c r="G146" s="2" t="n">
        <f>44339158152</f>
        <v>4.4339158152E10</v>
      </c>
      <c r="H146" s="10" t="s">
        <v>19</v>
      </c>
      <c r="I146" s="2" t="n">
        <f>2500</f>
        <v>2500.0</v>
      </c>
      <c r="J146" s="10"/>
      <c r="K146" s="2" t="n">
        <f>97471</f>
        <v>97471.0</v>
      </c>
    </row>
    <row r="147">
      <c r="A147" s="8" t="s">
        <v>40</v>
      </c>
      <c r="B147" s="9" t="s">
        <v>56</v>
      </c>
      <c r="C147" s="9" t="s">
        <v>57</v>
      </c>
      <c r="D147" s="10"/>
      <c r="E147" s="2" t="n">
        <f>20420</f>
        <v>20420.0</v>
      </c>
      <c r="F147" s="10"/>
      <c r="G147" s="2" t="n">
        <f>35127191780</f>
        <v>3.512719178E10</v>
      </c>
      <c r="H147" s="10"/>
      <c r="I147" s="2" t="n">
        <f>1257</f>
        <v>1257.0</v>
      </c>
      <c r="J147" s="10"/>
      <c r="K147" s="2" t="n">
        <f>97983</f>
        <v>97983.0</v>
      </c>
    </row>
    <row r="148">
      <c r="A148" s="8" t="s">
        <v>41</v>
      </c>
      <c r="B148" s="9" t="s">
        <v>56</v>
      </c>
      <c r="C148" s="9" t="s">
        <v>57</v>
      </c>
      <c r="D148" s="10"/>
      <c r="E148" s="2" t="n">
        <f>12354</f>
        <v>12354.0</v>
      </c>
      <c r="F148" s="10"/>
      <c r="G148" s="2" t="n">
        <f>21287292000</f>
        <v>2.1287292E10</v>
      </c>
      <c r="H148" s="10"/>
      <c r="I148" s="2" t="n">
        <f>929</f>
        <v>929.0</v>
      </c>
      <c r="J148" s="10"/>
      <c r="K148" s="2" t="n">
        <f>97972</f>
        <v>97972.0</v>
      </c>
    </row>
    <row r="149">
      <c r="A149" s="8" t="s">
        <v>42</v>
      </c>
      <c r="B149" s="9" t="s">
        <v>56</v>
      </c>
      <c r="C149" s="9" t="s">
        <v>57</v>
      </c>
      <c r="D149" s="10"/>
      <c r="E149" s="2"/>
      <c r="F149" s="10"/>
      <c r="G149" s="2"/>
      <c r="H149" s="10"/>
      <c r="I149" s="2"/>
      <c r="J149" s="10"/>
      <c r="K149" s="2"/>
    </row>
    <row r="150">
      <c r="A150" s="8" t="s">
        <v>43</v>
      </c>
      <c r="B150" s="9" t="s">
        <v>56</v>
      </c>
      <c r="C150" s="9" t="s">
        <v>57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44</v>
      </c>
      <c r="B151" s="9" t="s">
        <v>56</v>
      </c>
      <c r="C151" s="9" t="s">
        <v>57</v>
      </c>
      <c r="D151" s="10"/>
      <c r="E151" s="2" t="n">
        <f>15886</f>
        <v>15886.0</v>
      </c>
      <c r="F151" s="10"/>
      <c r="G151" s="2" t="n">
        <f>27432123588</f>
        <v>2.7432123588E10</v>
      </c>
      <c r="H151" s="10"/>
      <c r="I151" s="2" t="n">
        <f>802</f>
        <v>802.0</v>
      </c>
      <c r="J151" s="10"/>
      <c r="K151" s="2" t="n">
        <f>97103</f>
        <v>97103.0</v>
      </c>
    </row>
    <row r="152">
      <c r="A152" s="8" t="s">
        <v>45</v>
      </c>
      <c r="B152" s="9" t="s">
        <v>56</v>
      </c>
      <c r="C152" s="9" t="s">
        <v>57</v>
      </c>
      <c r="D152" s="10"/>
      <c r="E152" s="2" t="n">
        <f>10676</f>
        <v>10676.0</v>
      </c>
      <c r="F152" s="10"/>
      <c r="G152" s="2" t="n">
        <f>18403280500</f>
        <v>1.84032805E10</v>
      </c>
      <c r="H152" s="10"/>
      <c r="I152" s="2" t="n">
        <f>794</f>
        <v>794.0</v>
      </c>
      <c r="J152" s="10"/>
      <c r="K152" s="2" t="n">
        <f>97500</f>
        <v>97500.0</v>
      </c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12196</f>
        <v>12196.0</v>
      </c>
      <c r="F153" s="10"/>
      <c r="G153" s="2" t="n">
        <f>20949269000</f>
        <v>2.0949269E10</v>
      </c>
      <c r="H153" s="10"/>
      <c r="I153" s="2" t="n">
        <f>492</f>
        <v>492.0</v>
      </c>
      <c r="J153" s="10"/>
      <c r="K153" s="2" t="n">
        <f>97374</f>
        <v>97374.0</v>
      </c>
    </row>
    <row r="154">
      <c r="A154" s="8" t="s">
        <v>48</v>
      </c>
      <c r="B154" s="9" t="s">
        <v>56</v>
      </c>
      <c r="C154" s="9" t="s">
        <v>57</v>
      </c>
      <c r="D154" s="10"/>
      <c r="E154" s="2"/>
      <c r="F154" s="10"/>
      <c r="G154" s="2"/>
      <c r="H154" s="10"/>
      <c r="I154" s="2"/>
      <c r="J154" s="10"/>
      <c r="K154" s="2"/>
    </row>
    <row r="155">
      <c r="A155" s="8" t="s">
        <v>49</v>
      </c>
      <c r="B155" s="9" t="s">
        <v>56</v>
      </c>
      <c r="C155" s="9" t="s">
        <v>57</v>
      </c>
      <c r="D155" s="10"/>
      <c r="E155" s="2" t="n">
        <f>13849</f>
        <v>13849.0</v>
      </c>
      <c r="F155" s="10"/>
      <c r="G155" s="2" t="n">
        <f>23784386253</f>
        <v>2.3784386253E10</v>
      </c>
      <c r="H155" s="10"/>
      <c r="I155" s="2" t="n">
        <f>850</f>
        <v>850.0</v>
      </c>
      <c r="J155" s="10"/>
      <c r="K155" s="2" t="n">
        <f>98936</f>
        <v>98936.0</v>
      </c>
    </row>
    <row r="156">
      <c r="A156" s="8" t="s">
        <v>16</v>
      </c>
      <c r="B156" s="9" t="s">
        <v>58</v>
      </c>
      <c r="C156" s="9" t="s">
        <v>59</v>
      </c>
      <c r="D156" s="10" t="s">
        <v>60</v>
      </c>
      <c r="E156" s="2" t="str">
        <f>"－"</f>
        <v>－</v>
      </c>
      <c r="F156" s="10" t="s">
        <v>60</v>
      </c>
      <c r="G156" s="2" t="str">
        <f>"－"</f>
        <v>－</v>
      </c>
      <c r="H156" s="10" t="s">
        <v>60</v>
      </c>
      <c r="I156" s="2" t="str">
        <f>"－"</f>
        <v>－</v>
      </c>
      <c r="J156" s="10" t="s">
        <v>60</v>
      </c>
      <c r="K156" s="2" t="n">
        <f>63</f>
        <v>63.0</v>
      </c>
    </row>
    <row r="157">
      <c r="A157" s="8" t="s">
        <v>20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63</f>
        <v>63.0</v>
      </c>
    </row>
    <row r="158">
      <c r="A158" s="8" t="s">
        <v>21</v>
      </c>
      <c r="B158" s="9" t="s">
        <v>58</v>
      </c>
      <c r="C158" s="9" t="s">
        <v>59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22</v>
      </c>
      <c r="B159" s="9" t="s">
        <v>58</v>
      </c>
      <c r="C159" s="9" t="s">
        <v>59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23</v>
      </c>
      <c r="B160" s="9" t="s">
        <v>58</v>
      </c>
      <c r="C160" s="9" t="s">
        <v>59</v>
      </c>
      <c r="D160" s="10"/>
      <c r="E160" s="2" t="str">
        <f>"－"</f>
        <v>－</v>
      </c>
      <c r="F160" s="10"/>
      <c r="G160" s="2" t="str">
        <f>"－"</f>
        <v>－</v>
      </c>
      <c r="H160" s="10"/>
      <c r="I160" s="2" t="str">
        <f>"－"</f>
        <v>－</v>
      </c>
      <c r="J160" s="10"/>
      <c r="K160" s="2" t="n">
        <f>63</f>
        <v>63.0</v>
      </c>
    </row>
    <row r="161">
      <c r="A161" s="8" t="s">
        <v>24</v>
      </c>
      <c r="B161" s="9" t="s">
        <v>58</v>
      </c>
      <c r="C161" s="9" t="s">
        <v>59</v>
      </c>
      <c r="D161" s="10"/>
      <c r="E161" s="2" t="str">
        <f>"－"</f>
        <v>－</v>
      </c>
      <c r="F161" s="10"/>
      <c r="G161" s="2" t="str">
        <f>"－"</f>
        <v>－</v>
      </c>
      <c r="H161" s="10"/>
      <c r="I161" s="2" t="str">
        <f>"－"</f>
        <v>－</v>
      </c>
      <c r="J161" s="10"/>
      <c r="K161" s="2" t="n">
        <f>63</f>
        <v>63.0</v>
      </c>
    </row>
    <row r="162">
      <c r="A162" s="8" t="s">
        <v>25</v>
      </c>
      <c r="B162" s="9" t="s">
        <v>58</v>
      </c>
      <c r="C162" s="9" t="s">
        <v>59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63</f>
        <v>63.0</v>
      </c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63</f>
        <v>63.0</v>
      </c>
    </row>
    <row r="164">
      <c r="A164" s="8" t="s">
        <v>27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63</f>
        <v>63.0</v>
      </c>
    </row>
    <row r="165">
      <c r="A165" s="8" t="s">
        <v>28</v>
      </c>
      <c r="B165" s="9" t="s">
        <v>58</v>
      </c>
      <c r="C165" s="9" t="s">
        <v>59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29</v>
      </c>
      <c r="B166" s="9" t="s">
        <v>58</v>
      </c>
      <c r="C166" s="9" t="s">
        <v>59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30</v>
      </c>
      <c r="B167" s="9" t="s">
        <v>58</v>
      </c>
      <c r="C167" s="9" t="s">
        <v>59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63</f>
        <v>63.0</v>
      </c>
    </row>
    <row r="168">
      <c r="A168" s="8" t="s">
        <v>31</v>
      </c>
      <c r="B168" s="9" t="s">
        <v>58</v>
      </c>
      <c r="C168" s="9" t="s">
        <v>59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63</f>
        <v>63.0</v>
      </c>
    </row>
    <row r="169">
      <c r="A169" s="8" t="s">
        <v>32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63</f>
        <v>63.0</v>
      </c>
    </row>
    <row r="170">
      <c r="A170" s="8" t="s">
        <v>33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63</f>
        <v>63.0</v>
      </c>
    </row>
    <row r="171">
      <c r="A171" s="8" t="s">
        <v>34</v>
      </c>
      <c r="B171" s="9" t="s">
        <v>58</v>
      </c>
      <c r="C171" s="9" t="s">
        <v>59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63</f>
        <v>63.0</v>
      </c>
    </row>
    <row r="172">
      <c r="A172" s="8" t="s">
        <v>35</v>
      </c>
      <c r="B172" s="9" t="s">
        <v>58</v>
      </c>
      <c r="C172" s="9" t="s">
        <v>59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36</v>
      </c>
      <c r="B173" s="9" t="s">
        <v>58</v>
      </c>
      <c r="C173" s="9" t="s">
        <v>59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37</v>
      </c>
      <c r="B174" s="9" t="s">
        <v>58</v>
      </c>
      <c r="C174" s="9" t="s">
        <v>59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63</f>
        <v>63.0</v>
      </c>
    </row>
    <row r="175">
      <c r="A175" s="8" t="s">
        <v>38</v>
      </c>
      <c r="B175" s="9" t="s">
        <v>58</v>
      </c>
      <c r="C175" s="9" t="s">
        <v>59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63</f>
        <v>63.0</v>
      </c>
    </row>
    <row r="176">
      <c r="A176" s="8" t="s">
        <v>39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63</f>
        <v>63.0</v>
      </c>
    </row>
    <row r="177">
      <c r="A177" s="8" t="s">
        <v>40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63</f>
        <v>63.0</v>
      </c>
    </row>
    <row r="178">
      <c r="A178" s="8" t="s">
        <v>41</v>
      </c>
      <c r="B178" s="9" t="s">
        <v>58</v>
      </c>
      <c r="C178" s="9" t="s">
        <v>59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63</f>
        <v>63.0</v>
      </c>
    </row>
    <row r="179">
      <c r="A179" s="8" t="s">
        <v>42</v>
      </c>
      <c r="B179" s="9" t="s">
        <v>58</v>
      </c>
      <c r="C179" s="9" t="s">
        <v>59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43</v>
      </c>
      <c r="B180" s="9" t="s">
        <v>58</v>
      </c>
      <c r="C180" s="9" t="s">
        <v>59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44</v>
      </c>
      <c r="B181" s="9" t="s">
        <v>58</v>
      </c>
      <c r="C181" s="9" t="s">
        <v>59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63</f>
        <v>63.0</v>
      </c>
    </row>
    <row r="182">
      <c r="A182" s="8" t="s">
        <v>45</v>
      </c>
      <c r="B182" s="9" t="s">
        <v>58</v>
      </c>
      <c r="C182" s="9" t="s">
        <v>59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63</f>
        <v>63.0</v>
      </c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63</f>
        <v>63.0</v>
      </c>
    </row>
    <row r="184">
      <c r="A184" s="8" t="s">
        <v>48</v>
      </c>
      <c r="B184" s="9" t="s">
        <v>58</v>
      </c>
      <c r="C184" s="9" t="s">
        <v>59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49</v>
      </c>
      <c r="B185" s="9" t="s">
        <v>58</v>
      </c>
      <c r="C185" s="9" t="s">
        <v>59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63</f>
        <v>63.0</v>
      </c>
    </row>
    <row r="186">
      <c r="A186" s="8" t="s">
        <v>16</v>
      </c>
      <c r="B186" s="9" t="s">
        <v>61</v>
      </c>
      <c r="C186" s="9" t="s">
        <v>62</v>
      </c>
      <c r="D186" s="10" t="s">
        <v>19</v>
      </c>
      <c r="E186" s="2" t="n">
        <f>1000</f>
        <v>1000.0</v>
      </c>
      <c r="F186" s="10" t="s">
        <v>19</v>
      </c>
      <c r="G186" s="2" t="n">
        <f>1480000000</f>
        <v>1.48E9</v>
      </c>
      <c r="H186" s="10" t="s">
        <v>19</v>
      </c>
      <c r="I186" s="2" t="n">
        <f>1000</f>
        <v>1000.0</v>
      </c>
      <c r="J186" s="10" t="s">
        <v>19</v>
      </c>
      <c r="K186" s="2" t="n">
        <f>55928</f>
        <v>55928.0</v>
      </c>
    </row>
    <row r="187">
      <c r="A187" s="8" t="s">
        <v>20</v>
      </c>
      <c r="B187" s="9" t="s">
        <v>61</v>
      </c>
      <c r="C187" s="9" t="s">
        <v>62</v>
      </c>
      <c r="D187" s="10" t="s">
        <v>46</v>
      </c>
      <c r="E187" s="2" t="str">
        <f>"－"</f>
        <v>－</v>
      </c>
      <c r="F187" s="10" t="s">
        <v>46</v>
      </c>
      <c r="G187" s="2" t="str">
        <f>"－"</f>
        <v>－</v>
      </c>
      <c r="H187" s="10" t="s">
        <v>46</v>
      </c>
      <c r="I187" s="2" t="str">
        <f>"－"</f>
        <v>－</v>
      </c>
      <c r="J187" s="10"/>
      <c r="K187" s="2" t="n">
        <f>55928</f>
        <v>55928.0</v>
      </c>
    </row>
    <row r="188">
      <c r="A188" s="8" t="s">
        <v>21</v>
      </c>
      <c r="B188" s="9" t="s">
        <v>61</v>
      </c>
      <c r="C188" s="9" t="s">
        <v>62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22</v>
      </c>
      <c r="B189" s="9" t="s">
        <v>61</v>
      </c>
      <c r="C189" s="9" t="s">
        <v>62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23</v>
      </c>
      <c r="B190" s="9" t="s">
        <v>61</v>
      </c>
      <c r="C190" s="9" t="s">
        <v>62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55928</f>
        <v>55928.0</v>
      </c>
    </row>
    <row r="191">
      <c r="A191" s="8" t="s">
        <v>24</v>
      </c>
      <c r="B191" s="9" t="s">
        <v>61</v>
      </c>
      <c r="C191" s="9" t="s">
        <v>62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55430</f>
        <v>55430.0</v>
      </c>
    </row>
    <row r="192">
      <c r="A192" s="8" t="s">
        <v>25</v>
      </c>
      <c r="B192" s="9" t="s">
        <v>61</v>
      </c>
      <c r="C192" s="9" t="s">
        <v>62</v>
      </c>
      <c r="D192" s="10"/>
      <c r="E192" s="2" t="n">
        <f>299</f>
        <v>299.0</v>
      </c>
      <c r="F192" s="10"/>
      <c r="G192" s="2" t="n">
        <f>437777561</f>
        <v>4.37777561E8</v>
      </c>
      <c r="H192" s="10"/>
      <c r="I192" s="2" t="n">
        <f>299</f>
        <v>299.0</v>
      </c>
      <c r="J192" s="10"/>
      <c r="K192" s="2" t="n">
        <f>55131</f>
        <v>55131.0</v>
      </c>
    </row>
    <row r="193">
      <c r="A193" s="8" t="s">
        <v>26</v>
      </c>
      <c r="B193" s="9" t="s">
        <v>61</v>
      </c>
      <c r="C193" s="9" t="s">
        <v>62</v>
      </c>
      <c r="D193" s="10"/>
      <c r="E193" s="2" t="n">
        <f>265</f>
        <v>265.0</v>
      </c>
      <c r="F193" s="10"/>
      <c r="G193" s="2" t="n">
        <f>381300285</f>
        <v>3.81300285E8</v>
      </c>
      <c r="H193" s="10"/>
      <c r="I193" s="2" t="n">
        <f>265</f>
        <v>265.0</v>
      </c>
      <c r="J193" s="10"/>
      <c r="K193" s="2" t="n">
        <f>54866</f>
        <v>54866.0</v>
      </c>
    </row>
    <row r="194">
      <c r="A194" s="8" t="s">
        <v>27</v>
      </c>
      <c r="B194" s="9" t="s">
        <v>61</v>
      </c>
      <c r="C194" s="9" t="s">
        <v>62</v>
      </c>
      <c r="D194" s="10"/>
      <c r="E194" s="2" t="n">
        <f>31</f>
        <v>31.0</v>
      </c>
      <c r="F194" s="10"/>
      <c r="G194" s="2" t="n">
        <f>44528989</f>
        <v>4.4528989E7</v>
      </c>
      <c r="H194" s="10"/>
      <c r="I194" s="2" t="n">
        <f>31</f>
        <v>31.0</v>
      </c>
      <c r="J194" s="10"/>
      <c r="K194" s="2" t="n">
        <f>54835</f>
        <v>54835.0</v>
      </c>
    </row>
    <row r="195">
      <c r="A195" s="8" t="s">
        <v>28</v>
      </c>
      <c r="B195" s="9" t="s">
        <v>61</v>
      </c>
      <c r="C195" s="9" t="s">
        <v>62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29</v>
      </c>
      <c r="B196" s="9" t="s">
        <v>61</v>
      </c>
      <c r="C196" s="9" t="s">
        <v>62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30</v>
      </c>
      <c r="B197" s="9" t="s">
        <v>61</v>
      </c>
      <c r="C197" s="9" t="s">
        <v>62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54835</f>
        <v>54835.0</v>
      </c>
    </row>
    <row r="198">
      <c r="A198" s="8" t="s">
        <v>31</v>
      </c>
      <c r="B198" s="9" t="s">
        <v>61</v>
      </c>
      <c r="C198" s="9" t="s">
        <v>62</v>
      </c>
      <c r="D198" s="10"/>
      <c r="E198" s="2" t="n">
        <f>2</f>
        <v>2.0</v>
      </c>
      <c r="F198" s="10"/>
      <c r="G198" s="2" t="n">
        <f>2890000</f>
        <v>2890000.0</v>
      </c>
      <c r="H198" s="10"/>
      <c r="I198" s="2" t="str">
        <f>"－"</f>
        <v>－</v>
      </c>
      <c r="J198" s="10"/>
      <c r="K198" s="2" t="n">
        <f>54837</f>
        <v>54837.0</v>
      </c>
    </row>
    <row r="199">
      <c r="A199" s="8" t="s">
        <v>32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54837</f>
        <v>54837.0</v>
      </c>
    </row>
    <row r="200">
      <c r="A200" s="8" t="s">
        <v>33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 t="s">
        <v>46</v>
      </c>
      <c r="K200" s="2" t="n">
        <f>54833</f>
        <v>54833.0</v>
      </c>
    </row>
    <row r="201">
      <c r="A201" s="8" t="s">
        <v>34</v>
      </c>
      <c r="B201" s="9" t="s">
        <v>61</v>
      </c>
      <c r="C201" s="9" t="s">
        <v>62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54833</f>
        <v>54833.0</v>
      </c>
    </row>
    <row r="202">
      <c r="A202" s="8" t="s">
        <v>35</v>
      </c>
      <c r="B202" s="9" t="s">
        <v>61</v>
      </c>
      <c r="C202" s="9" t="s">
        <v>62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36</v>
      </c>
      <c r="B203" s="9" t="s">
        <v>61</v>
      </c>
      <c r="C203" s="9" t="s">
        <v>62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37</v>
      </c>
      <c r="B204" s="9" t="s">
        <v>61</v>
      </c>
      <c r="C204" s="9" t="s">
        <v>62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54833</f>
        <v>54833.0</v>
      </c>
    </row>
    <row r="205">
      <c r="A205" s="8" t="s">
        <v>38</v>
      </c>
      <c r="B205" s="9" t="s">
        <v>61</v>
      </c>
      <c r="C205" s="9" t="s">
        <v>62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54833</f>
        <v>54833.0</v>
      </c>
    </row>
    <row r="206">
      <c r="A206" s="8" t="s">
        <v>39</v>
      </c>
      <c r="B206" s="9" t="s">
        <v>61</v>
      </c>
      <c r="C206" s="9" t="s">
        <v>62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54833</f>
        <v>54833.0</v>
      </c>
    </row>
    <row r="207">
      <c r="A207" s="8" t="s">
        <v>40</v>
      </c>
      <c r="B207" s="9" t="s">
        <v>61</v>
      </c>
      <c r="C207" s="9" t="s">
        <v>62</v>
      </c>
      <c r="D207" s="10"/>
      <c r="E207" s="2" t="n">
        <f>230</f>
        <v>230.0</v>
      </c>
      <c r="F207" s="10"/>
      <c r="G207" s="2" t="n">
        <f>322599380</f>
        <v>3.2259938E8</v>
      </c>
      <c r="H207" s="10"/>
      <c r="I207" s="2" t="n">
        <f>230</f>
        <v>230.0</v>
      </c>
      <c r="J207" s="10"/>
      <c r="K207" s="2" t="n">
        <f>55063</f>
        <v>55063.0</v>
      </c>
    </row>
    <row r="208">
      <c r="A208" s="8" t="s">
        <v>41</v>
      </c>
      <c r="B208" s="9" t="s">
        <v>61</v>
      </c>
      <c r="C208" s="9" t="s">
        <v>62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55063</f>
        <v>55063.0</v>
      </c>
    </row>
    <row r="209">
      <c r="A209" s="8" t="s">
        <v>42</v>
      </c>
      <c r="B209" s="9" t="s">
        <v>61</v>
      </c>
      <c r="C209" s="9" t="s">
        <v>62</v>
      </c>
      <c r="D209" s="10"/>
      <c r="E209" s="2"/>
      <c r="F209" s="10"/>
      <c r="G209" s="2"/>
      <c r="H209" s="10"/>
      <c r="I209" s="2"/>
      <c r="J209" s="10"/>
      <c r="K209" s="2"/>
    </row>
    <row r="210">
      <c r="A210" s="8" t="s">
        <v>43</v>
      </c>
      <c r="B210" s="9" t="s">
        <v>61</v>
      </c>
      <c r="C210" s="9" t="s">
        <v>62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44</v>
      </c>
      <c r="B211" s="9" t="s">
        <v>61</v>
      </c>
      <c r="C211" s="9" t="s">
        <v>62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55063</f>
        <v>55063.0</v>
      </c>
    </row>
    <row r="212">
      <c r="A212" s="8" t="s">
        <v>45</v>
      </c>
      <c r="B212" s="9" t="s">
        <v>61</v>
      </c>
      <c r="C212" s="9" t="s">
        <v>62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55063</f>
        <v>55063.0</v>
      </c>
    </row>
    <row r="213">
      <c r="A213" s="8" t="s">
        <v>47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55063</f>
        <v>55063.0</v>
      </c>
    </row>
    <row r="214">
      <c r="A214" s="8" t="s">
        <v>48</v>
      </c>
      <c r="B214" s="9" t="s">
        <v>61</v>
      </c>
      <c r="C214" s="9" t="s">
        <v>62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49</v>
      </c>
      <c r="B215" s="9" t="s">
        <v>61</v>
      </c>
      <c r="C215" s="9" t="s">
        <v>62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55063</f>
        <v>55063.0</v>
      </c>
    </row>
    <row r="216">
      <c r="A216" s="8" t="s">
        <v>16</v>
      </c>
      <c r="B216" s="9" t="s">
        <v>63</v>
      </c>
      <c r="C216" s="9" t="s">
        <v>64</v>
      </c>
      <c r="D216" s="10"/>
      <c r="E216" s="2" t="n">
        <f>3721</f>
        <v>3721.0</v>
      </c>
      <c r="F216" s="10"/>
      <c r="G216" s="2" t="n">
        <f>7391101520</f>
        <v>7.39110152E9</v>
      </c>
      <c r="H216" s="10"/>
      <c r="I216" s="2" t="n">
        <f>61</f>
        <v>61.0</v>
      </c>
      <c r="J216" s="10"/>
      <c r="K216" s="2" t="n">
        <f>60099</f>
        <v>60099.0</v>
      </c>
    </row>
    <row r="217">
      <c r="A217" s="8" t="s">
        <v>20</v>
      </c>
      <c r="B217" s="9" t="s">
        <v>63</v>
      </c>
      <c r="C217" s="9" t="s">
        <v>64</v>
      </c>
      <c r="D217" s="10"/>
      <c r="E217" s="2" t="n">
        <f>863</f>
        <v>863.0</v>
      </c>
      <c r="F217" s="10"/>
      <c r="G217" s="2" t="n">
        <f>1719526020</f>
        <v>1.71952602E9</v>
      </c>
      <c r="H217" s="10"/>
      <c r="I217" s="2" t="n">
        <f>5</f>
        <v>5.0</v>
      </c>
      <c r="J217" s="10"/>
      <c r="K217" s="2" t="n">
        <f>59924</f>
        <v>59924.0</v>
      </c>
    </row>
    <row r="218">
      <c r="A218" s="8" t="s">
        <v>21</v>
      </c>
      <c r="B218" s="9" t="s">
        <v>63</v>
      </c>
      <c r="C218" s="9" t="s">
        <v>64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22</v>
      </c>
      <c r="B219" s="9" t="s">
        <v>63</v>
      </c>
      <c r="C219" s="9" t="s">
        <v>64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23</v>
      </c>
      <c r="B220" s="9" t="s">
        <v>63</v>
      </c>
      <c r="C220" s="9" t="s">
        <v>64</v>
      </c>
      <c r="D220" s="10"/>
      <c r="E220" s="2" t="n">
        <f>1342</f>
        <v>1342.0</v>
      </c>
      <c r="F220" s="10"/>
      <c r="G220" s="2" t="n">
        <f>2702819060</f>
        <v>2.70281906E9</v>
      </c>
      <c r="H220" s="10"/>
      <c r="I220" s="2" t="n">
        <f>75</f>
        <v>75.0</v>
      </c>
      <c r="J220" s="10"/>
      <c r="K220" s="2" t="n">
        <f>59946</f>
        <v>59946.0</v>
      </c>
    </row>
    <row r="221">
      <c r="A221" s="8" t="s">
        <v>24</v>
      </c>
      <c r="B221" s="9" t="s">
        <v>63</v>
      </c>
      <c r="C221" s="9" t="s">
        <v>64</v>
      </c>
      <c r="D221" s="10"/>
      <c r="E221" s="2" t="n">
        <f>1150</f>
        <v>1150.0</v>
      </c>
      <c r="F221" s="10"/>
      <c r="G221" s="2" t="n">
        <f>2311931000</f>
        <v>2.311931E9</v>
      </c>
      <c r="H221" s="10" t="s">
        <v>46</v>
      </c>
      <c r="I221" s="2" t="str">
        <f>"－"</f>
        <v>－</v>
      </c>
      <c r="J221" s="10"/>
      <c r="K221" s="2" t="n">
        <f>60285</f>
        <v>60285.0</v>
      </c>
    </row>
    <row r="222">
      <c r="A222" s="8" t="s">
        <v>25</v>
      </c>
      <c r="B222" s="9" t="s">
        <v>63</v>
      </c>
      <c r="C222" s="9" t="s">
        <v>64</v>
      </c>
      <c r="D222" s="10"/>
      <c r="E222" s="2" t="n">
        <f>789</f>
        <v>789.0</v>
      </c>
      <c r="F222" s="10"/>
      <c r="G222" s="2" t="n">
        <f>1597891860</f>
        <v>1.59789186E9</v>
      </c>
      <c r="H222" s="10"/>
      <c r="I222" s="2" t="n">
        <f>4</f>
        <v>4.0</v>
      </c>
      <c r="J222" s="10"/>
      <c r="K222" s="2" t="n">
        <f>60104</f>
        <v>60104.0</v>
      </c>
    </row>
    <row r="223">
      <c r="A223" s="8" t="s">
        <v>26</v>
      </c>
      <c r="B223" s="9" t="s">
        <v>63</v>
      </c>
      <c r="C223" s="9" t="s">
        <v>64</v>
      </c>
      <c r="D223" s="10"/>
      <c r="E223" s="2" t="n">
        <f>1102</f>
        <v>1102.0</v>
      </c>
      <c r="F223" s="10"/>
      <c r="G223" s="2" t="n">
        <f>2245982510</f>
        <v>2.24598251E9</v>
      </c>
      <c r="H223" s="10"/>
      <c r="I223" s="2" t="n">
        <f>63</f>
        <v>63.0</v>
      </c>
      <c r="J223" s="10"/>
      <c r="K223" s="2" t="n">
        <f>60700</f>
        <v>60700.0</v>
      </c>
    </row>
    <row r="224">
      <c r="A224" s="8" t="s">
        <v>27</v>
      </c>
      <c r="B224" s="9" t="s">
        <v>63</v>
      </c>
      <c r="C224" s="9" t="s">
        <v>64</v>
      </c>
      <c r="D224" s="10"/>
      <c r="E224" s="2" t="n">
        <f>621</f>
        <v>621.0</v>
      </c>
      <c r="F224" s="10"/>
      <c r="G224" s="2" t="n">
        <f>1272781600</f>
        <v>1.2727816E9</v>
      </c>
      <c r="H224" s="10"/>
      <c r="I224" s="2" t="n">
        <f>4</f>
        <v>4.0</v>
      </c>
      <c r="J224" s="10"/>
      <c r="K224" s="2" t="n">
        <f>60740</f>
        <v>60740.0</v>
      </c>
    </row>
    <row r="225">
      <c r="A225" s="8" t="s">
        <v>28</v>
      </c>
      <c r="B225" s="9" t="s">
        <v>63</v>
      </c>
      <c r="C225" s="9" t="s">
        <v>64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29</v>
      </c>
      <c r="B226" s="9" t="s">
        <v>63</v>
      </c>
      <c r="C226" s="9" t="s">
        <v>64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30</v>
      </c>
      <c r="B227" s="9" t="s">
        <v>63</v>
      </c>
      <c r="C227" s="9" t="s">
        <v>64</v>
      </c>
      <c r="D227" s="10"/>
      <c r="E227" s="2" t="n">
        <f>611</f>
        <v>611.0</v>
      </c>
      <c r="F227" s="10"/>
      <c r="G227" s="2" t="n">
        <f>1245488270</f>
        <v>1.24548827E9</v>
      </c>
      <c r="H227" s="10"/>
      <c r="I227" s="2" t="n">
        <f>36</f>
        <v>36.0</v>
      </c>
      <c r="J227" s="10"/>
      <c r="K227" s="2" t="n">
        <f>60579</f>
        <v>60579.0</v>
      </c>
    </row>
    <row r="228">
      <c r="A228" s="8" t="s">
        <v>31</v>
      </c>
      <c r="B228" s="9" t="s">
        <v>63</v>
      </c>
      <c r="C228" s="9" t="s">
        <v>64</v>
      </c>
      <c r="D228" s="10"/>
      <c r="E228" s="2" t="n">
        <f>545</f>
        <v>545.0</v>
      </c>
      <c r="F228" s="10"/>
      <c r="G228" s="2" t="n">
        <f>1109014370</f>
        <v>1.10901437E9</v>
      </c>
      <c r="H228" s="10"/>
      <c r="I228" s="2" t="n">
        <f>10</f>
        <v>10.0</v>
      </c>
      <c r="J228" s="10"/>
      <c r="K228" s="2" t="n">
        <f>60443</f>
        <v>60443.0</v>
      </c>
    </row>
    <row r="229">
      <c r="A229" s="8" t="s">
        <v>32</v>
      </c>
      <c r="B229" s="9" t="s">
        <v>63</v>
      </c>
      <c r="C229" s="9" t="s">
        <v>64</v>
      </c>
      <c r="D229" s="10" t="s">
        <v>19</v>
      </c>
      <c r="E229" s="2" t="n">
        <f>3863</f>
        <v>3863.0</v>
      </c>
      <c r="F229" s="10" t="s">
        <v>19</v>
      </c>
      <c r="G229" s="2" t="n">
        <f>7903536430</f>
        <v>7.90353643E9</v>
      </c>
      <c r="H229" s="10"/>
      <c r="I229" s="2" t="n">
        <f>50</f>
        <v>50.0</v>
      </c>
      <c r="J229" s="10" t="s">
        <v>19</v>
      </c>
      <c r="K229" s="2" t="n">
        <f>61639</f>
        <v>61639.0</v>
      </c>
    </row>
    <row r="230">
      <c r="A230" s="8" t="s">
        <v>33</v>
      </c>
      <c r="B230" s="9" t="s">
        <v>63</v>
      </c>
      <c r="C230" s="9" t="s">
        <v>64</v>
      </c>
      <c r="D230" s="10"/>
      <c r="E230" s="2" t="n">
        <f>2762</f>
        <v>2762.0</v>
      </c>
      <c r="F230" s="10"/>
      <c r="G230" s="2" t="n">
        <f>5619517300</f>
        <v>5.6195173E9</v>
      </c>
      <c r="H230" s="10"/>
      <c r="I230" s="2" t="n">
        <f>87</f>
        <v>87.0</v>
      </c>
      <c r="J230" s="10"/>
      <c r="K230" s="2" t="n">
        <f>60318</f>
        <v>60318.0</v>
      </c>
    </row>
    <row r="231">
      <c r="A231" s="8" t="s">
        <v>34</v>
      </c>
      <c r="B231" s="9" t="s">
        <v>63</v>
      </c>
      <c r="C231" s="9" t="s">
        <v>64</v>
      </c>
      <c r="D231" s="10" t="s">
        <v>46</v>
      </c>
      <c r="E231" s="2" t="n">
        <f>412</f>
        <v>412.0</v>
      </c>
      <c r="F231" s="10" t="s">
        <v>46</v>
      </c>
      <c r="G231" s="2" t="n">
        <f>842597000</f>
        <v>8.42597E8</v>
      </c>
      <c r="H231" s="10"/>
      <c r="I231" s="2" t="str">
        <f>"－"</f>
        <v>－</v>
      </c>
      <c r="J231" s="10"/>
      <c r="K231" s="2" t="n">
        <f>60359</f>
        <v>60359.0</v>
      </c>
    </row>
    <row r="232">
      <c r="A232" s="8" t="s">
        <v>35</v>
      </c>
      <c r="B232" s="9" t="s">
        <v>63</v>
      </c>
      <c r="C232" s="9" t="s">
        <v>64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36</v>
      </c>
      <c r="B233" s="9" t="s">
        <v>63</v>
      </c>
      <c r="C233" s="9" t="s">
        <v>64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37</v>
      </c>
      <c r="B234" s="9" t="s">
        <v>63</v>
      </c>
      <c r="C234" s="9" t="s">
        <v>64</v>
      </c>
      <c r="D234" s="10"/>
      <c r="E234" s="2" t="n">
        <f>892</f>
        <v>892.0</v>
      </c>
      <c r="F234" s="10"/>
      <c r="G234" s="2" t="n">
        <f>1828708000</f>
        <v>1.828708E9</v>
      </c>
      <c r="H234" s="10"/>
      <c r="I234" s="2" t="n">
        <f>6</f>
        <v>6.0</v>
      </c>
      <c r="J234" s="10"/>
      <c r="K234" s="2" t="n">
        <f>60409</f>
        <v>60409.0</v>
      </c>
    </row>
    <row r="235">
      <c r="A235" s="8" t="s">
        <v>38</v>
      </c>
      <c r="B235" s="9" t="s">
        <v>63</v>
      </c>
      <c r="C235" s="9" t="s">
        <v>64</v>
      </c>
      <c r="D235" s="10"/>
      <c r="E235" s="2" t="n">
        <f>977</f>
        <v>977.0</v>
      </c>
      <c r="F235" s="10"/>
      <c r="G235" s="2" t="n">
        <f>1985005540</f>
        <v>1.98500554E9</v>
      </c>
      <c r="H235" s="10"/>
      <c r="I235" s="2" t="n">
        <f>10</f>
        <v>10.0</v>
      </c>
      <c r="J235" s="10"/>
      <c r="K235" s="2" t="n">
        <f>60106</f>
        <v>60106.0</v>
      </c>
    </row>
    <row r="236">
      <c r="A236" s="8" t="s">
        <v>39</v>
      </c>
      <c r="B236" s="9" t="s">
        <v>63</v>
      </c>
      <c r="C236" s="9" t="s">
        <v>64</v>
      </c>
      <c r="D236" s="10"/>
      <c r="E236" s="2" t="n">
        <f>2003</f>
        <v>2003.0</v>
      </c>
      <c r="F236" s="10"/>
      <c r="G236" s="2" t="n">
        <f>4057525020</f>
        <v>4.05752502E9</v>
      </c>
      <c r="H236" s="10"/>
      <c r="I236" s="2" t="n">
        <f>22</f>
        <v>22.0</v>
      </c>
      <c r="J236" s="10"/>
      <c r="K236" s="2" t="n">
        <f>59507</f>
        <v>59507.0</v>
      </c>
    </row>
    <row r="237">
      <c r="A237" s="8" t="s">
        <v>40</v>
      </c>
      <c r="B237" s="9" t="s">
        <v>63</v>
      </c>
      <c r="C237" s="9" t="s">
        <v>64</v>
      </c>
      <c r="D237" s="10"/>
      <c r="E237" s="2" t="n">
        <f>621</f>
        <v>621.0</v>
      </c>
      <c r="F237" s="10"/>
      <c r="G237" s="2" t="n">
        <f>1263493620</f>
        <v>1.26349362E9</v>
      </c>
      <c r="H237" s="10"/>
      <c r="I237" s="2" t="n">
        <f>50</f>
        <v>50.0</v>
      </c>
      <c r="J237" s="10"/>
      <c r="K237" s="2" t="n">
        <f>59738</f>
        <v>59738.0</v>
      </c>
    </row>
    <row r="238">
      <c r="A238" s="8" t="s">
        <v>41</v>
      </c>
      <c r="B238" s="9" t="s">
        <v>63</v>
      </c>
      <c r="C238" s="9" t="s">
        <v>64</v>
      </c>
      <c r="D238" s="10"/>
      <c r="E238" s="2" t="n">
        <f>1001</f>
        <v>1001.0</v>
      </c>
      <c r="F238" s="10"/>
      <c r="G238" s="2" t="n">
        <f>2039828080</f>
        <v>2.03982808E9</v>
      </c>
      <c r="H238" s="10"/>
      <c r="I238" s="2" t="str">
        <f>"－"</f>
        <v>－</v>
      </c>
      <c r="J238" s="10"/>
      <c r="K238" s="2" t="n">
        <f>59538</f>
        <v>59538.0</v>
      </c>
    </row>
    <row r="239">
      <c r="A239" s="8" t="s">
        <v>42</v>
      </c>
      <c r="B239" s="9" t="s">
        <v>63</v>
      </c>
      <c r="C239" s="9" t="s">
        <v>64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43</v>
      </c>
      <c r="B240" s="9" t="s">
        <v>63</v>
      </c>
      <c r="C240" s="9" t="s">
        <v>64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44</v>
      </c>
      <c r="B241" s="9" t="s">
        <v>63</v>
      </c>
      <c r="C241" s="9" t="s">
        <v>64</v>
      </c>
      <c r="D241" s="10"/>
      <c r="E241" s="2" t="n">
        <f>1079</f>
        <v>1079.0</v>
      </c>
      <c r="F241" s="10"/>
      <c r="G241" s="2" t="n">
        <f>2206102620</f>
        <v>2.20610262E9</v>
      </c>
      <c r="H241" s="10"/>
      <c r="I241" s="2" t="n">
        <f>69</f>
        <v>69.0</v>
      </c>
      <c r="J241" s="10"/>
      <c r="K241" s="2" t="n">
        <f>58762</f>
        <v>58762.0</v>
      </c>
    </row>
    <row r="242">
      <c r="A242" s="8" t="s">
        <v>45</v>
      </c>
      <c r="B242" s="9" t="s">
        <v>63</v>
      </c>
      <c r="C242" s="9" t="s">
        <v>64</v>
      </c>
      <c r="D242" s="10"/>
      <c r="E242" s="2" t="n">
        <f>1027</f>
        <v>1027.0</v>
      </c>
      <c r="F242" s="10"/>
      <c r="G242" s="2" t="n">
        <f>2100896540</f>
        <v>2.10089654E9</v>
      </c>
      <c r="H242" s="10"/>
      <c r="I242" s="2" t="n">
        <f>5</f>
        <v>5.0</v>
      </c>
      <c r="J242" s="10"/>
      <c r="K242" s="2" t="n">
        <f>58050</f>
        <v>58050.0</v>
      </c>
    </row>
    <row r="243">
      <c r="A243" s="8" t="s">
        <v>47</v>
      </c>
      <c r="B243" s="9" t="s">
        <v>63</v>
      </c>
      <c r="C243" s="9" t="s">
        <v>64</v>
      </c>
      <c r="D243" s="10"/>
      <c r="E243" s="2" t="n">
        <f>1306</f>
        <v>1306.0</v>
      </c>
      <c r="F243" s="10"/>
      <c r="G243" s="2" t="n">
        <f>2675940250</f>
        <v>2.67594025E9</v>
      </c>
      <c r="H243" s="10" t="s">
        <v>19</v>
      </c>
      <c r="I243" s="2" t="n">
        <f>119</f>
        <v>119.0</v>
      </c>
      <c r="J243" s="10"/>
      <c r="K243" s="2" t="n">
        <f>58410</f>
        <v>58410.0</v>
      </c>
    </row>
    <row r="244">
      <c r="A244" s="8" t="s">
        <v>48</v>
      </c>
      <c r="B244" s="9" t="s">
        <v>63</v>
      </c>
      <c r="C244" s="9" t="s">
        <v>64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49</v>
      </c>
      <c r="B245" s="9" t="s">
        <v>63</v>
      </c>
      <c r="C245" s="9" t="s">
        <v>64</v>
      </c>
      <c r="D245" s="10"/>
      <c r="E245" s="2" t="n">
        <f>1371</f>
        <v>1371.0</v>
      </c>
      <c r="F245" s="10"/>
      <c r="G245" s="2" t="n">
        <f>2822477960</f>
        <v>2.82247796E9</v>
      </c>
      <c r="H245" s="10"/>
      <c r="I245" s="2" t="str">
        <f>"－"</f>
        <v>－</v>
      </c>
      <c r="J245" s="10" t="s">
        <v>46</v>
      </c>
      <c r="K245" s="2" t="n">
        <f>57396</f>
        <v>57396.0</v>
      </c>
    </row>
    <row r="246">
      <c r="A246" s="8" t="s">
        <v>16</v>
      </c>
      <c r="B246" s="9" t="s">
        <v>65</v>
      </c>
      <c r="C246" s="9" t="s">
        <v>66</v>
      </c>
      <c r="D246" s="10" t="s">
        <v>60</v>
      </c>
      <c r="E246" s="2" t="str">
        <f>"－"</f>
        <v>－</v>
      </c>
      <c r="F246" s="10" t="s">
        <v>60</v>
      </c>
      <c r="G246" s="2" t="str">
        <f>"－"</f>
        <v>－</v>
      </c>
      <c r="H246" s="10" t="s">
        <v>60</v>
      </c>
      <c r="I246" s="2" t="str">
        <f>"－"</f>
        <v>－</v>
      </c>
      <c r="J246" s="10" t="s">
        <v>60</v>
      </c>
      <c r="K246" s="2" t="str">
        <f>"－"</f>
        <v>－</v>
      </c>
    </row>
    <row r="247">
      <c r="A247" s="8" t="s">
        <v>20</v>
      </c>
      <c r="B247" s="9" t="s">
        <v>65</v>
      </c>
      <c r="C247" s="9" t="s">
        <v>66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21</v>
      </c>
      <c r="B248" s="9" t="s">
        <v>65</v>
      </c>
      <c r="C248" s="9" t="s">
        <v>66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22</v>
      </c>
      <c r="B249" s="9" t="s">
        <v>65</v>
      </c>
      <c r="C249" s="9" t="s">
        <v>66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23</v>
      </c>
      <c r="B250" s="9" t="s">
        <v>65</v>
      </c>
      <c r="C250" s="9" t="s">
        <v>66</v>
      </c>
      <c r="D250" s="10"/>
      <c r="E250" s="2" t="str">
        <f>"－"</f>
        <v>－</v>
      </c>
      <c r="F250" s="10"/>
      <c r="G250" s="2" t="str">
        <f>"－"</f>
        <v>－</v>
      </c>
      <c r="H250" s="10"/>
      <c r="I250" s="2" t="str">
        <f>"－"</f>
        <v>－</v>
      </c>
      <c r="J250" s="10"/>
      <c r="K250" s="2" t="str">
        <f>"－"</f>
        <v>－</v>
      </c>
    </row>
    <row r="251">
      <c r="A251" s="8" t="s">
        <v>24</v>
      </c>
      <c r="B251" s="9" t="s">
        <v>65</v>
      </c>
      <c r="C251" s="9" t="s">
        <v>66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25</v>
      </c>
      <c r="B252" s="9" t="s">
        <v>65</v>
      </c>
      <c r="C252" s="9" t="s">
        <v>66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26</v>
      </c>
      <c r="B253" s="9" t="s">
        <v>65</v>
      </c>
      <c r="C253" s="9" t="s">
        <v>66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65</v>
      </c>
      <c r="C254" s="9" t="s">
        <v>66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28</v>
      </c>
      <c r="B255" s="9" t="s">
        <v>65</v>
      </c>
      <c r="C255" s="9" t="s">
        <v>66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29</v>
      </c>
      <c r="B256" s="9" t="s">
        <v>65</v>
      </c>
      <c r="C256" s="9" t="s">
        <v>66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30</v>
      </c>
      <c r="B257" s="9" t="s">
        <v>65</v>
      </c>
      <c r="C257" s="9" t="s">
        <v>66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31</v>
      </c>
      <c r="B258" s="9" t="s">
        <v>65</v>
      </c>
      <c r="C258" s="9" t="s">
        <v>66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32</v>
      </c>
      <c r="B259" s="9" t="s">
        <v>65</v>
      </c>
      <c r="C259" s="9" t="s">
        <v>66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33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34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35</v>
      </c>
      <c r="B262" s="9" t="s">
        <v>65</v>
      </c>
      <c r="C262" s="9" t="s">
        <v>66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36</v>
      </c>
      <c r="B263" s="9" t="s">
        <v>65</v>
      </c>
      <c r="C263" s="9" t="s">
        <v>66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37</v>
      </c>
      <c r="B264" s="9" t="s">
        <v>65</v>
      </c>
      <c r="C264" s="9" t="s">
        <v>66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38</v>
      </c>
      <c r="B265" s="9" t="s">
        <v>65</v>
      </c>
      <c r="C265" s="9" t="s">
        <v>66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39</v>
      </c>
      <c r="B266" s="9" t="s">
        <v>65</v>
      </c>
      <c r="C266" s="9" t="s">
        <v>66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40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41</v>
      </c>
      <c r="B268" s="9" t="s">
        <v>65</v>
      </c>
      <c r="C268" s="9" t="s">
        <v>66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42</v>
      </c>
      <c r="B269" s="9" t="s">
        <v>65</v>
      </c>
      <c r="C269" s="9" t="s">
        <v>66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43</v>
      </c>
      <c r="B270" s="9" t="s">
        <v>65</v>
      </c>
      <c r="C270" s="9" t="s">
        <v>66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44</v>
      </c>
      <c r="B271" s="9" t="s">
        <v>65</v>
      </c>
      <c r="C271" s="9" t="s">
        <v>66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45</v>
      </c>
      <c r="B272" s="9" t="s">
        <v>65</v>
      </c>
      <c r="C272" s="9" t="s">
        <v>66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47</v>
      </c>
      <c r="B273" s="9" t="s">
        <v>65</v>
      </c>
      <c r="C273" s="9" t="s">
        <v>66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65</v>
      </c>
      <c r="C274" s="9" t="s">
        <v>66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49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3832</f>
        <v>3832.0</v>
      </c>
      <c r="F276" s="10"/>
      <c r="G276" s="2" t="n">
        <f>4619033700</f>
        <v>4.6190337E9</v>
      </c>
      <c r="H276" s="10"/>
      <c r="I276" s="2" t="n">
        <f>143</f>
        <v>143.0</v>
      </c>
      <c r="J276" s="10"/>
      <c r="K276" s="2" t="n">
        <f>19109</f>
        <v>19109.0</v>
      </c>
    </row>
    <row r="277">
      <c r="A277" s="8" t="s">
        <v>20</v>
      </c>
      <c r="B277" s="9" t="s">
        <v>67</v>
      </c>
      <c r="C277" s="9" t="s">
        <v>68</v>
      </c>
      <c r="D277" s="10"/>
      <c r="E277" s="2" t="n">
        <f>2857</f>
        <v>2857.0</v>
      </c>
      <c r="F277" s="10"/>
      <c r="G277" s="2" t="n">
        <f>3494435700</f>
        <v>3.4944357E9</v>
      </c>
      <c r="H277" s="10"/>
      <c r="I277" s="2" t="n">
        <f>137</f>
        <v>137.0</v>
      </c>
      <c r="J277" s="10"/>
      <c r="K277" s="2" t="n">
        <f>18937</f>
        <v>18937.0</v>
      </c>
    </row>
    <row r="278">
      <c r="A278" s="8" t="s">
        <v>21</v>
      </c>
      <c r="B278" s="9" t="s">
        <v>67</v>
      </c>
      <c r="C278" s="9" t="s">
        <v>68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22</v>
      </c>
      <c r="B279" s="9" t="s">
        <v>67</v>
      </c>
      <c r="C279" s="9" t="s">
        <v>68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23</v>
      </c>
      <c r="B280" s="9" t="s">
        <v>67</v>
      </c>
      <c r="C280" s="9" t="s">
        <v>68</v>
      </c>
      <c r="D280" s="10"/>
      <c r="E280" s="2" t="n">
        <f>2800</f>
        <v>2800.0</v>
      </c>
      <c r="F280" s="10"/>
      <c r="G280" s="2" t="n">
        <f>3454161760</f>
        <v>3.45416176E9</v>
      </c>
      <c r="H280" s="10"/>
      <c r="I280" s="2" t="n">
        <f>135</f>
        <v>135.0</v>
      </c>
      <c r="J280" s="10"/>
      <c r="K280" s="2" t="n">
        <f>18995</f>
        <v>18995.0</v>
      </c>
    </row>
    <row r="281">
      <c r="A281" s="8" t="s">
        <v>24</v>
      </c>
      <c r="B281" s="9" t="s">
        <v>67</v>
      </c>
      <c r="C281" s="9" t="s">
        <v>68</v>
      </c>
      <c r="D281" s="10"/>
      <c r="E281" s="2" t="n">
        <f>2884</f>
        <v>2884.0</v>
      </c>
      <c r="F281" s="10"/>
      <c r="G281" s="2" t="n">
        <f>3522157200</f>
        <v>3.5221572E9</v>
      </c>
      <c r="H281" s="10"/>
      <c r="I281" s="2" t="n">
        <f>135</f>
        <v>135.0</v>
      </c>
      <c r="J281" s="10"/>
      <c r="K281" s="2" t="n">
        <f>19130</f>
        <v>19130.0</v>
      </c>
    </row>
    <row r="282">
      <c r="A282" s="8" t="s">
        <v>25</v>
      </c>
      <c r="B282" s="9" t="s">
        <v>67</v>
      </c>
      <c r="C282" s="9" t="s">
        <v>68</v>
      </c>
      <c r="D282" s="10"/>
      <c r="E282" s="2" t="n">
        <f>3012</f>
        <v>3012.0</v>
      </c>
      <c r="F282" s="10"/>
      <c r="G282" s="2" t="n">
        <f>3658765600</f>
        <v>3.6587656E9</v>
      </c>
      <c r="H282" s="10"/>
      <c r="I282" s="2" t="n">
        <f>104</f>
        <v>104.0</v>
      </c>
      <c r="J282" s="10"/>
      <c r="K282" s="2" t="n">
        <f>19111</f>
        <v>19111.0</v>
      </c>
    </row>
    <row r="283">
      <c r="A283" s="8" t="s">
        <v>26</v>
      </c>
      <c r="B283" s="9" t="s">
        <v>67</v>
      </c>
      <c r="C283" s="9" t="s">
        <v>68</v>
      </c>
      <c r="D283" s="10"/>
      <c r="E283" s="2" t="n">
        <f>2400</f>
        <v>2400.0</v>
      </c>
      <c r="F283" s="10"/>
      <c r="G283" s="2" t="n">
        <f>2901980260</f>
        <v>2.90198026E9</v>
      </c>
      <c r="H283" s="10"/>
      <c r="I283" s="2" t="n">
        <f>164</f>
        <v>164.0</v>
      </c>
      <c r="J283" s="10" t="s">
        <v>46</v>
      </c>
      <c r="K283" s="2" t="n">
        <f>18860</f>
        <v>18860.0</v>
      </c>
    </row>
    <row r="284">
      <c r="A284" s="8" t="s">
        <v>27</v>
      </c>
      <c r="B284" s="9" t="s">
        <v>67</v>
      </c>
      <c r="C284" s="9" t="s">
        <v>68</v>
      </c>
      <c r="D284" s="10"/>
      <c r="E284" s="2" t="n">
        <f>2606</f>
        <v>2606.0</v>
      </c>
      <c r="F284" s="10"/>
      <c r="G284" s="2" t="n">
        <f>3188694370</f>
        <v>3.18869437E9</v>
      </c>
      <c r="H284" s="10"/>
      <c r="I284" s="2" t="n">
        <f>108</f>
        <v>108.0</v>
      </c>
      <c r="J284" s="10"/>
      <c r="K284" s="2" t="n">
        <f>19113</f>
        <v>19113.0</v>
      </c>
    </row>
    <row r="285">
      <c r="A285" s="8" t="s">
        <v>28</v>
      </c>
      <c r="B285" s="9" t="s">
        <v>67</v>
      </c>
      <c r="C285" s="9" t="s">
        <v>68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29</v>
      </c>
      <c r="B286" s="9" t="s">
        <v>67</v>
      </c>
      <c r="C286" s="9" t="s">
        <v>68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30</v>
      </c>
      <c r="B287" s="9" t="s">
        <v>67</v>
      </c>
      <c r="C287" s="9" t="s">
        <v>68</v>
      </c>
      <c r="D287" s="10"/>
      <c r="E287" s="2" t="n">
        <f>2212</f>
        <v>2212.0</v>
      </c>
      <c r="F287" s="10"/>
      <c r="G287" s="2" t="n">
        <f>2687171700</f>
        <v>2.6871717E9</v>
      </c>
      <c r="H287" s="10" t="s">
        <v>46</v>
      </c>
      <c r="I287" s="2" t="n">
        <f>97</f>
        <v>97.0</v>
      </c>
      <c r="J287" s="10"/>
      <c r="K287" s="2" t="n">
        <f>19080</f>
        <v>19080.0</v>
      </c>
    </row>
    <row r="288">
      <c r="A288" s="8" t="s">
        <v>31</v>
      </c>
      <c r="B288" s="9" t="s">
        <v>67</v>
      </c>
      <c r="C288" s="9" t="s">
        <v>68</v>
      </c>
      <c r="D288" s="10"/>
      <c r="E288" s="2" t="n">
        <f>2278</f>
        <v>2278.0</v>
      </c>
      <c r="F288" s="10"/>
      <c r="G288" s="2" t="n">
        <f>2738898380</f>
        <v>2.73889838E9</v>
      </c>
      <c r="H288" s="10" t="s">
        <v>19</v>
      </c>
      <c r="I288" s="2" t="n">
        <f>497</f>
        <v>497.0</v>
      </c>
      <c r="J288" s="10"/>
      <c r="K288" s="2" t="n">
        <f>19511</f>
        <v>19511.0</v>
      </c>
    </row>
    <row r="289">
      <c r="A289" s="8" t="s">
        <v>32</v>
      </c>
      <c r="B289" s="9" t="s">
        <v>67</v>
      </c>
      <c r="C289" s="9" t="s">
        <v>68</v>
      </c>
      <c r="D289" s="10"/>
      <c r="E289" s="2" t="n">
        <f>2816</f>
        <v>2816.0</v>
      </c>
      <c r="F289" s="10"/>
      <c r="G289" s="2" t="n">
        <f>3407369350</f>
        <v>3.40736935E9</v>
      </c>
      <c r="H289" s="10"/>
      <c r="I289" s="2" t="n">
        <f>172</f>
        <v>172.0</v>
      </c>
      <c r="J289" s="10"/>
      <c r="K289" s="2" t="n">
        <f>19676</f>
        <v>19676.0</v>
      </c>
    </row>
    <row r="290">
      <c r="A290" s="8" t="s">
        <v>33</v>
      </c>
      <c r="B290" s="9" t="s">
        <v>67</v>
      </c>
      <c r="C290" s="9" t="s">
        <v>68</v>
      </c>
      <c r="D290" s="10" t="s">
        <v>46</v>
      </c>
      <c r="E290" s="2" t="n">
        <f>1910</f>
        <v>1910.0</v>
      </c>
      <c r="F290" s="10" t="s">
        <v>46</v>
      </c>
      <c r="G290" s="2" t="n">
        <f>2309616720</f>
        <v>2.30961672E9</v>
      </c>
      <c r="H290" s="10"/>
      <c r="I290" s="2" t="n">
        <f>110</f>
        <v>110.0</v>
      </c>
      <c r="J290" s="10"/>
      <c r="K290" s="2" t="n">
        <f>19743</f>
        <v>19743.0</v>
      </c>
    </row>
    <row r="291">
      <c r="A291" s="8" t="s">
        <v>34</v>
      </c>
      <c r="B291" s="9" t="s">
        <v>67</v>
      </c>
      <c r="C291" s="9" t="s">
        <v>68</v>
      </c>
      <c r="D291" s="10"/>
      <c r="E291" s="2" t="n">
        <f>3014</f>
        <v>3014.0</v>
      </c>
      <c r="F291" s="10"/>
      <c r="G291" s="2" t="n">
        <f>3696730000</f>
        <v>3.69673E9</v>
      </c>
      <c r="H291" s="10"/>
      <c r="I291" s="2" t="n">
        <f>222</f>
        <v>222.0</v>
      </c>
      <c r="J291" s="10"/>
      <c r="K291" s="2" t="n">
        <f>20132</f>
        <v>20132.0</v>
      </c>
    </row>
    <row r="292">
      <c r="A292" s="8" t="s">
        <v>35</v>
      </c>
      <c r="B292" s="9" t="s">
        <v>67</v>
      </c>
      <c r="C292" s="9" t="s">
        <v>68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36</v>
      </c>
      <c r="B293" s="9" t="s">
        <v>67</v>
      </c>
      <c r="C293" s="9" t="s">
        <v>68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37</v>
      </c>
      <c r="B294" s="9" t="s">
        <v>67</v>
      </c>
      <c r="C294" s="9" t="s">
        <v>68</v>
      </c>
      <c r="D294" s="10"/>
      <c r="E294" s="2" t="n">
        <f>3043</f>
        <v>3043.0</v>
      </c>
      <c r="F294" s="10"/>
      <c r="G294" s="2" t="n">
        <f>3758402460</f>
        <v>3.75840246E9</v>
      </c>
      <c r="H294" s="10"/>
      <c r="I294" s="2" t="n">
        <f>149</f>
        <v>149.0</v>
      </c>
      <c r="J294" s="10"/>
      <c r="K294" s="2" t="n">
        <f>19975</f>
        <v>19975.0</v>
      </c>
    </row>
    <row r="295">
      <c r="A295" s="8" t="s">
        <v>38</v>
      </c>
      <c r="B295" s="9" t="s">
        <v>67</v>
      </c>
      <c r="C295" s="9" t="s">
        <v>68</v>
      </c>
      <c r="D295" s="10" t="s">
        <v>19</v>
      </c>
      <c r="E295" s="2" t="n">
        <f>4165</f>
        <v>4165.0</v>
      </c>
      <c r="F295" s="10" t="s">
        <v>19</v>
      </c>
      <c r="G295" s="2" t="n">
        <f>5099325450</f>
        <v>5.09932545E9</v>
      </c>
      <c r="H295" s="10"/>
      <c r="I295" s="2" t="n">
        <f>170</f>
        <v>170.0</v>
      </c>
      <c r="J295" s="10"/>
      <c r="K295" s="2" t="n">
        <f>20466</f>
        <v>20466.0</v>
      </c>
    </row>
    <row r="296">
      <c r="A296" s="8" t="s">
        <v>39</v>
      </c>
      <c r="B296" s="9" t="s">
        <v>67</v>
      </c>
      <c r="C296" s="9" t="s">
        <v>68</v>
      </c>
      <c r="D296" s="10"/>
      <c r="E296" s="2" t="n">
        <f>3999</f>
        <v>3999.0</v>
      </c>
      <c r="F296" s="10"/>
      <c r="G296" s="2" t="n">
        <f>4796889470</f>
        <v>4.79688947E9</v>
      </c>
      <c r="H296" s="10"/>
      <c r="I296" s="2" t="n">
        <f>232</f>
        <v>232.0</v>
      </c>
      <c r="J296" s="10"/>
      <c r="K296" s="2" t="n">
        <f>20393</f>
        <v>20393.0</v>
      </c>
    </row>
    <row r="297">
      <c r="A297" s="8" t="s">
        <v>40</v>
      </c>
      <c r="B297" s="9" t="s">
        <v>67</v>
      </c>
      <c r="C297" s="9" t="s">
        <v>68</v>
      </c>
      <c r="D297" s="10"/>
      <c r="E297" s="2" t="n">
        <f>2460</f>
        <v>2460.0</v>
      </c>
      <c r="F297" s="10"/>
      <c r="G297" s="2" t="n">
        <f>2961334120</f>
        <v>2.96133412E9</v>
      </c>
      <c r="H297" s="10"/>
      <c r="I297" s="2" t="n">
        <f>111</f>
        <v>111.0</v>
      </c>
      <c r="J297" s="10"/>
      <c r="K297" s="2" t="n">
        <f>20338</f>
        <v>20338.0</v>
      </c>
    </row>
    <row r="298">
      <c r="A298" s="8" t="s">
        <v>41</v>
      </c>
      <c r="B298" s="9" t="s">
        <v>67</v>
      </c>
      <c r="C298" s="9" t="s">
        <v>68</v>
      </c>
      <c r="D298" s="10"/>
      <c r="E298" s="2" t="n">
        <f>2746</f>
        <v>2746.0</v>
      </c>
      <c r="F298" s="10"/>
      <c r="G298" s="2" t="n">
        <f>3305331180</f>
        <v>3.30533118E9</v>
      </c>
      <c r="H298" s="10"/>
      <c r="I298" s="2" t="n">
        <f>356</f>
        <v>356.0</v>
      </c>
      <c r="J298" s="10"/>
      <c r="K298" s="2" t="n">
        <f>20512</f>
        <v>20512.0</v>
      </c>
    </row>
    <row r="299">
      <c r="A299" s="8" t="s">
        <v>42</v>
      </c>
      <c r="B299" s="9" t="s">
        <v>67</v>
      </c>
      <c r="C299" s="9" t="s">
        <v>68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43</v>
      </c>
      <c r="B300" s="9" t="s">
        <v>67</v>
      </c>
      <c r="C300" s="9" t="s">
        <v>68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44</v>
      </c>
      <c r="B301" s="9" t="s">
        <v>67</v>
      </c>
      <c r="C301" s="9" t="s">
        <v>68</v>
      </c>
      <c r="D301" s="10"/>
      <c r="E301" s="2" t="n">
        <f>2191</f>
        <v>2191.0</v>
      </c>
      <c r="F301" s="10"/>
      <c r="G301" s="2" t="n">
        <f>2630548170</f>
        <v>2.63054817E9</v>
      </c>
      <c r="H301" s="10"/>
      <c r="I301" s="2" t="n">
        <f>242</f>
        <v>242.0</v>
      </c>
      <c r="J301" s="10"/>
      <c r="K301" s="2" t="n">
        <f>20526</f>
        <v>20526.0</v>
      </c>
    </row>
    <row r="302">
      <c r="A302" s="8" t="s">
        <v>45</v>
      </c>
      <c r="B302" s="9" t="s">
        <v>67</v>
      </c>
      <c r="C302" s="9" t="s">
        <v>68</v>
      </c>
      <c r="D302" s="10"/>
      <c r="E302" s="2" t="n">
        <f>2532</f>
        <v>2532.0</v>
      </c>
      <c r="F302" s="10"/>
      <c r="G302" s="2" t="n">
        <f>3065142090</f>
        <v>3.06514209E9</v>
      </c>
      <c r="H302" s="10"/>
      <c r="I302" s="2" t="n">
        <f>187</f>
        <v>187.0</v>
      </c>
      <c r="J302" s="10"/>
      <c r="K302" s="2" t="n">
        <f>20467</f>
        <v>20467.0</v>
      </c>
    </row>
    <row r="303">
      <c r="A303" s="8" t="s">
        <v>47</v>
      </c>
      <c r="B303" s="9" t="s">
        <v>67</v>
      </c>
      <c r="C303" s="9" t="s">
        <v>68</v>
      </c>
      <c r="D303" s="10"/>
      <c r="E303" s="2" t="n">
        <f>2610</f>
        <v>2610.0</v>
      </c>
      <c r="F303" s="10"/>
      <c r="G303" s="2" t="n">
        <f>3132525340</f>
        <v>3.13252534E9</v>
      </c>
      <c r="H303" s="10"/>
      <c r="I303" s="2" t="n">
        <f>135</f>
        <v>135.0</v>
      </c>
      <c r="J303" s="10"/>
      <c r="K303" s="2" t="n">
        <f>20712</f>
        <v>20712.0</v>
      </c>
    </row>
    <row r="304">
      <c r="A304" s="8" t="s">
        <v>48</v>
      </c>
      <c r="B304" s="9" t="s">
        <v>67</v>
      </c>
      <c r="C304" s="9" t="s">
        <v>68</v>
      </c>
      <c r="D304" s="10"/>
      <c r="E304" s="2"/>
      <c r="F304" s="10"/>
      <c r="G304" s="2"/>
      <c r="H304" s="10"/>
      <c r="I304" s="2"/>
      <c r="J304" s="10"/>
      <c r="K304" s="2"/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1967</f>
        <v>1967.0</v>
      </c>
      <c r="F305" s="10"/>
      <c r="G305" s="2" t="n">
        <f>2341943800</f>
        <v>2.3419438E9</v>
      </c>
      <c r="H305" s="10"/>
      <c r="I305" s="2" t="n">
        <f>142</f>
        <v>142.0</v>
      </c>
      <c r="J305" s="10" t="s">
        <v>19</v>
      </c>
      <c r="K305" s="2" t="n">
        <f>20912</f>
        <v>20912.0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2296</f>
        <v>2296.0</v>
      </c>
      <c r="F306" s="10"/>
      <c r="G306" s="2" t="n">
        <f>7540218500</f>
        <v>7.5402185E9</v>
      </c>
      <c r="H306" s="10"/>
      <c r="I306" s="2" t="n">
        <f>92</f>
        <v>92.0</v>
      </c>
      <c r="J306" s="10"/>
      <c r="K306" s="2" t="n">
        <f>2765</f>
        <v>2765.0</v>
      </c>
    </row>
    <row r="307">
      <c r="A307" s="8" t="s">
        <v>20</v>
      </c>
      <c r="B307" s="9" t="s">
        <v>69</v>
      </c>
      <c r="C307" s="9" t="s">
        <v>70</v>
      </c>
      <c r="D307" s="10"/>
      <c r="E307" s="2" t="n">
        <f>1330</f>
        <v>1330.0</v>
      </c>
      <c r="F307" s="10"/>
      <c r="G307" s="2" t="n">
        <f>4395347200</f>
        <v>4.3953472E9</v>
      </c>
      <c r="H307" s="10"/>
      <c r="I307" s="2" t="n">
        <f>67</f>
        <v>67.0</v>
      </c>
      <c r="J307" s="10"/>
      <c r="K307" s="2" t="n">
        <f>1695</f>
        <v>1695.0</v>
      </c>
    </row>
    <row r="308">
      <c r="A308" s="8" t="s">
        <v>21</v>
      </c>
      <c r="B308" s="9" t="s">
        <v>69</v>
      </c>
      <c r="C308" s="9" t="s">
        <v>70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22</v>
      </c>
      <c r="B309" s="9" t="s">
        <v>69</v>
      </c>
      <c r="C309" s="9" t="s">
        <v>70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23</v>
      </c>
      <c r="B310" s="9" t="s">
        <v>69</v>
      </c>
      <c r="C310" s="9" t="s">
        <v>70</v>
      </c>
      <c r="D310" s="10"/>
      <c r="E310" s="2" t="n">
        <f>317</f>
        <v>317.0</v>
      </c>
      <c r="F310" s="10"/>
      <c r="G310" s="2" t="n">
        <f>1051560500</f>
        <v>1.0515605E9</v>
      </c>
      <c r="H310" s="10" t="s">
        <v>46</v>
      </c>
      <c r="I310" s="2" t="n">
        <f>56</f>
        <v>56.0</v>
      </c>
      <c r="J310" s="10"/>
      <c r="K310" s="2" t="n">
        <f>1702</f>
        <v>1702.0</v>
      </c>
    </row>
    <row r="311">
      <c r="A311" s="8" t="s">
        <v>24</v>
      </c>
      <c r="B311" s="9" t="s">
        <v>69</v>
      </c>
      <c r="C311" s="9" t="s">
        <v>70</v>
      </c>
      <c r="D311" s="10"/>
      <c r="E311" s="2" t="n">
        <f>525</f>
        <v>525.0</v>
      </c>
      <c r="F311" s="10"/>
      <c r="G311" s="2" t="n">
        <f>1750818600</f>
        <v>1.7508186E9</v>
      </c>
      <c r="H311" s="10"/>
      <c r="I311" s="2" t="n">
        <f>172</f>
        <v>172.0</v>
      </c>
      <c r="J311" s="10"/>
      <c r="K311" s="2" t="n">
        <f>1717</f>
        <v>1717.0</v>
      </c>
    </row>
    <row r="312">
      <c r="A312" s="8" t="s">
        <v>25</v>
      </c>
      <c r="B312" s="9" t="s">
        <v>69</v>
      </c>
      <c r="C312" s="9" t="s">
        <v>70</v>
      </c>
      <c r="D312" s="10"/>
      <c r="E312" s="2" t="n">
        <f>561</f>
        <v>561.0</v>
      </c>
      <c r="F312" s="10"/>
      <c r="G312" s="2" t="n">
        <f>1870395600</f>
        <v>1.8703956E9</v>
      </c>
      <c r="H312" s="10"/>
      <c r="I312" s="2" t="n">
        <f>131</f>
        <v>131.0</v>
      </c>
      <c r="J312" s="10"/>
      <c r="K312" s="2" t="n">
        <f>1809</f>
        <v>1809.0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316</f>
        <v>316.0</v>
      </c>
      <c r="F313" s="10"/>
      <c r="G313" s="2" t="n">
        <f>1052741300</f>
        <v>1.0527413E9</v>
      </c>
      <c r="H313" s="10"/>
      <c r="I313" s="2" t="n">
        <f>126</f>
        <v>126.0</v>
      </c>
      <c r="J313" s="10"/>
      <c r="K313" s="2" t="n">
        <f>1828</f>
        <v>1828.0</v>
      </c>
    </row>
    <row r="314">
      <c r="A314" s="8" t="s">
        <v>27</v>
      </c>
      <c r="B314" s="9" t="s">
        <v>69</v>
      </c>
      <c r="C314" s="9" t="s">
        <v>70</v>
      </c>
      <c r="D314" s="10"/>
      <c r="E314" s="2" t="n">
        <f>366</f>
        <v>366.0</v>
      </c>
      <c r="F314" s="10"/>
      <c r="G314" s="2" t="n">
        <f>1220053300</f>
        <v>1.2200533E9</v>
      </c>
      <c r="H314" s="10"/>
      <c r="I314" s="2" t="n">
        <f>141</f>
        <v>141.0</v>
      </c>
      <c r="J314" s="10"/>
      <c r="K314" s="2" t="n">
        <f>1841</f>
        <v>1841.0</v>
      </c>
    </row>
    <row r="315">
      <c r="A315" s="8" t="s">
        <v>28</v>
      </c>
      <c r="B315" s="9" t="s">
        <v>69</v>
      </c>
      <c r="C315" s="9" t="s">
        <v>70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29</v>
      </c>
      <c r="B316" s="9" t="s">
        <v>69</v>
      </c>
      <c r="C316" s="9" t="s">
        <v>70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30</v>
      </c>
      <c r="B317" s="9" t="s">
        <v>69</v>
      </c>
      <c r="C317" s="9" t="s">
        <v>70</v>
      </c>
      <c r="D317" s="10"/>
      <c r="E317" s="2" t="n">
        <f>586</f>
        <v>586.0</v>
      </c>
      <c r="F317" s="10"/>
      <c r="G317" s="2" t="n">
        <f>1965588400</f>
        <v>1.9655884E9</v>
      </c>
      <c r="H317" s="10"/>
      <c r="I317" s="2" t="n">
        <f>184</f>
        <v>184.0</v>
      </c>
      <c r="J317" s="10"/>
      <c r="K317" s="2" t="n">
        <f>1930</f>
        <v>1930.0</v>
      </c>
    </row>
    <row r="318">
      <c r="A318" s="8" t="s">
        <v>31</v>
      </c>
      <c r="B318" s="9" t="s">
        <v>69</v>
      </c>
      <c r="C318" s="9" t="s">
        <v>70</v>
      </c>
      <c r="D318" s="10"/>
      <c r="E318" s="2" t="n">
        <f>473</f>
        <v>473.0</v>
      </c>
      <c r="F318" s="10"/>
      <c r="G318" s="2" t="n">
        <f>1589873000</f>
        <v>1.589873E9</v>
      </c>
      <c r="H318" s="10"/>
      <c r="I318" s="2" t="n">
        <f>88</f>
        <v>88.0</v>
      </c>
      <c r="J318" s="10"/>
      <c r="K318" s="2" t="n">
        <f>1975</f>
        <v>1975.0</v>
      </c>
    </row>
    <row r="319">
      <c r="A319" s="8" t="s">
        <v>32</v>
      </c>
      <c r="B319" s="9" t="s">
        <v>69</v>
      </c>
      <c r="C319" s="9" t="s">
        <v>70</v>
      </c>
      <c r="D319" s="10"/>
      <c r="E319" s="2" t="n">
        <f>514</f>
        <v>514.0</v>
      </c>
      <c r="F319" s="10"/>
      <c r="G319" s="2" t="n">
        <f>1722457600</f>
        <v>1.7224576E9</v>
      </c>
      <c r="H319" s="10"/>
      <c r="I319" s="2" t="n">
        <f>147</f>
        <v>147.0</v>
      </c>
      <c r="J319" s="10"/>
      <c r="K319" s="2" t="n">
        <f>2003</f>
        <v>2003.0</v>
      </c>
    </row>
    <row r="320">
      <c r="A320" s="8" t="s">
        <v>33</v>
      </c>
      <c r="B320" s="9" t="s">
        <v>69</v>
      </c>
      <c r="C320" s="9" t="s">
        <v>70</v>
      </c>
      <c r="D320" s="10"/>
      <c r="E320" s="2" t="n">
        <f>399</f>
        <v>399.0</v>
      </c>
      <c r="F320" s="10"/>
      <c r="G320" s="2" t="n">
        <f>1343151200</f>
        <v>1.3431512E9</v>
      </c>
      <c r="H320" s="10"/>
      <c r="I320" s="2" t="n">
        <f>131</f>
        <v>131.0</v>
      </c>
      <c r="J320" s="10"/>
      <c r="K320" s="2" t="n">
        <f>2027</f>
        <v>2027.0</v>
      </c>
    </row>
    <row r="321">
      <c r="A321" s="8" t="s">
        <v>34</v>
      </c>
      <c r="B321" s="9" t="s">
        <v>69</v>
      </c>
      <c r="C321" s="9" t="s">
        <v>70</v>
      </c>
      <c r="D321" s="10"/>
      <c r="E321" s="2" t="n">
        <f>2194</f>
        <v>2194.0</v>
      </c>
      <c r="F321" s="10"/>
      <c r="G321" s="2" t="n">
        <f>7432260900</f>
        <v>7.4322609E9</v>
      </c>
      <c r="H321" s="10" t="s">
        <v>19</v>
      </c>
      <c r="I321" s="2" t="n">
        <f>360</f>
        <v>360.0</v>
      </c>
      <c r="J321" s="10" t="s">
        <v>46</v>
      </c>
      <c r="K321" s="2" t="n">
        <f>1300</f>
        <v>1300.0</v>
      </c>
    </row>
    <row r="322">
      <c r="A322" s="8" t="s">
        <v>35</v>
      </c>
      <c r="B322" s="9" t="s">
        <v>69</v>
      </c>
      <c r="C322" s="9" t="s">
        <v>70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36</v>
      </c>
      <c r="B323" s="9" t="s">
        <v>69</v>
      </c>
      <c r="C323" s="9" t="s">
        <v>70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37</v>
      </c>
      <c r="B324" s="9" t="s">
        <v>69</v>
      </c>
      <c r="C324" s="9" t="s">
        <v>70</v>
      </c>
      <c r="D324" s="10"/>
      <c r="E324" s="2" t="n">
        <f>956</f>
        <v>956.0</v>
      </c>
      <c r="F324" s="10"/>
      <c r="G324" s="2" t="n">
        <f>3251494200</f>
        <v>3.2514942E9</v>
      </c>
      <c r="H324" s="10"/>
      <c r="I324" s="2" t="n">
        <f>216</f>
        <v>216.0</v>
      </c>
      <c r="J324" s="10"/>
      <c r="K324" s="2" t="n">
        <f>1410</f>
        <v>1410.0</v>
      </c>
    </row>
    <row r="325">
      <c r="A325" s="8" t="s">
        <v>38</v>
      </c>
      <c r="B325" s="9" t="s">
        <v>69</v>
      </c>
      <c r="C325" s="9" t="s">
        <v>70</v>
      </c>
      <c r="D325" s="10"/>
      <c r="E325" s="2" t="n">
        <f>1273</f>
        <v>1273.0</v>
      </c>
      <c r="F325" s="10"/>
      <c r="G325" s="2" t="n">
        <f>4320928100</f>
        <v>4.3209281E9</v>
      </c>
      <c r="H325" s="10"/>
      <c r="I325" s="2" t="n">
        <f>199</f>
        <v>199.0</v>
      </c>
      <c r="J325" s="10"/>
      <c r="K325" s="2" t="n">
        <f>1723</f>
        <v>1723.0</v>
      </c>
    </row>
    <row r="326">
      <c r="A326" s="8" t="s">
        <v>39</v>
      </c>
      <c r="B326" s="9" t="s">
        <v>69</v>
      </c>
      <c r="C326" s="9" t="s">
        <v>70</v>
      </c>
      <c r="D326" s="10"/>
      <c r="E326" s="2" t="n">
        <f>1667</f>
        <v>1667.0</v>
      </c>
      <c r="F326" s="10"/>
      <c r="G326" s="2" t="n">
        <f>5622428300</f>
        <v>5.6224283E9</v>
      </c>
      <c r="H326" s="10"/>
      <c r="I326" s="2" t="n">
        <f>348</f>
        <v>348.0</v>
      </c>
      <c r="J326" s="10"/>
      <c r="K326" s="2" t="n">
        <f>1429</f>
        <v>1429.0</v>
      </c>
    </row>
    <row r="327">
      <c r="A327" s="8" t="s">
        <v>40</v>
      </c>
      <c r="B327" s="9" t="s">
        <v>69</v>
      </c>
      <c r="C327" s="9" t="s">
        <v>70</v>
      </c>
      <c r="D327" s="10"/>
      <c r="E327" s="2" t="n">
        <f>1615</f>
        <v>1615.0</v>
      </c>
      <c r="F327" s="10"/>
      <c r="G327" s="2" t="n">
        <f>5466080600</f>
        <v>5.4660806E9</v>
      </c>
      <c r="H327" s="10"/>
      <c r="I327" s="2" t="n">
        <f>322</f>
        <v>322.0</v>
      </c>
      <c r="J327" s="10"/>
      <c r="K327" s="2" t="n">
        <f>1498</f>
        <v>1498.0</v>
      </c>
    </row>
    <row r="328">
      <c r="A328" s="8" t="s">
        <v>41</v>
      </c>
      <c r="B328" s="9" t="s">
        <v>69</v>
      </c>
      <c r="C328" s="9" t="s">
        <v>70</v>
      </c>
      <c r="D328" s="10"/>
      <c r="E328" s="2" t="n">
        <f>1171</f>
        <v>1171.0</v>
      </c>
      <c r="F328" s="10"/>
      <c r="G328" s="2" t="n">
        <f>3960376800</f>
        <v>3.9603768E9</v>
      </c>
      <c r="H328" s="10"/>
      <c r="I328" s="2" t="n">
        <f>303</f>
        <v>303.0</v>
      </c>
      <c r="J328" s="10"/>
      <c r="K328" s="2" t="n">
        <f>1468</f>
        <v>1468.0</v>
      </c>
    </row>
    <row r="329">
      <c r="A329" s="8" t="s">
        <v>42</v>
      </c>
      <c r="B329" s="9" t="s">
        <v>69</v>
      </c>
      <c r="C329" s="9" t="s">
        <v>70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43</v>
      </c>
      <c r="B330" s="9" t="s">
        <v>69</v>
      </c>
      <c r="C330" s="9" t="s">
        <v>70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44</v>
      </c>
      <c r="B331" s="9" t="s">
        <v>69</v>
      </c>
      <c r="C331" s="9" t="s">
        <v>70</v>
      </c>
      <c r="D331" s="10"/>
      <c r="E331" s="2" t="n">
        <f>710</f>
        <v>710.0</v>
      </c>
      <c r="F331" s="10"/>
      <c r="G331" s="2" t="n">
        <f>2402548000</f>
        <v>2.402548E9</v>
      </c>
      <c r="H331" s="10"/>
      <c r="I331" s="2" t="n">
        <f>122</f>
        <v>122.0</v>
      </c>
      <c r="J331" s="10"/>
      <c r="K331" s="2" t="n">
        <f>1494</f>
        <v>1494.0</v>
      </c>
    </row>
    <row r="332">
      <c r="A332" s="8" t="s">
        <v>45</v>
      </c>
      <c r="B332" s="9" t="s">
        <v>69</v>
      </c>
      <c r="C332" s="9" t="s">
        <v>70</v>
      </c>
      <c r="D332" s="10" t="s">
        <v>46</v>
      </c>
      <c r="E332" s="2" t="n">
        <f>264</f>
        <v>264.0</v>
      </c>
      <c r="F332" s="10" t="s">
        <v>46</v>
      </c>
      <c r="G332" s="2" t="n">
        <f>895181000</f>
        <v>8.95181E8</v>
      </c>
      <c r="H332" s="10"/>
      <c r="I332" s="2" t="n">
        <f>56</f>
        <v>56.0</v>
      </c>
      <c r="J332" s="10"/>
      <c r="K332" s="2" t="n">
        <f>1502</f>
        <v>1502.0</v>
      </c>
    </row>
    <row r="333">
      <c r="A333" s="8" t="s">
        <v>47</v>
      </c>
      <c r="B333" s="9" t="s">
        <v>69</v>
      </c>
      <c r="C333" s="9" t="s">
        <v>70</v>
      </c>
      <c r="D333" s="10" t="s">
        <v>19</v>
      </c>
      <c r="E333" s="2" t="n">
        <f>2851</f>
        <v>2851.0</v>
      </c>
      <c r="F333" s="10" t="s">
        <v>19</v>
      </c>
      <c r="G333" s="2" t="n">
        <f>9644938800</f>
        <v>9.6449388E9</v>
      </c>
      <c r="H333" s="10"/>
      <c r="I333" s="2" t="n">
        <f>214</f>
        <v>214.0</v>
      </c>
      <c r="J333" s="10" t="s">
        <v>19</v>
      </c>
      <c r="K333" s="2" t="n">
        <f>3505</f>
        <v>3505.0</v>
      </c>
    </row>
    <row r="334">
      <c r="A334" s="8" t="s">
        <v>48</v>
      </c>
      <c r="B334" s="9" t="s">
        <v>69</v>
      </c>
      <c r="C334" s="9" t="s">
        <v>70</v>
      </c>
      <c r="D334" s="10"/>
      <c r="E334" s="2"/>
      <c r="F334" s="10"/>
      <c r="G334" s="2"/>
      <c r="H334" s="10"/>
      <c r="I334" s="2"/>
      <c r="J334" s="10"/>
      <c r="K334" s="2"/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1604</f>
        <v>1604.0</v>
      </c>
      <c r="F335" s="10"/>
      <c r="G335" s="2" t="n">
        <f>5429736200</f>
        <v>5.4297362E9</v>
      </c>
      <c r="H335" s="10"/>
      <c r="I335" s="2" t="n">
        <f>113</f>
        <v>113.0</v>
      </c>
      <c r="J335" s="10"/>
      <c r="K335" s="2" t="n">
        <f>3505</f>
        <v>3505.0</v>
      </c>
    </row>
    <row r="336">
      <c r="A336" s="8" t="s">
        <v>16</v>
      </c>
      <c r="B336" s="9" t="s">
        <v>71</v>
      </c>
      <c r="C336" s="9" t="s">
        <v>72</v>
      </c>
      <c r="D336" s="10" t="s">
        <v>46</v>
      </c>
      <c r="E336" s="2" t="str">
        <f>"－"</f>
        <v>－</v>
      </c>
      <c r="F336" s="10" t="s">
        <v>46</v>
      </c>
      <c r="G336" s="2" t="str">
        <f>"－"</f>
        <v>－</v>
      </c>
      <c r="H336" s="10" t="s">
        <v>46</v>
      </c>
      <c r="I336" s="2" t="str">
        <f>"－"</f>
        <v>－</v>
      </c>
      <c r="J336" s="10" t="s">
        <v>46</v>
      </c>
      <c r="K336" s="2" t="str">
        <f>"－"</f>
        <v>－</v>
      </c>
    </row>
    <row r="337">
      <c r="A337" s="8" t="s">
        <v>20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21</v>
      </c>
      <c r="B338" s="9" t="s">
        <v>71</v>
      </c>
      <c r="C338" s="9" t="s">
        <v>72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22</v>
      </c>
      <c r="B339" s="9" t="s">
        <v>71</v>
      </c>
      <c r="C339" s="9" t="s">
        <v>72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23</v>
      </c>
      <c r="B340" s="9" t="s">
        <v>71</v>
      </c>
      <c r="C340" s="9" t="s">
        <v>72</v>
      </c>
      <c r="D340" s="10"/>
      <c r="E340" s="2" t="str">
        <f>"－"</f>
        <v>－</v>
      </c>
      <c r="F340" s="10"/>
      <c r="G340" s="2" t="str">
        <f>"－"</f>
        <v>－</v>
      </c>
      <c r="H340" s="10"/>
      <c r="I340" s="2" t="str">
        <f>"－"</f>
        <v>－</v>
      </c>
      <c r="J340" s="10"/>
      <c r="K340" s="2" t="str">
        <f>"－"</f>
        <v>－</v>
      </c>
    </row>
    <row r="341">
      <c r="A341" s="8" t="s">
        <v>24</v>
      </c>
      <c r="B341" s="9" t="s">
        <v>71</v>
      </c>
      <c r="C341" s="9" t="s">
        <v>72</v>
      </c>
      <c r="D341" s="10"/>
      <c r="E341" s="2" t="str">
        <f>"－"</f>
        <v>－</v>
      </c>
      <c r="F341" s="10"/>
      <c r="G341" s="2" t="str">
        <f>"－"</f>
        <v>－</v>
      </c>
      <c r="H341" s="10"/>
      <c r="I341" s="2" t="str">
        <f>"－"</f>
        <v>－</v>
      </c>
      <c r="J341" s="10"/>
      <c r="K341" s="2" t="str">
        <f>"－"</f>
        <v>－</v>
      </c>
    </row>
    <row r="342">
      <c r="A342" s="8" t="s">
        <v>25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29</v>
      </c>
      <c r="B346" s="9" t="s">
        <v>71</v>
      </c>
      <c r="C346" s="9" t="s">
        <v>72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30</v>
      </c>
      <c r="B347" s="9" t="s">
        <v>71</v>
      </c>
      <c r="C347" s="9" t="s">
        <v>72</v>
      </c>
      <c r="D347" s="10"/>
      <c r="E347" s="2" t="str">
        <f>"－"</f>
        <v>－</v>
      </c>
      <c r="F347" s="10"/>
      <c r="G347" s="2" t="str">
        <f>"－"</f>
        <v>－</v>
      </c>
      <c r="H347" s="10"/>
      <c r="I347" s="2" t="str">
        <f>"－"</f>
        <v>－</v>
      </c>
      <c r="J347" s="10"/>
      <c r="K347" s="2" t="str">
        <f>"－"</f>
        <v>－</v>
      </c>
    </row>
    <row r="348">
      <c r="A348" s="8" t="s">
        <v>31</v>
      </c>
      <c r="B348" s="9" t="s">
        <v>71</v>
      </c>
      <c r="C348" s="9" t="s">
        <v>72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32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33</v>
      </c>
      <c r="B350" s="9" t="s">
        <v>71</v>
      </c>
      <c r="C350" s="9" t="s">
        <v>72</v>
      </c>
      <c r="D350" s="10"/>
      <c r="E350" s="2" t="n">
        <f>1</f>
        <v>1.0</v>
      </c>
      <c r="F350" s="10"/>
      <c r="G350" s="2" t="n">
        <f>1688800</f>
        <v>1688800.0</v>
      </c>
      <c r="H350" s="10"/>
      <c r="I350" s="2" t="n">
        <f>1</f>
        <v>1.0</v>
      </c>
      <c r="J350" s="10" t="s">
        <v>19</v>
      </c>
      <c r="K350" s="2" t="n">
        <f>1</f>
        <v>1.0</v>
      </c>
    </row>
    <row r="351">
      <c r="A351" s="8" t="s">
        <v>34</v>
      </c>
      <c r="B351" s="9" t="s">
        <v>71</v>
      </c>
      <c r="C351" s="9" t="s">
        <v>72</v>
      </c>
      <c r="D351" s="10" t="s">
        <v>19</v>
      </c>
      <c r="E351" s="2" t="n">
        <f>11</f>
        <v>11.0</v>
      </c>
      <c r="F351" s="10" t="s">
        <v>19</v>
      </c>
      <c r="G351" s="2" t="n">
        <f>18788300</f>
        <v>1.87883E7</v>
      </c>
      <c r="H351" s="10" t="s">
        <v>19</v>
      </c>
      <c r="I351" s="2" t="n">
        <f>11</f>
        <v>11.0</v>
      </c>
      <c r="J351" s="10"/>
      <c r="K351" s="2" t="str">
        <f>"－"</f>
        <v>－</v>
      </c>
    </row>
    <row r="352">
      <c r="A352" s="8" t="s">
        <v>35</v>
      </c>
      <c r="B352" s="9" t="s">
        <v>71</v>
      </c>
      <c r="C352" s="9" t="s">
        <v>72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36</v>
      </c>
      <c r="B353" s="9" t="s">
        <v>71</v>
      </c>
      <c r="C353" s="9" t="s">
        <v>72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37</v>
      </c>
      <c r="B354" s="9" t="s">
        <v>71</v>
      </c>
      <c r="C354" s="9" t="s">
        <v>72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38</v>
      </c>
      <c r="B355" s="9" t="s">
        <v>71</v>
      </c>
      <c r="C355" s="9" t="s">
        <v>72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39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40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41</v>
      </c>
      <c r="B358" s="9" t="s">
        <v>71</v>
      </c>
      <c r="C358" s="9" t="s">
        <v>72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42</v>
      </c>
      <c r="B359" s="9" t="s">
        <v>71</v>
      </c>
      <c r="C359" s="9" t="s">
        <v>72</v>
      </c>
      <c r="D359" s="10"/>
      <c r="E359" s="2"/>
      <c r="F359" s="10"/>
      <c r="G359" s="2"/>
      <c r="H359" s="10"/>
      <c r="I359" s="2"/>
      <c r="J359" s="10"/>
      <c r="K359" s="2"/>
    </row>
    <row r="360">
      <c r="A360" s="8" t="s">
        <v>43</v>
      </c>
      <c r="B360" s="9" t="s">
        <v>71</v>
      </c>
      <c r="C360" s="9" t="s">
        <v>72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44</v>
      </c>
      <c r="B361" s="9" t="s">
        <v>71</v>
      </c>
      <c r="C361" s="9" t="s">
        <v>72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45</v>
      </c>
      <c r="B362" s="9" t="s">
        <v>71</v>
      </c>
      <c r="C362" s="9" t="s">
        <v>72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60</v>
      </c>
      <c r="E366" s="2" t="str">
        <f>"－"</f>
        <v>－</v>
      </c>
      <c r="F366" s="10" t="s">
        <v>60</v>
      </c>
      <c r="G366" s="2" t="str">
        <f>"－"</f>
        <v>－</v>
      </c>
      <c r="H366" s="10" t="s">
        <v>60</v>
      </c>
      <c r="I366" s="2" t="str">
        <f>"－"</f>
        <v>－</v>
      </c>
      <c r="J366" s="10" t="s">
        <v>60</v>
      </c>
      <c r="K366" s="2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21</v>
      </c>
      <c r="B368" s="9" t="s">
        <v>73</v>
      </c>
      <c r="C368" s="9" t="s">
        <v>74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22</v>
      </c>
      <c r="B369" s="9" t="s">
        <v>73</v>
      </c>
      <c r="C369" s="9" t="s">
        <v>74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23</v>
      </c>
      <c r="B370" s="9" t="s">
        <v>73</v>
      </c>
      <c r="C370" s="9" t="s">
        <v>74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24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25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29</v>
      </c>
      <c r="B376" s="9" t="s">
        <v>73</v>
      </c>
      <c r="C376" s="9" t="s">
        <v>74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30</v>
      </c>
      <c r="B377" s="9" t="s">
        <v>73</v>
      </c>
      <c r="C377" s="9" t="s">
        <v>74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31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str">
        <f>"－"</f>
        <v>－</v>
      </c>
    </row>
    <row r="379">
      <c r="A379" s="8" t="s">
        <v>32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33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34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35</v>
      </c>
      <c r="B382" s="9" t="s">
        <v>73</v>
      </c>
      <c r="C382" s="9" t="s">
        <v>74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36</v>
      </c>
      <c r="B383" s="9" t="s">
        <v>73</v>
      </c>
      <c r="C383" s="9" t="s">
        <v>74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37</v>
      </c>
      <c r="B384" s="9" t="s">
        <v>73</v>
      </c>
      <c r="C384" s="9" t="s">
        <v>74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38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39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40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41</v>
      </c>
      <c r="B388" s="9" t="s">
        <v>73</v>
      </c>
      <c r="C388" s="9" t="s">
        <v>74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42</v>
      </c>
      <c r="B389" s="9" t="s">
        <v>73</v>
      </c>
      <c r="C389" s="9" t="s">
        <v>74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43</v>
      </c>
      <c r="B390" s="9" t="s">
        <v>73</v>
      </c>
      <c r="C390" s="9" t="s">
        <v>74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44</v>
      </c>
      <c r="B391" s="9" t="s">
        <v>73</v>
      </c>
      <c r="C391" s="9" t="s">
        <v>74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45</v>
      </c>
      <c r="B392" s="9" t="s">
        <v>73</v>
      </c>
      <c r="C392" s="9" t="s">
        <v>74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46</v>
      </c>
      <c r="E396" s="2" t="str">
        <f>"－"</f>
        <v>－</v>
      </c>
      <c r="F396" s="10" t="s">
        <v>46</v>
      </c>
      <c r="G396" s="2" t="str">
        <f>"－"</f>
        <v>－</v>
      </c>
      <c r="H396" s="10" t="s">
        <v>60</v>
      </c>
      <c r="I396" s="2" t="str">
        <f>"－"</f>
        <v>－</v>
      </c>
      <c r="J396" s="10" t="s">
        <v>19</v>
      </c>
      <c r="K396" s="2" t="n">
        <f>29227</f>
        <v>29227.0</v>
      </c>
    </row>
    <row r="397">
      <c r="A397" s="8" t="s">
        <v>20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29227</f>
        <v>29227.0</v>
      </c>
    </row>
    <row r="398">
      <c r="A398" s="8" t="s">
        <v>21</v>
      </c>
      <c r="B398" s="9" t="s">
        <v>75</v>
      </c>
      <c r="C398" s="9" t="s">
        <v>76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22</v>
      </c>
      <c r="B399" s="9" t="s">
        <v>75</v>
      </c>
      <c r="C399" s="9" t="s">
        <v>76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23</v>
      </c>
      <c r="B400" s="9" t="s">
        <v>75</v>
      </c>
      <c r="C400" s="9" t="s">
        <v>76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n">
        <f>29227</f>
        <v>29227.0</v>
      </c>
    </row>
    <row r="401">
      <c r="A401" s="8" t="s">
        <v>24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n">
        <f>29227</f>
        <v>29227.0</v>
      </c>
    </row>
    <row r="402">
      <c r="A402" s="8" t="s">
        <v>25</v>
      </c>
      <c r="B402" s="9" t="s">
        <v>75</v>
      </c>
      <c r="C402" s="9" t="s">
        <v>76</v>
      </c>
      <c r="D402" s="10" t="s">
        <v>19</v>
      </c>
      <c r="E402" s="2" t="n">
        <f>15</f>
        <v>15.0</v>
      </c>
      <c r="F402" s="10" t="s">
        <v>19</v>
      </c>
      <c r="G402" s="2" t="n">
        <f>7074000</f>
        <v>7074000.0</v>
      </c>
      <c r="H402" s="10"/>
      <c r="I402" s="2" t="str">
        <f>"－"</f>
        <v>－</v>
      </c>
      <c r="J402" s="10" t="s">
        <v>46</v>
      </c>
      <c r="K402" s="2" t="n">
        <f>29212</f>
        <v>29212.0</v>
      </c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29212</f>
        <v>29212.0</v>
      </c>
    </row>
    <row r="404">
      <c r="A404" s="8" t="s">
        <v>27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n">
        <f>29212</f>
        <v>29212.0</v>
      </c>
    </row>
    <row r="405">
      <c r="A405" s="8" t="s">
        <v>28</v>
      </c>
      <c r="B405" s="9" t="s">
        <v>75</v>
      </c>
      <c r="C405" s="9" t="s">
        <v>76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29</v>
      </c>
      <c r="B406" s="9" t="s">
        <v>75</v>
      </c>
      <c r="C406" s="9" t="s">
        <v>76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30</v>
      </c>
      <c r="B407" s="9" t="s">
        <v>75</v>
      </c>
      <c r="C407" s="9" t="s">
        <v>76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n">
        <f>29212</f>
        <v>29212.0</v>
      </c>
    </row>
    <row r="408">
      <c r="A408" s="8" t="s">
        <v>31</v>
      </c>
      <c r="B408" s="9" t="s">
        <v>75</v>
      </c>
      <c r="C408" s="9" t="s">
        <v>76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n">
        <f>29212</f>
        <v>29212.0</v>
      </c>
    </row>
    <row r="409">
      <c r="A409" s="8" t="s">
        <v>32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29212</f>
        <v>29212.0</v>
      </c>
    </row>
    <row r="410">
      <c r="A410" s="8" t="s">
        <v>33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29212</f>
        <v>29212.0</v>
      </c>
    </row>
    <row r="411">
      <c r="A411" s="8" t="s">
        <v>34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29212</f>
        <v>29212.0</v>
      </c>
    </row>
    <row r="412">
      <c r="A412" s="8" t="s">
        <v>35</v>
      </c>
      <c r="B412" s="9" t="s">
        <v>75</v>
      </c>
      <c r="C412" s="9" t="s">
        <v>76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36</v>
      </c>
      <c r="B413" s="9" t="s">
        <v>75</v>
      </c>
      <c r="C413" s="9" t="s">
        <v>76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37</v>
      </c>
      <c r="B414" s="9" t="s">
        <v>75</v>
      </c>
      <c r="C414" s="9" t="s">
        <v>76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29212</f>
        <v>29212.0</v>
      </c>
    </row>
    <row r="415">
      <c r="A415" s="8" t="s">
        <v>38</v>
      </c>
      <c r="B415" s="9" t="s">
        <v>75</v>
      </c>
      <c r="C415" s="9" t="s">
        <v>76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29212</f>
        <v>29212.0</v>
      </c>
    </row>
    <row r="416">
      <c r="A416" s="8" t="s">
        <v>39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29212</f>
        <v>29212.0</v>
      </c>
    </row>
    <row r="417">
      <c r="A417" s="8" t="s">
        <v>40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29212</f>
        <v>29212.0</v>
      </c>
    </row>
    <row r="418">
      <c r="A418" s="8" t="s">
        <v>41</v>
      </c>
      <c r="B418" s="9" t="s">
        <v>75</v>
      </c>
      <c r="C418" s="9" t="s">
        <v>76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29212</f>
        <v>29212.0</v>
      </c>
    </row>
    <row r="419">
      <c r="A419" s="8" t="s">
        <v>42</v>
      </c>
      <c r="B419" s="9" t="s">
        <v>75</v>
      </c>
      <c r="C419" s="9" t="s">
        <v>76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43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44</v>
      </c>
      <c r="B421" s="9" t="s">
        <v>75</v>
      </c>
      <c r="C421" s="9" t="s">
        <v>76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29212</f>
        <v>29212.0</v>
      </c>
    </row>
    <row r="422">
      <c r="A422" s="8" t="s">
        <v>45</v>
      </c>
      <c r="B422" s="9" t="s">
        <v>75</v>
      </c>
      <c r="C422" s="9" t="s">
        <v>76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29212</f>
        <v>29212.0</v>
      </c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29212</f>
        <v>29212.0</v>
      </c>
    </row>
    <row r="424">
      <c r="A424" s="8" t="s">
        <v>48</v>
      </c>
      <c r="B424" s="9" t="s">
        <v>75</v>
      </c>
      <c r="C424" s="9" t="s">
        <v>76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29212</f>
        <v>29212.0</v>
      </c>
    </row>
    <row r="426">
      <c r="A426" s="8" t="s">
        <v>16</v>
      </c>
      <c r="B426" s="9" t="s">
        <v>77</v>
      </c>
      <c r="C426" s="9" t="s">
        <v>78</v>
      </c>
      <c r="D426" s="10" t="s">
        <v>60</v>
      </c>
      <c r="E426" s="2" t="str">
        <f>"－"</f>
        <v>－</v>
      </c>
      <c r="F426" s="10" t="s">
        <v>60</v>
      </c>
      <c r="G426" s="2" t="str">
        <f>"－"</f>
        <v>－</v>
      </c>
      <c r="H426" s="10" t="s">
        <v>60</v>
      </c>
      <c r="I426" s="2" t="str">
        <f>"－"</f>
        <v>－</v>
      </c>
      <c r="J426" s="10" t="s">
        <v>60</v>
      </c>
      <c r="K426" s="2" t="str">
        <f>"－"</f>
        <v>－</v>
      </c>
    </row>
    <row r="427">
      <c r="A427" s="8" t="s">
        <v>20</v>
      </c>
      <c r="B427" s="9" t="s">
        <v>77</v>
      </c>
      <c r="C427" s="9" t="s">
        <v>78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str">
        <f>"－"</f>
        <v>－</v>
      </c>
    </row>
    <row r="428">
      <c r="A428" s="8" t="s">
        <v>21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22</v>
      </c>
      <c r="B429" s="9" t="s">
        <v>77</v>
      </c>
      <c r="C429" s="9" t="s">
        <v>78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23</v>
      </c>
      <c r="B430" s="9" t="s">
        <v>77</v>
      </c>
      <c r="C430" s="9" t="s">
        <v>78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str">
        <f>"－"</f>
        <v>－</v>
      </c>
    </row>
    <row r="431">
      <c r="A431" s="8" t="s">
        <v>24</v>
      </c>
      <c r="B431" s="9" t="s">
        <v>77</v>
      </c>
      <c r="C431" s="9" t="s">
        <v>78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str">
        <f>"－"</f>
        <v>－</v>
      </c>
    </row>
    <row r="432">
      <c r="A432" s="8" t="s">
        <v>25</v>
      </c>
      <c r="B432" s="9" t="s">
        <v>77</v>
      </c>
      <c r="C432" s="9" t="s">
        <v>78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str">
        <f>"－"</f>
        <v>－</v>
      </c>
    </row>
    <row r="433">
      <c r="A433" s="8" t="s">
        <v>26</v>
      </c>
      <c r="B433" s="9" t="s">
        <v>77</v>
      </c>
      <c r="C433" s="9" t="s">
        <v>78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str">
        <f>"－"</f>
        <v>－</v>
      </c>
    </row>
    <row r="434">
      <c r="A434" s="8" t="s">
        <v>27</v>
      </c>
      <c r="B434" s="9" t="s">
        <v>77</v>
      </c>
      <c r="C434" s="9" t="s">
        <v>78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str">
        <f>"－"</f>
        <v>－</v>
      </c>
    </row>
    <row r="435">
      <c r="A435" s="8" t="s">
        <v>28</v>
      </c>
      <c r="B435" s="9" t="s">
        <v>77</v>
      </c>
      <c r="C435" s="9" t="s">
        <v>78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29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30</v>
      </c>
      <c r="B437" s="9" t="s">
        <v>77</v>
      </c>
      <c r="C437" s="9" t="s">
        <v>78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str">
        <f>"－"</f>
        <v>－</v>
      </c>
    </row>
    <row r="438">
      <c r="A438" s="8" t="s">
        <v>31</v>
      </c>
      <c r="B438" s="9" t="s">
        <v>77</v>
      </c>
      <c r="C438" s="9" t="s">
        <v>78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str">
        <f>"－"</f>
        <v>－</v>
      </c>
    </row>
    <row r="439">
      <c r="A439" s="8" t="s">
        <v>32</v>
      </c>
      <c r="B439" s="9" t="s">
        <v>77</v>
      </c>
      <c r="C439" s="9" t="s">
        <v>78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str">
        <f>"－"</f>
        <v>－</v>
      </c>
    </row>
    <row r="440">
      <c r="A440" s="8" t="s">
        <v>33</v>
      </c>
      <c r="B440" s="9" t="s">
        <v>77</v>
      </c>
      <c r="C440" s="9" t="s">
        <v>78</v>
      </c>
      <c r="D440" s="10"/>
      <c r="E440" s="2" t="str">
        <f>"－"</f>
        <v>－</v>
      </c>
      <c r="F440" s="10"/>
      <c r="G440" s="2" t="str">
        <f>"－"</f>
        <v>－</v>
      </c>
      <c r="H440" s="10"/>
      <c r="I440" s="2" t="str">
        <f>"－"</f>
        <v>－</v>
      </c>
      <c r="J440" s="10"/>
      <c r="K440" s="2" t="str">
        <f>"－"</f>
        <v>－</v>
      </c>
    </row>
    <row r="441">
      <c r="A441" s="8" t="s">
        <v>34</v>
      </c>
      <c r="B441" s="9" t="s">
        <v>77</v>
      </c>
      <c r="C441" s="9" t="s">
        <v>78</v>
      </c>
      <c r="D441" s="10"/>
      <c r="E441" s="2" t="str">
        <f>"－"</f>
        <v>－</v>
      </c>
      <c r="F441" s="10"/>
      <c r="G441" s="2" t="str">
        <f>"－"</f>
        <v>－</v>
      </c>
      <c r="H441" s="10"/>
      <c r="I441" s="2" t="str">
        <f>"－"</f>
        <v>－</v>
      </c>
      <c r="J441" s="10"/>
      <c r="K441" s="2" t="str">
        <f>"－"</f>
        <v>－</v>
      </c>
    </row>
    <row r="442">
      <c r="A442" s="8" t="s">
        <v>35</v>
      </c>
      <c r="B442" s="9" t="s">
        <v>77</v>
      </c>
      <c r="C442" s="9" t="s">
        <v>78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36</v>
      </c>
      <c r="B443" s="9" t="s">
        <v>77</v>
      </c>
      <c r="C443" s="9" t="s">
        <v>78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37</v>
      </c>
      <c r="B444" s="9" t="s">
        <v>77</v>
      </c>
      <c r="C444" s="9" t="s">
        <v>78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str">
        <f>"－"</f>
        <v>－</v>
      </c>
    </row>
    <row r="445">
      <c r="A445" s="8" t="s">
        <v>38</v>
      </c>
      <c r="B445" s="9" t="s">
        <v>77</v>
      </c>
      <c r="C445" s="9" t="s">
        <v>78</v>
      </c>
      <c r="D445" s="10"/>
      <c r="E445" s="2" t="str">
        <f>"－"</f>
        <v>－</v>
      </c>
      <c r="F445" s="10"/>
      <c r="G445" s="2" t="str">
        <f>"－"</f>
        <v>－</v>
      </c>
      <c r="H445" s="10"/>
      <c r="I445" s="2" t="str">
        <f>"－"</f>
        <v>－</v>
      </c>
      <c r="J445" s="10"/>
      <c r="K445" s="2" t="str">
        <f>"－"</f>
        <v>－</v>
      </c>
    </row>
    <row r="446">
      <c r="A446" s="8" t="s">
        <v>39</v>
      </c>
      <c r="B446" s="9" t="s">
        <v>77</v>
      </c>
      <c r="C446" s="9" t="s">
        <v>78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str">
        <f>"－"</f>
        <v>－</v>
      </c>
    </row>
    <row r="447">
      <c r="A447" s="8" t="s">
        <v>40</v>
      </c>
      <c r="B447" s="9" t="s">
        <v>77</v>
      </c>
      <c r="C447" s="9" t="s">
        <v>78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str">
        <f>"－"</f>
        <v>－</v>
      </c>
    </row>
    <row r="448">
      <c r="A448" s="8" t="s">
        <v>41</v>
      </c>
      <c r="B448" s="9" t="s">
        <v>77</v>
      </c>
      <c r="C448" s="9" t="s">
        <v>78</v>
      </c>
      <c r="D448" s="10"/>
      <c r="E448" s="2" t="str">
        <f>"－"</f>
        <v>－</v>
      </c>
      <c r="F448" s="10"/>
      <c r="G448" s="2" t="str">
        <f>"－"</f>
        <v>－</v>
      </c>
      <c r="H448" s="10"/>
      <c r="I448" s="2" t="str">
        <f>"－"</f>
        <v>－</v>
      </c>
      <c r="J448" s="10"/>
      <c r="K448" s="2" t="str">
        <f>"－"</f>
        <v>－</v>
      </c>
    </row>
    <row r="449">
      <c r="A449" s="8" t="s">
        <v>42</v>
      </c>
      <c r="B449" s="9" t="s">
        <v>77</v>
      </c>
      <c r="C449" s="9" t="s">
        <v>78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43</v>
      </c>
      <c r="B450" s="9" t="s">
        <v>77</v>
      </c>
      <c r="C450" s="9" t="s">
        <v>78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44</v>
      </c>
      <c r="B451" s="9" t="s">
        <v>77</v>
      </c>
      <c r="C451" s="9" t="s">
        <v>78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45</v>
      </c>
      <c r="B452" s="9" t="s">
        <v>77</v>
      </c>
      <c r="C452" s="9" t="s">
        <v>78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str">
        <f>"－"</f>
        <v>－</v>
      </c>
    </row>
    <row r="453">
      <c r="A453" s="8" t="s">
        <v>47</v>
      </c>
      <c r="B453" s="9" t="s">
        <v>77</v>
      </c>
      <c r="C453" s="9" t="s">
        <v>78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str">
        <f>"－"</f>
        <v>－</v>
      </c>
    </row>
    <row r="454">
      <c r="A454" s="8" t="s">
        <v>48</v>
      </c>
      <c r="B454" s="9" t="s">
        <v>77</v>
      </c>
      <c r="C454" s="9" t="s">
        <v>78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49</v>
      </c>
      <c r="B455" s="9" t="s">
        <v>77</v>
      </c>
      <c r="C455" s="9" t="s">
        <v>78</v>
      </c>
      <c r="D455" s="10"/>
      <c r="E455" s="2" t="str">
        <f>"－"</f>
        <v>－</v>
      </c>
      <c r="F455" s="10"/>
      <c r="G455" s="2" t="str">
        <f>"－"</f>
        <v>－</v>
      </c>
      <c r="H455" s="10"/>
      <c r="I455" s="2" t="str">
        <f>"－"</f>
        <v>－</v>
      </c>
      <c r="J455" s="10"/>
      <c r="K455" s="2" t="str">
        <f>"－"</f>
        <v>－</v>
      </c>
    </row>
    <row r="456">
      <c r="A456" s="8" t="s">
        <v>16</v>
      </c>
      <c r="B456" s="9" t="s">
        <v>79</v>
      </c>
      <c r="C456" s="9" t="s">
        <v>80</v>
      </c>
      <c r="D456" s="10" t="s">
        <v>60</v>
      </c>
      <c r="E456" s="2" t="str">
        <f>"－"</f>
        <v>－</v>
      </c>
      <c r="F456" s="10" t="s">
        <v>60</v>
      </c>
      <c r="G456" s="2" t="str">
        <f>"－"</f>
        <v>－</v>
      </c>
      <c r="H456" s="10" t="s">
        <v>60</v>
      </c>
      <c r="I456" s="2" t="str">
        <f>"－"</f>
        <v>－</v>
      </c>
      <c r="J456" s="10" t="s">
        <v>60</v>
      </c>
      <c r="K456" s="2" t="str">
        <f>"－"</f>
        <v>－</v>
      </c>
    </row>
    <row r="457">
      <c r="A457" s="8" t="s">
        <v>20</v>
      </c>
      <c r="B457" s="9" t="s">
        <v>79</v>
      </c>
      <c r="C457" s="9" t="s">
        <v>80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str">
        <f>"－"</f>
        <v>－</v>
      </c>
    </row>
    <row r="458">
      <c r="A458" s="8" t="s">
        <v>21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22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23</v>
      </c>
      <c r="B460" s="9" t="s">
        <v>79</v>
      </c>
      <c r="C460" s="9" t="s">
        <v>80</v>
      </c>
      <c r="D460" s="10"/>
      <c r="E460" s="2" t="str">
        <f>"－"</f>
        <v>－</v>
      </c>
      <c r="F460" s="10"/>
      <c r="G460" s="2" t="str">
        <f>"－"</f>
        <v>－</v>
      </c>
      <c r="H460" s="10"/>
      <c r="I460" s="2" t="str">
        <f>"－"</f>
        <v>－</v>
      </c>
      <c r="J460" s="10"/>
      <c r="K460" s="2" t="str">
        <f>"－"</f>
        <v>－</v>
      </c>
    </row>
    <row r="461">
      <c r="A461" s="8" t="s">
        <v>24</v>
      </c>
      <c r="B461" s="9" t="s">
        <v>79</v>
      </c>
      <c r="C461" s="9" t="s">
        <v>80</v>
      </c>
      <c r="D461" s="10"/>
      <c r="E461" s="2" t="str">
        <f>"－"</f>
        <v>－</v>
      </c>
      <c r="F461" s="10"/>
      <c r="G461" s="2" t="str">
        <f>"－"</f>
        <v>－</v>
      </c>
      <c r="H461" s="10"/>
      <c r="I461" s="2" t="str">
        <f>"－"</f>
        <v>－</v>
      </c>
      <c r="J461" s="10"/>
      <c r="K461" s="2" t="str">
        <f>"－"</f>
        <v>－</v>
      </c>
    </row>
    <row r="462">
      <c r="A462" s="8" t="s">
        <v>25</v>
      </c>
      <c r="B462" s="9" t="s">
        <v>79</v>
      </c>
      <c r="C462" s="9" t="s">
        <v>80</v>
      </c>
      <c r="D462" s="10"/>
      <c r="E462" s="2" t="str">
        <f>"－"</f>
        <v>－</v>
      </c>
      <c r="F462" s="10"/>
      <c r="G462" s="2" t="str">
        <f>"－"</f>
        <v>－</v>
      </c>
      <c r="H462" s="10"/>
      <c r="I462" s="2" t="str">
        <f>"－"</f>
        <v>－</v>
      </c>
      <c r="J462" s="10"/>
      <c r="K462" s="2" t="str">
        <f>"－"</f>
        <v>－</v>
      </c>
    </row>
    <row r="463">
      <c r="A463" s="8" t="s">
        <v>26</v>
      </c>
      <c r="B463" s="9" t="s">
        <v>79</v>
      </c>
      <c r="C463" s="9" t="s">
        <v>80</v>
      </c>
      <c r="D463" s="10"/>
      <c r="E463" s="2" t="str">
        <f>"－"</f>
        <v>－</v>
      </c>
      <c r="F463" s="10"/>
      <c r="G463" s="2" t="str">
        <f>"－"</f>
        <v>－</v>
      </c>
      <c r="H463" s="10"/>
      <c r="I463" s="2" t="str">
        <f>"－"</f>
        <v>－</v>
      </c>
      <c r="J463" s="10"/>
      <c r="K463" s="2" t="str">
        <f>"－"</f>
        <v>－</v>
      </c>
    </row>
    <row r="464">
      <c r="A464" s="8" t="s">
        <v>27</v>
      </c>
      <c r="B464" s="9" t="s">
        <v>79</v>
      </c>
      <c r="C464" s="9" t="s">
        <v>80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str">
        <f>"－"</f>
        <v>－</v>
      </c>
    </row>
    <row r="465">
      <c r="A465" s="8" t="s">
        <v>28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29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30</v>
      </c>
      <c r="B467" s="9" t="s">
        <v>79</v>
      </c>
      <c r="C467" s="9" t="s">
        <v>80</v>
      </c>
      <c r="D467" s="10"/>
      <c r="E467" s="2" t="str">
        <f>"－"</f>
        <v>－</v>
      </c>
      <c r="F467" s="10"/>
      <c r="G467" s="2" t="str">
        <f>"－"</f>
        <v>－</v>
      </c>
      <c r="H467" s="10"/>
      <c r="I467" s="2" t="str">
        <f>"－"</f>
        <v>－</v>
      </c>
      <c r="J467" s="10"/>
      <c r="K467" s="2" t="str">
        <f>"－"</f>
        <v>－</v>
      </c>
    </row>
    <row r="468">
      <c r="A468" s="8" t="s">
        <v>31</v>
      </c>
      <c r="B468" s="9" t="s">
        <v>79</v>
      </c>
      <c r="C468" s="9" t="s">
        <v>80</v>
      </c>
      <c r="D468" s="10"/>
      <c r="E468" s="2" t="str">
        <f>"－"</f>
        <v>－</v>
      </c>
      <c r="F468" s="10"/>
      <c r="G468" s="2" t="str">
        <f>"－"</f>
        <v>－</v>
      </c>
      <c r="H468" s="10"/>
      <c r="I468" s="2" t="str">
        <f>"－"</f>
        <v>－</v>
      </c>
      <c r="J468" s="10"/>
      <c r="K468" s="2" t="str">
        <f>"－"</f>
        <v>－</v>
      </c>
    </row>
    <row r="469">
      <c r="A469" s="8" t="s">
        <v>32</v>
      </c>
      <c r="B469" s="9" t="s">
        <v>79</v>
      </c>
      <c r="C469" s="9" t="s">
        <v>80</v>
      </c>
      <c r="D469" s="10"/>
      <c r="E469" s="2" t="str">
        <f>"－"</f>
        <v>－</v>
      </c>
      <c r="F469" s="10"/>
      <c r="G469" s="2" t="str">
        <f>"－"</f>
        <v>－</v>
      </c>
      <c r="H469" s="10"/>
      <c r="I469" s="2" t="str">
        <f>"－"</f>
        <v>－</v>
      </c>
      <c r="J469" s="10"/>
      <c r="K469" s="2" t="str">
        <f>"－"</f>
        <v>－</v>
      </c>
    </row>
    <row r="470">
      <c r="A470" s="8" t="s">
        <v>33</v>
      </c>
      <c r="B470" s="9" t="s">
        <v>79</v>
      </c>
      <c r="C470" s="9" t="s">
        <v>80</v>
      </c>
      <c r="D470" s="10"/>
      <c r="E470" s="2" t="str">
        <f>"－"</f>
        <v>－</v>
      </c>
      <c r="F470" s="10"/>
      <c r="G470" s="2" t="str">
        <f>"－"</f>
        <v>－</v>
      </c>
      <c r="H470" s="10"/>
      <c r="I470" s="2" t="str">
        <f>"－"</f>
        <v>－</v>
      </c>
      <c r="J470" s="10"/>
      <c r="K470" s="2" t="str">
        <f>"－"</f>
        <v>－</v>
      </c>
    </row>
    <row r="471">
      <c r="A471" s="8" t="s">
        <v>34</v>
      </c>
      <c r="B471" s="9" t="s">
        <v>79</v>
      </c>
      <c r="C471" s="9" t="s">
        <v>80</v>
      </c>
      <c r="D471" s="10"/>
      <c r="E471" s="2" t="str">
        <f>"－"</f>
        <v>－</v>
      </c>
      <c r="F471" s="10"/>
      <c r="G471" s="2" t="str">
        <f>"－"</f>
        <v>－</v>
      </c>
      <c r="H471" s="10"/>
      <c r="I471" s="2" t="str">
        <f>"－"</f>
        <v>－</v>
      </c>
      <c r="J471" s="10"/>
      <c r="K471" s="2" t="str">
        <f>"－"</f>
        <v>－</v>
      </c>
    </row>
    <row r="472">
      <c r="A472" s="8" t="s">
        <v>35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36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37</v>
      </c>
      <c r="B474" s="9" t="s">
        <v>79</v>
      </c>
      <c r="C474" s="9" t="s">
        <v>80</v>
      </c>
      <c r="D474" s="10"/>
      <c r="E474" s="2" t="str">
        <f>"－"</f>
        <v>－</v>
      </c>
      <c r="F474" s="10"/>
      <c r="G474" s="2" t="str">
        <f>"－"</f>
        <v>－</v>
      </c>
      <c r="H474" s="10"/>
      <c r="I474" s="2" t="str">
        <f>"－"</f>
        <v>－</v>
      </c>
      <c r="J474" s="10"/>
      <c r="K474" s="2" t="str">
        <f>"－"</f>
        <v>－</v>
      </c>
    </row>
    <row r="475">
      <c r="A475" s="8" t="s">
        <v>38</v>
      </c>
      <c r="B475" s="9" t="s">
        <v>79</v>
      </c>
      <c r="C475" s="9" t="s">
        <v>80</v>
      </c>
      <c r="D475" s="10"/>
      <c r="E475" s="2" t="str">
        <f>"－"</f>
        <v>－</v>
      </c>
      <c r="F475" s="10"/>
      <c r="G475" s="2" t="str">
        <f>"－"</f>
        <v>－</v>
      </c>
      <c r="H475" s="10"/>
      <c r="I475" s="2" t="str">
        <f>"－"</f>
        <v>－</v>
      </c>
      <c r="J475" s="10"/>
      <c r="K475" s="2" t="str">
        <f>"－"</f>
        <v>－</v>
      </c>
    </row>
    <row r="476">
      <c r="A476" s="8" t="s">
        <v>39</v>
      </c>
      <c r="B476" s="9" t="s">
        <v>79</v>
      </c>
      <c r="C476" s="9" t="s">
        <v>80</v>
      </c>
      <c r="D476" s="10"/>
      <c r="E476" s="2" t="str">
        <f>"－"</f>
        <v>－</v>
      </c>
      <c r="F476" s="10"/>
      <c r="G476" s="2" t="str">
        <f>"－"</f>
        <v>－</v>
      </c>
      <c r="H476" s="10"/>
      <c r="I476" s="2" t="str">
        <f>"－"</f>
        <v>－</v>
      </c>
      <c r="J476" s="10"/>
      <c r="K476" s="2" t="str">
        <f>"－"</f>
        <v>－</v>
      </c>
    </row>
    <row r="477">
      <c r="A477" s="8" t="s">
        <v>40</v>
      </c>
      <c r="B477" s="9" t="s">
        <v>79</v>
      </c>
      <c r="C477" s="9" t="s">
        <v>80</v>
      </c>
      <c r="D477" s="10"/>
      <c r="E477" s="2" t="str">
        <f>"－"</f>
        <v>－</v>
      </c>
      <c r="F477" s="10"/>
      <c r="G477" s="2" t="str">
        <f>"－"</f>
        <v>－</v>
      </c>
      <c r="H477" s="10"/>
      <c r="I477" s="2" t="str">
        <f>"－"</f>
        <v>－</v>
      </c>
      <c r="J477" s="10"/>
      <c r="K477" s="2" t="str">
        <f>"－"</f>
        <v>－</v>
      </c>
    </row>
    <row r="478">
      <c r="A478" s="8" t="s">
        <v>41</v>
      </c>
      <c r="B478" s="9" t="s">
        <v>79</v>
      </c>
      <c r="C478" s="9" t="s">
        <v>80</v>
      </c>
      <c r="D478" s="10"/>
      <c r="E478" s="2" t="str">
        <f>"－"</f>
        <v>－</v>
      </c>
      <c r="F478" s="10"/>
      <c r="G478" s="2" t="str">
        <f>"－"</f>
        <v>－</v>
      </c>
      <c r="H478" s="10"/>
      <c r="I478" s="2" t="str">
        <f>"－"</f>
        <v>－</v>
      </c>
      <c r="J478" s="10"/>
      <c r="K478" s="2" t="str">
        <f>"－"</f>
        <v>－</v>
      </c>
    </row>
    <row r="479">
      <c r="A479" s="8" t="s">
        <v>42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43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44</v>
      </c>
      <c r="B481" s="9" t="s">
        <v>79</v>
      </c>
      <c r="C481" s="9" t="s">
        <v>80</v>
      </c>
      <c r="D481" s="10"/>
      <c r="E481" s="2" t="str">
        <f>"－"</f>
        <v>－</v>
      </c>
      <c r="F481" s="10"/>
      <c r="G481" s="2" t="str">
        <f>"－"</f>
        <v>－</v>
      </c>
      <c r="H481" s="10"/>
      <c r="I481" s="2" t="str">
        <f>"－"</f>
        <v>－</v>
      </c>
      <c r="J481" s="10"/>
      <c r="K481" s="2" t="str">
        <f>"－"</f>
        <v>－</v>
      </c>
    </row>
    <row r="482">
      <c r="A482" s="8" t="s">
        <v>45</v>
      </c>
      <c r="B482" s="9" t="s">
        <v>79</v>
      </c>
      <c r="C482" s="9" t="s">
        <v>80</v>
      </c>
      <c r="D482" s="10"/>
      <c r="E482" s="2" t="str">
        <f>"－"</f>
        <v>－</v>
      </c>
      <c r="F482" s="10"/>
      <c r="G482" s="2" t="str">
        <f>"－"</f>
        <v>－</v>
      </c>
      <c r="H482" s="10"/>
      <c r="I482" s="2" t="str">
        <f>"－"</f>
        <v>－</v>
      </c>
      <c r="J482" s="10"/>
      <c r="K482" s="2" t="str">
        <f>"－"</f>
        <v>－</v>
      </c>
    </row>
    <row r="483">
      <c r="A483" s="8" t="s">
        <v>47</v>
      </c>
      <c r="B483" s="9" t="s">
        <v>79</v>
      </c>
      <c r="C483" s="9" t="s">
        <v>80</v>
      </c>
      <c r="D483" s="10"/>
      <c r="E483" s="2" t="str">
        <f>"－"</f>
        <v>－</v>
      </c>
      <c r="F483" s="10"/>
      <c r="G483" s="2" t="str">
        <f>"－"</f>
        <v>－</v>
      </c>
      <c r="H483" s="10"/>
      <c r="I483" s="2" t="str">
        <f>"－"</f>
        <v>－</v>
      </c>
      <c r="J483" s="10"/>
      <c r="K483" s="2" t="str">
        <f>"－"</f>
        <v>－</v>
      </c>
    </row>
    <row r="484">
      <c r="A484" s="8" t="s">
        <v>48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 t="str">
        <f>"－"</f>
        <v>－</v>
      </c>
      <c r="F485" s="10"/>
      <c r="G485" s="2" t="str">
        <f>"－"</f>
        <v>－</v>
      </c>
      <c r="H485" s="10"/>
      <c r="I485" s="2" t="str">
        <f>"－"</f>
        <v>－</v>
      </c>
      <c r="J485" s="10"/>
      <c r="K485" s="2" t="str">
        <f>"－"</f>
        <v>－</v>
      </c>
    </row>
    <row r="486">
      <c r="A486" s="8" t="s">
        <v>16</v>
      </c>
      <c r="B486" s="9" t="s">
        <v>81</v>
      </c>
      <c r="C486" s="9" t="s">
        <v>82</v>
      </c>
      <c r="D486" s="10" t="s">
        <v>19</v>
      </c>
      <c r="E486" s="2" t="n">
        <f>661</f>
        <v>661.0</v>
      </c>
      <c r="F486" s="10" t="s">
        <v>19</v>
      </c>
      <c r="G486" s="2" t="n">
        <f>143626000</f>
        <v>1.43626E8</v>
      </c>
      <c r="H486" s="10" t="s">
        <v>60</v>
      </c>
      <c r="I486" s="2" t="str">
        <f>"－"</f>
        <v>－</v>
      </c>
      <c r="J486" s="10"/>
      <c r="K486" s="2" t="n">
        <f>1159</f>
        <v>1159.0</v>
      </c>
    </row>
    <row r="487">
      <c r="A487" s="8" t="s">
        <v>20</v>
      </c>
      <c r="B487" s="9" t="s">
        <v>81</v>
      </c>
      <c r="C487" s="9" t="s">
        <v>82</v>
      </c>
      <c r="D487" s="10"/>
      <c r="E487" s="2" t="n">
        <f>524</f>
        <v>524.0</v>
      </c>
      <c r="F487" s="10"/>
      <c r="G487" s="2" t="n">
        <f>109590000</f>
        <v>1.0959E8</v>
      </c>
      <c r="H487" s="10"/>
      <c r="I487" s="2" t="str">
        <f>"－"</f>
        <v>－</v>
      </c>
      <c r="J487" s="10"/>
      <c r="K487" s="2" t="n">
        <f>1392</f>
        <v>1392.0</v>
      </c>
    </row>
    <row r="488">
      <c r="A488" s="8" t="s">
        <v>21</v>
      </c>
      <c r="B488" s="9" t="s">
        <v>81</v>
      </c>
      <c r="C488" s="9" t="s">
        <v>82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22</v>
      </c>
      <c r="B489" s="9" t="s">
        <v>81</v>
      </c>
      <c r="C489" s="9" t="s">
        <v>82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23</v>
      </c>
      <c r="B490" s="9" t="s">
        <v>81</v>
      </c>
      <c r="C490" s="9" t="s">
        <v>82</v>
      </c>
      <c r="D490" s="10"/>
      <c r="E490" s="2" t="n">
        <f>303</f>
        <v>303.0</v>
      </c>
      <c r="F490" s="10"/>
      <c r="G490" s="2" t="n">
        <f>67183000</f>
        <v>6.7183E7</v>
      </c>
      <c r="H490" s="10"/>
      <c r="I490" s="2" t="str">
        <f>"－"</f>
        <v>－</v>
      </c>
      <c r="J490" s="10"/>
      <c r="K490" s="2" t="n">
        <f>1417</f>
        <v>1417.0</v>
      </c>
    </row>
    <row r="491">
      <c r="A491" s="8" t="s">
        <v>24</v>
      </c>
      <c r="B491" s="9" t="s">
        <v>81</v>
      </c>
      <c r="C491" s="9" t="s">
        <v>82</v>
      </c>
      <c r="D491" s="10"/>
      <c r="E491" s="2" t="n">
        <f>80</f>
        <v>80.0</v>
      </c>
      <c r="F491" s="10"/>
      <c r="G491" s="2" t="n">
        <f>16478000</f>
        <v>1.6478E7</v>
      </c>
      <c r="H491" s="10"/>
      <c r="I491" s="2" t="str">
        <f>"－"</f>
        <v>－</v>
      </c>
      <c r="J491" s="10"/>
      <c r="K491" s="2" t="n">
        <f>1454</f>
        <v>1454.0</v>
      </c>
    </row>
    <row r="492">
      <c r="A492" s="8" t="s">
        <v>25</v>
      </c>
      <c r="B492" s="9" t="s">
        <v>81</v>
      </c>
      <c r="C492" s="9" t="s">
        <v>82</v>
      </c>
      <c r="D492" s="10"/>
      <c r="E492" s="2" t="n">
        <f>234</f>
        <v>234.0</v>
      </c>
      <c r="F492" s="10"/>
      <c r="G492" s="2" t="n">
        <f>48086500</f>
        <v>4.80865E7</v>
      </c>
      <c r="H492" s="10"/>
      <c r="I492" s="2" t="str">
        <f>"－"</f>
        <v>－</v>
      </c>
      <c r="J492" s="10" t="s">
        <v>19</v>
      </c>
      <c r="K492" s="2" t="n">
        <f>1604</f>
        <v>1604.0</v>
      </c>
    </row>
    <row r="493">
      <c r="A493" s="8" t="s">
        <v>26</v>
      </c>
      <c r="B493" s="9" t="s">
        <v>81</v>
      </c>
      <c r="C493" s="9" t="s">
        <v>82</v>
      </c>
      <c r="D493" s="10"/>
      <c r="E493" s="2" t="n">
        <f>280</f>
        <v>280.0</v>
      </c>
      <c r="F493" s="10"/>
      <c r="G493" s="2" t="n">
        <f>60351000</f>
        <v>6.0351E7</v>
      </c>
      <c r="H493" s="10"/>
      <c r="I493" s="2" t="str">
        <f>"－"</f>
        <v>－</v>
      </c>
      <c r="J493" s="10"/>
      <c r="K493" s="2" t="n">
        <f>1558</f>
        <v>1558.0</v>
      </c>
    </row>
    <row r="494">
      <c r="A494" s="8" t="s">
        <v>27</v>
      </c>
      <c r="B494" s="9" t="s">
        <v>81</v>
      </c>
      <c r="C494" s="9" t="s">
        <v>82</v>
      </c>
      <c r="D494" s="10"/>
      <c r="E494" s="2" t="n">
        <f>164</f>
        <v>164.0</v>
      </c>
      <c r="F494" s="10"/>
      <c r="G494" s="2" t="n">
        <f>34289000</f>
        <v>3.4289E7</v>
      </c>
      <c r="H494" s="10"/>
      <c r="I494" s="2" t="str">
        <f>"－"</f>
        <v>－</v>
      </c>
      <c r="J494" s="10"/>
      <c r="K494" s="2" t="n">
        <f>1465</f>
        <v>1465.0</v>
      </c>
    </row>
    <row r="495">
      <c r="A495" s="8" t="s">
        <v>28</v>
      </c>
      <c r="B495" s="9" t="s">
        <v>81</v>
      </c>
      <c r="C495" s="9" t="s">
        <v>82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29</v>
      </c>
      <c r="B496" s="9" t="s">
        <v>81</v>
      </c>
      <c r="C496" s="9" t="s">
        <v>82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30</v>
      </c>
      <c r="B497" s="9" t="s">
        <v>81</v>
      </c>
      <c r="C497" s="9" t="s">
        <v>82</v>
      </c>
      <c r="D497" s="10"/>
      <c r="E497" s="2" t="n">
        <f>345</f>
        <v>345.0</v>
      </c>
      <c r="F497" s="10"/>
      <c r="G497" s="2" t="n">
        <f>69624000</f>
        <v>6.9624E7</v>
      </c>
      <c r="H497" s="10"/>
      <c r="I497" s="2" t="str">
        <f>"－"</f>
        <v>－</v>
      </c>
      <c r="J497" s="10"/>
      <c r="K497" s="2" t="n">
        <f>1246</f>
        <v>1246.0</v>
      </c>
    </row>
    <row r="498">
      <c r="A498" s="8" t="s">
        <v>31</v>
      </c>
      <c r="B498" s="9" t="s">
        <v>81</v>
      </c>
      <c r="C498" s="9" t="s">
        <v>82</v>
      </c>
      <c r="D498" s="10"/>
      <c r="E498" s="2" t="n">
        <f>240</f>
        <v>240.0</v>
      </c>
      <c r="F498" s="10"/>
      <c r="G498" s="2" t="n">
        <f>43368000</f>
        <v>4.3368E7</v>
      </c>
      <c r="H498" s="10"/>
      <c r="I498" s="2" t="str">
        <f>"－"</f>
        <v>－</v>
      </c>
      <c r="J498" s="10"/>
      <c r="K498" s="2" t="n">
        <f>1077</f>
        <v>1077.0</v>
      </c>
    </row>
    <row r="499">
      <c r="A499" s="8" t="s">
        <v>32</v>
      </c>
      <c r="B499" s="9" t="s">
        <v>81</v>
      </c>
      <c r="C499" s="9" t="s">
        <v>82</v>
      </c>
      <c r="D499" s="10"/>
      <c r="E499" s="2" t="n">
        <f>100</f>
        <v>100.0</v>
      </c>
      <c r="F499" s="10"/>
      <c r="G499" s="2" t="n">
        <f>20573000</f>
        <v>2.0573E7</v>
      </c>
      <c r="H499" s="10"/>
      <c r="I499" s="2" t="str">
        <f>"－"</f>
        <v>－</v>
      </c>
      <c r="J499" s="10"/>
      <c r="K499" s="2" t="n">
        <f>1096</f>
        <v>1096.0</v>
      </c>
    </row>
    <row r="500">
      <c r="A500" s="8" t="s">
        <v>33</v>
      </c>
      <c r="B500" s="9" t="s">
        <v>81</v>
      </c>
      <c r="C500" s="9" t="s">
        <v>82</v>
      </c>
      <c r="D500" s="10"/>
      <c r="E500" s="2" t="n">
        <f>113</f>
        <v>113.0</v>
      </c>
      <c r="F500" s="10"/>
      <c r="G500" s="2" t="n">
        <f>22560000</f>
        <v>2.256E7</v>
      </c>
      <c r="H500" s="10"/>
      <c r="I500" s="2" t="str">
        <f>"－"</f>
        <v>－</v>
      </c>
      <c r="J500" s="10"/>
      <c r="K500" s="2" t="n">
        <f>346</f>
        <v>346.0</v>
      </c>
    </row>
    <row r="501">
      <c r="A501" s="8" t="s">
        <v>34</v>
      </c>
      <c r="B501" s="9" t="s">
        <v>81</v>
      </c>
      <c r="C501" s="9" t="s">
        <v>82</v>
      </c>
      <c r="D501" s="10"/>
      <c r="E501" s="2" t="n">
        <f>437</f>
        <v>437.0</v>
      </c>
      <c r="F501" s="10"/>
      <c r="G501" s="2" t="n">
        <f>88587500</f>
        <v>8.85875E7</v>
      </c>
      <c r="H501" s="10"/>
      <c r="I501" s="2" t="str">
        <f>"－"</f>
        <v>－</v>
      </c>
      <c r="J501" s="10" t="s">
        <v>46</v>
      </c>
      <c r="K501" s="2" t="n">
        <f>222</f>
        <v>222.0</v>
      </c>
    </row>
    <row r="502">
      <c r="A502" s="8" t="s">
        <v>35</v>
      </c>
      <c r="B502" s="9" t="s">
        <v>81</v>
      </c>
      <c r="C502" s="9" t="s">
        <v>82</v>
      </c>
      <c r="D502" s="10"/>
      <c r="E502" s="2"/>
      <c r="F502" s="10"/>
      <c r="G502" s="2"/>
      <c r="H502" s="10"/>
      <c r="I502" s="2"/>
      <c r="J502" s="10"/>
      <c r="K502" s="2"/>
    </row>
    <row r="503">
      <c r="A503" s="8" t="s">
        <v>36</v>
      </c>
      <c r="B503" s="9" t="s">
        <v>81</v>
      </c>
      <c r="C503" s="9" t="s">
        <v>82</v>
      </c>
      <c r="D503" s="10"/>
      <c r="E503" s="2"/>
      <c r="F503" s="10"/>
      <c r="G503" s="2"/>
      <c r="H503" s="10"/>
      <c r="I503" s="2"/>
      <c r="J503" s="10"/>
      <c r="K503" s="2"/>
    </row>
    <row r="504">
      <c r="A504" s="8" t="s">
        <v>37</v>
      </c>
      <c r="B504" s="9" t="s">
        <v>81</v>
      </c>
      <c r="C504" s="9" t="s">
        <v>82</v>
      </c>
      <c r="D504" s="10"/>
      <c r="E504" s="2" t="n">
        <f>240</f>
        <v>240.0</v>
      </c>
      <c r="F504" s="10"/>
      <c r="G504" s="2" t="n">
        <f>47817000</f>
        <v>4.7817E7</v>
      </c>
      <c r="H504" s="10"/>
      <c r="I504" s="2" t="str">
        <f>"－"</f>
        <v>－</v>
      </c>
      <c r="J504" s="10"/>
      <c r="K504" s="2" t="n">
        <f>380</f>
        <v>380.0</v>
      </c>
    </row>
    <row r="505">
      <c r="A505" s="8" t="s">
        <v>38</v>
      </c>
      <c r="B505" s="9" t="s">
        <v>81</v>
      </c>
      <c r="C505" s="9" t="s">
        <v>82</v>
      </c>
      <c r="D505" s="10"/>
      <c r="E505" s="2" t="n">
        <f>189</f>
        <v>189.0</v>
      </c>
      <c r="F505" s="10"/>
      <c r="G505" s="2" t="n">
        <f>39388000</f>
        <v>3.9388E7</v>
      </c>
      <c r="H505" s="10"/>
      <c r="I505" s="2" t="str">
        <f>"－"</f>
        <v>－</v>
      </c>
      <c r="J505" s="10"/>
      <c r="K505" s="2" t="n">
        <f>493</f>
        <v>493.0</v>
      </c>
    </row>
    <row r="506">
      <c r="A506" s="8" t="s">
        <v>39</v>
      </c>
      <c r="B506" s="9" t="s">
        <v>81</v>
      </c>
      <c r="C506" s="9" t="s">
        <v>82</v>
      </c>
      <c r="D506" s="10"/>
      <c r="E506" s="2" t="n">
        <f>118</f>
        <v>118.0</v>
      </c>
      <c r="F506" s="10"/>
      <c r="G506" s="2" t="n">
        <f>26585000</f>
        <v>2.6585E7</v>
      </c>
      <c r="H506" s="10"/>
      <c r="I506" s="2" t="str">
        <f>"－"</f>
        <v>－</v>
      </c>
      <c r="J506" s="10"/>
      <c r="K506" s="2" t="n">
        <f>502</f>
        <v>502.0</v>
      </c>
    </row>
    <row r="507">
      <c r="A507" s="8" t="s">
        <v>40</v>
      </c>
      <c r="B507" s="9" t="s">
        <v>81</v>
      </c>
      <c r="C507" s="9" t="s">
        <v>82</v>
      </c>
      <c r="D507" s="10"/>
      <c r="E507" s="2" t="n">
        <f>193</f>
        <v>193.0</v>
      </c>
      <c r="F507" s="10"/>
      <c r="G507" s="2" t="n">
        <f>40881500</f>
        <v>4.08815E7</v>
      </c>
      <c r="H507" s="10"/>
      <c r="I507" s="2" t="str">
        <f>"－"</f>
        <v>－</v>
      </c>
      <c r="J507" s="10"/>
      <c r="K507" s="2" t="n">
        <f>587</f>
        <v>587.0</v>
      </c>
    </row>
    <row r="508">
      <c r="A508" s="8" t="s">
        <v>41</v>
      </c>
      <c r="B508" s="9" t="s">
        <v>81</v>
      </c>
      <c r="C508" s="9" t="s">
        <v>82</v>
      </c>
      <c r="D508" s="10" t="s">
        <v>46</v>
      </c>
      <c r="E508" s="2" t="n">
        <f>48</f>
        <v>48.0</v>
      </c>
      <c r="F508" s="10" t="s">
        <v>46</v>
      </c>
      <c r="G508" s="2" t="n">
        <f>9920000</f>
        <v>9920000.0</v>
      </c>
      <c r="H508" s="10"/>
      <c r="I508" s="2" t="str">
        <f>"－"</f>
        <v>－</v>
      </c>
      <c r="J508" s="10"/>
      <c r="K508" s="2" t="n">
        <f>562</f>
        <v>562.0</v>
      </c>
    </row>
    <row r="509">
      <c r="A509" s="8" t="s">
        <v>42</v>
      </c>
      <c r="B509" s="9" t="s">
        <v>81</v>
      </c>
      <c r="C509" s="9" t="s">
        <v>82</v>
      </c>
      <c r="D509" s="10"/>
      <c r="E509" s="2"/>
      <c r="F509" s="10"/>
      <c r="G509" s="2"/>
      <c r="H509" s="10"/>
      <c r="I509" s="2"/>
      <c r="J509" s="10"/>
      <c r="K509" s="2"/>
    </row>
    <row r="510">
      <c r="A510" s="8" t="s">
        <v>43</v>
      </c>
      <c r="B510" s="9" t="s">
        <v>81</v>
      </c>
      <c r="C510" s="9" t="s">
        <v>82</v>
      </c>
      <c r="D510" s="10"/>
      <c r="E510" s="2"/>
      <c r="F510" s="10"/>
      <c r="G510" s="2"/>
      <c r="H510" s="10"/>
      <c r="I510" s="2"/>
      <c r="J510" s="10"/>
      <c r="K510" s="2"/>
    </row>
    <row r="511">
      <c r="A511" s="8" t="s">
        <v>44</v>
      </c>
      <c r="B511" s="9" t="s">
        <v>81</v>
      </c>
      <c r="C511" s="9" t="s">
        <v>82</v>
      </c>
      <c r="D511" s="10"/>
      <c r="E511" s="2" t="n">
        <f>64</f>
        <v>64.0</v>
      </c>
      <c r="F511" s="10"/>
      <c r="G511" s="2" t="n">
        <f>12829000</f>
        <v>1.2829E7</v>
      </c>
      <c r="H511" s="10"/>
      <c r="I511" s="2" t="str">
        <f>"－"</f>
        <v>－</v>
      </c>
      <c r="J511" s="10"/>
      <c r="K511" s="2" t="n">
        <f>532</f>
        <v>532.0</v>
      </c>
    </row>
    <row r="512">
      <c r="A512" s="8" t="s">
        <v>45</v>
      </c>
      <c r="B512" s="9" t="s">
        <v>81</v>
      </c>
      <c r="C512" s="9" t="s">
        <v>82</v>
      </c>
      <c r="D512" s="10"/>
      <c r="E512" s="2" t="n">
        <f>118</f>
        <v>118.0</v>
      </c>
      <c r="F512" s="10"/>
      <c r="G512" s="2" t="n">
        <f>23446500</f>
        <v>2.34465E7</v>
      </c>
      <c r="H512" s="10"/>
      <c r="I512" s="2" t="str">
        <f>"－"</f>
        <v>－</v>
      </c>
      <c r="J512" s="10"/>
      <c r="K512" s="2" t="n">
        <f>456</f>
        <v>456.0</v>
      </c>
    </row>
    <row r="513">
      <c r="A513" s="8" t="s">
        <v>47</v>
      </c>
      <c r="B513" s="9" t="s">
        <v>81</v>
      </c>
      <c r="C513" s="9" t="s">
        <v>82</v>
      </c>
      <c r="D513" s="10"/>
      <c r="E513" s="2" t="n">
        <f>280</f>
        <v>280.0</v>
      </c>
      <c r="F513" s="10"/>
      <c r="G513" s="2" t="n">
        <f>54835000</f>
        <v>5.4835E7</v>
      </c>
      <c r="H513" s="10"/>
      <c r="I513" s="2" t="str">
        <f>"－"</f>
        <v>－</v>
      </c>
      <c r="J513" s="10"/>
      <c r="K513" s="2" t="n">
        <f>341</f>
        <v>341.0</v>
      </c>
    </row>
    <row r="514">
      <c r="A514" s="8" t="s">
        <v>48</v>
      </c>
      <c r="B514" s="9" t="s">
        <v>81</v>
      </c>
      <c r="C514" s="9" t="s">
        <v>82</v>
      </c>
      <c r="D514" s="10"/>
      <c r="E514" s="2"/>
      <c r="F514" s="10"/>
      <c r="G514" s="2"/>
      <c r="H514" s="10"/>
      <c r="I514" s="2"/>
      <c r="J514" s="10"/>
      <c r="K514" s="2"/>
    </row>
    <row r="515">
      <c r="A515" s="8" t="s">
        <v>49</v>
      </c>
      <c r="B515" s="9" t="s">
        <v>81</v>
      </c>
      <c r="C515" s="9" t="s">
        <v>82</v>
      </c>
      <c r="D515" s="10"/>
      <c r="E515" s="2" t="n">
        <f>242</f>
        <v>242.0</v>
      </c>
      <c r="F515" s="10"/>
      <c r="G515" s="2" t="n">
        <f>50677000</f>
        <v>5.0677E7</v>
      </c>
      <c r="H515" s="10"/>
      <c r="I515" s="2" t="str">
        <f>"－"</f>
        <v>－</v>
      </c>
      <c r="J515" s="10"/>
      <c r="K515" s="2" t="n">
        <f>462</f>
        <v>462.0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