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<sst xmlns="http://schemas.openxmlformats.org/spreadsheetml/2006/main" count="500" uniqueCount="67">
  <si>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</si>
  <si>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</si>
  <si>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</si>
  <si>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</si>
  <si>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</si>
  <si>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</si>
  <si>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</si>
  <si>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</si>
  <si>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</si>
  <si>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</si>
  <si>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</si>
  <si>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</si>
  <si>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</si>
  <si>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</si>
  <si>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</si>
  <si>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</si>
  <si>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</si>
  <si>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</si>
  <si>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</si>
  <si>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</si>
  <si>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</si>
  <si>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</si>
  <si>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</si>
  <si>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</si>
  <si>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</si>
  <si>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</si>
  <si>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4.1</t>
  </si>
  <si>
    <t>日経225オプション</t>
  </si>
  <si>
    <t>Nikkei 225 Options</t>
  </si>
  <si>
    <t>2</t>
  </si>
  <si>
    <t>3</t>
  </si>
  <si>
    <t>4</t>
  </si>
  <si>
    <t>5</t>
  </si>
  <si>
    <t>6</t>
  </si>
  <si>
    <t>7</t>
  </si>
  <si>
    <t>8</t>
  </si>
  <si>
    <t>◎</t>
  </si>
  <si>
    <t>9</t>
  </si>
  <si>
    <t>●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</si>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</sst>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2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62266</f>
        <v>62266.0</v>
      </c>
      <c r="F10" s="23"/>
      <c r="G10" s="25" t="n">
        <f>43171</f>
        <v>43171.0</v>
      </c>
      <c r="H10" s="23"/>
      <c r="I10" s="26" t="n">
        <f>105437</f>
        <v>105437.0</v>
      </c>
      <c r="J10" s="24"/>
      <c r="K10" s="25" t="n">
        <f>11467652636</f>
        <v>1.1467652636E10</v>
      </c>
      <c r="L10" s="23"/>
      <c r="M10" s="25" t="n">
        <f>10841226680</f>
        <v>1.084122668E10</v>
      </c>
      <c r="N10" s="23"/>
      <c r="O10" s="26" t="n">
        <f>22308879316</f>
        <v>2.2308879316E10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7875</f>
        <v>7875.0</v>
      </c>
      <c r="U10" s="23"/>
      <c r="V10" s="25" t="n">
        <f>8543</f>
        <v>8543.0</v>
      </c>
      <c r="W10" s="23"/>
      <c r="X10" s="26" t="n">
        <f>16418</f>
        <v>16418.0</v>
      </c>
      <c r="Y10" s="24"/>
      <c r="Z10" s="25" t="n">
        <f>898719</f>
        <v>898719.0</v>
      </c>
      <c r="AA10" s="23"/>
      <c r="AB10" s="25" t="n">
        <f>546892</f>
        <v>546892.0</v>
      </c>
      <c r="AC10" s="23"/>
      <c r="AD10" s="26" t="n">
        <f>1445611</f>
        <v>1445611.0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51603</f>
        <v>51603.0</v>
      </c>
      <c r="F11" s="23"/>
      <c r="G11" s="25" t="n">
        <f>65097</f>
        <v>65097.0</v>
      </c>
      <c r="H11" s="23"/>
      <c r="I11" s="26" t="n">
        <f>116700</f>
        <v>116700.0</v>
      </c>
      <c r="J11" s="24"/>
      <c r="K11" s="25" t="n">
        <f>8668697100</f>
        <v>8.6686971E9</v>
      </c>
      <c r="L11" s="23"/>
      <c r="M11" s="25" t="n">
        <f>12139266000</f>
        <v>1.2139266E10</v>
      </c>
      <c r="N11" s="23"/>
      <c r="O11" s="26" t="n">
        <f>20807963100</f>
        <v>2.08079631E10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8565</f>
        <v>8565.0</v>
      </c>
      <c r="U11" s="23"/>
      <c r="V11" s="25" t="n">
        <f>7457</f>
        <v>7457.0</v>
      </c>
      <c r="W11" s="23"/>
      <c r="X11" s="26" t="n">
        <f>16022</f>
        <v>16022.0</v>
      </c>
      <c r="Y11" s="24"/>
      <c r="Z11" s="25" t="n">
        <f>907825</f>
        <v>907825.0</v>
      </c>
      <c r="AA11" s="23"/>
      <c r="AB11" s="25" t="n">
        <f>547906</f>
        <v>547906.0</v>
      </c>
      <c r="AC11" s="23"/>
      <c r="AD11" s="26" t="n">
        <f>1455731</f>
        <v>1455731.0</v>
      </c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/>
      <c r="E13" s="25"/>
      <c r="F13" s="23"/>
      <c r="G13" s="25"/>
      <c r="H13" s="23"/>
      <c r="I13" s="26"/>
      <c r="J13" s="24"/>
      <c r="K13" s="25"/>
      <c r="L13" s="23"/>
      <c r="M13" s="25"/>
      <c r="N13" s="23"/>
      <c r="O13" s="26"/>
      <c r="P13" s="27"/>
      <c r="Q13" s="28"/>
      <c r="R13" s="29"/>
      <c r="S13" s="24"/>
      <c r="T13" s="25"/>
      <c r="U13" s="23"/>
      <c r="V13" s="25"/>
      <c r="W13" s="23"/>
      <c r="X13" s="26"/>
      <c r="Y13" s="24"/>
      <c r="Z13" s="25"/>
      <c r="AA13" s="23"/>
      <c r="AB13" s="25"/>
      <c r="AC13" s="23"/>
      <c r="AD13" s="26"/>
    </row>
    <row r="14">
      <c r="A14" s="30" t="s">
        <v>32</v>
      </c>
      <c r="B14" s="22" t="s">
        <v>27</v>
      </c>
      <c r="C14" s="22" t="s">
        <v>28</v>
      </c>
      <c r="D14" s="24"/>
      <c r="E14" s="25" t="n">
        <f>53372</f>
        <v>53372.0</v>
      </c>
      <c r="F14" s="23"/>
      <c r="G14" s="25" t="n">
        <f>40409</f>
        <v>40409.0</v>
      </c>
      <c r="H14" s="23"/>
      <c r="I14" s="26" t="n">
        <f>93781</f>
        <v>93781.0</v>
      </c>
      <c r="J14" s="24"/>
      <c r="K14" s="25" t="n">
        <f>6141788800</f>
        <v>6.1417888E9</v>
      </c>
      <c r="L14" s="23"/>
      <c r="M14" s="25" t="n">
        <f>6579232028</f>
        <v>6.579232028E9</v>
      </c>
      <c r="N14" s="23"/>
      <c r="O14" s="26" t="n">
        <f>12721020828</f>
        <v>1.2721020828E10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5721</f>
        <v>5721.0</v>
      </c>
      <c r="U14" s="23"/>
      <c r="V14" s="25" t="n">
        <f>7875</f>
        <v>7875.0</v>
      </c>
      <c r="W14" s="23"/>
      <c r="X14" s="26" t="n">
        <f>13596</f>
        <v>13596.0</v>
      </c>
      <c r="Y14" s="24"/>
      <c r="Z14" s="25" t="n">
        <f>909615</f>
        <v>909615.0</v>
      </c>
      <c r="AA14" s="23"/>
      <c r="AB14" s="25" t="n">
        <f>544327</f>
        <v>544327.0</v>
      </c>
      <c r="AC14" s="23"/>
      <c r="AD14" s="26" t="n">
        <f>1453942</f>
        <v>1453942.0</v>
      </c>
    </row>
    <row r="15">
      <c r="A15" s="30" t="s">
        <v>33</v>
      </c>
      <c r="B15" s="22" t="s">
        <v>27</v>
      </c>
      <c r="C15" s="22" t="s">
        <v>28</v>
      </c>
      <c r="D15" s="24"/>
      <c r="E15" s="25" t="n">
        <f>56004</f>
        <v>56004.0</v>
      </c>
      <c r="F15" s="23"/>
      <c r="G15" s="25" t="n">
        <f>48577</f>
        <v>48577.0</v>
      </c>
      <c r="H15" s="23"/>
      <c r="I15" s="26" t="n">
        <f>104581</f>
        <v>104581.0</v>
      </c>
      <c r="J15" s="24"/>
      <c r="K15" s="25" t="n">
        <f>7725449952</f>
        <v>7.725449952E9</v>
      </c>
      <c r="L15" s="23"/>
      <c r="M15" s="25" t="n">
        <f>8155240000</f>
        <v>8.15524E9</v>
      </c>
      <c r="N15" s="23"/>
      <c r="O15" s="26" t="n">
        <f>15880689952</f>
        <v>1.5880689952E10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5538</f>
        <v>5538.0</v>
      </c>
      <c r="U15" s="23"/>
      <c r="V15" s="25" t="n">
        <f>5125</f>
        <v>5125.0</v>
      </c>
      <c r="W15" s="23"/>
      <c r="X15" s="26" t="n">
        <f>10663</f>
        <v>10663.0</v>
      </c>
      <c r="Y15" s="24"/>
      <c r="Z15" s="25" t="n">
        <f>915970</f>
        <v>915970.0</v>
      </c>
      <c r="AA15" s="23"/>
      <c r="AB15" s="25" t="n">
        <f>547426</f>
        <v>547426.0</v>
      </c>
      <c r="AC15" s="23"/>
      <c r="AD15" s="26" t="n">
        <f>1463396</f>
        <v>1463396.0</v>
      </c>
    </row>
    <row r="16">
      <c r="A16" s="30" t="s">
        <v>34</v>
      </c>
      <c r="B16" s="22" t="s">
        <v>27</v>
      </c>
      <c r="C16" s="22" t="s">
        <v>28</v>
      </c>
      <c r="D16" s="24"/>
      <c r="E16" s="25" t="n">
        <f>65536</f>
        <v>65536.0</v>
      </c>
      <c r="F16" s="23"/>
      <c r="G16" s="25" t="n">
        <f>49428</f>
        <v>49428.0</v>
      </c>
      <c r="H16" s="23"/>
      <c r="I16" s="26" t="n">
        <f>114964</f>
        <v>114964.0</v>
      </c>
      <c r="J16" s="24"/>
      <c r="K16" s="25" t="n">
        <f>16444161000</f>
        <v>1.6444161E10</v>
      </c>
      <c r="L16" s="23"/>
      <c r="M16" s="25" t="n">
        <f>6635356870</f>
        <v>6.63535687E9</v>
      </c>
      <c r="N16" s="23"/>
      <c r="O16" s="26" t="n">
        <f>23079517870</f>
        <v>2.307951787E10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11914</f>
        <v>11914.0</v>
      </c>
      <c r="U16" s="23"/>
      <c r="V16" s="25" t="n">
        <f>10127</f>
        <v>10127.0</v>
      </c>
      <c r="W16" s="23"/>
      <c r="X16" s="26" t="n">
        <f>22041</f>
        <v>22041.0</v>
      </c>
      <c r="Y16" s="24"/>
      <c r="Z16" s="25" t="n">
        <f>923351</f>
        <v>923351.0</v>
      </c>
      <c r="AA16" s="23"/>
      <c r="AB16" s="25" t="n">
        <f>556016</f>
        <v>556016.0</v>
      </c>
      <c r="AC16" s="23"/>
      <c r="AD16" s="26" t="n">
        <f>1479367</f>
        <v>1479367.0</v>
      </c>
    </row>
    <row r="17">
      <c r="A17" s="30" t="s">
        <v>35</v>
      </c>
      <c r="B17" s="22" t="s">
        <v>27</v>
      </c>
      <c r="C17" s="22" t="s">
        <v>28</v>
      </c>
      <c r="D17" s="24"/>
      <c r="E17" s="25" t="n">
        <f>54816</f>
        <v>54816.0</v>
      </c>
      <c r="F17" s="23"/>
      <c r="G17" s="25" t="n">
        <f>48145</f>
        <v>48145.0</v>
      </c>
      <c r="H17" s="23"/>
      <c r="I17" s="26" t="n">
        <f>102961</f>
        <v>102961.0</v>
      </c>
      <c r="J17" s="24"/>
      <c r="K17" s="25" t="n">
        <f>9091340070</f>
        <v>9.09134007E9</v>
      </c>
      <c r="L17" s="23"/>
      <c r="M17" s="25" t="n">
        <f>10452619500</f>
        <v>1.04526195E10</v>
      </c>
      <c r="N17" s="23"/>
      <c r="O17" s="26" t="n">
        <f>19543959570</f>
        <v>1.954395957E10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7687</f>
        <v>7687.0</v>
      </c>
      <c r="U17" s="23"/>
      <c r="V17" s="25" t="n">
        <f>8347</f>
        <v>8347.0</v>
      </c>
      <c r="W17" s="23"/>
      <c r="X17" s="26" t="n">
        <f>16034</f>
        <v>16034.0</v>
      </c>
      <c r="Y17" s="24" t="s">
        <v>36</v>
      </c>
      <c r="Z17" s="25" t="n">
        <f>933152</f>
        <v>933152.0</v>
      </c>
      <c r="AA17" s="23" t="s">
        <v>36</v>
      </c>
      <c r="AB17" s="25" t="n">
        <f>564634</f>
        <v>564634.0</v>
      </c>
      <c r="AC17" s="23" t="s">
        <v>36</v>
      </c>
      <c r="AD17" s="26" t="n">
        <f>1497786</f>
        <v>1497786.0</v>
      </c>
    </row>
    <row r="18">
      <c r="A18" s="30" t="s">
        <v>37</v>
      </c>
      <c r="B18" s="22" t="s">
        <v>27</v>
      </c>
      <c r="C18" s="22" t="s">
        <v>28</v>
      </c>
      <c r="D18" s="24"/>
      <c r="E18" s="25" t="n">
        <f>41586</f>
        <v>41586.0</v>
      </c>
      <c r="F18" s="23"/>
      <c r="G18" s="25" t="n">
        <f>36585</f>
        <v>36585.0</v>
      </c>
      <c r="H18" s="23"/>
      <c r="I18" s="26" t="n">
        <f>78171</f>
        <v>78171.0</v>
      </c>
      <c r="J18" s="24"/>
      <c r="K18" s="25" t="n">
        <f>13413085370</f>
        <v>1.341308537E10</v>
      </c>
      <c r="L18" s="23"/>
      <c r="M18" s="25" t="n">
        <f>12322805217</f>
        <v>1.2322805217E10</v>
      </c>
      <c r="N18" s="23"/>
      <c r="O18" s="26" t="n">
        <f>25735890587</f>
        <v>2.5735890587E10</v>
      </c>
      <c r="P18" s="27" t="n">
        <f>3693</f>
        <v>3693.0</v>
      </c>
      <c r="Q18" s="28" t="n">
        <f>24793</f>
        <v>24793.0</v>
      </c>
      <c r="R18" s="29" t="n">
        <f>28486</f>
        <v>28486.0</v>
      </c>
      <c r="S18" s="24"/>
      <c r="T18" s="25" t="n">
        <f>4741</f>
        <v>4741.0</v>
      </c>
      <c r="U18" s="23"/>
      <c r="V18" s="25" t="n">
        <f>7222</f>
        <v>7222.0</v>
      </c>
      <c r="W18" s="23"/>
      <c r="X18" s="26" t="n">
        <f>11963</f>
        <v>11963.0</v>
      </c>
      <c r="Y18" s="24" t="s">
        <v>38</v>
      </c>
      <c r="Z18" s="25" t="n">
        <f>776662</f>
        <v>776662.0</v>
      </c>
      <c r="AA18" s="23" t="s">
        <v>38</v>
      </c>
      <c r="AB18" s="25" t="n">
        <f>487400</f>
        <v>487400.0</v>
      </c>
      <c r="AC18" s="23" t="s">
        <v>38</v>
      </c>
      <c r="AD18" s="26" t="n">
        <f>1264062</f>
        <v>1264062.0</v>
      </c>
    </row>
    <row r="19">
      <c r="A19" s="30" t="s">
        <v>39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40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41</v>
      </c>
      <c r="B21" s="22" t="s">
        <v>27</v>
      </c>
      <c r="C21" s="22" t="s">
        <v>28</v>
      </c>
      <c r="D21" s="24"/>
      <c r="E21" s="25" t="n">
        <f>53731</f>
        <v>53731.0</v>
      </c>
      <c r="F21" s="23"/>
      <c r="G21" s="25" t="n">
        <f>29004</f>
        <v>29004.0</v>
      </c>
      <c r="H21" s="23"/>
      <c r="I21" s="26" t="n">
        <f>82735</f>
        <v>82735.0</v>
      </c>
      <c r="J21" s="24"/>
      <c r="K21" s="25" t="n">
        <f>15053770047</f>
        <v>1.5053770047E10</v>
      </c>
      <c r="L21" s="23"/>
      <c r="M21" s="25" t="n">
        <f>12663514800</f>
        <v>1.26635148E10</v>
      </c>
      <c r="N21" s="23"/>
      <c r="O21" s="26" t="n">
        <f>27717284847</f>
        <v>2.7717284847E10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6825</f>
        <v>6825.0</v>
      </c>
      <c r="U21" s="23"/>
      <c r="V21" s="25" t="n">
        <f>4836</f>
        <v>4836.0</v>
      </c>
      <c r="W21" s="23"/>
      <c r="X21" s="26" t="n">
        <f>11661</f>
        <v>11661.0</v>
      </c>
      <c r="Y21" s="24"/>
      <c r="Z21" s="25" t="n">
        <f>795308</f>
        <v>795308.0</v>
      </c>
      <c r="AA21" s="23"/>
      <c r="AB21" s="25" t="n">
        <f>492224</f>
        <v>492224.0</v>
      </c>
      <c r="AC21" s="23"/>
      <c r="AD21" s="26" t="n">
        <f>1287532</f>
        <v>1287532.0</v>
      </c>
    </row>
    <row r="22">
      <c r="A22" s="30" t="s">
        <v>42</v>
      </c>
      <c r="B22" s="22" t="s">
        <v>27</v>
      </c>
      <c r="C22" s="22" t="s">
        <v>28</v>
      </c>
      <c r="D22" s="24"/>
      <c r="E22" s="25" t="n">
        <f>32692</f>
        <v>32692.0</v>
      </c>
      <c r="F22" s="23"/>
      <c r="G22" s="25" t="n">
        <f>22978</f>
        <v>22978.0</v>
      </c>
      <c r="H22" s="23"/>
      <c r="I22" s="26" t="n">
        <f>55670</f>
        <v>55670.0</v>
      </c>
      <c r="J22" s="24"/>
      <c r="K22" s="25" t="n">
        <f>17105029750</f>
        <v>1.710502975E10</v>
      </c>
      <c r="L22" s="23"/>
      <c r="M22" s="25" t="n">
        <f>4793722350</f>
        <v>4.79372235E9</v>
      </c>
      <c r="N22" s="23"/>
      <c r="O22" s="26" t="n">
        <f>21898752100</f>
        <v>2.18987521E10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3527</f>
        <v>3527.0</v>
      </c>
      <c r="U22" s="23"/>
      <c r="V22" s="25" t="n">
        <f>8099</f>
        <v>8099.0</v>
      </c>
      <c r="W22" s="23"/>
      <c r="X22" s="26" t="n">
        <f>11626</f>
        <v>11626.0</v>
      </c>
      <c r="Y22" s="24"/>
      <c r="Z22" s="25" t="n">
        <f>804380</f>
        <v>804380.0</v>
      </c>
      <c r="AA22" s="23"/>
      <c r="AB22" s="25" t="n">
        <f>495542</f>
        <v>495542.0</v>
      </c>
      <c r="AC22" s="23"/>
      <c r="AD22" s="26" t="n">
        <f>1299922</f>
        <v>1299922.0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39931</f>
        <v>39931.0</v>
      </c>
      <c r="F23" s="23" t="s">
        <v>38</v>
      </c>
      <c r="G23" s="25" t="n">
        <f>17503</f>
        <v>17503.0</v>
      </c>
      <c r="H23" s="23"/>
      <c r="I23" s="26" t="n">
        <f>57434</f>
        <v>57434.0</v>
      </c>
      <c r="J23" s="24"/>
      <c r="K23" s="25" t="n">
        <f>13503501102</f>
        <v>1.3503501102E10</v>
      </c>
      <c r="L23" s="23"/>
      <c r="M23" s="25" t="n">
        <f>4791277000</f>
        <v>4.791277E9</v>
      </c>
      <c r="N23" s="23"/>
      <c r="O23" s="26" t="n">
        <f>18294778102</f>
        <v>1.8294778102E10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11050</f>
        <v>11050.0</v>
      </c>
      <c r="U23" s="23"/>
      <c r="V23" s="25" t="n">
        <f>2704</f>
        <v>2704.0</v>
      </c>
      <c r="W23" s="23"/>
      <c r="X23" s="26" t="n">
        <f>13754</f>
        <v>13754.0</v>
      </c>
      <c r="Y23" s="24"/>
      <c r="Z23" s="25" t="n">
        <f>817173</f>
        <v>817173.0</v>
      </c>
      <c r="AA23" s="23"/>
      <c r="AB23" s="25" t="n">
        <f>498258</f>
        <v>498258.0</v>
      </c>
      <c r="AC23" s="23"/>
      <c r="AD23" s="26" t="n">
        <f>1315431</f>
        <v>1315431.0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41303</f>
        <v>41303.0</v>
      </c>
      <c r="F24" s="23"/>
      <c r="G24" s="25" t="n">
        <f>17585</f>
        <v>17585.0</v>
      </c>
      <c r="H24" s="23"/>
      <c r="I24" s="26" t="n">
        <f>58888</f>
        <v>58888.0</v>
      </c>
      <c r="J24" s="24"/>
      <c r="K24" s="25" t="n">
        <f>13408731000</f>
        <v>1.3408731E10</v>
      </c>
      <c r="L24" s="23"/>
      <c r="M24" s="25" t="n">
        <f>3551016000</f>
        <v>3.551016E9</v>
      </c>
      <c r="N24" s="23"/>
      <c r="O24" s="26" t="n">
        <f>16959747000</f>
        <v>1.6959747E10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 t="s">
        <v>38</v>
      </c>
      <c r="T24" s="25" t="n">
        <f>2608</f>
        <v>2608.0</v>
      </c>
      <c r="U24" s="23" t="s">
        <v>38</v>
      </c>
      <c r="V24" s="25" t="n">
        <f>1791</f>
        <v>1791.0</v>
      </c>
      <c r="W24" s="23" t="s">
        <v>38</v>
      </c>
      <c r="X24" s="26" t="n">
        <f>4399</f>
        <v>4399.0</v>
      </c>
      <c r="Y24" s="24"/>
      <c r="Z24" s="25" t="n">
        <f>828296</f>
        <v>828296.0</v>
      </c>
      <c r="AA24" s="23"/>
      <c r="AB24" s="25" t="n">
        <f>503388</f>
        <v>503388.0</v>
      </c>
      <c r="AC24" s="23"/>
      <c r="AD24" s="26" t="n">
        <f>1331684</f>
        <v>1331684.0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29751</f>
        <v>29751.0</v>
      </c>
      <c r="F25" s="23"/>
      <c r="G25" s="25" t="n">
        <f>19525</f>
        <v>19525.0</v>
      </c>
      <c r="H25" s="23" t="s">
        <v>38</v>
      </c>
      <c r="I25" s="26" t="n">
        <f>49276</f>
        <v>49276.0</v>
      </c>
      <c r="J25" s="24"/>
      <c r="K25" s="25" t="n">
        <f>10061914920</f>
        <v>1.006191492E10</v>
      </c>
      <c r="L25" s="23"/>
      <c r="M25" s="25" t="n">
        <f>3737741500</f>
        <v>3.7377415E9</v>
      </c>
      <c r="N25" s="23"/>
      <c r="O25" s="26" t="n">
        <f>13799656420</f>
        <v>1.379965642E10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4844</f>
        <v>4844.0</v>
      </c>
      <c r="U25" s="23"/>
      <c r="V25" s="25" t="n">
        <f>3824</f>
        <v>3824.0</v>
      </c>
      <c r="W25" s="23"/>
      <c r="X25" s="26" t="n">
        <f>8668</f>
        <v>8668.0</v>
      </c>
      <c r="Y25" s="24"/>
      <c r="Z25" s="25" t="n">
        <f>834488</f>
        <v>834488.0</v>
      </c>
      <c r="AA25" s="23"/>
      <c r="AB25" s="25" t="n">
        <f>507396</f>
        <v>507396.0</v>
      </c>
      <c r="AC25" s="23"/>
      <c r="AD25" s="26" t="n">
        <f>1341884</f>
        <v>1341884.0</v>
      </c>
    </row>
    <row r="26">
      <c r="A26" s="30" t="s">
        <v>46</v>
      </c>
      <c r="B26" s="22" t="s">
        <v>27</v>
      </c>
      <c r="C26" s="22" t="s">
        <v>28</v>
      </c>
      <c r="D26" s="24"/>
      <c r="E26" s="25"/>
      <c r="F26" s="23"/>
      <c r="G26" s="25"/>
      <c r="H26" s="23"/>
      <c r="I26" s="26"/>
      <c r="J26" s="24"/>
      <c r="K26" s="25"/>
      <c r="L26" s="23"/>
      <c r="M26" s="25"/>
      <c r="N26" s="23"/>
      <c r="O26" s="26"/>
      <c r="P26" s="27"/>
      <c r="Q26" s="28"/>
      <c r="R26" s="29"/>
      <c r="S26" s="24"/>
      <c r="T26" s="25"/>
      <c r="U26" s="23"/>
      <c r="V26" s="25"/>
      <c r="W26" s="23"/>
      <c r="X26" s="26"/>
      <c r="Y26" s="24"/>
      <c r="Z26" s="25"/>
      <c r="AA26" s="23"/>
      <c r="AB26" s="25"/>
      <c r="AC26" s="23"/>
      <c r="AD26" s="26"/>
    </row>
    <row r="27">
      <c r="A27" s="30" t="s">
        <v>47</v>
      </c>
      <c r="B27" s="22" t="s">
        <v>27</v>
      </c>
      <c r="C27" s="22" t="s">
        <v>28</v>
      </c>
      <c r="D27" s="24"/>
      <c r="E27" s="25"/>
      <c r="F27" s="23"/>
      <c r="G27" s="25"/>
      <c r="H27" s="23"/>
      <c r="I27" s="26"/>
      <c r="J27" s="24"/>
      <c r="K27" s="25"/>
      <c r="L27" s="23"/>
      <c r="M27" s="25"/>
      <c r="N27" s="23"/>
      <c r="O27" s="26"/>
      <c r="P27" s="27"/>
      <c r="Q27" s="28"/>
      <c r="R27" s="29"/>
      <c r="S27" s="24"/>
      <c r="T27" s="25"/>
      <c r="U27" s="23"/>
      <c r="V27" s="25"/>
      <c r="W27" s="23"/>
      <c r="X27" s="26"/>
      <c r="Y27" s="24"/>
      <c r="Z27" s="25"/>
      <c r="AA27" s="23"/>
      <c r="AB27" s="25"/>
      <c r="AC27" s="23"/>
      <c r="AD27" s="26"/>
    </row>
    <row r="28">
      <c r="A28" s="30" t="s">
        <v>48</v>
      </c>
      <c r="B28" s="22" t="s">
        <v>27</v>
      </c>
      <c r="C28" s="22" t="s">
        <v>28</v>
      </c>
      <c r="D28" s="24"/>
      <c r="E28" s="25" t="n">
        <f>31272</f>
        <v>31272.0</v>
      </c>
      <c r="F28" s="23"/>
      <c r="G28" s="25" t="n">
        <f>28549</f>
        <v>28549.0</v>
      </c>
      <c r="H28" s="23"/>
      <c r="I28" s="26" t="n">
        <f>59821</f>
        <v>59821.0</v>
      </c>
      <c r="J28" s="24"/>
      <c r="K28" s="25" t="n">
        <f>7271200000</f>
        <v>7.2712E9</v>
      </c>
      <c r="L28" s="23"/>
      <c r="M28" s="25" t="n">
        <f>4093632500</f>
        <v>4.0936325E9</v>
      </c>
      <c r="N28" s="23"/>
      <c r="O28" s="26" t="n">
        <f>11364832500</f>
        <v>1.13648325E10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3623</f>
        <v>3623.0</v>
      </c>
      <c r="U28" s="23"/>
      <c r="V28" s="25" t="n">
        <f>3588</f>
        <v>3588.0</v>
      </c>
      <c r="W28" s="23"/>
      <c r="X28" s="26" t="n">
        <f>7211</f>
        <v>7211.0</v>
      </c>
      <c r="Y28" s="24"/>
      <c r="Z28" s="25" t="n">
        <f>841111</f>
        <v>841111.0</v>
      </c>
      <c r="AA28" s="23"/>
      <c r="AB28" s="25" t="n">
        <f>503859</f>
        <v>503859.0</v>
      </c>
      <c r="AC28" s="23"/>
      <c r="AD28" s="26" t="n">
        <f>1344970</f>
        <v>1344970.0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64079</f>
        <v>64079.0</v>
      </c>
      <c r="F29" s="23"/>
      <c r="G29" s="25" t="n">
        <f>49785</f>
        <v>49785.0</v>
      </c>
      <c r="H29" s="23"/>
      <c r="I29" s="26" t="n">
        <f>113864</f>
        <v>113864.0</v>
      </c>
      <c r="J29" s="24"/>
      <c r="K29" s="25" t="n">
        <f>18347536825</f>
        <v>1.8347536825E10</v>
      </c>
      <c r="L29" s="23"/>
      <c r="M29" s="25" t="n">
        <f>8549865500</f>
        <v>8.5498655E9</v>
      </c>
      <c r="N29" s="23"/>
      <c r="O29" s="26" t="n">
        <f>26897402325</f>
        <v>2.6897402325E10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9024</f>
        <v>9024.0</v>
      </c>
      <c r="U29" s="23"/>
      <c r="V29" s="25" t="n">
        <f>8762</f>
        <v>8762.0</v>
      </c>
      <c r="W29" s="23"/>
      <c r="X29" s="26" t="n">
        <f>17786</f>
        <v>17786.0</v>
      </c>
      <c r="Y29" s="24"/>
      <c r="Z29" s="25" t="n">
        <f>850922</f>
        <v>850922.0</v>
      </c>
      <c r="AA29" s="23"/>
      <c r="AB29" s="25" t="n">
        <f>510232</f>
        <v>510232.0</v>
      </c>
      <c r="AC29" s="23"/>
      <c r="AD29" s="26" t="n">
        <f>1361154</f>
        <v>1361154.0</v>
      </c>
    </row>
    <row r="30">
      <c r="A30" s="30" t="s">
        <v>50</v>
      </c>
      <c r="B30" s="22" t="s">
        <v>27</v>
      </c>
      <c r="C30" s="22" t="s">
        <v>28</v>
      </c>
      <c r="D30" s="24" t="s">
        <v>36</v>
      </c>
      <c r="E30" s="25" t="n">
        <f>88625</f>
        <v>88625.0</v>
      </c>
      <c r="F30" s="23" t="s">
        <v>36</v>
      </c>
      <c r="G30" s="25" t="n">
        <f>66426</f>
        <v>66426.0</v>
      </c>
      <c r="H30" s="23" t="s">
        <v>36</v>
      </c>
      <c r="I30" s="26" t="n">
        <f>155051</f>
        <v>155051.0</v>
      </c>
      <c r="J30" s="24" t="s">
        <v>36</v>
      </c>
      <c r="K30" s="25" t="n">
        <f>23675622046</f>
        <v>2.3675622046E10</v>
      </c>
      <c r="L30" s="23" t="s">
        <v>36</v>
      </c>
      <c r="M30" s="25" t="n">
        <f>13039052997</f>
        <v>1.3039052997E10</v>
      </c>
      <c r="N30" s="23" t="s">
        <v>36</v>
      </c>
      <c r="O30" s="26" t="n">
        <f>36714675043</f>
        <v>3.6714675043E10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 t="s">
        <v>36</v>
      </c>
      <c r="T30" s="25" t="n">
        <f>12213</f>
        <v>12213.0</v>
      </c>
      <c r="U30" s="23" t="s">
        <v>36</v>
      </c>
      <c r="V30" s="25" t="n">
        <f>14429</f>
        <v>14429.0</v>
      </c>
      <c r="W30" s="23" t="s">
        <v>36</v>
      </c>
      <c r="X30" s="26" t="n">
        <f>26642</f>
        <v>26642.0</v>
      </c>
      <c r="Y30" s="24"/>
      <c r="Z30" s="25" t="n">
        <f>866658</f>
        <v>866658.0</v>
      </c>
      <c r="AA30" s="23"/>
      <c r="AB30" s="25" t="n">
        <f>520254</f>
        <v>520254.0</v>
      </c>
      <c r="AC30" s="23"/>
      <c r="AD30" s="26" t="n">
        <f>1386912</f>
        <v>1386912.0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74007</f>
        <v>74007.0</v>
      </c>
      <c r="F31" s="23"/>
      <c r="G31" s="25" t="n">
        <f>61176</f>
        <v>61176.0</v>
      </c>
      <c r="H31" s="23"/>
      <c r="I31" s="26" t="n">
        <f>135183</f>
        <v>135183.0</v>
      </c>
      <c r="J31" s="24"/>
      <c r="K31" s="25" t="n">
        <f>15708123900</f>
        <v>1.57081239E10</v>
      </c>
      <c r="L31" s="23"/>
      <c r="M31" s="25" t="n">
        <f>13028474000</f>
        <v>1.3028474E10</v>
      </c>
      <c r="N31" s="23"/>
      <c r="O31" s="26" t="n">
        <f>28736597900</f>
        <v>2.87365979E10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8210</f>
        <v>8210.0</v>
      </c>
      <c r="U31" s="23"/>
      <c r="V31" s="25" t="n">
        <f>8954</f>
        <v>8954.0</v>
      </c>
      <c r="W31" s="23"/>
      <c r="X31" s="26" t="n">
        <f>17164</f>
        <v>17164.0</v>
      </c>
      <c r="Y31" s="24"/>
      <c r="Z31" s="25" t="n">
        <f>878906</f>
        <v>878906.0</v>
      </c>
      <c r="AA31" s="23"/>
      <c r="AB31" s="25" t="n">
        <f>525284</f>
        <v>525284.0</v>
      </c>
      <c r="AC31" s="23"/>
      <c r="AD31" s="26" t="n">
        <f>1404190</f>
        <v>1404190.0</v>
      </c>
    </row>
    <row r="32">
      <c r="A32" s="30" t="s">
        <v>52</v>
      </c>
      <c r="B32" s="22" t="s">
        <v>27</v>
      </c>
      <c r="C32" s="22" t="s">
        <v>28</v>
      </c>
      <c r="D32" s="24"/>
      <c r="E32" s="25" t="n">
        <f>45624</f>
        <v>45624.0</v>
      </c>
      <c r="F32" s="23"/>
      <c r="G32" s="25" t="n">
        <f>26429</f>
        <v>26429.0</v>
      </c>
      <c r="H32" s="23"/>
      <c r="I32" s="26" t="n">
        <f>72053</f>
        <v>72053.0</v>
      </c>
      <c r="J32" s="24"/>
      <c r="K32" s="25" t="n">
        <f>12171125839</f>
        <v>1.2171125839E10</v>
      </c>
      <c r="L32" s="23"/>
      <c r="M32" s="25" t="n">
        <f>5584267410</f>
        <v>5.58426741E9</v>
      </c>
      <c r="N32" s="23"/>
      <c r="O32" s="26" t="n">
        <f>17755393249</f>
        <v>1.7755393249E10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4"/>
      <c r="T32" s="25" t="n">
        <f>9035</f>
        <v>9035.0</v>
      </c>
      <c r="U32" s="23"/>
      <c r="V32" s="25" t="n">
        <f>4319</f>
        <v>4319.0</v>
      </c>
      <c r="W32" s="23"/>
      <c r="X32" s="26" t="n">
        <f>13354</f>
        <v>13354.0</v>
      </c>
      <c r="Y32" s="24"/>
      <c r="Z32" s="25" t="n">
        <f>886104</f>
        <v>886104.0</v>
      </c>
      <c r="AA32" s="23"/>
      <c r="AB32" s="25" t="n">
        <f>528304</f>
        <v>528304.0</v>
      </c>
      <c r="AC32" s="23"/>
      <c r="AD32" s="26" t="n">
        <f>1414408</f>
        <v>1414408.0</v>
      </c>
    </row>
    <row r="33">
      <c r="A33" s="30" t="s">
        <v>53</v>
      </c>
      <c r="B33" s="22" t="s">
        <v>27</v>
      </c>
      <c r="C33" s="22" t="s">
        <v>28</v>
      </c>
      <c r="D33" s="24"/>
      <c r="E33" s="25"/>
      <c r="F33" s="23"/>
      <c r="G33" s="25"/>
      <c r="H33" s="23"/>
      <c r="I33" s="26"/>
      <c r="J33" s="24"/>
      <c r="K33" s="25"/>
      <c r="L33" s="23"/>
      <c r="M33" s="25"/>
      <c r="N33" s="23"/>
      <c r="O33" s="26"/>
      <c r="P33" s="27"/>
      <c r="Q33" s="28"/>
      <c r="R33" s="29"/>
      <c r="S33" s="24"/>
      <c r="T33" s="25"/>
      <c r="U33" s="23"/>
      <c r="V33" s="25"/>
      <c r="W33" s="23"/>
      <c r="X33" s="26"/>
      <c r="Y33" s="24"/>
      <c r="Z33" s="25"/>
      <c r="AA33" s="23"/>
      <c r="AB33" s="25"/>
      <c r="AC33" s="23"/>
      <c r="AD33" s="26"/>
    </row>
    <row r="34">
      <c r="A34" s="30" t="s">
        <v>54</v>
      </c>
      <c r="B34" s="22" t="s">
        <v>27</v>
      </c>
      <c r="C34" s="22" t="s">
        <v>28</v>
      </c>
      <c r="D34" s="24"/>
      <c r="E34" s="25"/>
      <c r="F34" s="23"/>
      <c r="G34" s="25"/>
      <c r="H34" s="23"/>
      <c r="I34" s="26"/>
      <c r="J34" s="24"/>
      <c r="K34" s="25"/>
      <c r="L34" s="23"/>
      <c r="M34" s="25"/>
      <c r="N34" s="23"/>
      <c r="O34" s="26"/>
      <c r="P34" s="27"/>
      <c r="Q34" s="28"/>
      <c r="R34" s="29"/>
      <c r="S34" s="24"/>
      <c r="T34" s="25"/>
      <c r="U34" s="23"/>
      <c r="V34" s="25"/>
      <c r="W34" s="23"/>
      <c r="X34" s="26"/>
      <c r="Y34" s="24"/>
      <c r="Z34" s="25"/>
      <c r="AA34" s="23"/>
      <c r="AB34" s="25"/>
      <c r="AC34" s="23"/>
      <c r="AD34" s="26"/>
    </row>
    <row r="35">
      <c r="A35" s="30" t="s">
        <v>55</v>
      </c>
      <c r="B35" s="22" t="s">
        <v>27</v>
      </c>
      <c r="C35" s="22" t="s">
        <v>28</v>
      </c>
      <c r="D35" s="24"/>
      <c r="E35" s="25" t="n">
        <f>45738</f>
        <v>45738.0</v>
      </c>
      <c r="F35" s="23"/>
      <c r="G35" s="25" t="n">
        <f>27222</f>
        <v>27222.0</v>
      </c>
      <c r="H35" s="23"/>
      <c r="I35" s="26" t="n">
        <f>72960</f>
        <v>72960.0</v>
      </c>
      <c r="J35" s="24"/>
      <c r="K35" s="25" t="n">
        <f>6914337400</f>
        <v>6.9143374E9</v>
      </c>
      <c r="L35" s="23" t="s">
        <v>38</v>
      </c>
      <c r="M35" s="25" t="n">
        <f>3428228421</f>
        <v>3.428228421E9</v>
      </c>
      <c r="N35" s="23" t="s">
        <v>38</v>
      </c>
      <c r="O35" s="26" t="n">
        <f>10342565821</f>
        <v>1.0342565821E10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6187</f>
        <v>6187.0</v>
      </c>
      <c r="U35" s="23"/>
      <c r="V35" s="25" t="n">
        <f>4827</f>
        <v>4827.0</v>
      </c>
      <c r="W35" s="23"/>
      <c r="X35" s="26" t="n">
        <f>11014</f>
        <v>11014.0</v>
      </c>
      <c r="Y35" s="24"/>
      <c r="Z35" s="25" t="n">
        <f>887513</f>
        <v>887513.0</v>
      </c>
      <c r="AA35" s="23"/>
      <c r="AB35" s="25" t="n">
        <f>529642</f>
        <v>529642.0</v>
      </c>
      <c r="AC35" s="23"/>
      <c r="AD35" s="26" t="n">
        <f>1417155</f>
        <v>1417155.0</v>
      </c>
    </row>
    <row r="36">
      <c r="A36" s="30" t="s">
        <v>56</v>
      </c>
      <c r="B36" s="22" t="s">
        <v>27</v>
      </c>
      <c r="C36" s="22" t="s">
        <v>28</v>
      </c>
      <c r="D36" s="24" t="s">
        <v>38</v>
      </c>
      <c r="E36" s="25" t="n">
        <f>28805</f>
        <v>28805.0</v>
      </c>
      <c r="F36" s="23"/>
      <c r="G36" s="25" t="n">
        <f>28811</f>
        <v>28811.0</v>
      </c>
      <c r="H36" s="23"/>
      <c r="I36" s="26" t="n">
        <f>57616</f>
        <v>57616.0</v>
      </c>
      <c r="J36" s="24" t="s">
        <v>38</v>
      </c>
      <c r="K36" s="25" t="n">
        <f>5033865000</f>
        <v>5.033865E9</v>
      </c>
      <c r="L36" s="23"/>
      <c r="M36" s="25" t="n">
        <f>5615118000</f>
        <v>5.615118E9</v>
      </c>
      <c r="N36" s="23"/>
      <c r="O36" s="26" t="n">
        <f>10648983000</f>
        <v>1.0648983E10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4186</f>
        <v>4186.0</v>
      </c>
      <c r="U36" s="23"/>
      <c r="V36" s="25" t="n">
        <f>5457</f>
        <v>5457.0</v>
      </c>
      <c r="W36" s="23"/>
      <c r="X36" s="26" t="n">
        <f>9643</f>
        <v>9643.0</v>
      </c>
      <c r="Y36" s="24"/>
      <c r="Z36" s="25" t="n">
        <f>890380</f>
        <v>890380.0</v>
      </c>
      <c r="AA36" s="23"/>
      <c r="AB36" s="25" t="n">
        <f>533163</f>
        <v>533163.0</v>
      </c>
      <c r="AC36" s="23"/>
      <c r="AD36" s="26" t="n">
        <f>1423543</f>
        <v>1423543.0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52444</f>
        <v>52444.0</v>
      </c>
      <c r="F37" s="23"/>
      <c r="G37" s="25" t="n">
        <f>27362</f>
        <v>27362.0</v>
      </c>
      <c r="H37" s="23"/>
      <c r="I37" s="26" t="n">
        <f>79806</f>
        <v>79806.0</v>
      </c>
      <c r="J37" s="24"/>
      <c r="K37" s="25" t="n">
        <f>10741846210</f>
        <v>1.074184621E10</v>
      </c>
      <c r="L37" s="23"/>
      <c r="M37" s="25" t="n">
        <f>5349941300</f>
        <v>5.3499413E9</v>
      </c>
      <c r="N37" s="23"/>
      <c r="O37" s="26" t="n">
        <f>16091787510</f>
        <v>1.609178751E10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5481</f>
        <v>5481.0</v>
      </c>
      <c r="U37" s="23"/>
      <c r="V37" s="25" t="n">
        <f>3614</f>
        <v>3614.0</v>
      </c>
      <c r="W37" s="23"/>
      <c r="X37" s="26" t="n">
        <f>9095</f>
        <v>9095.0</v>
      </c>
      <c r="Y37" s="24"/>
      <c r="Z37" s="25" t="n">
        <f>902410</f>
        <v>902410.0</v>
      </c>
      <c r="AA37" s="23"/>
      <c r="AB37" s="25" t="n">
        <f>535285</f>
        <v>535285.0</v>
      </c>
      <c r="AC37" s="23"/>
      <c r="AD37" s="26" t="n">
        <f>1437695</f>
        <v>1437695.0</v>
      </c>
    </row>
    <row r="38">
      <c r="A38" s="30" t="s">
        <v>58</v>
      </c>
      <c r="B38" s="22" t="s">
        <v>27</v>
      </c>
      <c r="C38" s="22" t="s">
        <v>28</v>
      </c>
      <c r="D38" s="24"/>
      <c r="E38" s="25"/>
      <c r="F38" s="23"/>
      <c r="G38" s="25"/>
      <c r="H38" s="23"/>
      <c r="I38" s="26"/>
      <c r="J38" s="24"/>
      <c r="K38" s="25"/>
      <c r="L38" s="23"/>
      <c r="M38" s="25"/>
      <c r="N38" s="23"/>
      <c r="O38" s="26"/>
      <c r="P38" s="27"/>
      <c r="Q38" s="28"/>
      <c r="R38" s="29"/>
      <c r="S38" s="24"/>
      <c r="T38" s="25"/>
      <c r="U38" s="23"/>
      <c r="V38" s="25"/>
      <c r="W38" s="23"/>
      <c r="X38" s="26"/>
      <c r="Y38" s="24"/>
      <c r="Z38" s="25"/>
      <c r="AA38" s="23"/>
      <c r="AB38" s="25"/>
      <c r="AC38" s="23"/>
      <c r="AD38" s="26"/>
    </row>
    <row r="39">
      <c r="A39" s="30" t="s">
        <v>59</v>
      </c>
      <c r="B39" s="22" t="s">
        <v>27</v>
      </c>
      <c r="C39" s="22" t="s">
        <v>28</v>
      </c>
      <c r="D39" s="24"/>
      <c r="E39" s="25" t="n">
        <f>48687</f>
        <v>48687.0</v>
      </c>
      <c r="F39" s="23"/>
      <c r="G39" s="25" t="n">
        <f>35153</f>
        <v>35153.0</v>
      </c>
      <c r="H39" s="23"/>
      <c r="I39" s="26" t="n">
        <f>83840</f>
        <v>83840.0</v>
      </c>
      <c r="J39" s="24"/>
      <c r="K39" s="25" t="n">
        <f>9867443522</f>
        <v>9.867443522E9</v>
      </c>
      <c r="L39" s="23"/>
      <c r="M39" s="25" t="n">
        <f>5271955500</f>
        <v>5.2719555E9</v>
      </c>
      <c r="N39" s="23"/>
      <c r="O39" s="26" t="n">
        <f>15139399022</f>
        <v>1.5139399022E10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7410</f>
        <v>7410.0</v>
      </c>
      <c r="U39" s="23"/>
      <c r="V39" s="25" t="n">
        <f>4701</f>
        <v>4701.0</v>
      </c>
      <c r="W39" s="23"/>
      <c r="X39" s="26" t="n">
        <f>12111</f>
        <v>12111.0</v>
      </c>
      <c r="Y39" s="24"/>
      <c r="Z39" s="25" t="n">
        <f>910089</f>
        <v>910089.0</v>
      </c>
      <c r="AA39" s="23"/>
      <c r="AB39" s="25" t="n">
        <f>539141</f>
        <v>539141.0</v>
      </c>
      <c r="AC39" s="23"/>
      <c r="AD39" s="26" t="n">
        <f>1449230</f>
        <v>1449230.0</v>
      </c>
    </row>
    <row r="40">
      <c r="A40" s="30" t="s">
        <v>26</v>
      </c>
      <c r="B40" s="22" t="s">
        <v>60</v>
      </c>
      <c r="C40" s="22" t="s">
        <v>61</v>
      </c>
      <c r="D40" s="24"/>
      <c r="E40" s="25" t="n">
        <f>2269</f>
        <v>2269.0</v>
      </c>
      <c r="F40" s="23"/>
      <c r="G40" s="25" t="n">
        <f>2051</f>
        <v>2051.0</v>
      </c>
      <c r="H40" s="23"/>
      <c r="I40" s="26" t="n">
        <f>4320</f>
        <v>4320.0</v>
      </c>
      <c r="J40" s="24"/>
      <c r="K40" s="25" t="n">
        <f>92658000</f>
        <v>9.2658E7</v>
      </c>
      <c r="L40" s="23" t="s">
        <v>36</v>
      </c>
      <c r="M40" s="25" t="n">
        <f>184121000</f>
        <v>1.84121E8</v>
      </c>
      <c r="N40" s="23"/>
      <c r="O40" s="26" t="n">
        <f>276779000</f>
        <v>2.76779E8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202</f>
        <v>202.0</v>
      </c>
      <c r="U40" s="23" t="s">
        <v>36</v>
      </c>
      <c r="V40" s="25" t="n">
        <f>679</f>
        <v>679.0</v>
      </c>
      <c r="W40" s="23" t="s">
        <v>36</v>
      </c>
      <c r="X40" s="26" t="n">
        <f>881</f>
        <v>881.0</v>
      </c>
      <c r="Y40" s="24"/>
      <c r="Z40" s="25" t="n">
        <f>4021</f>
        <v>4021.0</v>
      </c>
      <c r="AA40" s="23"/>
      <c r="AB40" s="25" t="n">
        <f>2952</f>
        <v>2952.0</v>
      </c>
      <c r="AC40" s="23"/>
      <c r="AD40" s="26" t="n">
        <f>6973</f>
        <v>6973.0</v>
      </c>
    </row>
    <row r="41">
      <c r="A41" s="30" t="s">
        <v>29</v>
      </c>
      <c r="B41" s="22" t="s">
        <v>60</v>
      </c>
      <c r="C41" s="22" t="s">
        <v>61</v>
      </c>
      <c r="D41" s="24" t="s">
        <v>38</v>
      </c>
      <c r="E41" s="25" t="n">
        <f>25</f>
        <v>25.0</v>
      </c>
      <c r="F41" s="23"/>
      <c r="G41" s="25" t="n">
        <f>65</f>
        <v>65.0</v>
      </c>
      <c r="H41" s="23" t="s">
        <v>38</v>
      </c>
      <c r="I41" s="26" t="n">
        <f>90</f>
        <v>90.0</v>
      </c>
      <c r="J41" s="24" t="s">
        <v>38</v>
      </c>
      <c r="K41" s="25" t="n">
        <f>2922000</f>
        <v>2922000.0</v>
      </c>
      <c r="L41" s="23"/>
      <c r="M41" s="25" t="n">
        <f>7088000</f>
        <v>7088000.0</v>
      </c>
      <c r="N41" s="23" t="s">
        <v>38</v>
      </c>
      <c r="O41" s="26" t="n">
        <f>10010000</f>
        <v>1.001E7</v>
      </c>
      <c r="P41" s="27" t="n">
        <f>2</f>
        <v>2.0</v>
      </c>
      <c r="Q41" s="28" t="n">
        <f>481</f>
        <v>481.0</v>
      </c>
      <c r="R41" s="29" t="n">
        <f>483</f>
        <v>483.0</v>
      </c>
      <c r="S41" s="24" t="s">
        <v>38</v>
      </c>
      <c r="T41" s="25" t="n">
        <f>1</f>
        <v>1.0</v>
      </c>
      <c r="U41" s="23"/>
      <c r="V41" s="25" t="n">
        <f>6</f>
        <v>6.0</v>
      </c>
      <c r="W41" s="23" t="s">
        <v>38</v>
      </c>
      <c r="X41" s="26" t="n">
        <f>7</f>
        <v>7.0</v>
      </c>
      <c r="Y41" s="24" t="s">
        <v>38</v>
      </c>
      <c r="Z41" s="25" t="n">
        <f>78</f>
        <v>78.0</v>
      </c>
      <c r="AA41" s="23" t="s">
        <v>38</v>
      </c>
      <c r="AB41" s="25" t="n">
        <f>1024</f>
        <v>1024.0</v>
      </c>
      <c r="AC41" s="23" t="s">
        <v>38</v>
      </c>
      <c r="AD41" s="26" t="n">
        <f>1102</f>
        <v>1102.0</v>
      </c>
    </row>
    <row r="42">
      <c r="A42" s="30" t="s">
        <v>30</v>
      </c>
      <c r="B42" s="22" t="s">
        <v>60</v>
      </c>
      <c r="C42" s="22" t="s">
        <v>61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31</v>
      </c>
      <c r="B43" s="22" t="s">
        <v>60</v>
      </c>
      <c r="C43" s="22" t="s">
        <v>61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32</v>
      </c>
      <c r="B44" s="22" t="s">
        <v>60</v>
      </c>
      <c r="C44" s="22" t="s">
        <v>61</v>
      </c>
      <c r="D44" s="24"/>
      <c r="E44" s="25" t="n">
        <f>58</f>
        <v>58.0</v>
      </c>
      <c r="F44" s="23"/>
      <c r="G44" s="25" t="n">
        <f>113</f>
        <v>113.0</v>
      </c>
      <c r="H44" s="23"/>
      <c r="I44" s="26" t="n">
        <f>171</f>
        <v>171.0</v>
      </c>
      <c r="J44" s="24"/>
      <c r="K44" s="25" t="n">
        <f>5844000</f>
        <v>5844000.0</v>
      </c>
      <c r="L44" s="23"/>
      <c r="M44" s="25" t="n">
        <f>42472000</f>
        <v>4.2472E7</v>
      </c>
      <c r="N44" s="23"/>
      <c r="O44" s="26" t="n">
        <f>48316000</f>
        <v>4.8316E7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7</f>
        <v>7.0</v>
      </c>
      <c r="U44" s="23" t="s">
        <v>38</v>
      </c>
      <c r="V44" s="25" t="n">
        <f>2</f>
        <v>2.0</v>
      </c>
      <c r="W44" s="23"/>
      <c r="X44" s="26" t="n">
        <f>9</f>
        <v>9.0</v>
      </c>
      <c r="Y44" s="24"/>
      <c r="Z44" s="25" t="n">
        <f>112</f>
        <v>112.0</v>
      </c>
      <c r="AA44" s="23"/>
      <c r="AB44" s="25" t="n">
        <f>1032</f>
        <v>1032.0</v>
      </c>
      <c r="AC44" s="23"/>
      <c r="AD44" s="26" t="n">
        <f>1144</f>
        <v>1144.0</v>
      </c>
    </row>
    <row r="45">
      <c r="A45" s="30" t="s">
        <v>33</v>
      </c>
      <c r="B45" s="22" t="s">
        <v>60</v>
      </c>
      <c r="C45" s="22" t="s">
        <v>61</v>
      </c>
      <c r="D45" s="24"/>
      <c r="E45" s="25" t="n">
        <f>169</f>
        <v>169.0</v>
      </c>
      <c r="F45" s="23" t="s">
        <v>38</v>
      </c>
      <c r="G45" s="25" t="n">
        <f>42</f>
        <v>42.0</v>
      </c>
      <c r="H45" s="23"/>
      <c r="I45" s="26" t="n">
        <f>211</f>
        <v>211.0</v>
      </c>
      <c r="J45" s="24"/>
      <c r="K45" s="25" t="n">
        <f>18832000</f>
        <v>1.8832E7</v>
      </c>
      <c r="L45" s="23" t="s">
        <v>38</v>
      </c>
      <c r="M45" s="25" t="n">
        <f>3994000</f>
        <v>3994000.0</v>
      </c>
      <c r="N45" s="23"/>
      <c r="O45" s="26" t="n">
        <f>22826000</f>
        <v>2.2826E7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37</f>
        <v>37.0</v>
      </c>
      <c r="U45" s="23"/>
      <c r="V45" s="25" t="n">
        <f>5</f>
        <v>5.0</v>
      </c>
      <c r="W45" s="23"/>
      <c r="X45" s="26" t="n">
        <f>42</f>
        <v>42.0</v>
      </c>
      <c r="Y45" s="24"/>
      <c r="Z45" s="25" t="n">
        <f>222</f>
        <v>222.0</v>
      </c>
      <c r="AA45" s="23"/>
      <c r="AB45" s="25" t="n">
        <f>1066</f>
        <v>1066.0</v>
      </c>
      <c r="AC45" s="23"/>
      <c r="AD45" s="26" t="n">
        <f>1288</f>
        <v>1288.0</v>
      </c>
    </row>
    <row r="46">
      <c r="A46" s="30" t="s">
        <v>34</v>
      </c>
      <c r="B46" s="22" t="s">
        <v>60</v>
      </c>
      <c r="C46" s="22" t="s">
        <v>61</v>
      </c>
      <c r="D46" s="24"/>
      <c r="E46" s="25" t="n">
        <f>344</f>
        <v>344.0</v>
      </c>
      <c r="F46" s="23"/>
      <c r="G46" s="25" t="n">
        <f>377</f>
        <v>377.0</v>
      </c>
      <c r="H46" s="23"/>
      <c r="I46" s="26" t="n">
        <f>721</f>
        <v>721.0</v>
      </c>
      <c r="J46" s="24"/>
      <c r="K46" s="25" t="n">
        <f>40599000</f>
        <v>4.0599E7</v>
      </c>
      <c r="L46" s="23"/>
      <c r="M46" s="25" t="n">
        <f>45655000</f>
        <v>4.5655E7</v>
      </c>
      <c r="N46" s="23"/>
      <c r="O46" s="26" t="n">
        <f>86254000</f>
        <v>8.6254E7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11</f>
        <v>11.0</v>
      </c>
      <c r="U46" s="23"/>
      <c r="V46" s="25" t="n">
        <f>6</f>
        <v>6.0</v>
      </c>
      <c r="W46" s="23"/>
      <c r="X46" s="26" t="n">
        <f>17</f>
        <v>17.0</v>
      </c>
      <c r="Y46" s="24"/>
      <c r="Z46" s="25" t="n">
        <f>489</f>
        <v>489.0</v>
      </c>
      <c r="AA46" s="23"/>
      <c r="AB46" s="25" t="n">
        <f>1397</f>
        <v>1397.0</v>
      </c>
      <c r="AC46" s="23"/>
      <c r="AD46" s="26" t="n">
        <f>1886</f>
        <v>1886.0</v>
      </c>
    </row>
    <row r="47">
      <c r="A47" s="30" t="s">
        <v>35</v>
      </c>
      <c r="B47" s="22" t="s">
        <v>60</v>
      </c>
      <c r="C47" s="22" t="s">
        <v>61</v>
      </c>
      <c r="D47" s="24"/>
      <c r="E47" s="25" t="n">
        <f>808</f>
        <v>808.0</v>
      </c>
      <c r="F47" s="23"/>
      <c r="G47" s="25" t="n">
        <f>939</f>
        <v>939.0</v>
      </c>
      <c r="H47" s="23"/>
      <c r="I47" s="26" t="n">
        <f>1747</f>
        <v>1747.0</v>
      </c>
      <c r="J47" s="24"/>
      <c r="K47" s="25" t="n">
        <f>96194000</f>
        <v>9.6194E7</v>
      </c>
      <c r="L47" s="23"/>
      <c r="M47" s="25" t="n">
        <f>71227000</f>
        <v>7.1227E7</v>
      </c>
      <c r="N47" s="23"/>
      <c r="O47" s="26" t="n">
        <f>167421000</f>
        <v>1.67421E8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21</f>
        <v>21.0</v>
      </c>
      <c r="U47" s="23"/>
      <c r="V47" s="25" t="n">
        <f>25</f>
        <v>25.0</v>
      </c>
      <c r="W47" s="23"/>
      <c r="X47" s="26" t="n">
        <f>46</f>
        <v>46.0</v>
      </c>
      <c r="Y47" s="24"/>
      <c r="Z47" s="25" t="n">
        <f>1197</f>
        <v>1197.0</v>
      </c>
      <c r="AA47" s="23"/>
      <c r="AB47" s="25" t="n">
        <f>2069</f>
        <v>2069.0</v>
      </c>
      <c r="AC47" s="23"/>
      <c r="AD47" s="26" t="n">
        <f>3266</f>
        <v>3266.0</v>
      </c>
    </row>
    <row r="48">
      <c r="A48" s="30" t="s">
        <v>37</v>
      </c>
      <c r="B48" s="22" t="s">
        <v>60</v>
      </c>
      <c r="C48" s="22" t="s">
        <v>61</v>
      </c>
      <c r="D48" s="24"/>
      <c r="E48" s="25" t="n">
        <f>823</f>
        <v>823.0</v>
      </c>
      <c r="F48" s="23"/>
      <c r="G48" s="25" t="n">
        <f>1196</f>
        <v>1196.0</v>
      </c>
      <c r="H48" s="23"/>
      <c r="I48" s="26" t="n">
        <f>2019</f>
        <v>2019.0</v>
      </c>
      <c r="J48" s="24"/>
      <c r="K48" s="25" t="n">
        <f>49082000</f>
        <v>4.9082E7</v>
      </c>
      <c r="L48" s="23"/>
      <c r="M48" s="25" t="n">
        <f>153416000</f>
        <v>1.53416E8</v>
      </c>
      <c r="N48" s="23"/>
      <c r="O48" s="26" t="n">
        <f>202498000</f>
        <v>2.02498E8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70</f>
        <v>70.0</v>
      </c>
      <c r="U48" s="23"/>
      <c r="V48" s="25" t="n">
        <f>365</f>
        <v>365.0</v>
      </c>
      <c r="W48" s="23"/>
      <c r="X48" s="26" t="n">
        <f>435</f>
        <v>435.0</v>
      </c>
      <c r="Y48" s="24"/>
      <c r="Z48" s="25" t="n">
        <f>1534</f>
        <v>1534.0</v>
      </c>
      <c r="AA48" s="23"/>
      <c r="AB48" s="25" t="n">
        <f>2744</f>
        <v>2744.0</v>
      </c>
      <c r="AC48" s="23"/>
      <c r="AD48" s="26" t="n">
        <f>4278</f>
        <v>4278.0</v>
      </c>
    </row>
    <row r="49">
      <c r="A49" s="30" t="s">
        <v>39</v>
      </c>
      <c r="B49" s="22" t="s">
        <v>60</v>
      </c>
      <c r="C49" s="22" t="s">
        <v>61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40</v>
      </c>
      <c r="B50" s="22" t="s">
        <v>60</v>
      </c>
      <c r="C50" s="22" t="s">
        <v>61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41</v>
      </c>
      <c r="B51" s="22" t="s">
        <v>60</v>
      </c>
      <c r="C51" s="22" t="s">
        <v>61</v>
      </c>
      <c r="D51" s="24"/>
      <c r="E51" s="25" t="n">
        <f>1462</f>
        <v>1462.0</v>
      </c>
      <c r="F51" s="23"/>
      <c r="G51" s="25" t="n">
        <f>1219</f>
        <v>1219.0</v>
      </c>
      <c r="H51" s="23"/>
      <c r="I51" s="26" t="n">
        <f>2681</f>
        <v>2681.0</v>
      </c>
      <c r="J51" s="24"/>
      <c r="K51" s="25" t="n">
        <f>63939000</f>
        <v>6.3939E7</v>
      </c>
      <c r="L51" s="23"/>
      <c r="M51" s="25" t="n">
        <f>37350000</f>
        <v>3.735E7</v>
      </c>
      <c r="N51" s="23"/>
      <c r="O51" s="26" t="n">
        <f>101289000</f>
        <v>1.01289E8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122</f>
        <v>122.0</v>
      </c>
      <c r="U51" s="23"/>
      <c r="V51" s="25" t="n">
        <f>83</f>
        <v>83.0</v>
      </c>
      <c r="W51" s="23"/>
      <c r="X51" s="26" t="n">
        <f>205</f>
        <v>205.0</v>
      </c>
      <c r="Y51" s="24"/>
      <c r="Z51" s="25" t="n">
        <f>2291</f>
        <v>2291.0</v>
      </c>
      <c r="AA51" s="23"/>
      <c r="AB51" s="25" t="n">
        <f>2993</f>
        <v>2993.0</v>
      </c>
      <c r="AC51" s="23"/>
      <c r="AD51" s="26" t="n">
        <f>5284</f>
        <v>5284.0</v>
      </c>
    </row>
    <row r="52">
      <c r="A52" s="30" t="s">
        <v>42</v>
      </c>
      <c r="B52" s="22" t="s">
        <v>60</v>
      </c>
      <c r="C52" s="22" t="s">
        <v>61</v>
      </c>
      <c r="D52" s="24"/>
      <c r="E52" s="25" t="n">
        <f>1618</f>
        <v>1618.0</v>
      </c>
      <c r="F52" s="23"/>
      <c r="G52" s="25" t="n">
        <f>1585</f>
        <v>1585.0</v>
      </c>
      <c r="H52" s="23"/>
      <c r="I52" s="26" t="n">
        <f>3203</f>
        <v>3203.0</v>
      </c>
      <c r="J52" s="24"/>
      <c r="K52" s="25" t="n">
        <f>46282000</f>
        <v>4.6282E7</v>
      </c>
      <c r="L52" s="23"/>
      <c r="M52" s="25" t="n">
        <f>67895000</f>
        <v>6.7895E7</v>
      </c>
      <c r="N52" s="23"/>
      <c r="O52" s="26" t="n">
        <f>114177000</f>
        <v>1.14177E8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103</f>
        <v>103.0</v>
      </c>
      <c r="U52" s="23"/>
      <c r="V52" s="25" t="n">
        <f>97</f>
        <v>97.0</v>
      </c>
      <c r="W52" s="23"/>
      <c r="X52" s="26" t="n">
        <f>200</f>
        <v>200.0</v>
      </c>
      <c r="Y52" s="24"/>
      <c r="Z52" s="25" t="n">
        <f>2784</f>
        <v>2784.0</v>
      </c>
      <c r="AA52" s="23"/>
      <c r="AB52" s="25" t="n">
        <f>3004</f>
        <v>3004.0</v>
      </c>
      <c r="AC52" s="23"/>
      <c r="AD52" s="26" t="n">
        <f>5788</f>
        <v>5788.0</v>
      </c>
    </row>
    <row r="53">
      <c r="A53" s="30" t="s">
        <v>43</v>
      </c>
      <c r="B53" s="22" t="s">
        <v>60</v>
      </c>
      <c r="C53" s="22" t="s">
        <v>61</v>
      </c>
      <c r="D53" s="24"/>
      <c r="E53" s="25" t="n">
        <f>1785</f>
        <v>1785.0</v>
      </c>
      <c r="F53" s="23"/>
      <c r="G53" s="25" t="n">
        <f>1351</f>
        <v>1351.0</v>
      </c>
      <c r="H53" s="23"/>
      <c r="I53" s="26" t="n">
        <f>3136</f>
        <v>3136.0</v>
      </c>
      <c r="J53" s="24"/>
      <c r="K53" s="25" t="n">
        <f>103031000</f>
        <v>1.03031E8</v>
      </c>
      <c r="L53" s="23"/>
      <c r="M53" s="25" t="n">
        <f>73911000</f>
        <v>7.3911E7</v>
      </c>
      <c r="N53" s="23"/>
      <c r="O53" s="26" t="n">
        <f>176942000</f>
        <v>1.76942E8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180</f>
        <v>180.0</v>
      </c>
      <c r="U53" s="23"/>
      <c r="V53" s="25" t="n">
        <f>186</f>
        <v>186.0</v>
      </c>
      <c r="W53" s="23"/>
      <c r="X53" s="26" t="n">
        <f>366</f>
        <v>366.0</v>
      </c>
      <c r="Y53" s="24"/>
      <c r="Z53" s="25" t="n">
        <f>3130</f>
        <v>3130.0</v>
      </c>
      <c r="AA53" s="23"/>
      <c r="AB53" s="25" t="n">
        <f>3419</f>
        <v>3419.0</v>
      </c>
      <c r="AC53" s="23"/>
      <c r="AD53" s="26" t="n">
        <f>6549</f>
        <v>6549.0</v>
      </c>
    </row>
    <row r="54">
      <c r="A54" s="30" t="s">
        <v>44</v>
      </c>
      <c r="B54" s="22" t="s">
        <v>60</v>
      </c>
      <c r="C54" s="22" t="s">
        <v>61</v>
      </c>
      <c r="D54" s="24"/>
      <c r="E54" s="25" t="n">
        <f>2521</f>
        <v>2521.0</v>
      </c>
      <c r="F54" s="23"/>
      <c r="G54" s="25" t="n">
        <f>2228</f>
        <v>2228.0</v>
      </c>
      <c r="H54" s="23"/>
      <c r="I54" s="26" t="n">
        <f>4749</f>
        <v>4749.0</v>
      </c>
      <c r="J54" s="24"/>
      <c r="K54" s="25" t="n">
        <f>67510000</f>
        <v>6.751E7</v>
      </c>
      <c r="L54" s="23"/>
      <c r="M54" s="25" t="n">
        <f>54606000</f>
        <v>5.4606E7</v>
      </c>
      <c r="N54" s="23"/>
      <c r="O54" s="26" t="n">
        <f>122116000</f>
        <v>1.22116E8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155</f>
        <v>155.0</v>
      </c>
      <c r="U54" s="23"/>
      <c r="V54" s="25" t="n">
        <f>197</f>
        <v>197.0</v>
      </c>
      <c r="W54" s="23"/>
      <c r="X54" s="26" t="n">
        <f>352</f>
        <v>352.0</v>
      </c>
      <c r="Y54" s="24"/>
      <c r="Z54" s="25" t="n">
        <f>3819</f>
        <v>3819.0</v>
      </c>
      <c r="AA54" s="23"/>
      <c r="AB54" s="25" t="n">
        <f>3755</f>
        <v>3755.0</v>
      </c>
      <c r="AC54" s="23"/>
      <c r="AD54" s="26" t="n">
        <f>7574</f>
        <v>7574.0</v>
      </c>
    </row>
    <row r="55">
      <c r="A55" s="30" t="s">
        <v>45</v>
      </c>
      <c r="B55" s="22" t="s">
        <v>60</v>
      </c>
      <c r="C55" s="22" t="s">
        <v>61</v>
      </c>
      <c r="D55" s="24"/>
      <c r="E55" s="25" t="n">
        <f>964</f>
        <v>964.0</v>
      </c>
      <c r="F55" s="23"/>
      <c r="G55" s="25" t="n">
        <f>700</f>
        <v>700.0</v>
      </c>
      <c r="H55" s="23"/>
      <c r="I55" s="26" t="n">
        <f>1664</f>
        <v>1664.0</v>
      </c>
      <c r="J55" s="24"/>
      <c r="K55" s="25" t="n">
        <f>68676000</f>
        <v>6.8676E7</v>
      </c>
      <c r="L55" s="23"/>
      <c r="M55" s="25" t="n">
        <f>24422000</f>
        <v>2.4422E7</v>
      </c>
      <c r="N55" s="23"/>
      <c r="O55" s="26" t="n">
        <f>93098000</f>
        <v>9.3098E7</v>
      </c>
      <c r="P55" s="27" t="n">
        <f>11</f>
        <v>11.0</v>
      </c>
      <c r="Q55" s="28" t="n">
        <f>131</f>
        <v>131.0</v>
      </c>
      <c r="R55" s="29" t="n">
        <f>142</f>
        <v>142.0</v>
      </c>
      <c r="S55" s="24"/>
      <c r="T55" s="25" t="n">
        <f>61</f>
        <v>61.0</v>
      </c>
      <c r="U55" s="23"/>
      <c r="V55" s="25" t="n">
        <f>40</f>
        <v>40.0</v>
      </c>
      <c r="W55" s="23"/>
      <c r="X55" s="26" t="n">
        <f>101</f>
        <v>101.0</v>
      </c>
      <c r="Y55" s="24"/>
      <c r="Z55" s="25" t="n">
        <f>1990</f>
        <v>1990.0</v>
      </c>
      <c r="AA55" s="23"/>
      <c r="AB55" s="25" t="n">
        <f>2074</f>
        <v>2074.0</v>
      </c>
      <c r="AC55" s="23"/>
      <c r="AD55" s="26" t="n">
        <f>4064</f>
        <v>4064.0</v>
      </c>
    </row>
    <row r="56">
      <c r="A56" s="30" t="s">
        <v>46</v>
      </c>
      <c r="B56" s="22" t="s">
        <v>60</v>
      </c>
      <c r="C56" s="22" t="s">
        <v>61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47</v>
      </c>
      <c r="B57" s="22" t="s">
        <v>60</v>
      </c>
      <c r="C57" s="22" t="s">
        <v>61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48</v>
      </c>
      <c r="B58" s="22" t="s">
        <v>60</v>
      </c>
      <c r="C58" s="22" t="s">
        <v>61</v>
      </c>
      <c r="D58" s="24"/>
      <c r="E58" s="25" t="n">
        <f>1956</f>
        <v>1956.0</v>
      </c>
      <c r="F58" s="23"/>
      <c r="G58" s="25" t="n">
        <f>1068</f>
        <v>1068.0</v>
      </c>
      <c r="H58" s="23"/>
      <c r="I58" s="26" t="n">
        <f>3024</f>
        <v>3024.0</v>
      </c>
      <c r="J58" s="24"/>
      <c r="K58" s="25" t="n">
        <f>64556000</f>
        <v>6.4556E7</v>
      </c>
      <c r="L58" s="23"/>
      <c r="M58" s="25" t="n">
        <f>34113000</f>
        <v>3.4113E7</v>
      </c>
      <c r="N58" s="23"/>
      <c r="O58" s="26" t="n">
        <f>98669000</f>
        <v>9.8669E7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159</f>
        <v>159.0</v>
      </c>
      <c r="U58" s="23"/>
      <c r="V58" s="25" t="n">
        <f>174</f>
        <v>174.0</v>
      </c>
      <c r="W58" s="23"/>
      <c r="X58" s="26" t="n">
        <f>333</f>
        <v>333.0</v>
      </c>
      <c r="Y58" s="24"/>
      <c r="Z58" s="25" t="n">
        <f>2888</f>
        <v>2888.0</v>
      </c>
      <c r="AA58" s="23"/>
      <c r="AB58" s="25" t="n">
        <f>2449</f>
        <v>2449.0</v>
      </c>
      <c r="AC58" s="23"/>
      <c r="AD58" s="26" t="n">
        <f>5337</f>
        <v>5337.0</v>
      </c>
    </row>
    <row r="59">
      <c r="A59" s="30" t="s">
        <v>49</v>
      </c>
      <c r="B59" s="22" t="s">
        <v>60</v>
      </c>
      <c r="C59" s="22" t="s">
        <v>61</v>
      </c>
      <c r="D59" s="24"/>
      <c r="E59" s="25" t="n">
        <f>1828</f>
        <v>1828.0</v>
      </c>
      <c r="F59" s="23"/>
      <c r="G59" s="25" t="n">
        <f>2072</f>
        <v>2072.0</v>
      </c>
      <c r="H59" s="23"/>
      <c r="I59" s="26" t="n">
        <f>3900</f>
        <v>3900.0</v>
      </c>
      <c r="J59" s="24"/>
      <c r="K59" s="25" t="n">
        <f>141017000</f>
        <v>1.41017E8</v>
      </c>
      <c r="L59" s="23"/>
      <c r="M59" s="25" t="n">
        <f>47252000</f>
        <v>4.7252E7</v>
      </c>
      <c r="N59" s="23"/>
      <c r="O59" s="26" t="n">
        <f>188269000</f>
        <v>1.88269E8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152</f>
        <v>152.0</v>
      </c>
      <c r="U59" s="23"/>
      <c r="V59" s="25" t="n">
        <f>144</f>
        <v>144.0</v>
      </c>
      <c r="W59" s="23"/>
      <c r="X59" s="26" t="n">
        <f>296</f>
        <v>296.0</v>
      </c>
      <c r="Y59" s="24"/>
      <c r="Z59" s="25" t="n">
        <f>3198</f>
        <v>3198.0</v>
      </c>
      <c r="AA59" s="23"/>
      <c r="AB59" s="25" t="n">
        <f>2888</f>
        <v>2888.0</v>
      </c>
      <c r="AC59" s="23"/>
      <c r="AD59" s="26" t="n">
        <f>6086</f>
        <v>6086.0</v>
      </c>
    </row>
    <row r="60">
      <c r="A60" s="30" t="s">
        <v>50</v>
      </c>
      <c r="B60" s="22" t="s">
        <v>60</v>
      </c>
      <c r="C60" s="22" t="s">
        <v>61</v>
      </c>
      <c r="D60" s="24"/>
      <c r="E60" s="25" t="n">
        <f>2638</f>
        <v>2638.0</v>
      </c>
      <c r="F60" s="23" t="s">
        <v>36</v>
      </c>
      <c r="G60" s="25" t="n">
        <f>2929</f>
        <v>2929.0</v>
      </c>
      <c r="H60" s="23"/>
      <c r="I60" s="26" t="n">
        <f>5567</f>
        <v>5567.0</v>
      </c>
      <c r="J60" s="24" t="s">
        <v>36</v>
      </c>
      <c r="K60" s="25" t="n">
        <f>411226250</f>
        <v>4.1122625E8</v>
      </c>
      <c r="L60" s="23"/>
      <c r="M60" s="25" t="n">
        <f>124116000</f>
        <v>1.24116E8</v>
      </c>
      <c r="N60" s="23" t="s">
        <v>36</v>
      </c>
      <c r="O60" s="26" t="n">
        <f>535342250</f>
        <v>5.3534225E8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201</f>
        <v>201.0</v>
      </c>
      <c r="U60" s="23"/>
      <c r="V60" s="25" t="n">
        <f>227</f>
        <v>227.0</v>
      </c>
      <c r="W60" s="23"/>
      <c r="X60" s="26" t="n">
        <f>428</f>
        <v>428.0</v>
      </c>
      <c r="Y60" s="24"/>
      <c r="Z60" s="25" t="n">
        <f>3629</f>
        <v>3629.0</v>
      </c>
      <c r="AA60" s="23"/>
      <c r="AB60" s="25" t="n">
        <f>3763</f>
        <v>3763.0</v>
      </c>
      <c r="AC60" s="23"/>
      <c r="AD60" s="26" t="n">
        <f>7392</f>
        <v>7392.0</v>
      </c>
    </row>
    <row r="61">
      <c r="A61" s="30" t="s">
        <v>51</v>
      </c>
      <c r="B61" s="22" t="s">
        <v>60</v>
      </c>
      <c r="C61" s="22" t="s">
        <v>61</v>
      </c>
      <c r="D61" s="24" t="s">
        <v>36</v>
      </c>
      <c r="E61" s="25" t="n">
        <f>4644</f>
        <v>4644.0</v>
      </c>
      <c r="F61" s="23"/>
      <c r="G61" s="25" t="n">
        <f>2253</f>
        <v>2253.0</v>
      </c>
      <c r="H61" s="23" t="s">
        <v>36</v>
      </c>
      <c r="I61" s="26" t="n">
        <f>6897</f>
        <v>6897.0</v>
      </c>
      <c r="J61" s="24"/>
      <c r="K61" s="25" t="n">
        <f>223416000</f>
        <v>2.23416E8</v>
      </c>
      <c r="L61" s="23"/>
      <c r="M61" s="25" t="n">
        <f>111621000</f>
        <v>1.11621E8</v>
      </c>
      <c r="N61" s="23"/>
      <c r="O61" s="26" t="n">
        <f>335037000</f>
        <v>3.35037E8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 t="s">
        <v>36</v>
      </c>
      <c r="T61" s="25" t="n">
        <f>335</f>
        <v>335.0</v>
      </c>
      <c r="U61" s="23"/>
      <c r="V61" s="25" t="n">
        <f>234</f>
        <v>234.0</v>
      </c>
      <c r="W61" s="23"/>
      <c r="X61" s="26" t="n">
        <f>569</f>
        <v>569.0</v>
      </c>
      <c r="Y61" s="24" t="s">
        <v>36</v>
      </c>
      <c r="Z61" s="25" t="n">
        <f>4727</f>
        <v>4727.0</v>
      </c>
      <c r="AA61" s="23" t="s">
        <v>36</v>
      </c>
      <c r="AB61" s="25" t="n">
        <f>4086</f>
        <v>4086.0</v>
      </c>
      <c r="AC61" s="23" t="s">
        <v>36</v>
      </c>
      <c r="AD61" s="26" t="n">
        <f>8813</f>
        <v>8813.0</v>
      </c>
    </row>
    <row r="62">
      <c r="A62" s="30" t="s">
        <v>52</v>
      </c>
      <c r="B62" s="22" t="s">
        <v>60</v>
      </c>
      <c r="C62" s="22" t="s">
        <v>61</v>
      </c>
      <c r="D62" s="24"/>
      <c r="E62" s="25" t="n">
        <f>1011</f>
        <v>1011.0</v>
      </c>
      <c r="F62" s="23"/>
      <c r="G62" s="25" t="n">
        <f>925</f>
        <v>925.0</v>
      </c>
      <c r="H62" s="23"/>
      <c r="I62" s="26" t="n">
        <f>1936</f>
        <v>1936.0</v>
      </c>
      <c r="J62" s="24"/>
      <c r="K62" s="25" t="n">
        <f>92876000</f>
        <v>9.2876E7</v>
      </c>
      <c r="L62" s="23"/>
      <c r="M62" s="25" t="n">
        <f>106839000</f>
        <v>1.06839E8</v>
      </c>
      <c r="N62" s="23"/>
      <c r="O62" s="26" t="n">
        <f>199715000</f>
        <v>1.99715E8</v>
      </c>
      <c r="P62" s="27" t="n">
        <f>705</f>
        <v>705.0</v>
      </c>
      <c r="Q62" s="28" t="n">
        <f>407</f>
        <v>407.0</v>
      </c>
      <c r="R62" s="29" t="n">
        <f>1112</f>
        <v>1112.0</v>
      </c>
      <c r="S62" s="24"/>
      <c r="T62" s="25" t="n">
        <f>44</f>
        <v>44.0</v>
      </c>
      <c r="U62" s="23"/>
      <c r="V62" s="25" t="n">
        <f>334</f>
        <v>334.0</v>
      </c>
      <c r="W62" s="23"/>
      <c r="X62" s="26" t="n">
        <f>378</f>
        <v>378.0</v>
      </c>
      <c r="Y62" s="24"/>
      <c r="Z62" s="25" t="n">
        <f>1375</f>
        <v>1375.0</v>
      </c>
      <c r="AA62" s="23"/>
      <c r="AB62" s="25" t="n">
        <f>1558</f>
        <v>1558.0</v>
      </c>
      <c r="AC62" s="23"/>
      <c r="AD62" s="26" t="n">
        <f>2933</f>
        <v>2933.0</v>
      </c>
    </row>
    <row r="63">
      <c r="A63" s="30" t="s">
        <v>53</v>
      </c>
      <c r="B63" s="22" t="s">
        <v>60</v>
      </c>
      <c r="C63" s="22" t="s">
        <v>61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54</v>
      </c>
      <c r="B64" s="22" t="s">
        <v>60</v>
      </c>
      <c r="C64" s="22" t="s">
        <v>61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55</v>
      </c>
      <c r="B65" s="22" t="s">
        <v>60</v>
      </c>
      <c r="C65" s="22" t="s">
        <v>61</v>
      </c>
      <c r="D65" s="24"/>
      <c r="E65" s="25" t="n">
        <f>1648</f>
        <v>1648.0</v>
      </c>
      <c r="F65" s="23"/>
      <c r="G65" s="25" t="n">
        <f>1565</f>
        <v>1565.0</v>
      </c>
      <c r="H65" s="23"/>
      <c r="I65" s="26" t="n">
        <f>3213</f>
        <v>3213.0</v>
      </c>
      <c r="J65" s="24"/>
      <c r="K65" s="25" t="n">
        <f>78014000</f>
        <v>7.8014E7</v>
      </c>
      <c r="L65" s="23"/>
      <c r="M65" s="25" t="n">
        <f>74147000</f>
        <v>7.4147E7</v>
      </c>
      <c r="N65" s="23"/>
      <c r="O65" s="26" t="n">
        <f>152161000</f>
        <v>1.52161E8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158</f>
        <v>158.0</v>
      </c>
      <c r="U65" s="23"/>
      <c r="V65" s="25" t="n">
        <f>115</f>
        <v>115.0</v>
      </c>
      <c r="W65" s="23"/>
      <c r="X65" s="26" t="n">
        <f>273</f>
        <v>273.0</v>
      </c>
      <c r="Y65" s="24"/>
      <c r="Z65" s="25" t="n">
        <f>1912</f>
        <v>1912.0</v>
      </c>
      <c r="AA65" s="23"/>
      <c r="AB65" s="25" t="n">
        <f>2338</f>
        <v>2338.0</v>
      </c>
      <c r="AC65" s="23"/>
      <c r="AD65" s="26" t="n">
        <f>4250</f>
        <v>4250.0</v>
      </c>
    </row>
    <row r="66">
      <c r="A66" s="30" t="s">
        <v>56</v>
      </c>
      <c r="B66" s="22" t="s">
        <v>60</v>
      </c>
      <c r="C66" s="22" t="s">
        <v>61</v>
      </c>
      <c r="D66" s="24"/>
      <c r="E66" s="25" t="n">
        <f>1067</f>
        <v>1067.0</v>
      </c>
      <c r="F66" s="23"/>
      <c r="G66" s="25" t="n">
        <f>944</f>
        <v>944.0</v>
      </c>
      <c r="H66" s="23"/>
      <c r="I66" s="26" t="n">
        <f>2011</f>
        <v>2011.0</v>
      </c>
      <c r="J66" s="24"/>
      <c r="K66" s="25" t="n">
        <f>56935000</f>
        <v>5.6935E7</v>
      </c>
      <c r="L66" s="23"/>
      <c r="M66" s="25" t="n">
        <f>47398000</f>
        <v>4.7398E7</v>
      </c>
      <c r="N66" s="23"/>
      <c r="O66" s="26" t="n">
        <f>104333000</f>
        <v>1.04333E8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97</f>
        <v>97.0</v>
      </c>
      <c r="U66" s="23"/>
      <c r="V66" s="25" t="n">
        <f>93</f>
        <v>93.0</v>
      </c>
      <c r="W66" s="23"/>
      <c r="X66" s="26" t="n">
        <f>190</f>
        <v>190.0</v>
      </c>
      <c r="Y66" s="24"/>
      <c r="Z66" s="25" t="n">
        <f>2229</f>
        <v>2229.0</v>
      </c>
      <c r="AA66" s="23"/>
      <c r="AB66" s="25" t="n">
        <f>2589</f>
        <v>2589.0</v>
      </c>
      <c r="AC66" s="23"/>
      <c r="AD66" s="26" t="n">
        <f>4818</f>
        <v>4818.0</v>
      </c>
    </row>
    <row r="67">
      <c r="A67" s="30" t="s">
        <v>57</v>
      </c>
      <c r="B67" s="22" t="s">
        <v>60</v>
      </c>
      <c r="C67" s="22" t="s">
        <v>61</v>
      </c>
      <c r="D67" s="24"/>
      <c r="E67" s="25" t="n">
        <f>2323</f>
        <v>2323.0</v>
      </c>
      <c r="F67" s="23"/>
      <c r="G67" s="25" t="n">
        <f>1943</f>
        <v>1943.0</v>
      </c>
      <c r="H67" s="23"/>
      <c r="I67" s="26" t="n">
        <f>4266</f>
        <v>4266.0</v>
      </c>
      <c r="J67" s="24"/>
      <c r="K67" s="25" t="n">
        <f>112987000</f>
        <v>1.12987E8</v>
      </c>
      <c r="L67" s="23"/>
      <c r="M67" s="25" t="n">
        <f>125992000</f>
        <v>1.25992E8</v>
      </c>
      <c r="N67" s="23"/>
      <c r="O67" s="26" t="n">
        <f>238979000</f>
        <v>2.38979E8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168</f>
        <v>168.0</v>
      </c>
      <c r="U67" s="23"/>
      <c r="V67" s="25" t="n">
        <f>625</f>
        <v>625.0</v>
      </c>
      <c r="W67" s="23"/>
      <c r="X67" s="26" t="n">
        <f>793</f>
        <v>793.0</v>
      </c>
      <c r="Y67" s="24"/>
      <c r="Z67" s="25" t="n">
        <f>2729</f>
        <v>2729.0</v>
      </c>
      <c r="AA67" s="23"/>
      <c r="AB67" s="25" t="n">
        <f>2920</f>
        <v>2920.0</v>
      </c>
      <c r="AC67" s="23"/>
      <c r="AD67" s="26" t="n">
        <f>5649</f>
        <v>5649.0</v>
      </c>
    </row>
    <row r="68">
      <c r="A68" s="30" t="s">
        <v>58</v>
      </c>
      <c r="B68" s="22" t="s">
        <v>60</v>
      </c>
      <c r="C68" s="22" t="s">
        <v>61</v>
      </c>
      <c r="D68" s="24"/>
      <c r="E68" s="25"/>
      <c r="F68" s="23"/>
      <c r="G68" s="25"/>
      <c r="H68" s="23"/>
      <c r="I68" s="26"/>
      <c r="J68" s="24"/>
      <c r="K68" s="25"/>
      <c r="L68" s="23"/>
      <c r="M68" s="25"/>
      <c r="N68" s="23"/>
      <c r="O68" s="26"/>
      <c r="P68" s="27"/>
      <c r="Q68" s="28"/>
      <c r="R68" s="29"/>
      <c r="S68" s="24"/>
      <c r="T68" s="25"/>
      <c r="U68" s="23"/>
      <c r="V68" s="25"/>
      <c r="W68" s="23"/>
      <c r="X68" s="26"/>
      <c r="Y68" s="24"/>
      <c r="Z68" s="25"/>
      <c r="AA68" s="23"/>
      <c r="AB68" s="25"/>
      <c r="AC68" s="23"/>
      <c r="AD68" s="26"/>
    </row>
    <row r="69">
      <c r="A69" s="30" t="s">
        <v>59</v>
      </c>
      <c r="B69" s="22" t="s">
        <v>60</v>
      </c>
      <c r="C69" s="22" t="s">
        <v>61</v>
      </c>
      <c r="D69" s="24"/>
      <c r="E69" s="25" t="n">
        <f>778</f>
        <v>778.0</v>
      </c>
      <c r="F69" s="23"/>
      <c r="G69" s="25" t="n">
        <f>858</f>
        <v>858.0</v>
      </c>
      <c r="H69" s="23"/>
      <c r="I69" s="26" t="n">
        <f>1636</f>
        <v>1636.0</v>
      </c>
      <c r="J69" s="24"/>
      <c r="K69" s="25" t="n">
        <f>54161000</f>
        <v>5.4161E7</v>
      </c>
      <c r="L69" s="23"/>
      <c r="M69" s="25" t="n">
        <f>65553000</f>
        <v>6.5553E7</v>
      </c>
      <c r="N69" s="23"/>
      <c r="O69" s="26" t="n">
        <f>119714000</f>
        <v>1.19714E8</v>
      </c>
      <c r="P69" s="27" t="n">
        <f>88</f>
        <v>88.0</v>
      </c>
      <c r="Q69" s="28" t="n">
        <f>65</f>
        <v>65.0</v>
      </c>
      <c r="R69" s="29" t="n">
        <f>153</f>
        <v>153.0</v>
      </c>
      <c r="S69" s="24"/>
      <c r="T69" s="25" t="n">
        <f>41</f>
        <v>41.0</v>
      </c>
      <c r="U69" s="23"/>
      <c r="V69" s="25" t="n">
        <f>66</f>
        <v>66.0</v>
      </c>
      <c r="W69" s="23"/>
      <c r="X69" s="26" t="n">
        <f>107</f>
        <v>107.0</v>
      </c>
      <c r="Y69" s="24"/>
      <c r="Z69" s="25" t="n">
        <f>788</f>
        <v>788.0</v>
      </c>
      <c r="AA69" s="23"/>
      <c r="AB69" s="25" t="n">
        <f>1723</f>
        <v>1723.0</v>
      </c>
      <c r="AC69" s="23"/>
      <c r="AD69" s="26" t="n">
        <f>2511</f>
        <v>2511.0</v>
      </c>
    </row>
    <row r="70">
      <c r="A70" s="30" t="s">
        <v>26</v>
      </c>
      <c r="B70" s="22" t="s">
        <v>62</v>
      </c>
      <c r="C70" s="22" t="s">
        <v>63</v>
      </c>
      <c r="D70" s="24" t="s">
        <v>38</v>
      </c>
      <c r="E70" s="25" t="str">
        <f>"－"</f>
        <v>－</v>
      </c>
      <c r="F70" s="23"/>
      <c r="G70" s="25" t="n">
        <f>900</f>
        <v>900.0</v>
      </c>
      <c r="H70" s="23"/>
      <c r="I70" s="26" t="n">
        <f>900</f>
        <v>900.0</v>
      </c>
      <c r="J70" s="24" t="s">
        <v>38</v>
      </c>
      <c r="K70" s="25" t="str">
        <f>"－"</f>
        <v>－</v>
      </c>
      <c r="L70" s="23"/>
      <c r="M70" s="25" t="n">
        <f>713250000</f>
        <v>7.1325E8</v>
      </c>
      <c r="N70" s="23"/>
      <c r="O70" s="26" t="n">
        <f>713250000</f>
        <v>7.1325E8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 t="s">
        <v>38</v>
      </c>
      <c r="T70" s="25" t="str">
        <f>"－"</f>
        <v>－</v>
      </c>
      <c r="U70" s="23" t="s">
        <v>38</v>
      </c>
      <c r="V70" s="25" t="str">
        <f>"－"</f>
        <v>－</v>
      </c>
      <c r="W70" s="23" t="s">
        <v>38</v>
      </c>
      <c r="X70" s="26" t="str">
        <f>"－"</f>
        <v>－</v>
      </c>
      <c r="Y70" s="24"/>
      <c r="Z70" s="25" t="n">
        <f>73857</f>
        <v>73857.0</v>
      </c>
      <c r="AA70" s="23"/>
      <c r="AB70" s="25" t="n">
        <f>20798</f>
        <v>20798.0</v>
      </c>
      <c r="AC70" s="23"/>
      <c r="AD70" s="26" t="n">
        <f>94655</f>
        <v>94655.0</v>
      </c>
    </row>
    <row r="71">
      <c r="A71" s="30" t="s">
        <v>29</v>
      </c>
      <c r="B71" s="22" t="s">
        <v>62</v>
      </c>
      <c r="C71" s="22" t="s">
        <v>63</v>
      </c>
      <c r="D71" s="24"/>
      <c r="E71" s="25" t="str">
        <f>"－"</f>
        <v>－</v>
      </c>
      <c r="F71" s="23" t="s">
        <v>38</v>
      </c>
      <c r="G71" s="25" t="str">
        <f>"－"</f>
        <v>－</v>
      </c>
      <c r="H71" s="23" t="s">
        <v>38</v>
      </c>
      <c r="I71" s="26" t="str">
        <f>"－"</f>
        <v>－</v>
      </c>
      <c r="J71" s="24"/>
      <c r="K71" s="25" t="str">
        <f>"－"</f>
        <v>－</v>
      </c>
      <c r="L71" s="23" t="s">
        <v>38</v>
      </c>
      <c r="M71" s="25" t="str">
        <f>"－"</f>
        <v>－</v>
      </c>
      <c r="N71" s="23" t="s">
        <v>38</v>
      </c>
      <c r="O71" s="26" t="str">
        <f>"－"</f>
        <v>－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str">
        <f>"－"</f>
        <v>－</v>
      </c>
      <c r="U71" s="23"/>
      <c r="V71" s="25" t="str">
        <f>"－"</f>
        <v>－</v>
      </c>
      <c r="W71" s="23"/>
      <c r="X71" s="26" t="str">
        <f>"－"</f>
        <v>－</v>
      </c>
      <c r="Y71" s="24"/>
      <c r="Z71" s="25" t="n">
        <f>73857</f>
        <v>73857.0</v>
      </c>
      <c r="AA71" s="23"/>
      <c r="AB71" s="25" t="n">
        <f>20798</f>
        <v>20798.0</v>
      </c>
      <c r="AC71" s="23"/>
      <c r="AD71" s="26" t="n">
        <f>94655</f>
        <v>94655.0</v>
      </c>
    </row>
    <row r="72">
      <c r="A72" s="30" t="s">
        <v>30</v>
      </c>
      <c r="B72" s="22" t="s">
        <v>62</v>
      </c>
      <c r="C72" s="22" t="s">
        <v>63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31</v>
      </c>
      <c r="B73" s="22" t="s">
        <v>62</v>
      </c>
      <c r="C73" s="22" t="s">
        <v>63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32</v>
      </c>
      <c r="B74" s="22" t="s">
        <v>62</v>
      </c>
      <c r="C74" s="22" t="s">
        <v>63</v>
      </c>
      <c r="D74" s="24"/>
      <c r="E74" s="25" t="str">
        <f>"－"</f>
        <v>－</v>
      </c>
      <c r="F74" s="23"/>
      <c r="G74" s="25" t="str">
        <f>"－"</f>
        <v>－</v>
      </c>
      <c r="H74" s="23"/>
      <c r="I74" s="26" t="str">
        <f>"－"</f>
        <v>－</v>
      </c>
      <c r="J74" s="24"/>
      <c r="K74" s="25" t="str">
        <f>"－"</f>
        <v>－</v>
      </c>
      <c r="L74" s="23"/>
      <c r="M74" s="25" t="str">
        <f>"－"</f>
        <v>－</v>
      </c>
      <c r="N74" s="23"/>
      <c r="O74" s="26" t="str">
        <f>"－"</f>
        <v>－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/>
      <c r="T74" s="25" t="str">
        <f>"－"</f>
        <v>－</v>
      </c>
      <c r="U74" s="23"/>
      <c r="V74" s="25" t="str">
        <f>"－"</f>
        <v>－</v>
      </c>
      <c r="W74" s="23"/>
      <c r="X74" s="26" t="str">
        <f>"－"</f>
        <v>－</v>
      </c>
      <c r="Y74" s="24"/>
      <c r="Z74" s="25" t="n">
        <f>73857</f>
        <v>73857.0</v>
      </c>
      <c r="AA74" s="23"/>
      <c r="AB74" s="25" t="n">
        <f>20798</f>
        <v>20798.0</v>
      </c>
      <c r="AC74" s="23"/>
      <c r="AD74" s="26" t="n">
        <f>94655</f>
        <v>94655.0</v>
      </c>
    </row>
    <row r="75">
      <c r="A75" s="30" t="s">
        <v>33</v>
      </c>
      <c r="B75" s="22" t="s">
        <v>62</v>
      </c>
      <c r="C75" s="22" t="s">
        <v>63</v>
      </c>
      <c r="D75" s="24"/>
      <c r="E75" s="25" t="n">
        <f>45</f>
        <v>45.0</v>
      </c>
      <c r="F75" s="23"/>
      <c r="G75" s="25" t="n">
        <f>245</f>
        <v>245.0</v>
      </c>
      <c r="H75" s="23"/>
      <c r="I75" s="26" t="n">
        <f>290</f>
        <v>290.0</v>
      </c>
      <c r="J75" s="24"/>
      <c r="K75" s="25" t="n">
        <f>450000</f>
        <v>450000.0</v>
      </c>
      <c r="L75" s="23"/>
      <c r="M75" s="25" t="n">
        <f>25550000</f>
        <v>2.555E7</v>
      </c>
      <c r="N75" s="23"/>
      <c r="O75" s="26" t="n">
        <f>26000000</f>
        <v>2.6E7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str">
        <f>"－"</f>
        <v>－</v>
      </c>
      <c r="U75" s="23"/>
      <c r="V75" s="25" t="str">
        <f>"－"</f>
        <v>－</v>
      </c>
      <c r="W75" s="23"/>
      <c r="X75" s="26" t="str">
        <f>"－"</f>
        <v>－</v>
      </c>
      <c r="Y75" s="24"/>
      <c r="Z75" s="25" t="n">
        <f>73902</f>
        <v>73902.0</v>
      </c>
      <c r="AA75" s="23"/>
      <c r="AB75" s="25" t="n">
        <f>20743</f>
        <v>20743.0</v>
      </c>
      <c r="AC75" s="23"/>
      <c r="AD75" s="26" t="n">
        <f>94645</f>
        <v>94645.0</v>
      </c>
    </row>
    <row r="76">
      <c r="A76" s="30" t="s">
        <v>34</v>
      </c>
      <c r="B76" s="22" t="s">
        <v>62</v>
      </c>
      <c r="C76" s="22" t="s">
        <v>63</v>
      </c>
      <c r="D76" s="24"/>
      <c r="E76" s="25" t="n">
        <f>224</f>
        <v>224.0</v>
      </c>
      <c r="F76" s="23"/>
      <c r="G76" s="25" t="str">
        <f>"－"</f>
        <v>－</v>
      </c>
      <c r="H76" s="23"/>
      <c r="I76" s="26" t="n">
        <f>224</f>
        <v>224.0</v>
      </c>
      <c r="J76" s="24"/>
      <c r="K76" s="25" t="n">
        <f>16981400</f>
        <v>1.69814E7</v>
      </c>
      <c r="L76" s="23"/>
      <c r="M76" s="25" t="str">
        <f>"－"</f>
        <v>－</v>
      </c>
      <c r="N76" s="23"/>
      <c r="O76" s="26" t="n">
        <f>16981400</f>
        <v>1.69814E7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str">
        <f>"－"</f>
        <v>－</v>
      </c>
      <c r="U76" s="23"/>
      <c r="V76" s="25" t="str">
        <f>"－"</f>
        <v>－</v>
      </c>
      <c r="W76" s="23"/>
      <c r="X76" s="26" t="str">
        <f>"－"</f>
        <v>－</v>
      </c>
      <c r="Y76" s="24"/>
      <c r="Z76" s="25" t="n">
        <f>74126</f>
        <v>74126.0</v>
      </c>
      <c r="AA76" s="23"/>
      <c r="AB76" s="25" t="n">
        <f>20743</f>
        <v>20743.0</v>
      </c>
      <c r="AC76" s="23"/>
      <c r="AD76" s="26" t="n">
        <f>94869</f>
        <v>94869.0</v>
      </c>
    </row>
    <row r="77">
      <c r="A77" s="30" t="s">
        <v>35</v>
      </c>
      <c r="B77" s="22" t="s">
        <v>62</v>
      </c>
      <c r="C77" s="22" t="s">
        <v>63</v>
      </c>
      <c r="D77" s="24"/>
      <c r="E77" s="25" t="n">
        <f>1700</f>
        <v>1700.0</v>
      </c>
      <c r="F77" s="23"/>
      <c r="G77" s="25" t="n">
        <f>400</f>
        <v>400.0</v>
      </c>
      <c r="H77" s="23"/>
      <c r="I77" s="26" t="n">
        <f>2100</f>
        <v>2100.0</v>
      </c>
      <c r="J77" s="24"/>
      <c r="K77" s="25" t="n">
        <f>176000000</f>
        <v>1.76E8</v>
      </c>
      <c r="L77" s="23"/>
      <c r="M77" s="25" t="n">
        <f>72780000</f>
        <v>7.278E7</v>
      </c>
      <c r="N77" s="23"/>
      <c r="O77" s="26" t="n">
        <f>248780000</f>
        <v>2.4878E8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str">
        <f>"－"</f>
        <v>－</v>
      </c>
      <c r="U77" s="23"/>
      <c r="V77" s="25" t="n">
        <f>200</f>
        <v>200.0</v>
      </c>
      <c r="W77" s="23"/>
      <c r="X77" s="26" t="n">
        <f>200</f>
        <v>200.0</v>
      </c>
      <c r="Y77" s="24"/>
      <c r="Z77" s="25" t="n">
        <f>75826</f>
        <v>75826.0</v>
      </c>
      <c r="AA77" s="23" t="s">
        <v>36</v>
      </c>
      <c r="AB77" s="25" t="n">
        <f>20973</f>
        <v>20973.0</v>
      </c>
      <c r="AC77" s="23"/>
      <c r="AD77" s="26" t="n">
        <f>96799</f>
        <v>96799.0</v>
      </c>
    </row>
    <row r="78">
      <c r="A78" s="30" t="s">
        <v>37</v>
      </c>
      <c r="B78" s="22" t="s">
        <v>62</v>
      </c>
      <c r="C78" s="22" t="s">
        <v>63</v>
      </c>
      <c r="D78" s="24"/>
      <c r="E78" s="25" t="n">
        <f>1915</f>
        <v>1915.0</v>
      </c>
      <c r="F78" s="23"/>
      <c r="G78" s="25" t="n">
        <f>100</f>
        <v>100.0</v>
      </c>
      <c r="H78" s="23"/>
      <c r="I78" s="26" t="n">
        <f>2015</f>
        <v>2015.0</v>
      </c>
      <c r="J78" s="24"/>
      <c r="K78" s="25" t="n">
        <f>417212705</f>
        <v>4.17212705E8</v>
      </c>
      <c r="L78" s="23"/>
      <c r="M78" s="25" t="n">
        <f>13250000</f>
        <v>1.325E7</v>
      </c>
      <c r="N78" s="23"/>
      <c r="O78" s="26" t="n">
        <f>430462705</f>
        <v>4.30462705E8</v>
      </c>
      <c r="P78" s="27" t="n">
        <f>200</f>
        <v>200.0</v>
      </c>
      <c r="Q78" s="28" t="n">
        <f>645</f>
        <v>645.0</v>
      </c>
      <c r="R78" s="29" t="n">
        <f>845</f>
        <v>845.0</v>
      </c>
      <c r="S78" s="24"/>
      <c r="T78" s="25" t="n">
        <f>200</f>
        <v>200.0</v>
      </c>
      <c r="U78" s="23"/>
      <c r="V78" s="25" t="n">
        <f>100</f>
        <v>100.0</v>
      </c>
      <c r="W78" s="23"/>
      <c r="X78" s="26" t="n">
        <f>300</f>
        <v>300.0</v>
      </c>
      <c r="Y78" s="24" t="s">
        <v>38</v>
      </c>
      <c r="Z78" s="25" t="n">
        <f>70447</f>
        <v>70447.0</v>
      </c>
      <c r="AA78" s="23" t="s">
        <v>38</v>
      </c>
      <c r="AB78" s="25" t="n">
        <f>18938</f>
        <v>18938.0</v>
      </c>
      <c r="AC78" s="23" t="s">
        <v>38</v>
      </c>
      <c r="AD78" s="26" t="n">
        <f>89385</f>
        <v>89385.0</v>
      </c>
    </row>
    <row r="79">
      <c r="A79" s="30" t="s">
        <v>39</v>
      </c>
      <c r="B79" s="22" t="s">
        <v>62</v>
      </c>
      <c r="C79" s="22" t="s">
        <v>63</v>
      </c>
      <c r="D79" s="24"/>
      <c r="E79" s="25"/>
      <c r="F79" s="23"/>
      <c r="G79" s="25"/>
      <c r="H79" s="23"/>
      <c r="I79" s="26"/>
      <c r="J79" s="24"/>
      <c r="K79" s="25"/>
      <c r="L79" s="23"/>
      <c r="M79" s="25"/>
      <c r="N79" s="23"/>
      <c r="O79" s="26"/>
      <c r="P79" s="27"/>
      <c r="Q79" s="28"/>
      <c r="R79" s="29"/>
      <c r="S79" s="24"/>
      <c r="T79" s="25"/>
      <c r="U79" s="23"/>
      <c r="V79" s="25"/>
      <c r="W79" s="23"/>
      <c r="X79" s="26"/>
      <c r="Y79" s="24"/>
      <c r="Z79" s="25"/>
      <c r="AA79" s="23"/>
      <c r="AB79" s="25"/>
      <c r="AC79" s="23"/>
      <c r="AD79" s="26"/>
    </row>
    <row r="80">
      <c r="A80" s="30" t="s">
        <v>40</v>
      </c>
      <c r="B80" s="22" t="s">
        <v>62</v>
      </c>
      <c r="C80" s="22" t="s">
        <v>63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41</v>
      </c>
      <c r="B81" s="22" t="s">
        <v>62</v>
      </c>
      <c r="C81" s="22" t="s">
        <v>63</v>
      </c>
      <c r="D81" s="24"/>
      <c r="E81" s="25" t="n">
        <f>2251</f>
        <v>2251.0</v>
      </c>
      <c r="F81" s="23"/>
      <c r="G81" s="25" t="str">
        <f>"－"</f>
        <v>－</v>
      </c>
      <c r="H81" s="23"/>
      <c r="I81" s="26" t="n">
        <f>2251</f>
        <v>2251.0</v>
      </c>
      <c r="J81" s="24"/>
      <c r="K81" s="25" t="n">
        <f>814875700</f>
        <v>8.148757E8</v>
      </c>
      <c r="L81" s="23"/>
      <c r="M81" s="25" t="str">
        <f>"－"</f>
        <v>－</v>
      </c>
      <c r="N81" s="23"/>
      <c r="O81" s="26" t="n">
        <f>814875700</f>
        <v>8.148757E8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/>
      <c r="T81" s="25" t="n">
        <f>200</f>
        <v>200.0</v>
      </c>
      <c r="U81" s="23"/>
      <c r="V81" s="25" t="str">
        <f>"－"</f>
        <v>－</v>
      </c>
      <c r="W81" s="23"/>
      <c r="X81" s="26" t="n">
        <f>200</f>
        <v>200.0</v>
      </c>
      <c r="Y81" s="24"/>
      <c r="Z81" s="25" t="n">
        <f>72023</f>
        <v>72023.0</v>
      </c>
      <c r="AA81" s="23"/>
      <c r="AB81" s="25" t="n">
        <f>18938</f>
        <v>18938.0</v>
      </c>
      <c r="AC81" s="23"/>
      <c r="AD81" s="26" t="n">
        <f>90961</f>
        <v>90961.0</v>
      </c>
    </row>
    <row r="82">
      <c r="A82" s="30" t="s">
        <v>42</v>
      </c>
      <c r="B82" s="22" t="s">
        <v>62</v>
      </c>
      <c r="C82" s="22" t="s">
        <v>63</v>
      </c>
      <c r="D82" s="24"/>
      <c r="E82" s="25" t="n">
        <f>861</f>
        <v>861.0</v>
      </c>
      <c r="F82" s="23"/>
      <c r="G82" s="25" t="str">
        <f>"－"</f>
        <v>－</v>
      </c>
      <c r="H82" s="23"/>
      <c r="I82" s="26" t="n">
        <f>861</f>
        <v>861.0</v>
      </c>
      <c r="J82" s="24"/>
      <c r="K82" s="25" t="n">
        <f>99930612</f>
        <v>9.9930612E7</v>
      </c>
      <c r="L82" s="23"/>
      <c r="M82" s="25" t="str">
        <f>"－"</f>
        <v>－</v>
      </c>
      <c r="N82" s="23"/>
      <c r="O82" s="26" t="n">
        <f>99930612</f>
        <v>9.9930612E7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n">
        <f>861</f>
        <v>861.0</v>
      </c>
      <c r="U82" s="23"/>
      <c r="V82" s="25" t="str">
        <f>"－"</f>
        <v>－</v>
      </c>
      <c r="W82" s="23"/>
      <c r="X82" s="26" t="n">
        <f>861</f>
        <v>861.0</v>
      </c>
      <c r="Y82" s="24"/>
      <c r="Z82" s="25" t="n">
        <f>72884</f>
        <v>72884.0</v>
      </c>
      <c r="AA82" s="23"/>
      <c r="AB82" s="25" t="n">
        <f>18938</f>
        <v>18938.0</v>
      </c>
      <c r="AC82" s="23"/>
      <c r="AD82" s="26" t="n">
        <f>91822</f>
        <v>91822.0</v>
      </c>
    </row>
    <row r="83">
      <c r="A83" s="30" t="s">
        <v>43</v>
      </c>
      <c r="B83" s="22" t="s">
        <v>62</v>
      </c>
      <c r="C83" s="22" t="s">
        <v>63</v>
      </c>
      <c r="D83" s="24"/>
      <c r="E83" s="25" t="n">
        <f>917</f>
        <v>917.0</v>
      </c>
      <c r="F83" s="23"/>
      <c r="G83" s="25" t="str">
        <f>"－"</f>
        <v>－</v>
      </c>
      <c r="H83" s="23"/>
      <c r="I83" s="26" t="n">
        <f>917</f>
        <v>917.0</v>
      </c>
      <c r="J83" s="24"/>
      <c r="K83" s="25" t="n">
        <f>107078580</f>
        <v>1.0707858E8</v>
      </c>
      <c r="L83" s="23"/>
      <c r="M83" s="25" t="str">
        <f>"－"</f>
        <v>－</v>
      </c>
      <c r="N83" s="23"/>
      <c r="O83" s="26" t="n">
        <f>107078580</f>
        <v>1.0707858E8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460</f>
        <v>460.0</v>
      </c>
      <c r="U83" s="23"/>
      <c r="V83" s="25" t="str">
        <f>"－"</f>
        <v>－</v>
      </c>
      <c r="W83" s="23"/>
      <c r="X83" s="26" t="n">
        <f>460</f>
        <v>460.0</v>
      </c>
      <c r="Y83" s="24"/>
      <c r="Z83" s="25" t="n">
        <f>73019</f>
        <v>73019.0</v>
      </c>
      <c r="AA83" s="23"/>
      <c r="AB83" s="25" t="n">
        <f>18938</f>
        <v>18938.0</v>
      </c>
      <c r="AC83" s="23"/>
      <c r="AD83" s="26" t="n">
        <f>91957</f>
        <v>91957.0</v>
      </c>
    </row>
    <row r="84">
      <c r="A84" s="30" t="s">
        <v>44</v>
      </c>
      <c r="B84" s="22" t="s">
        <v>62</v>
      </c>
      <c r="C84" s="22" t="s">
        <v>63</v>
      </c>
      <c r="D84" s="24"/>
      <c r="E84" s="25" t="n">
        <f>1112</f>
        <v>1112.0</v>
      </c>
      <c r="F84" s="23"/>
      <c r="G84" s="25" t="n">
        <f>1112</f>
        <v>1112.0</v>
      </c>
      <c r="H84" s="23"/>
      <c r="I84" s="26" t="n">
        <f>2224</f>
        <v>2224.0</v>
      </c>
      <c r="J84" s="24"/>
      <c r="K84" s="25" t="n">
        <f>149599584</f>
        <v>1.49599584E8</v>
      </c>
      <c r="L84" s="23"/>
      <c r="M84" s="25" t="n">
        <f>44480000</f>
        <v>4.448E7</v>
      </c>
      <c r="N84" s="23"/>
      <c r="O84" s="26" t="n">
        <f>194079584</f>
        <v>1.94079584E8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1112</f>
        <v>1112.0</v>
      </c>
      <c r="U84" s="23"/>
      <c r="V84" s="25" t="n">
        <f>1112</f>
        <v>1112.0</v>
      </c>
      <c r="W84" s="23"/>
      <c r="X84" s="26" t="n">
        <f>2224</f>
        <v>2224.0</v>
      </c>
      <c r="Y84" s="24"/>
      <c r="Z84" s="25" t="n">
        <f>74131</f>
        <v>74131.0</v>
      </c>
      <c r="AA84" s="23"/>
      <c r="AB84" s="25" t="n">
        <f>19600</f>
        <v>19600.0</v>
      </c>
      <c r="AC84" s="23"/>
      <c r="AD84" s="26" t="n">
        <f>93731</f>
        <v>93731.0</v>
      </c>
    </row>
    <row r="85">
      <c r="A85" s="30" t="s">
        <v>45</v>
      </c>
      <c r="B85" s="22" t="s">
        <v>62</v>
      </c>
      <c r="C85" s="22" t="s">
        <v>63</v>
      </c>
      <c r="D85" s="24"/>
      <c r="E85" s="25" t="str">
        <f>"－"</f>
        <v>－</v>
      </c>
      <c r="F85" s="23"/>
      <c r="G85" s="25" t="str">
        <f>"－"</f>
        <v>－</v>
      </c>
      <c r="H85" s="23"/>
      <c r="I85" s="26" t="str">
        <f>"－"</f>
        <v>－</v>
      </c>
      <c r="J85" s="24"/>
      <c r="K85" s="25" t="str">
        <f>"－"</f>
        <v>－</v>
      </c>
      <c r="L85" s="23"/>
      <c r="M85" s="25" t="str">
        <f>"－"</f>
        <v>－</v>
      </c>
      <c r="N85" s="23"/>
      <c r="O85" s="26" t="str">
        <f>"－"</f>
        <v>－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str">
        <f>"－"</f>
        <v>－</v>
      </c>
      <c r="U85" s="23"/>
      <c r="V85" s="25" t="str">
        <f>"－"</f>
        <v>－</v>
      </c>
      <c r="W85" s="23"/>
      <c r="X85" s="26" t="str">
        <f>"－"</f>
        <v>－</v>
      </c>
      <c r="Y85" s="24"/>
      <c r="Z85" s="25" t="n">
        <f>74131</f>
        <v>74131.0</v>
      </c>
      <c r="AA85" s="23"/>
      <c r="AB85" s="25" t="n">
        <f>19600</f>
        <v>19600.0</v>
      </c>
      <c r="AC85" s="23"/>
      <c r="AD85" s="26" t="n">
        <f>93731</f>
        <v>93731.0</v>
      </c>
    </row>
    <row r="86">
      <c r="A86" s="30" t="s">
        <v>46</v>
      </c>
      <c r="B86" s="22" t="s">
        <v>62</v>
      </c>
      <c r="C86" s="22" t="s">
        <v>63</v>
      </c>
      <c r="D86" s="24"/>
      <c r="E86" s="25"/>
      <c r="F86" s="23"/>
      <c r="G86" s="25"/>
      <c r="H86" s="23"/>
      <c r="I86" s="26"/>
      <c r="J86" s="24"/>
      <c r="K86" s="25"/>
      <c r="L86" s="23"/>
      <c r="M86" s="25"/>
      <c r="N86" s="23"/>
      <c r="O86" s="26"/>
      <c r="P86" s="27"/>
      <c r="Q86" s="28"/>
      <c r="R86" s="29"/>
      <c r="S86" s="24"/>
      <c r="T86" s="25"/>
      <c r="U86" s="23"/>
      <c r="V86" s="25"/>
      <c r="W86" s="23"/>
      <c r="X86" s="26"/>
      <c r="Y86" s="24"/>
      <c r="Z86" s="25"/>
      <c r="AA86" s="23"/>
      <c r="AB86" s="25"/>
      <c r="AC86" s="23"/>
      <c r="AD86" s="26"/>
    </row>
    <row r="87">
      <c r="A87" s="30" t="s">
        <v>47</v>
      </c>
      <c r="B87" s="22" t="s">
        <v>62</v>
      </c>
      <c r="C87" s="22" t="s">
        <v>63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48</v>
      </c>
      <c r="B88" s="22" t="s">
        <v>62</v>
      </c>
      <c r="C88" s="22" t="s">
        <v>63</v>
      </c>
      <c r="D88" s="24"/>
      <c r="E88" s="25" t="str">
        <f>"－"</f>
        <v>－</v>
      </c>
      <c r="F88" s="23"/>
      <c r="G88" s="25" t="str">
        <f>"－"</f>
        <v>－</v>
      </c>
      <c r="H88" s="23"/>
      <c r="I88" s="26" t="str">
        <f>"－"</f>
        <v>－</v>
      </c>
      <c r="J88" s="24"/>
      <c r="K88" s="25" t="str">
        <f>"－"</f>
        <v>－</v>
      </c>
      <c r="L88" s="23"/>
      <c r="M88" s="25" t="str">
        <f>"－"</f>
        <v>－</v>
      </c>
      <c r="N88" s="23"/>
      <c r="O88" s="26" t="str">
        <f>"－"</f>
        <v>－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/>
      <c r="T88" s="25" t="str">
        <f>"－"</f>
        <v>－</v>
      </c>
      <c r="U88" s="23"/>
      <c r="V88" s="25" t="str">
        <f>"－"</f>
        <v>－</v>
      </c>
      <c r="W88" s="23"/>
      <c r="X88" s="26" t="str">
        <f>"－"</f>
        <v>－</v>
      </c>
      <c r="Y88" s="24"/>
      <c r="Z88" s="25" t="n">
        <f>74131</f>
        <v>74131.0</v>
      </c>
      <c r="AA88" s="23"/>
      <c r="AB88" s="25" t="n">
        <f>19600</f>
        <v>19600.0</v>
      </c>
      <c r="AC88" s="23"/>
      <c r="AD88" s="26" t="n">
        <f>93731</f>
        <v>93731.0</v>
      </c>
    </row>
    <row r="89">
      <c r="A89" s="30" t="s">
        <v>49</v>
      </c>
      <c r="B89" s="22" t="s">
        <v>62</v>
      </c>
      <c r="C89" s="22" t="s">
        <v>63</v>
      </c>
      <c r="D89" s="24"/>
      <c r="E89" s="25" t="n">
        <f>1136</f>
        <v>1136.0</v>
      </c>
      <c r="F89" s="23"/>
      <c r="G89" s="25" t="n">
        <f>660</f>
        <v>660.0</v>
      </c>
      <c r="H89" s="23"/>
      <c r="I89" s="26" t="n">
        <f>1796</f>
        <v>1796.0</v>
      </c>
      <c r="J89" s="24"/>
      <c r="K89" s="25" t="n">
        <f>261147584</f>
        <v>2.61147584E8</v>
      </c>
      <c r="L89" s="23"/>
      <c r="M89" s="25" t="n">
        <f>79600000</f>
        <v>7.96E7</v>
      </c>
      <c r="N89" s="23"/>
      <c r="O89" s="26" t="n">
        <f>340747584</f>
        <v>3.40747584E8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n">
        <f>1136</f>
        <v>1136.0</v>
      </c>
      <c r="U89" s="23"/>
      <c r="V89" s="25" t="n">
        <f>660</f>
        <v>660.0</v>
      </c>
      <c r="W89" s="23"/>
      <c r="X89" s="26" t="n">
        <f>1796</f>
        <v>1796.0</v>
      </c>
      <c r="Y89" s="24"/>
      <c r="Z89" s="25" t="n">
        <f>74115</f>
        <v>74115.0</v>
      </c>
      <c r="AA89" s="23"/>
      <c r="AB89" s="25" t="n">
        <f>20085</f>
        <v>20085.0</v>
      </c>
      <c r="AC89" s="23"/>
      <c r="AD89" s="26" t="n">
        <f>94200</f>
        <v>94200.0</v>
      </c>
    </row>
    <row r="90">
      <c r="A90" s="30" t="s">
        <v>50</v>
      </c>
      <c r="B90" s="22" t="s">
        <v>62</v>
      </c>
      <c r="C90" s="22" t="s">
        <v>63</v>
      </c>
      <c r="D90" s="24"/>
      <c r="E90" s="25" t="n">
        <f>921</f>
        <v>921.0</v>
      </c>
      <c r="F90" s="23" t="s">
        <v>36</v>
      </c>
      <c r="G90" s="25" t="n">
        <f>1942</f>
        <v>1942.0</v>
      </c>
      <c r="H90" s="23"/>
      <c r="I90" s="26" t="n">
        <f>2863</f>
        <v>2863.0</v>
      </c>
      <c r="J90" s="24"/>
      <c r="K90" s="25" t="n">
        <f>291216622</f>
        <v>2.91216622E8</v>
      </c>
      <c r="L90" s="23" t="s">
        <v>36</v>
      </c>
      <c r="M90" s="25" t="n">
        <f>901269240</f>
        <v>9.0126924E8</v>
      </c>
      <c r="N90" s="23"/>
      <c r="O90" s="26" t="n">
        <f>1192485862</f>
        <v>1.192485862E9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821</f>
        <v>821.0</v>
      </c>
      <c r="U90" s="23" t="s">
        <v>36</v>
      </c>
      <c r="V90" s="25" t="n">
        <f>1942</f>
        <v>1942.0</v>
      </c>
      <c r="W90" s="23"/>
      <c r="X90" s="26" t="n">
        <f>2763</f>
        <v>2763.0</v>
      </c>
      <c r="Y90" s="24"/>
      <c r="Z90" s="25" t="n">
        <f>73640</f>
        <v>73640.0</v>
      </c>
      <c r="AA90" s="23"/>
      <c r="AB90" s="25" t="n">
        <f>18938</f>
        <v>18938.0</v>
      </c>
      <c r="AC90" s="23"/>
      <c r="AD90" s="26" t="n">
        <f>92578</f>
        <v>92578.0</v>
      </c>
    </row>
    <row r="91">
      <c r="A91" s="30" t="s">
        <v>51</v>
      </c>
      <c r="B91" s="22" t="s">
        <v>62</v>
      </c>
      <c r="C91" s="22" t="s">
        <v>63</v>
      </c>
      <c r="D91" s="24"/>
      <c r="E91" s="25" t="n">
        <f>1200</f>
        <v>1200.0</v>
      </c>
      <c r="F91" s="23"/>
      <c r="G91" s="25" t="n">
        <f>400</f>
        <v>400.0</v>
      </c>
      <c r="H91" s="23"/>
      <c r="I91" s="26" t="n">
        <f>1600</f>
        <v>1600.0</v>
      </c>
      <c r="J91" s="24"/>
      <c r="K91" s="25" t="n">
        <f>357000000</f>
        <v>3.57E8</v>
      </c>
      <c r="L91" s="23"/>
      <c r="M91" s="25" t="n">
        <f>218246000</f>
        <v>2.18246E8</v>
      </c>
      <c r="N91" s="23"/>
      <c r="O91" s="26" t="n">
        <f>575246000</f>
        <v>5.75246E8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200</f>
        <v>200.0</v>
      </c>
      <c r="U91" s="23"/>
      <c r="V91" s="25" t="n">
        <f>400</f>
        <v>400.0</v>
      </c>
      <c r="W91" s="23"/>
      <c r="X91" s="26" t="n">
        <f>600</f>
        <v>600.0</v>
      </c>
      <c r="Y91" s="24"/>
      <c r="Z91" s="25" t="n">
        <f>74840</f>
        <v>74840.0</v>
      </c>
      <c r="AA91" s="23"/>
      <c r="AB91" s="25" t="n">
        <f>19038</f>
        <v>19038.0</v>
      </c>
      <c r="AC91" s="23"/>
      <c r="AD91" s="26" t="n">
        <f>93878</f>
        <v>93878.0</v>
      </c>
    </row>
    <row r="92">
      <c r="A92" s="30" t="s">
        <v>52</v>
      </c>
      <c r="B92" s="22" t="s">
        <v>62</v>
      </c>
      <c r="C92" s="22" t="s">
        <v>63</v>
      </c>
      <c r="D92" s="24"/>
      <c r="E92" s="25" t="n">
        <f>1141</f>
        <v>1141.0</v>
      </c>
      <c r="F92" s="23"/>
      <c r="G92" s="25" t="n">
        <f>1365</f>
        <v>1365.0</v>
      </c>
      <c r="H92" s="23"/>
      <c r="I92" s="26" t="n">
        <f>2506</f>
        <v>2506.0</v>
      </c>
      <c r="J92" s="24"/>
      <c r="K92" s="25" t="n">
        <f>226475256</f>
        <v>2.26475256E8</v>
      </c>
      <c r="L92" s="23"/>
      <c r="M92" s="25" t="n">
        <f>397150000</f>
        <v>3.9715E8</v>
      </c>
      <c r="N92" s="23"/>
      <c r="O92" s="26" t="n">
        <f>623625256</f>
        <v>6.23625256E8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n">
        <f>1141</f>
        <v>1141.0</v>
      </c>
      <c r="U92" s="23"/>
      <c r="V92" s="25" t="n">
        <f>615</f>
        <v>615.0</v>
      </c>
      <c r="W92" s="23"/>
      <c r="X92" s="26" t="n">
        <f>1756</f>
        <v>1756.0</v>
      </c>
      <c r="Y92" s="24"/>
      <c r="Z92" s="25" t="n">
        <f>74869</f>
        <v>74869.0</v>
      </c>
      <c r="AA92" s="23"/>
      <c r="AB92" s="25" t="n">
        <f>20328</f>
        <v>20328.0</v>
      </c>
      <c r="AC92" s="23"/>
      <c r="AD92" s="26" t="n">
        <f>95197</f>
        <v>95197.0</v>
      </c>
    </row>
    <row r="93">
      <c r="A93" s="30" t="s">
        <v>53</v>
      </c>
      <c r="B93" s="22" t="s">
        <v>62</v>
      </c>
      <c r="C93" s="22" t="s">
        <v>63</v>
      </c>
      <c r="D93" s="24"/>
      <c r="E93" s="25"/>
      <c r="F93" s="23"/>
      <c r="G93" s="25"/>
      <c r="H93" s="23"/>
      <c r="I93" s="26"/>
      <c r="J93" s="24"/>
      <c r="K93" s="25"/>
      <c r="L93" s="23"/>
      <c r="M93" s="25"/>
      <c r="N93" s="23"/>
      <c r="O93" s="26"/>
      <c r="P93" s="27"/>
      <c r="Q93" s="28"/>
      <c r="R93" s="29"/>
      <c r="S93" s="24"/>
      <c r="T93" s="25"/>
      <c r="U93" s="23"/>
      <c r="V93" s="25"/>
      <c r="W93" s="23"/>
      <c r="X93" s="26"/>
      <c r="Y93" s="24"/>
      <c r="Z93" s="25"/>
      <c r="AA93" s="23"/>
      <c r="AB93" s="25"/>
      <c r="AC93" s="23"/>
      <c r="AD93" s="26"/>
    </row>
    <row r="94">
      <c r="A94" s="30" t="s">
        <v>54</v>
      </c>
      <c r="B94" s="22" t="s">
        <v>62</v>
      </c>
      <c r="C94" s="22" t="s">
        <v>63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55</v>
      </c>
      <c r="B95" s="22" t="s">
        <v>62</v>
      </c>
      <c r="C95" s="22" t="s">
        <v>63</v>
      </c>
      <c r="D95" s="24" t="s">
        <v>36</v>
      </c>
      <c r="E95" s="25" t="n">
        <f>4520</f>
        <v>4520.0</v>
      </c>
      <c r="F95" s="23"/>
      <c r="G95" s="25" t="str">
        <f>"－"</f>
        <v>－</v>
      </c>
      <c r="H95" s="23" t="s">
        <v>36</v>
      </c>
      <c r="I95" s="26" t="n">
        <f>4520</f>
        <v>4520.0</v>
      </c>
      <c r="J95" s="24"/>
      <c r="K95" s="25" t="n">
        <f>1722133272</f>
        <v>1.722133272E9</v>
      </c>
      <c r="L95" s="23"/>
      <c r="M95" s="25" t="str">
        <f>"－"</f>
        <v>－</v>
      </c>
      <c r="N95" s="23"/>
      <c r="O95" s="26" t="n">
        <f>1722133272</f>
        <v>1.722133272E9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 t="s">
        <v>36</v>
      </c>
      <c r="T95" s="25" t="n">
        <f>4520</f>
        <v>4520.0</v>
      </c>
      <c r="U95" s="23"/>
      <c r="V95" s="25" t="str">
        <f>"－"</f>
        <v>－</v>
      </c>
      <c r="W95" s="23" t="s">
        <v>36</v>
      </c>
      <c r="X95" s="26" t="n">
        <f>4520</f>
        <v>4520.0</v>
      </c>
      <c r="Y95" s="24"/>
      <c r="Z95" s="25" t="n">
        <f>77129</f>
        <v>77129.0</v>
      </c>
      <c r="AA95" s="23"/>
      <c r="AB95" s="25" t="n">
        <f>20328</f>
        <v>20328.0</v>
      </c>
      <c r="AC95" s="23"/>
      <c r="AD95" s="26" t="n">
        <f>97457</f>
        <v>97457.0</v>
      </c>
    </row>
    <row r="96">
      <c r="A96" s="30" t="s">
        <v>56</v>
      </c>
      <c r="B96" s="22" t="s">
        <v>62</v>
      </c>
      <c r="C96" s="22" t="s">
        <v>63</v>
      </c>
      <c r="D96" s="24"/>
      <c r="E96" s="25" t="str">
        <f>"－"</f>
        <v>－</v>
      </c>
      <c r="F96" s="23"/>
      <c r="G96" s="25" t="str">
        <f>"－"</f>
        <v>－</v>
      </c>
      <c r="H96" s="23"/>
      <c r="I96" s="26" t="str">
        <f>"－"</f>
        <v>－</v>
      </c>
      <c r="J96" s="24"/>
      <c r="K96" s="25" t="str">
        <f>"－"</f>
        <v>－</v>
      </c>
      <c r="L96" s="23"/>
      <c r="M96" s="25" t="str">
        <f>"－"</f>
        <v>－</v>
      </c>
      <c r="N96" s="23"/>
      <c r="O96" s="26" t="str">
        <f>"－"</f>
        <v>－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/>
      <c r="V96" s="25" t="str">
        <f>"－"</f>
        <v>－</v>
      </c>
      <c r="W96" s="23"/>
      <c r="X96" s="26" t="str">
        <f>"－"</f>
        <v>－</v>
      </c>
      <c r="Y96" s="24"/>
      <c r="Z96" s="25" t="n">
        <f>77129</f>
        <v>77129.0</v>
      </c>
      <c r="AA96" s="23"/>
      <c r="AB96" s="25" t="n">
        <f>20328</f>
        <v>20328.0</v>
      </c>
      <c r="AC96" s="23"/>
      <c r="AD96" s="26" t="n">
        <f>97457</f>
        <v>97457.0</v>
      </c>
    </row>
    <row r="97">
      <c r="A97" s="30" t="s">
        <v>57</v>
      </c>
      <c r="B97" s="22" t="s">
        <v>62</v>
      </c>
      <c r="C97" s="22" t="s">
        <v>63</v>
      </c>
      <c r="D97" s="24"/>
      <c r="E97" s="25" t="n">
        <f>4516</f>
        <v>4516.0</v>
      </c>
      <c r="F97" s="23"/>
      <c r="G97" s="25" t="str">
        <f>"－"</f>
        <v>－</v>
      </c>
      <c r="H97" s="23"/>
      <c r="I97" s="26" t="n">
        <f>4516</f>
        <v>4516.0</v>
      </c>
      <c r="J97" s="24" t="s">
        <v>36</v>
      </c>
      <c r="K97" s="25" t="n">
        <f>1771812837</f>
        <v>1.771812837E9</v>
      </c>
      <c r="L97" s="23"/>
      <c r="M97" s="25" t="str">
        <f>"－"</f>
        <v>－</v>
      </c>
      <c r="N97" s="23" t="s">
        <v>36</v>
      </c>
      <c r="O97" s="26" t="n">
        <f>1771812837</f>
        <v>1.771812837E9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n">
        <f>4516</f>
        <v>4516.0</v>
      </c>
      <c r="U97" s="23"/>
      <c r="V97" s="25" t="str">
        <f>"－"</f>
        <v>－</v>
      </c>
      <c r="W97" s="23"/>
      <c r="X97" s="26" t="n">
        <f>4516</f>
        <v>4516.0</v>
      </c>
      <c r="Y97" s="24" t="s">
        <v>36</v>
      </c>
      <c r="Z97" s="25" t="n">
        <f>79387</f>
        <v>79387.0</v>
      </c>
      <c r="AA97" s="23"/>
      <c r="AB97" s="25" t="n">
        <f>20328</f>
        <v>20328.0</v>
      </c>
      <c r="AC97" s="23" t="s">
        <v>36</v>
      </c>
      <c r="AD97" s="26" t="n">
        <f>99715</f>
        <v>99715.0</v>
      </c>
    </row>
    <row r="98">
      <c r="A98" s="30" t="s">
        <v>58</v>
      </c>
      <c r="B98" s="22" t="s">
        <v>62</v>
      </c>
      <c r="C98" s="22" t="s">
        <v>63</v>
      </c>
      <c r="D98" s="24"/>
      <c r="E98" s="25"/>
      <c r="F98" s="23"/>
      <c r="G98" s="25"/>
      <c r="H98" s="23"/>
      <c r="I98" s="26"/>
      <c r="J98" s="24"/>
      <c r="K98" s="25"/>
      <c r="L98" s="23"/>
      <c r="M98" s="25"/>
      <c r="N98" s="23"/>
      <c r="O98" s="26"/>
      <c r="P98" s="27"/>
      <c r="Q98" s="28"/>
      <c r="R98" s="29"/>
      <c r="S98" s="24"/>
      <c r="T98" s="25"/>
      <c r="U98" s="23"/>
      <c r="V98" s="25"/>
      <c r="W98" s="23"/>
      <c r="X98" s="26"/>
      <c r="Y98" s="24"/>
      <c r="Z98" s="25"/>
      <c r="AA98" s="23"/>
      <c r="AB98" s="25"/>
      <c r="AC98" s="23"/>
      <c r="AD98" s="26"/>
    </row>
    <row r="99">
      <c r="A99" s="30" t="s">
        <v>59</v>
      </c>
      <c r="B99" s="22" t="s">
        <v>62</v>
      </c>
      <c r="C99" s="22" t="s">
        <v>63</v>
      </c>
      <c r="D99" s="24"/>
      <c r="E99" s="25" t="str">
        <f>"－"</f>
        <v>－</v>
      </c>
      <c r="F99" s="23"/>
      <c r="G99" s="25" t="str">
        <f>"－"</f>
        <v>－</v>
      </c>
      <c r="H99" s="23"/>
      <c r="I99" s="26" t="str">
        <f>"－"</f>
        <v>－</v>
      </c>
      <c r="J99" s="24"/>
      <c r="K99" s="25" t="str">
        <f>"－"</f>
        <v>－</v>
      </c>
      <c r="L99" s="23"/>
      <c r="M99" s="25" t="str">
        <f>"－"</f>
        <v>－</v>
      </c>
      <c r="N99" s="23"/>
      <c r="O99" s="26" t="str">
        <f>"－"</f>
        <v>－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str">
        <f>"－"</f>
        <v>－</v>
      </c>
      <c r="W99" s="23"/>
      <c r="X99" s="26" t="str">
        <f>"－"</f>
        <v>－</v>
      </c>
      <c r="Y99" s="24"/>
      <c r="Z99" s="25" t="n">
        <f>79387</f>
        <v>79387.0</v>
      </c>
      <c r="AA99" s="23"/>
      <c r="AB99" s="25" t="n">
        <f>20328</f>
        <v>20328.0</v>
      </c>
      <c r="AC99" s="23"/>
      <c r="AD99" s="26" t="n">
        <f>99715</f>
        <v>99715.0</v>
      </c>
    </row>
    <row r="100">
      <c r="A100" s="30" t="s">
        <v>26</v>
      </c>
      <c r="B100" s="22" t="s">
        <v>64</v>
      </c>
      <c r="C100" s="22" t="s">
        <v>65</v>
      </c>
      <c r="D100" s="24" t="s">
        <v>66</v>
      </c>
      <c r="E100" s="25" t="str">
        <f>"－"</f>
        <v>－</v>
      </c>
      <c r="F100" s="23" t="s">
        <v>66</v>
      </c>
      <c r="G100" s="25" t="str">
        <f>"－"</f>
        <v>－</v>
      </c>
      <c r="H100" s="23" t="s">
        <v>66</v>
      </c>
      <c r="I100" s="26" t="str">
        <f>"－"</f>
        <v>－</v>
      </c>
      <c r="J100" s="24" t="s">
        <v>66</v>
      </c>
      <c r="K100" s="25" t="str">
        <f>"－"</f>
        <v>－</v>
      </c>
      <c r="L100" s="23" t="s">
        <v>66</v>
      </c>
      <c r="M100" s="25" t="str">
        <f>"－"</f>
        <v>－</v>
      </c>
      <c r="N100" s="23" t="s">
        <v>66</v>
      </c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 t="s">
        <v>66</v>
      </c>
      <c r="T100" s="25" t="str">
        <f>"－"</f>
        <v>－</v>
      </c>
      <c r="U100" s="23" t="s">
        <v>66</v>
      </c>
      <c r="V100" s="25" t="str">
        <f>"－"</f>
        <v>－</v>
      </c>
      <c r="W100" s="23" t="s">
        <v>66</v>
      </c>
      <c r="X100" s="26" t="str">
        <f>"－"</f>
        <v>－</v>
      </c>
      <c r="Y100" s="24" t="s">
        <v>66</v>
      </c>
      <c r="Z100" s="25" t="str">
        <f>"－"</f>
        <v>－</v>
      </c>
      <c r="AA100" s="23" t="s">
        <v>66</v>
      </c>
      <c r="AB100" s="25" t="str">
        <f>"－"</f>
        <v>－</v>
      </c>
      <c r="AC100" s="23" t="s">
        <v>66</v>
      </c>
      <c r="AD100" s="26" t="str">
        <f>"－"</f>
        <v>－</v>
      </c>
    </row>
    <row r="101">
      <c r="A101" s="30" t="s">
        <v>29</v>
      </c>
      <c r="B101" s="22" t="s">
        <v>64</v>
      </c>
      <c r="C101" s="22" t="s">
        <v>65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str">
        <f>"－"</f>
        <v>－</v>
      </c>
      <c r="AA101" s="23"/>
      <c r="AB101" s="25" t="str">
        <f>"－"</f>
        <v>－</v>
      </c>
      <c r="AC101" s="23"/>
      <c r="AD101" s="26" t="str">
        <f>"－"</f>
        <v>－</v>
      </c>
    </row>
    <row r="102">
      <c r="A102" s="30" t="s">
        <v>30</v>
      </c>
      <c r="B102" s="22" t="s">
        <v>64</v>
      </c>
      <c r="C102" s="22" t="s">
        <v>65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31</v>
      </c>
      <c r="B103" s="22" t="s">
        <v>64</v>
      </c>
      <c r="C103" s="22" t="s">
        <v>65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32</v>
      </c>
      <c r="B104" s="22" t="s">
        <v>64</v>
      </c>
      <c r="C104" s="22" t="s">
        <v>65</v>
      </c>
      <c r="D104" s="24"/>
      <c r="E104" s="25" t="str">
        <f>"－"</f>
        <v>－</v>
      </c>
      <c r="F104" s="23"/>
      <c r="G104" s="25" t="str">
        <f>"－"</f>
        <v>－</v>
      </c>
      <c r="H104" s="23"/>
      <c r="I104" s="26" t="str">
        <f>"－"</f>
        <v>－</v>
      </c>
      <c r="J104" s="24"/>
      <c r="K104" s="25" t="str">
        <f>"－"</f>
        <v>－</v>
      </c>
      <c r="L104" s="23"/>
      <c r="M104" s="25" t="str">
        <f>"－"</f>
        <v>－</v>
      </c>
      <c r="N104" s="23"/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/>
      <c r="T104" s="25" t="str">
        <f>"－"</f>
        <v>－</v>
      </c>
      <c r="U104" s="23"/>
      <c r="V104" s="25" t="str">
        <f>"－"</f>
        <v>－</v>
      </c>
      <c r="W104" s="23"/>
      <c r="X104" s="26" t="str">
        <f>"－"</f>
        <v>－</v>
      </c>
      <c r="Y104" s="24"/>
      <c r="Z104" s="25" t="str">
        <f>"－"</f>
        <v>－</v>
      </c>
      <c r="AA104" s="23"/>
      <c r="AB104" s="25" t="str">
        <f>"－"</f>
        <v>－</v>
      </c>
      <c r="AC104" s="23"/>
      <c r="AD104" s="26" t="str">
        <f>"－"</f>
        <v>－</v>
      </c>
    </row>
    <row r="105">
      <c r="A105" s="30" t="s">
        <v>33</v>
      </c>
      <c r="B105" s="22" t="s">
        <v>64</v>
      </c>
      <c r="C105" s="22" t="s">
        <v>65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34</v>
      </c>
      <c r="B106" s="22" t="s">
        <v>64</v>
      </c>
      <c r="C106" s="22" t="s">
        <v>65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35</v>
      </c>
      <c r="B107" s="22" t="s">
        <v>64</v>
      </c>
      <c r="C107" s="22" t="s">
        <v>65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37</v>
      </c>
      <c r="B108" s="22" t="s">
        <v>64</v>
      </c>
      <c r="C108" s="22" t="s">
        <v>65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39</v>
      </c>
      <c r="B109" s="22" t="s">
        <v>64</v>
      </c>
      <c r="C109" s="22" t="s">
        <v>65</v>
      </c>
      <c r="D109" s="24"/>
      <c r="E109" s="25"/>
      <c r="F109" s="23"/>
      <c r="G109" s="25"/>
      <c r="H109" s="23"/>
      <c r="I109" s="26"/>
      <c r="J109" s="24"/>
      <c r="K109" s="25"/>
      <c r="L109" s="23"/>
      <c r="M109" s="25"/>
      <c r="N109" s="23"/>
      <c r="O109" s="26"/>
      <c r="P109" s="27"/>
      <c r="Q109" s="28"/>
      <c r="R109" s="29"/>
      <c r="S109" s="24"/>
      <c r="T109" s="25"/>
      <c r="U109" s="23"/>
      <c r="V109" s="25"/>
      <c r="W109" s="23"/>
      <c r="X109" s="26"/>
      <c r="Y109" s="24"/>
      <c r="Z109" s="25"/>
      <c r="AA109" s="23"/>
      <c r="AB109" s="25"/>
      <c r="AC109" s="23"/>
      <c r="AD109" s="26"/>
    </row>
    <row r="110">
      <c r="A110" s="30" t="s">
        <v>40</v>
      </c>
      <c r="B110" s="22" t="s">
        <v>64</v>
      </c>
      <c r="C110" s="22" t="s">
        <v>65</v>
      </c>
      <c r="D110" s="24"/>
      <c r="E110" s="25"/>
      <c r="F110" s="23"/>
      <c r="G110" s="25"/>
      <c r="H110" s="23"/>
      <c r="I110" s="26"/>
      <c r="J110" s="24"/>
      <c r="K110" s="25"/>
      <c r="L110" s="23"/>
      <c r="M110" s="25"/>
      <c r="N110" s="23"/>
      <c r="O110" s="26"/>
      <c r="P110" s="27"/>
      <c r="Q110" s="28"/>
      <c r="R110" s="29"/>
      <c r="S110" s="24"/>
      <c r="T110" s="25"/>
      <c r="U110" s="23"/>
      <c r="V110" s="25"/>
      <c r="W110" s="23"/>
      <c r="X110" s="26"/>
      <c r="Y110" s="24"/>
      <c r="Z110" s="25"/>
      <c r="AA110" s="23"/>
      <c r="AB110" s="25"/>
      <c r="AC110" s="23"/>
      <c r="AD110" s="26"/>
    </row>
    <row r="111">
      <c r="A111" s="30" t="s">
        <v>41</v>
      </c>
      <c r="B111" s="22" t="s">
        <v>64</v>
      </c>
      <c r="C111" s="22" t="s">
        <v>65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42</v>
      </c>
      <c r="B112" s="22" t="s">
        <v>64</v>
      </c>
      <c r="C112" s="22" t="s">
        <v>65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43</v>
      </c>
      <c r="B113" s="22" t="s">
        <v>64</v>
      </c>
      <c r="C113" s="22" t="s">
        <v>65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44</v>
      </c>
      <c r="B114" s="22" t="s">
        <v>64</v>
      </c>
      <c r="C114" s="22" t="s">
        <v>65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45</v>
      </c>
      <c r="B115" s="22" t="s">
        <v>64</v>
      </c>
      <c r="C115" s="22" t="s">
        <v>65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46</v>
      </c>
      <c r="B116" s="22" t="s">
        <v>64</v>
      </c>
      <c r="C116" s="22" t="s">
        <v>65</v>
      </c>
      <c r="D116" s="24"/>
      <c r="E116" s="25"/>
      <c r="F116" s="23"/>
      <c r="G116" s="25"/>
      <c r="H116" s="23"/>
      <c r="I116" s="26"/>
      <c r="J116" s="24"/>
      <c r="K116" s="25"/>
      <c r="L116" s="23"/>
      <c r="M116" s="25"/>
      <c r="N116" s="23"/>
      <c r="O116" s="26"/>
      <c r="P116" s="27"/>
      <c r="Q116" s="28"/>
      <c r="R116" s="29"/>
      <c r="S116" s="24"/>
      <c r="T116" s="25"/>
      <c r="U116" s="23"/>
      <c r="V116" s="25"/>
      <c r="W116" s="23"/>
      <c r="X116" s="26"/>
      <c r="Y116" s="24"/>
      <c r="Z116" s="25"/>
      <c r="AA116" s="23"/>
      <c r="AB116" s="25"/>
      <c r="AC116" s="23"/>
      <c r="AD116" s="26"/>
    </row>
    <row r="117">
      <c r="A117" s="30" t="s">
        <v>47</v>
      </c>
      <c r="B117" s="22" t="s">
        <v>64</v>
      </c>
      <c r="C117" s="22" t="s">
        <v>65</v>
      </c>
      <c r="D117" s="24"/>
      <c r="E117" s="25"/>
      <c r="F117" s="23"/>
      <c r="G117" s="25"/>
      <c r="H117" s="23"/>
      <c r="I117" s="26"/>
      <c r="J117" s="24"/>
      <c r="K117" s="25"/>
      <c r="L117" s="23"/>
      <c r="M117" s="25"/>
      <c r="N117" s="23"/>
      <c r="O117" s="26"/>
      <c r="P117" s="27"/>
      <c r="Q117" s="28"/>
      <c r="R117" s="29"/>
      <c r="S117" s="24"/>
      <c r="T117" s="25"/>
      <c r="U117" s="23"/>
      <c r="V117" s="25"/>
      <c r="W117" s="23"/>
      <c r="X117" s="26"/>
      <c r="Y117" s="24"/>
      <c r="Z117" s="25"/>
      <c r="AA117" s="23"/>
      <c r="AB117" s="25"/>
      <c r="AC117" s="23"/>
      <c r="AD117" s="26"/>
    </row>
    <row r="118">
      <c r="A118" s="30" t="s">
        <v>48</v>
      </c>
      <c r="B118" s="22" t="s">
        <v>64</v>
      </c>
      <c r="C118" s="22" t="s">
        <v>65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49</v>
      </c>
      <c r="B119" s="22" t="s">
        <v>64</v>
      </c>
      <c r="C119" s="22" t="s">
        <v>65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50</v>
      </c>
      <c r="B120" s="22" t="s">
        <v>64</v>
      </c>
      <c r="C120" s="22" t="s">
        <v>65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51</v>
      </c>
      <c r="B121" s="22" t="s">
        <v>64</v>
      </c>
      <c r="C121" s="22" t="s">
        <v>65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52</v>
      </c>
      <c r="B122" s="22" t="s">
        <v>64</v>
      </c>
      <c r="C122" s="22" t="s">
        <v>65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53</v>
      </c>
      <c r="B123" s="22" t="s">
        <v>64</v>
      </c>
      <c r="C123" s="22" t="s">
        <v>65</v>
      </c>
      <c r="D123" s="24"/>
      <c r="E123" s="25"/>
      <c r="F123" s="23"/>
      <c r="G123" s="25"/>
      <c r="H123" s="23"/>
      <c r="I123" s="26"/>
      <c r="J123" s="24"/>
      <c r="K123" s="25"/>
      <c r="L123" s="23"/>
      <c r="M123" s="25"/>
      <c r="N123" s="23"/>
      <c r="O123" s="26"/>
      <c r="P123" s="27"/>
      <c r="Q123" s="28"/>
      <c r="R123" s="29"/>
      <c r="S123" s="24"/>
      <c r="T123" s="25"/>
      <c r="U123" s="23"/>
      <c r="V123" s="25"/>
      <c r="W123" s="23"/>
      <c r="X123" s="26"/>
      <c r="Y123" s="24"/>
      <c r="Z123" s="25"/>
      <c r="AA123" s="23"/>
      <c r="AB123" s="25"/>
      <c r="AC123" s="23"/>
      <c r="AD123" s="26"/>
    </row>
    <row r="124">
      <c r="A124" s="30" t="s">
        <v>54</v>
      </c>
      <c r="B124" s="22" t="s">
        <v>64</v>
      </c>
      <c r="C124" s="22" t="s">
        <v>65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55</v>
      </c>
      <c r="B125" s="22" t="s">
        <v>64</v>
      </c>
      <c r="C125" s="22" t="s">
        <v>65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56</v>
      </c>
      <c r="B126" s="22" t="s">
        <v>64</v>
      </c>
      <c r="C126" s="22" t="s">
        <v>65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57</v>
      </c>
      <c r="B127" s="22" t="s">
        <v>64</v>
      </c>
      <c r="C127" s="22" t="s">
        <v>65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58</v>
      </c>
      <c r="B128" s="22" t="s">
        <v>64</v>
      </c>
      <c r="C128" s="22" t="s">
        <v>65</v>
      </c>
      <c r="D128" s="24"/>
      <c r="E128" s="25"/>
      <c r="F128" s="23"/>
      <c r="G128" s="25"/>
      <c r="H128" s="23"/>
      <c r="I128" s="26"/>
      <c r="J128" s="24"/>
      <c r="K128" s="25"/>
      <c r="L128" s="23"/>
      <c r="M128" s="25"/>
      <c r="N128" s="23"/>
      <c r="O128" s="26"/>
      <c r="P128" s="27"/>
      <c r="Q128" s="28"/>
      <c r="R128" s="29"/>
      <c r="S128" s="24"/>
      <c r="T128" s="25"/>
      <c r="U128" s="23"/>
      <c r="V128" s="25"/>
      <c r="W128" s="23"/>
      <c r="X128" s="26"/>
      <c r="Y128" s="24"/>
      <c r="Z128" s="25"/>
      <c r="AA128" s="23"/>
      <c r="AB128" s="25"/>
      <c r="AC128" s="23"/>
      <c r="AD128" s="26"/>
    </row>
    <row r="129">
      <c r="A129" s="30" t="s">
        <v>59</v>
      </c>
      <c r="B129" s="22" t="s">
        <v>64</v>
      </c>
      <c r="C129" s="22" t="s">
        <v>65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