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<sst xmlns="http://schemas.openxmlformats.org/spreadsheetml/2006/main" count="1707" uniqueCount="84">
  <si>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</si>
  <si>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</si>
  <si>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</si>
  <si>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</si>
  <si>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</si>
  <si>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</si>
  <si>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</si>
  <si>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</si>
  <si>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</si>
  <si>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</si>
  <si>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</si>
  <si>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</si>
  <si>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</si>
  <si>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</si>
  <si>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</si>
  <si>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</si>
  <si>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5.1</t>
  </si>
  <si>
    <t>日経225先物</t>
  </si>
  <si>
    <t>Nikkei 225 Futures</t>
  </si>
  <si>
    <t>2</t>
  </si>
  <si>
    <t>3</t>
  </si>
  <si>
    <t>4</t>
  </si>
  <si>
    <t>5</t>
  </si>
  <si>
    <t>6</t>
  </si>
  <si>
    <t>●</t>
  </si>
  <si>
    <t>7</t>
  </si>
  <si>
    <t>8</t>
  </si>
  <si>
    <t>9</t>
  </si>
  <si>
    <t>10</t>
  </si>
  <si>
    <t>11</t>
  </si>
  <si>
    <t>12</t>
  </si>
  <si>
    <t>◎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</si>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</sst>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32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/>
      <c r="F6" s="10"/>
      <c r="G6" s="2"/>
      <c r="H6" s="10"/>
      <c r="I6" s="2"/>
      <c r="J6" s="10"/>
      <c r="K6" s="2"/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22</v>
      </c>
      <c r="B10" s="9" t="s">
        <v>17</v>
      </c>
      <c r="C10" s="9" t="s">
        <v>18</v>
      </c>
      <c r="D10" s="10"/>
      <c r="E10" s="2"/>
      <c r="F10" s="10"/>
      <c r="G10" s="2"/>
      <c r="H10" s="10"/>
      <c r="I10" s="2"/>
      <c r="J10" s="10"/>
      <c r="K10" s="2"/>
    </row>
    <row r="11">
      <c r="A11" s="8" t="s">
        <v>23</v>
      </c>
      <c r="B11" s="9" t="s">
        <v>17</v>
      </c>
      <c r="C11" s="9" t="s">
        <v>18</v>
      </c>
      <c r="D11" s="10"/>
      <c r="E11" s="2" t="n">
        <f>58629</f>
        <v>58629.0</v>
      </c>
      <c r="F11" s="10"/>
      <c r="G11" s="2" t="n">
        <f>1712913600210</f>
        <v>1.71291360021E12</v>
      </c>
      <c r="H11" s="10"/>
      <c r="I11" s="2" t="n">
        <f>5990</f>
        <v>5990.0</v>
      </c>
      <c r="J11" s="10" t="s">
        <v>24</v>
      </c>
      <c r="K11" s="2" t="n">
        <f>301723</f>
        <v>301723.0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47793</f>
        <v>47793.0</v>
      </c>
      <c r="F12" s="10"/>
      <c r="G12" s="2" t="n">
        <f>1401287983290</f>
        <v>1.40128798329E12</v>
      </c>
      <c r="H12" s="10" t="s">
        <v>24</v>
      </c>
      <c r="I12" s="2" t="n">
        <f>5594</f>
        <v>5594.0</v>
      </c>
      <c r="J12" s="10"/>
      <c r="K12" s="2" t="n">
        <f>302523</f>
        <v>302523.0</v>
      </c>
    </row>
    <row r="13">
      <c r="A13" s="8" t="s">
        <v>26</v>
      </c>
      <c r="B13" s="9" t="s">
        <v>17</v>
      </c>
      <c r="C13" s="9" t="s">
        <v>18</v>
      </c>
      <c r="D13" s="10"/>
      <c r="E13" s="2"/>
      <c r="F13" s="10"/>
      <c r="G13" s="2"/>
      <c r="H13" s="10"/>
      <c r="I13" s="2"/>
      <c r="J13" s="10"/>
      <c r="K13" s="2"/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 t="n">
        <f>47689</f>
        <v>47689.0</v>
      </c>
      <c r="F15" s="10"/>
      <c r="G15" s="2" t="n">
        <f>1406269810350</f>
        <v>1.40626981035E12</v>
      </c>
      <c r="H15" s="10"/>
      <c r="I15" s="2" t="n">
        <f>6775</f>
        <v>6775.0</v>
      </c>
      <c r="J15" s="10"/>
      <c r="K15" s="2" t="n">
        <f>304398</f>
        <v>304398.0</v>
      </c>
    </row>
    <row r="16">
      <c r="A16" s="8" t="s">
        <v>29</v>
      </c>
      <c r="B16" s="9" t="s">
        <v>17</v>
      </c>
      <c r="C16" s="9" t="s">
        <v>18</v>
      </c>
      <c r="D16" s="10"/>
      <c r="E16" s="2" t="n">
        <f>72756</f>
        <v>72756.0</v>
      </c>
      <c r="F16" s="10"/>
      <c r="G16" s="2" t="n">
        <f>2100793474106</f>
        <v>2.100793474106E12</v>
      </c>
      <c r="H16" s="10"/>
      <c r="I16" s="2" t="n">
        <f>11131</f>
        <v>11131.0</v>
      </c>
      <c r="J16" s="10"/>
      <c r="K16" s="2" t="n">
        <f>305471</f>
        <v>305471.0</v>
      </c>
    </row>
    <row r="17">
      <c r="A17" s="8" t="s">
        <v>30</v>
      </c>
      <c r="B17" s="9" t="s">
        <v>17</v>
      </c>
      <c r="C17" s="9" t="s">
        <v>18</v>
      </c>
      <c r="D17" s="10" t="s">
        <v>31</v>
      </c>
      <c r="E17" s="2" t="n">
        <f>109484</f>
        <v>109484.0</v>
      </c>
      <c r="F17" s="10" t="s">
        <v>31</v>
      </c>
      <c r="G17" s="2" t="n">
        <f>3102779828864</f>
        <v>3.102779828864E12</v>
      </c>
      <c r="H17" s="10" t="s">
        <v>31</v>
      </c>
      <c r="I17" s="2" t="n">
        <f>16025</f>
        <v>16025.0</v>
      </c>
      <c r="J17" s="10"/>
      <c r="K17" s="2" t="n">
        <f>304317</f>
        <v>304317.0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106631</f>
        <v>106631.0</v>
      </c>
      <c r="F18" s="10"/>
      <c r="G18" s="2" t="n">
        <f>2956809409072</f>
        <v>2.956809409072E12</v>
      </c>
      <c r="H18" s="10"/>
      <c r="I18" s="2" t="n">
        <f>11498</f>
        <v>11498.0</v>
      </c>
      <c r="J18" s="10"/>
      <c r="K18" s="2" t="n">
        <f>313135</f>
        <v>313135.0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104577</f>
        <v>104577.0</v>
      </c>
      <c r="F19" s="10"/>
      <c r="G19" s="2" t="n">
        <f>2902076663095</f>
        <v>2.902076663095E12</v>
      </c>
      <c r="H19" s="10"/>
      <c r="I19" s="2" t="n">
        <f>15102</f>
        <v>15102.0</v>
      </c>
      <c r="J19" s="10"/>
      <c r="K19" s="2" t="n">
        <f>316077</f>
        <v>316077.0</v>
      </c>
    </row>
    <row r="20">
      <c r="A20" s="8" t="s">
        <v>34</v>
      </c>
      <c r="B20" s="9" t="s">
        <v>17</v>
      </c>
      <c r="C20" s="9" t="s">
        <v>18</v>
      </c>
      <c r="D20" s="10"/>
      <c r="E20" s="2"/>
      <c r="F20" s="10"/>
      <c r="G20" s="2"/>
      <c r="H20" s="10"/>
      <c r="I20" s="2"/>
      <c r="J20" s="10"/>
      <c r="K20" s="2"/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 t="n">
        <f>59091</f>
        <v>59091.0</v>
      </c>
      <c r="F22" s="10"/>
      <c r="G22" s="2" t="n">
        <f>1650811204900</f>
        <v>1.6508112049E12</v>
      </c>
      <c r="H22" s="10"/>
      <c r="I22" s="2" t="n">
        <f>9406</f>
        <v>9406.0</v>
      </c>
      <c r="J22" s="10"/>
      <c r="K22" s="2" t="n">
        <f>317290</f>
        <v>317290.0</v>
      </c>
    </row>
    <row r="23">
      <c r="A23" s="8" t="s">
        <v>37</v>
      </c>
      <c r="B23" s="9" t="s">
        <v>17</v>
      </c>
      <c r="C23" s="9" t="s">
        <v>18</v>
      </c>
      <c r="D23" s="10"/>
      <c r="E23" s="2" t="n">
        <f>65862</f>
        <v>65862.0</v>
      </c>
      <c r="F23" s="10"/>
      <c r="G23" s="2" t="n">
        <f>1855974867020</f>
        <v>1.85597486702E12</v>
      </c>
      <c r="H23" s="10"/>
      <c r="I23" s="2" t="n">
        <f>10868</f>
        <v>10868.0</v>
      </c>
      <c r="J23" s="10"/>
      <c r="K23" s="2" t="n">
        <f>317340</f>
        <v>317340.0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56908</f>
        <v>56908.0</v>
      </c>
      <c r="F24" s="10"/>
      <c r="G24" s="2" t="n">
        <f>1594800931480</f>
        <v>1.59480093148E12</v>
      </c>
      <c r="H24" s="10"/>
      <c r="I24" s="2" t="n">
        <f>7907</f>
        <v>7907.0</v>
      </c>
      <c r="J24" s="10"/>
      <c r="K24" s="2" t="n">
        <f>316880</f>
        <v>316880.0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64183</f>
        <v>64183.0</v>
      </c>
      <c r="F25" s="10"/>
      <c r="G25" s="2" t="n">
        <f>1790863900900</f>
        <v>1.7908639009E12</v>
      </c>
      <c r="H25" s="10"/>
      <c r="I25" s="2" t="n">
        <f>10158</f>
        <v>10158.0</v>
      </c>
      <c r="J25" s="10"/>
      <c r="K25" s="2" t="n">
        <f>318792</f>
        <v>318792.0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47204</f>
        <v>47204.0</v>
      </c>
      <c r="F26" s="10"/>
      <c r="G26" s="2" t="n">
        <f>1331467382859</f>
        <v>1.331467382859E12</v>
      </c>
      <c r="H26" s="10"/>
      <c r="I26" s="2" t="n">
        <f>6603</f>
        <v>6603.0</v>
      </c>
      <c r="J26" s="10"/>
      <c r="K26" s="2" t="n">
        <f>319019</f>
        <v>319019.0</v>
      </c>
    </row>
    <row r="27">
      <c r="A27" s="8" t="s">
        <v>41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 t="n">
        <f>43303</f>
        <v>43303.0</v>
      </c>
      <c r="F29" s="10"/>
      <c r="G29" s="2" t="n">
        <f>1229296375930</f>
        <v>1.22929637593E12</v>
      </c>
      <c r="H29" s="10"/>
      <c r="I29" s="2" t="n">
        <f>6369</f>
        <v>6369.0</v>
      </c>
      <c r="J29" s="10"/>
      <c r="K29" s="2" t="n">
        <f>317917</f>
        <v>317917.0</v>
      </c>
    </row>
    <row r="30">
      <c r="A30" s="8" t="s">
        <v>44</v>
      </c>
      <c r="B30" s="9" t="s">
        <v>17</v>
      </c>
      <c r="C30" s="9" t="s">
        <v>18</v>
      </c>
      <c r="D30" s="10" t="s">
        <v>24</v>
      </c>
      <c r="E30" s="2" t="n">
        <f>37531</f>
        <v>37531.0</v>
      </c>
      <c r="F30" s="10" t="s">
        <v>24</v>
      </c>
      <c r="G30" s="2" t="n">
        <f>1069249612750</f>
        <v>1.06924961275E12</v>
      </c>
      <c r="H30" s="10"/>
      <c r="I30" s="2" t="n">
        <f>7830</f>
        <v>7830.0</v>
      </c>
      <c r="J30" s="10"/>
      <c r="K30" s="2" t="n">
        <f>319257</f>
        <v>319257.0</v>
      </c>
    </row>
    <row r="31">
      <c r="A31" s="8" t="s">
        <v>45</v>
      </c>
      <c r="B31" s="9" t="s">
        <v>17</v>
      </c>
      <c r="C31" s="9" t="s">
        <v>18</v>
      </c>
      <c r="D31" s="10"/>
      <c r="E31" s="2" t="n">
        <f>41435</f>
        <v>41435.0</v>
      </c>
      <c r="F31" s="10"/>
      <c r="G31" s="2" t="n">
        <f>1182808965940</f>
        <v>1.18280896594E12</v>
      </c>
      <c r="H31" s="10"/>
      <c r="I31" s="2" t="n">
        <f>6785</f>
        <v>6785.0</v>
      </c>
      <c r="J31" s="10"/>
      <c r="K31" s="2" t="n">
        <f>318972</f>
        <v>318972.0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45355</f>
        <v>45355.0</v>
      </c>
      <c r="F32" s="10"/>
      <c r="G32" s="2" t="n">
        <f>1292130997978</f>
        <v>1.292130997978E12</v>
      </c>
      <c r="H32" s="10"/>
      <c r="I32" s="2" t="n">
        <f>8829</f>
        <v>8829.0</v>
      </c>
      <c r="J32" s="10"/>
      <c r="K32" s="2" t="n">
        <f>321169</f>
        <v>321169.0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58390</f>
        <v>58390.0</v>
      </c>
      <c r="F33" s="10"/>
      <c r="G33" s="2" t="n">
        <f>1693800144340</f>
        <v>1.69380014434E12</v>
      </c>
      <c r="H33" s="10"/>
      <c r="I33" s="2" t="n">
        <f>8613</f>
        <v>8613.0</v>
      </c>
      <c r="J33" s="10" t="s">
        <v>31</v>
      </c>
      <c r="K33" s="2" t="n">
        <f>323369</f>
        <v>323369.0</v>
      </c>
    </row>
    <row r="34">
      <c r="A34" s="8" t="s">
        <v>48</v>
      </c>
      <c r="B34" s="9" t="s">
        <v>17</v>
      </c>
      <c r="C34" s="9" t="s">
        <v>18</v>
      </c>
      <c r="D34" s="10"/>
      <c r="E34" s="2"/>
      <c r="F34" s="10"/>
      <c r="G34" s="2"/>
      <c r="H34" s="10"/>
      <c r="I34" s="2"/>
      <c r="J34" s="10"/>
      <c r="K34" s="2"/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 t="n">
        <f>52272</f>
        <v>52272.0</v>
      </c>
      <c r="F36" s="10"/>
      <c r="G36" s="2" t="n">
        <f>1513216830925</f>
        <v>1.513216830925E12</v>
      </c>
      <c r="H36" s="10"/>
      <c r="I36" s="2" t="n">
        <f>5774</f>
        <v>5774.0</v>
      </c>
      <c r="J36" s="10"/>
      <c r="K36" s="2" t="n">
        <f>320328</f>
        <v>320328.0</v>
      </c>
    </row>
    <row r="37">
      <c r="A37" s="8" t="s">
        <v>16</v>
      </c>
      <c r="B37" s="9" t="s">
        <v>51</v>
      </c>
      <c r="C37" s="9" t="s">
        <v>52</v>
      </c>
      <c r="D37" s="10"/>
      <c r="E37" s="2"/>
      <c r="F37" s="10"/>
      <c r="G37" s="2"/>
      <c r="H37" s="10"/>
      <c r="I37" s="2"/>
      <c r="J37" s="10"/>
      <c r="K37" s="2"/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22</v>
      </c>
      <c r="B41" s="9" t="s">
        <v>51</v>
      </c>
      <c r="C41" s="9" t="s">
        <v>52</v>
      </c>
      <c r="D41" s="10"/>
      <c r="E41" s="2"/>
      <c r="F41" s="10"/>
      <c r="G41" s="2"/>
      <c r="H41" s="10"/>
      <c r="I41" s="2"/>
      <c r="J41" s="10"/>
      <c r="K41" s="2"/>
    </row>
    <row r="42">
      <c r="A42" s="8" t="s">
        <v>23</v>
      </c>
      <c r="B42" s="9" t="s">
        <v>51</v>
      </c>
      <c r="C42" s="9" t="s">
        <v>52</v>
      </c>
      <c r="D42" s="10"/>
      <c r="E42" s="2" t="n">
        <f>819583</f>
        <v>819583.0</v>
      </c>
      <c r="F42" s="10"/>
      <c r="G42" s="2" t="n">
        <f>2389257938100</f>
        <v>2.3892579381E12</v>
      </c>
      <c r="H42" s="10"/>
      <c r="I42" s="2" t="n">
        <f>106540</f>
        <v>106540.0</v>
      </c>
      <c r="J42" s="10"/>
      <c r="K42" s="2" t="n">
        <f>461409</f>
        <v>461409.0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733071</f>
        <v>733071.0</v>
      </c>
      <c r="F43" s="10"/>
      <c r="G43" s="2" t="n">
        <f>2149643916716</f>
        <v>2.149643916716E12</v>
      </c>
      <c r="H43" s="10"/>
      <c r="I43" s="2" t="n">
        <f>81109</f>
        <v>81109.0</v>
      </c>
      <c r="J43" s="10"/>
      <c r="K43" s="2" t="n">
        <f>467373</f>
        <v>467373.0</v>
      </c>
    </row>
    <row r="44">
      <c r="A44" s="8" t="s">
        <v>26</v>
      </c>
      <c r="B44" s="9" t="s">
        <v>51</v>
      </c>
      <c r="C44" s="9" t="s">
        <v>52</v>
      </c>
      <c r="D44" s="10"/>
      <c r="E44" s="2"/>
      <c r="F44" s="10"/>
      <c r="G44" s="2"/>
      <c r="H44" s="10"/>
      <c r="I44" s="2"/>
      <c r="J44" s="10"/>
      <c r="K44" s="2"/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 t="n">
        <f>770723</f>
        <v>770723.0</v>
      </c>
      <c r="F46" s="10"/>
      <c r="G46" s="2" t="n">
        <f>2273079906746</f>
        <v>2.273079906746E12</v>
      </c>
      <c r="H46" s="10"/>
      <c r="I46" s="2" t="n">
        <f>104227</f>
        <v>104227.0</v>
      </c>
      <c r="J46" s="10"/>
      <c r="K46" s="2" t="n">
        <f>485984</f>
        <v>485984.0</v>
      </c>
    </row>
    <row r="47">
      <c r="A47" s="8" t="s">
        <v>29</v>
      </c>
      <c r="B47" s="9" t="s">
        <v>51</v>
      </c>
      <c r="C47" s="9" t="s">
        <v>52</v>
      </c>
      <c r="D47" s="10"/>
      <c r="E47" s="2" t="n">
        <f>1081534</f>
        <v>1081534.0</v>
      </c>
      <c r="F47" s="10"/>
      <c r="G47" s="2" t="n">
        <f>3131864901784</f>
        <v>3.131864901784E12</v>
      </c>
      <c r="H47" s="10"/>
      <c r="I47" s="2" t="n">
        <f>137125</f>
        <v>137125.0</v>
      </c>
      <c r="J47" s="10"/>
      <c r="K47" s="2" t="n">
        <f>514129</f>
        <v>514129.0</v>
      </c>
    </row>
    <row r="48">
      <c r="A48" s="8" t="s">
        <v>30</v>
      </c>
      <c r="B48" s="9" t="s">
        <v>51</v>
      </c>
      <c r="C48" s="9" t="s">
        <v>52</v>
      </c>
      <c r="D48" s="10" t="s">
        <v>31</v>
      </c>
      <c r="E48" s="2" t="n">
        <f>1808540</f>
        <v>1808540.0</v>
      </c>
      <c r="F48" s="10" t="s">
        <v>31</v>
      </c>
      <c r="G48" s="2" t="n">
        <f>5134837223404</f>
        <v>5.134837223404E12</v>
      </c>
      <c r="H48" s="10" t="s">
        <v>31</v>
      </c>
      <c r="I48" s="2" t="n">
        <f>212065</f>
        <v>212065.0</v>
      </c>
      <c r="J48" s="10"/>
      <c r="K48" s="2" t="n">
        <f>534817</f>
        <v>534817.0</v>
      </c>
    </row>
    <row r="49">
      <c r="A49" s="8" t="s">
        <v>32</v>
      </c>
      <c r="B49" s="9" t="s">
        <v>51</v>
      </c>
      <c r="C49" s="9" t="s">
        <v>52</v>
      </c>
      <c r="D49" s="10"/>
      <c r="E49" s="2" t="n">
        <f>1577210</f>
        <v>1577210.0</v>
      </c>
      <c r="F49" s="10"/>
      <c r="G49" s="2" t="n">
        <f>4387307194158</f>
        <v>4.387307194158E12</v>
      </c>
      <c r="H49" s="10"/>
      <c r="I49" s="2" t="n">
        <f>180973</f>
        <v>180973.0</v>
      </c>
      <c r="J49" s="10"/>
      <c r="K49" s="2" t="n">
        <f>576305</f>
        <v>576305.0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1401069</f>
        <v>1401069.0</v>
      </c>
      <c r="F50" s="10"/>
      <c r="G50" s="2" t="n">
        <f>3876344758175</f>
        <v>3.876344758175E12</v>
      </c>
      <c r="H50" s="10"/>
      <c r="I50" s="2" t="n">
        <f>190269</f>
        <v>190269.0</v>
      </c>
      <c r="J50" s="10" t="s">
        <v>31</v>
      </c>
      <c r="K50" s="2" t="n">
        <f>576397</f>
        <v>576397.0</v>
      </c>
    </row>
    <row r="51">
      <c r="A51" s="8" t="s">
        <v>34</v>
      </c>
      <c r="B51" s="9" t="s">
        <v>51</v>
      </c>
      <c r="C51" s="9" t="s">
        <v>52</v>
      </c>
      <c r="D51" s="10"/>
      <c r="E51" s="2"/>
      <c r="F51" s="10"/>
      <c r="G51" s="2"/>
      <c r="H51" s="10"/>
      <c r="I51" s="2"/>
      <c r="J51" s="10"/>
      <c r="K51" s="2"/>
    </row>
    <row r="52">
      <c r="A52" s="8" t="s">
        <v>35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51</v>
      </c>
      <c r="C53" s="9" t="s">
        <v>52</v>
      </c>
      <c r="D53" s="10"/>
      <c r="E53" s="2" t="n">
        <f>1025332</f>
        <v>1025332.0</v>
      </c>
      <c r="F53" s="10"/>
      <c r="G53" s="2" t="n">
        <f>2869290610946</f>
        <v>2.869290610946E12</v>
      </c>
      <c r="H53" s="10"/>
      <c r="I53" s="2" t="n">
        <f>131432</f>
        <v>131432.0</v>
      </c>
      <c r="J53" s="10"/>
      <c r="K53" s="2" t="n">
        <f>454185</f>
        <v>454185.0</v>
      </c>
    </row>
    <row r="54">
      <c r="A54" s="8" t="s">
        <v>37</v>
      </c>
      <c r="B54" s="9" t="s">
        <v>51</v>
      </c>
      <c r="C54" s="9" t="s">
        <v>52</v>
      </c>
      <c r="D54" s="10"/>
      <c r="E54" s="2" t="n">
        <f>978337</f>
        <v>978337.0</v>
      </c>
      <c r="F54" s="10"/>
      <c r="G54" s="2" t="n">
        <f>2745325987097</f>
        <v>2.745325987097E12</v>
      </c>
      <c r="H54" s="10"/>
      <c r="I54" s="2" t="n">
        <f>132728</f>
        <v>132728.0</v>
      </c>
      <c r="J54" s="10"/>
      <c r="K54" s="2" t="n">
        <f>467964</f>
        <v>467964.0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974632</f>
        <v>974632.0</v>
      </c>
      <c r="F55" s="10"/>
      <c r="G55" s="2" t="n">
        <f>2738227948567</f>
        <v>2.738227948567E12</v>
      </c>
      <c r="H55" s="10"/>
      <c r="I55" s="2" t="n">
        <f>140585</f>
        <v>140585.0</v>
      </c>
      <c r="J55" s="10"/>
      <c r="K55" s="2" t="n">
        <f>464677</f>
        <v>464677.0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1260266</f>
        <v>1260266.0</v>
      </c>
      <c r="F56" s="10"/>
      <c r="G56" s="2" t="n">
        <f>3516478563782</f>
        <v>3.516478563782E12</v>
      </c>
      <c r="H56" s="10"/>
      <c r="I56" s="2" t="n">
        <f>163394</f>
        <v>163394.0</v>
      </c>
      <c r="J56" s="10" t="s">
        <v>24</v>
      </c>
      <c r="K56" s="2" t="n">
        <f>451617</f>
        <v>451617.0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941218</f>
        <v>941218.0</v>
      </c>
      <c r="F57" s="10"/>
      <c r="G57" s="2" t="n">
        <f>2654594738850</f>
        <v>2.65459473885E12</v>
      </c>
      <c r="H57" s="10"/>
      <c r="I57" s="2" t="n">
        <f>128583</f>
        <v>128583.0</v>
      </c>
      <c r="J57" s="10"/>
      <c r="K57" s="2" t="n">
        <f>462248</f>
        <v>462248.0</v>
      </c>
    </row>
    <row r="58">
      <c r="A58" s="8" t="s">
        <v>41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 t="n">
        <f>857930</f>
        <v>857930.0</v>
      </c>
      <c r="F60" s="10"/>
      <c r="G60" s="2" t="n">
        <f>2436766695960</f>
        <v>2.43676669596E12</v>
      </c>
      <c r="H60" s="10"/>
      <c r="I60" s="2" t="n">
        <f>109530</f>
        <v>109530.0</v>
      </c>
      <c r="J60" s="10"/>
      <c r="K60" s="2" t="n">
        <f>461975</f>
        <v>461975.0</v>
      </c>
    </row>
    <row r="61">
      <c r="A61" s="8" t="s">
        <v>44</v>
      </c>
      <c r="B61" s="9" t="s">
        <v>51</v>
      </c>
      <c r="C61" s="9" t="s">
        <v>52</v>
      </c>
      <c r="D61" s="10" t="s">
        <v>24</v>
      </c>
      <c r="E61" s="2" t="n">
        <f>575090</f>
        <v>575090.0</v>
      </c>
      <c r="F61" s="10" t="s">
        <v>24</v>
      </c>
      <c r="G61" s="2" t="n">
        <f>1638722224786</f>
        <v>1.638722224786E12</v>
      </c>
      <c r="H61" s="10" t="s">
        <v>24</v>
      </c>
      <c r="I61" s="2" t="n">
        <f>70998</f>
        <v>70998.0</v>
      </c>
      <c r="J61" s="10"/>
      <c r="K61" s="2" t="n">
        <f>466282</f>
        <v>466282.0</v>
      </c>
    </row>
    <row r="62">
      <c r="A62" s="8" t="s">
        <v>45</v>
      </c>
      <c r="B62" s="9" t="s">
        <v>51</v>
      </c>
      <c r="C62" s="9" t="s">
        <v>52</v>
      </c>
      <c r="D62" s="10"/>
      <c r="E62" s="2" t="n">
        <f>701895</f>
        <v>701895.0</v>
      </c>
      <c r="F62" s="10"/>
      <c r="G62" s="2" t="n">
        <f>2004837533287</f>
        <v>2.004837533287E12</v>
      </c>
      <c r="H62" s="10"/>
      <c r="I62" s="2" t="n">
        <f>94660</f>
        <v>94660.0</v>
      </c>
      <c r="J62" s="10"/>
      <c r="K62" s="2" t="n">
        <f>473542</f>
        <v>473542.0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722884</f>
        <v>722884.0</v>
      </c>
      <c r="F63" s="10"/>
      <c r="G63" s="2" t="n">
        <f>2061664758184</f>
        <v>2.061664758184E12</v>
      </c>
      <c r="H63" s="10"/>
      <c r="I63" s="2" t="n">
        <f>82131</f>
        <v>82131.0</v>
      </c>
      <c r="J63" s="10"/>
      <c r="K63" s="2" t="n">
        <f>483071</f>
        <v>483071.0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909894</f>
        <v>909894.0</v>
      </c>
      <c r="F64" s="10"/>
      <c r="G64" s="2" t="n">
        <f>2633247565340</f>
        <v>2.63324756534E12</v>
      </c>
      <c r="H64" s="10"/>
      <c r="I64" s="2" t="n">
        <f>123303</f>
        <v>123303.0</v>
      </c>
      <c r="J64" s="10"/>
      <c r="K64" s="2" t="n">
        <f>500230</f>
        <v>500230.0</v>
      </c>
    </row>
    <row r="65">
      <c r="A65" s="8" t="s">
        <v>48</v>
      </c>
      <c r="B65" s="9" t="s">
        <v>51</v>
      </c>
      <c r="C65" s="9" t="s">
        <v>52</v>
      </c>
      <c r="D65" s="10"/>
      <c r="E65" s="2"/>
      <c r="F65" s="10"/>
      <c r="G65" s="2"/>
      <c r="H65" s="10"/>
      <c r="I65" s="2"/>
      <c r="J65" s="10"/>
      <c r="K65" s="2"/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 t="n">
        <f>764578</f>
        <v>764578.0</v>
      </c>
      <c r="F67" s="10"/>
      <c r="G67" s="2" t="n">
        <f>2216274098650</f>
        <v>2.21627409865E12</v>
      </c>
      <c r="H67" s="10"/>
      <c r="I67" s="2" t="n">
        <f>94133</f>
        <v>94133.0</v>
      </c>
      <c r="J67" s="10"/>
      <c r="K67" s="2" t="n">
        <f>501878</f>
        <v>501878.0</v>
      </c>
    </row>
    <row r="68">
      <c r="A68" s="8" t="s">
        <v>16</v>
      </c>
      <c r="B68" s="9" t="s">
        <v>53</v>
      </c>
      <c r="C68" s="9" t="s">
        <v>54</v>
      </c>
      <c r="D68" s="10"/>
      <c r="E68" s="2"/>
      <c r="F68" s="10"/>
      <c r="G68" s="2"/>
      <c r="H68" s="10"/>
      <c r="I68" s="2"/>
      <c r="J68" s="10"/>
      <c r="K68" s="2"/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22</v>
      </c>
      <c r="B72" s="9" t="s">
        <v>53</v>
      </c>
      <c r="C72" s="9" t="s">
        <v>54</v>
      </c>
      <c r="D72" s="10"/>
      <c r="E72" s="2"/>
      <c r="F72" s="10"/>
      <c r="G72" s="2"/>
      <c r="H72" s="10"/>
      <c r="I72" s="2"/>
      <c r="J72" s="10"/>
      <c r="K72" s="2"/>
    </row>
    <row r="73">
      <c r="A73" s="8" t="s">
        <v>23</v>
      </c>
      <c r="B73" s="9" t="s">
        <v>53</v>
      </c>
      <c r="C73" s="9" t="s">
        <v>54</v>
      </c>
      <c r="D73" s="10" t="s">
        <v>31</v>
      </c>
      <c r="E73" s="2" t="n">
        <f>102025</f>
        <v>102025.0</v>
      </c>
      <c r="F73" s="10" t="s">
        <v>31</v>
      </c>
      <c r="G73" s="2" t="n">
        <f>1962650671896</f>
        <v>1.962650671896E12</v>
      </c>
      <c r="H73" s="10"/>
      <c r="I73" s="2" t="n">
        <f>22975</f>
        <v>22975.0</v>
      </c>
      <c r="J73" s="10" t="s">
        <v>31</v>
      </c>
      <c r="K73" s="2" t="n">
        <f>525915</f>
        <v>525915.0</v>
      </c>
    </row>
    <row r="74">
      <c r="A74" s="8" t="s">
        <v>25</v>
      </c>
      <c r="B74" s="9" t="s">
        <v>53</v>
      </c>
      <c r="C74" s="9" t="s">
        <v>54</v>
      </c>
      <c r="D74" s="10"/>
      <c r="E74" s="2" t="n">
        <f>60065</f>
        <v>60065.0</v>
      </c>
      <c r="F74" s="10"/>
      <c r="G74" s="2" t="n">
        <f>1159286544990</f>
        <v>1.15928654499E12</v>
      </c>
      <c r="H74" s="10"/>
      <c r="I74" s="2" t="n">
        <f>14225</f>
        <v>14225.0</v>
      </c>
      <c r="J74" s="10"/>
      <c r="K74" s="2" t="n">
        <f>521619</f>
        <v>521619.0</v>
      </c>
    </row>
    <row r="75">
      <c r="A75" s="8" t="s">
        <v>26</v>
      </c>
      <c r="B75" s="9" t="s">
        <v>53</v>
      </c>
      <c r="C75" s="9" t="s">
        <v>54</v>
      </c>
      <c r="D75" s="10"/>
      <c r="E75" s="2"/>
      <c r="F75" s="10"/>
      <c r="G75" s="2"/>
      <c r="H75" s="10"/>
      <c r="I75" s="2"/>
      <c r="J75" s="10"/>
      <c r="K75" s="2"/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 t="n">
        <f>56887</f>
        <v>56887.0</v>
      </c>
      <c r="F77" s="10"/>
      <c r="G77" s="2" t="n">
        <f>1105648722930</f>
        <v>1.10564872293E12</v>
      </c>
      <c r="H77" s="10" t="s">
        <v>24</v>
      </c>
      <c r="I77" s="2" t="n">
        <f>8917</f>
        <v>8917.0</v>
      </c>
      <c r="J77" s="10"/>
      <c r="K77" s="2" t="n">
        <f>522506</f>
        <v>522506.0</v>
      </c>
    </row>
    <row r="78">
      <c r="A78" s="8" t="s">
        <v>29</v>
      </c>
      <c r="B78" s="9" t="s">
        <v>53</v>
      </c>
      <c r="C78" s="9" t="s">
        <v>54</v>
      </c>
      <c r="D78" s="10"/>
      <c r="E78" s="2" t="n">
        <f>84802</f>
        <v>84802.0</v>
      </c>
      <c r="F78" s="10"/>
      <c r="G78" s="2" t="n">
        <f>1626813367300</f>
        <v>1.6268133673E12</v>
      </c>
      <c r="H78" s="10"/>
      <c r="I78" s="2" t="n">
        <f>14541</f>
        <v>14541.0</v>
      </c>
      <c r="J78" s="10"/>
      <c r="K78" s="2" t="n">
        <f>521234</f>
        <v>521234.0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99612</f>
        <v>99612.0</v>
      </c>
      <c r="F79" s="10"/>
      <c r="G79" s="2" t="n">
        <f>1878172392300</f>
        <v>1.8781723923E12</v>
      </c>
      <c r="H79" s="10"/>
      <c r="I79" s="2" t="n">
        <f>17777</f>
        <v>17777.0</v>
      </c>
      <c r="J79" s="10"/>
      <c r="K79" s="2" t="n">
        <f>522851</f>
        <v>522851.0</v>
      </c>
    </row>
    <row r="80">
      <c r="A80" s="8" t="s">
        <v>32</v>
      </c>
      <c r="B80" s="9" t="s">
        <v>53</v>
      </c>
      <c r="C80" s="9" t="s">
        <v>54</v>
      </c>
      <c r="D80" s="10"/>
      <c r="E80" s="2" t="n">
        <f>86967</f>
        <v>86967.0</v>
      </c>
      <c r="F80" s="10"/>
      <c r="G80" s="2" t="n">
        <f>1619770302012</f>
        <v>1.619770302012E12</v>
      </c>
      <c r="H80" s="10"/>
      <c r="I80" s="2" t="n">
        <f>14937</f>
        <v>14937.0</v>
      </c>
      <c r="J80" s="10"/>
      <c r="K80" s="2" t="n">
        <f>522553</f>
        <v>522553.0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76934</f>
        <v>76934.0</v>
      </c>
      <c r="F81" s="10"/>
      <c r="G81" s="2" t="n">
        <f>1440427985150</f>
        <v>1.44042798515E12</v>
      </c>
      <c r="H81" s="10"/>
      <c r="I81" s="2" t="n">
        <f>16411</f>
        <v>16411.0</v>
      </c>
      <c r="J81" s="10"/>
      <c r="K81" s="2" t="n">
        <f>519020</f>
        <v>519020.0</v>
      </c>
    </row>
    <row r="82">
      <c r="A82" s="8" t="s">
        <v>34</v>
      </c>
      <c r="B82" s="9" t="s">
        <v>53</v>
      </c>
      <c r="C82" s="9" t="s">
        <v>54</v>
      </c>
      <c r="D82" s="10"/>
      <c r="E82" s="2"/>
      <c r="F82" s="10"/>
      <c r="G82" s="2"/>
      <c r="H82" s="10"/>
      <c r="I82" s="2"/>
      <c r="J82" s="10"/>
      <c r="K82" s="2"/>
    </row>
    <row r="83">
      <c r="A83" s="8" t="s">
        <v>35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36</v>
      </c>
      <c r="B84" s="9" t="s">
        <v>53</v>
      </c>
      <c r="C84" s="9" t="s">
        <v>54</v>
      </c>
      <c r="D84" s="10"/>
      <c r="E84" s="2" t="n">
        <f>52264</f>
        <v>52264.0</v>
      </c>
      <c r="F84" s="10"/>
      <c r="G84" s="2" t="n">
        <f>983797789509</f>
        <v>9.83797789509E11</v>
      </c>
      <c r="H84" s="10"/>
      <c r="I84" s="2" t="n">
        <f>11628</f>
        <v>11628.0</v>
      </c>
      <c r="J84" s="10"/>
      <c r="K84" s="2" t="n">
        <f>518513</f>
        <v>518513.0</v>
      </c>
    </row>
    <row r="85">
      <c r="A85" s="8" t="s">
        <v>37</v>
      </c>
      <c r="B85" s="9" t="s">
        <v>53</v>
      </c>
      <c r="C85" s="9" t="s">
        <v>54</v>
      </c>
      <c r="D85" s="10"/>
      <c r="E85" s="2" t="n">
        <f>57261</f>
        <v>57261.0</v>
      </c>
      <c r="F85" s="10"/>
      <c r="G85" s="2" t="n">
        <f>1086848733000</f>
        <v>1.086848733E12</v>
      </c>
      <c r="H85" s="10"/>
      <c r="I85" s="2" t="n">
        <f>14691</f>
        <v>14691.0</v>
      </c>
      <c r="J85" s="10"/>
      <c r="K85" s="2" t="n">
        <f>516301</f>
        <v>516301.0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66680</f>
        <v>66680.0</v>
      </c>
      <c r="F86" s="10"/>
      <c r="G86" s="2" t="n">
        <f>1262640834352</f>
        <v>1.262640834352E12</v>
      </c>
      <c r="H86" s="10"/>
      <c r="I86" s="2" t="n">
        <f>16258</f>
        <v>16258.0</v>
      </c>
      <c r="J86" s="10"/>
      <c r="K86" s="2" t="n">
        <f>513915</f>
        <v>513915.0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60928</f>
        <v>60928.0</v>
      </c>
      <c r="F87" s="10"/>
      <c r="G87" s="2" t="n">
        <f>1152089457030</f>
        <v>1.15208945703E12</v>
      </c>
      <c r="H87" s="10"/>
      <c r="I87" s="2" t="n">
        <f>11326</f>
        <v>11326.0</v>
      </c>
      <c r="J87" s="10"/>
      <c r="K87" s="2" t="n">
        <f>512990</f>
        <v>512990.0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57592</f>
        <v>57592.0</v>
      </c>
      <c r="F88" s="10"/>
      <c r="G88" s="2" t="n">
        <f>1094515913984</f>
        <v>1.094515913984E12</v>
      </c>
      <c r="H88" s="10"/>
      <c r="I88" s="2" t="n">
        <f>15202</f>
        <v>15202.0</v>
      </c>
      <c r="J88" s="10" t="s">
        <v>24</v>
      </c>
      <c r="K88" s="2" t="n">
        <f>511078</f>
        <v>511078.0</v>
      </c>
    </row>
    <row r="89">
      <c r="A89" s="8" t="s">
        <v>41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 t="n">
        <f>52085</f>
        <v>52085.0</v>
      </c>
      <c r="F91" s="10"/>
      <c r="G91" s="2" t="n">
        <f>995923218426</f>
        <v>9.95923218426E11</v>
      </c>
      <c r="H91" s="10"/>
      <c r="I91" s="2" t="n">
        <f>12087</f>
        <v>12087.0</v>
      </c>
      <c r="J91" s="10"/>
      <c r="K91" s="2" t="n">
        <f>512887</f>
        <v>512887.0</v>
      </c>
    </row>
    <row r="92">
      <c r="A92" s="8" t="s">
        <v>44</v>
      </c>
      <c r="B92" s="9" t="s">
        <v>53</v>
      </c>
      <c r="C92" s="9" t="s">
        <v>54</v>
      </c>
      <c r="D92" s="10" t="s">
        <v>24</v>
      </c>
      <c r="E92" s="2" t="n">
        <f>46075</f>
        <v>46075.0</v>
      </c>
      <c r="F92" s="10" t="s">
        <v>24</v>
      </c>
      <c r="G92" s="2" t="n">
        <f>883584098400</f>
        <v>8.835840984E11</v>
      </c>
      <c r="H92" s="10"/>
      <c r="I92" s="2" t="n">
        <f>10599</f>
        <v>10599.0</v>
      </c>
      <c r="J92" s="10"/>
      <c r="K92" s="2" t="n">
        <f>511741</f>
        <v>511741.0</v>
      </c>
    </row>
    <row r="93">
      <c r="A93" s="8" t="s">
        <v>45</v>
      </c>
      <c r="B93" s="9" t="s">
        <v>53</v>
      </c>
      <c r="C93" s="9" t="s">
        <v>54</v>
      </c>
      <c r="D93" s="10"/>
      <c r="E93" s="2" t="n">
        <f>49958</f>
        <v>49958.0</v>
      </c>
      <c r="F93" s="10"/>
      <c r="G93" s="2" t="n">
        <f>958580166050</f>
        <v>9.5858016605E11</v>
      </c>
      <c r="H93" s="10"/>
      <c r="I93" s="2" t="n">
        <f>11441</f>
        <v>11441.0</v>
      </c>
      <c r="J93" s="10"/>
      <c r="K93" s="2" t="n">
        <f>514395</f>
        <v>514395.0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66173</f>
        <v>66173.0</v>
      </c>
      <c r="F94" s="10"/>
      <c r="G94" s="2" t="n">
        <f>1264977454398</f>
        <v>1.264977454398E12</v>
      </c>
      <c r="H94" s="10"/>
      <c r="I94" s="2" t="n">
        <f>14954</f>
        <v>14954.0</v>
      </c>
      <c r="J94" s="10"/>
      <c r="K94" s="2" t="n">
        <f>512910</f>
        <v>512910.0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85603</f>
        <v>85603.0</v>
      </c>
      <c r="F95" s="10"/>
      <c r="G95" s="2" t="n">
        <f>1661132977300</f>
        <v>1.6611329773E12</v>
      </c>
      <c r="H95" s="10"/>
      <c r="I95" s="2" t="n">
        <f>18536</f>
        <v>18536.0</v>
      </c>
      <c r="J95" s="10"/>
      <c r="K95" s="2" t="n">
        <f>511219</f>
        <v>511219.0</v>
      </c>
    </row>
    <row r="96">
      <c r="A96" s="8" t="s">
        <v>48</v>
      </c>
      <c r="B96" s="9" t="s">
        <v>53</v>
      </c>
      <c r="C96" s="9" t="s">
        <v>54</v>
      </c>
      <c r="D96" s="10"/>
      <c r="E96" s="2"/>
      <c r="F96" s="10"/>
      <c r="G96" s="2"/>
      <c r="H96" s="10"/>
      <c r="I96" s="2"/>
      <c r="J96" s="10"/>
      <c r="K96" s="2"/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 t="n">
        <f>74865</f>
        <v>74865.0</v>
      </c>
      <c r="F98" s="10"/>
      <c r="G98" s="2" t="n">
        <f>1446057515469</f>
        <v>1.446057515469E12</v>
      </c>
      <c r="H98" s="10" t="s">
        <v>31</v>
      </c>
      <c r="I98" s="2" t="n">
        <f>23471</f>
        <v>23471.0</v>
      </c>
      <c r="J98" s="10"/>
      <c r="K98" s="2" t="n">
        <f>516804</f>
        <v>516804.0</v>
      </c>
    </row>
    <row r="99">
      <c r="A99" s="8" t="s">
        <v>16</v>
      </c>
      <c r="B99" s="9" t="s">
        <v>55</v>
      </c>
      <c r="C99" s="9" t="s">
        <v>56</v>
      </c>
      <c r="D99" s="10"/>
      <c r="E99" s="2"/>
      <c r="F99" s="10"/>
      <c r="G99" s="2"/>
      <c r="H99" s="10"/>
      <c r="I99" s="2"/>
      <c r="J99" s="10"/>
      <c r="K99" s="2"/>
    </row>
    <row r="100">
      <c r="A100" s="8" t="s">
        <v>19</v>
      </c>
      <c r="B100" s="9" t="s">
        <v>55</v>
      </c>
      <c r="C100" s="9" t="s">
        <v>56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55</v>
      </c>
      <c r="C102" s="9" t="s">
        <v>56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22</v>
      </c>
      <c r="B103" s="9" t="s">
        <v>55</v>
      </c>
      <c r="C103" s="9" t="s">
        <v>56</v>
      </c>
      <c r="D103" s="10"/>
      <c r="E103" s="2"/>
      <c r="F103" s="10"/>
      <c r="G103" s="2"/>
      <c r="H103" s="10"/>
      <c r="I103" s="2"/>
      <c r="J103" s="10"/>
      <c r="K103" s="2"/>
    </row>
    <row r="104">
      <c r="A104" s="8" t="s">
        <v>23</v>
      </c>
      <c r="B104" s="9" t="s">
        <v>55</v>
      </c>
      <c r="C104" s="9" t="s">
        <v>56</v>
      </c>
      <c r="D104" s="10"/>
      <c r="E104" s="2" t="n">
        <f>39454</f>
        <v>39454.0</v>
      </c>
      <c r="F104" s="10"/>
      <c r="G104" s="2" t="n">
        <f>75897015275</f>
        <v>7.5897015275E10</v>
      </c>
      <c r="H104" s="10"/>
      <c r="I104" s="2" t="n">
        <f>3062</f>
        <v>3062.0</v>
      </c>
      <c r="J104" s="10" t="s">
        <v>24</v>
      </c>
      <c r="K104" s="2" t="n">
        <f>56379</f>
        <v>56379.0</v>
      </c>
    </row>
    <row r="105">
      <c r="A105" s="8" t="s">
        <v>25</v>
      </c>
      <c r="B105" s="9" t="s">
        <v>55</v>
      </c>
      <c r="C105" s="9" t="s">
        <v>56</v>
      </c>
      <c r="D105" s="10"/>
      <c r="E105" s="2" t="n">
        <f>30785</f>
        <v>30785.0</v>
      </c>
      <c r="F105" s="10"/>
      <c r="G105" s="2" t="n">
        <f>59389687825</f>
        <v>5.9389687825E10</v>
      </c>
      <c r="H105" s="10"/>
      <c r="I105" s="2" t="n">
        <f>2877</f>
        <v>2877.0</v>
      </c>
      <c r="J105" s="10"/>
      <c r="K105" s="2" t="n">
        <f>56431</f>
        <v>56431.0</v>
      </c>
    </row>
    <row r="106">
      <c r="A106" s="8" t="s">
        <v>26</v>
      </c>
      <c r="B106" s="9" t="s">
        <v>55</v>
      </c>
      <c r="C106" s="9" t="s">
        <v>56</v>
      </c>
      <c r="D106" s="10"/>
      <c r="E106" s="2"/>
      <c r="F106" s="10"/>
      <c r="G106" s="2"/>
      <c r="H106" s="10"/>
      <c r="I106" s="2"/>
      <c r="J106" s="10"/>
      <c r="K106" s="2"/>
    </row>
    <row r="107">
      <c r="A107" s="8" t="s">
        <v>27</v>
      </c>
      <c r="B107" s="9" t="s">
        <v>55</v>
      </c>
      <c r="C107" s="9" t="s">
        <v>56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55</v>
      </c>
      <c r="C108" s="9" t="s">
        <v>56</v>
      </c>
      <c r="D108" s="10"/>
      <c r="E108" s="2" t="n">
        <f>30413</f>
        <v>30413.0</v>
      </c>
      <c r="F108" s="10"/>
      <c r="G108" s="2" t="n">
        <f>59181259200</f>
        <v>5.91812592E10</v>
      </c>
      <c r="H108" s="10"/>
      <c r="I108" s="2" t="n">
        <f>2643</f>
        <v>2643.0</v>
      </c>
      <c r="J108" s="10"/>
      <c r="K108" s="2" t="n">
        <f>57242</f>
        <v>57242.0</v>
      </c>
    </row>
    <row r="109">
      <c r="A109" s="8" t="s">
        <v>29</v>
      </c>
      <c r="B109" s="9" t="s">
        <v>55</v>
      </c>
      <c r="C109" s="9" t="s">
        <v>56</v>
      </c>
      <c r="D109" s="10"/>
      <c r="E109" s="2" t="n">
        <f>41733</f>
        <v>41733.0</v>
      </c>
      <c r="F109" s="10"/>
      <c r="G109" s="2" t="n">
        <f>80149765020</f>
        <v>8.014976502E10</v>
      </c>
      <c r="H109" s="10"/>
      <c r="I109" s="2" t="n">
        <f>4516</f>
        <v>4516.0</v>
      </c>
      <c r="J109" s="10"/>
      <c r="K109" s="2" t="n">
        <f>58427</f>
        <v>58427.0</v>
      </c>
    </row>
    <row r="110">
      <c r="A110" s="8" t="s">
        <v>30</v>
      </c>
      <c r="B110" s="9" t="s">
        <v>55</v>
      </c>
      <c r="C110" s="9" t="s">
        <v>56</v>
      </c>
      <c r="D110" s="10" t="s">
        <v>31</v>
      </c>
      <c r="E110" s="2" t="n">
        <f>67209</f>
        <v>67209.0</v>
      </c>
      <c r="F110" s="10" t="s">
        <v>31</v>
      </c>
      <c r="G110" s="2" t="n">
        <f>126719252925</f>
        <v>1.26719252925E11</v>
      </c>
      <c r="H110" s="10" t="s">
        <v>31</v>
      </c>
      <c r="I110" s="2" t="n">
        <f>6883</f>
        <v>6883.0</v>
      </c>
      <c r="J110" s="10"/>
      <c r="K110" s="2" t="n">
        <f>59374</f>
        <v>59374.0</v>
      </c>
    </row>
    <row r="111">
      <c r="A111" s="8" t="s">
        <v>32</v>
      </c>
      <c r="B111" s="9" t="s">
        <v>55</v>
      </c>
      <c r="C111" s="9" t="s">
        <v>56</v>
      </c>
      <c r="D111" s="10"/>
      <c r="E111" s="2" t="n">
        <f>64543</f>
        <v>64543.0</v>
      </c>
      <c r="F111" s="10"/>
      <c r="G111" s="2" t="n">
        <f>120281826200</f>
        <v>1.202818262E11</v>
      </c>
      <c r="H111" s="10"/>
      <c r="I111" s="2" t="n">
        <f>5428</f>
        <v>5428.0</v>
      </c>
      <c r="J111" s="10"/>
      <c r="K111" s="2" t="n">
        <f>62440</f>
        <v>62440.0</v>
      </c>
    </row>
    <row r="112">
      <c r="A112" s="8" t="s">
        <v>33</v>
      </c>
      <c r="B112" s="9" t="s">
        <v>55</v>
      </c>
      <c r="C112" s="9" t="s">
        <v>56</v>
      </c>
      <c r="D112" s="10"/>
      <c r="E112" s="2" t="n">
        <f>48555</f>
        <v>48555.0</v>
      </c>
      <c r="F112" s="10"/>
      <c r="G112" s="2" t="n">
        <f>90725161200</f>
        <v>9.07251612E10</v>
      </c>
      <c r="H112" s="10"/>
      <c r="I112" s="2" t="n">
        <f>4588</f>
        <v>4588.0</v>
      </c>
      <c r="J112" s="10"/>
      <c r="K112" s="2" t="n">
        <f>64683</f>
        <v>64683.0</v>
      </c>
    </row>
    <row r="113">
      <c r="A113" s="8" t="s">
        <v>34</v>
      </c>
      <c r="B113" s="9" t="s">
        <v>55</v>
      </c>
      <c r="C113" s="9" t="s">
        <v>56</v>
      </c>
      <c r="D113" s="10"/>
      <c r="E113" s="2"/>
      <c r="F113" s="10"/>
      <c r="G113" s="2"/>
      <c r="H113" s="10"/>
      <c r="I113" s="2"/>
      <c r="J113" s="10"/>
      <c r="K113" s="2"/>
    </row>
    <row r="114">
      <c r="A114" s="8" t="s">
        <v>35</v>
      </c>
      <c r="B114" s="9" t="s">
        <v>55</v>
      </c>
      <c r="C114" s="9" t="s">
        <v>56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36</v>
      </c>
      <c r="B115" s="9" t="s">
        <v>55</v>
      </c>
      <c r="C115" s="9" t="s">
        <v>56</v>
      </c>
      <c r="D115" s="10"/>
      <c r="E115" s="2" t="n">
        <f>34300</f>
        <v>34300.0</v>
      </c>
      <c r="F115" s="10"/>
      <c r="G115" s="2" t="n">
        <f>64555028250</f>
        <v>6.455502825E10</v>
      </c>
      <c r="H115" s="10"/>
      <c r="I115" s="2" t="n">
        <f>3247</f>
        <v>3247.0</v>
      </c>
      <c r="J115" s="10"/>
      <c r="K115" s="2" t="n">
        <f>65208</f>
        <v>65208.0</v>
      </c>
    </row>
    <row r="116">
      <c r="A116" s="8" t="s">
        <v>37</v>
      </c>
      <c r="B116" s="9" t="s">
        <v>55</v>
      </c>
      <c r="C116" s="9" t="s">
        <v>56</v>
      </c>
      <c r="D116" s="10"/>
      <c r="E116" s="2" t="n">
        <f>32634</f>
        <v>32634.0</v>
      </c>
      <c r="F116" s="10"/>
      <c r="G116" s="2" t="n">
        <f>61874692620</f>
        <v>6.187469262E10</v>
      </c>
      <c r="H116" s="10"/>
      <c r="I116" s="2" t="n">
        <f>2909</f>
        <v>2909.0</v>
      </c>
      <c r="J116" s="10"/>
      <c r="K116" s="2" t="n">
        <f>64878</f>
        <v>64878.0</v>
      </c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35780</f>
        <v>35780.0</v>
      </c>
      <c r="F117" s="10"/>
      <c r="G117" s="2" t="n">
        <f>67741956650</f>
        <v>6.774195665E10</v>
      </c>
      <c r="H117" s="10"/>
      <c r="I117" s="2" t="n">
        <f>3129</f>
        <v>3129.0</v>
      </c>
      <c r="J117" s="10"/>
      <c r="K117" s="2" t="n">
        <f>65985</f>
        <v>65985.0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35202</f>
        <v>35202.0</v>
      </c>
      <c r="F118" s="10"/>
      <c r="G118" s="2" t="n">
        <f>66562018700</f>
        <v>6.65620187E10</v>
      </c>
      <c r="H118" s="10"/>
      <c r="I118" s="2" t="n">
        <f>3300</f>
        <v>3300.0</v>
      </c>
      <c r="J118" s="10"/>
      <c r="K118" s="2" t="n">
        <f>65830</f>
        <v>65830.0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30959</f>
        <v>30959.0</v>
      </c>
      <c r="F119" s="10"/>
      <c r="G119" s="2" t="n">
        <f>58821926700</f>
        <v>5.88219267E10</v>
      </c>
      <c r="H119" s="10"/>
      <c r="I119" s="2" t="n">
        <f>3504</f>
        <v>3504.0</v>
      </c>
      <c r="J119" s="10" t="s">
        <v>31</v>
      </c>
      <c r="K119" s="2" t="n">
        <f>67555</f>
        <v>67555.0</v>
      </c>
    </row>
    <row r="120">
      <c r="A120" s="8" t="s">
        <v>41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42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55</v>
      </c>
      <c r="C122" s="9" t="s">
        <v>56</v>
      </c>
      <c r="D122" s="10"/>
      <c r="E122" s="2" t="n">
        <f>28478</f>
        <v>28478.0</v>
      </c>
      <c r="F122" s="10"/>
      <c r="G122" s="2" t="n">
        <f>54460934275</f>
        <v>5.4460934275E10</v>
      </c>
      <c r="H122" s="10"/>
      <c r="I122" s="2" t="n">
        <f>2738</f>
        <v>2738.0</v>
      </c>
      <c r="J122" s="10"/>
      <c r="K122" s="2" t="n">
        <f>67397</f>
        <v>67397.0</v>
      </c>
    </row>
    <row r="123">
      <c r="A123" s="8" t="s">
        <v>44</v>
      </c>
      <c r="B123" s="9" t="s">
        <v>55</v>
      </c>
      <c r="C123" s="9" t="s">
        <v>56</v>
      </c>
      <c r="D123" s="10" t="s">
        <v>24</v>
      </c>
      <c r="E123" s="2" t="n">
        <f>20822</f>
        <v>20822.0</v>
      </c>
      <c r="F123" s="10" t="s">
        <v>24</v>
      </c>
      <c r="G123" s="2" t="n">
        <f>39922784550</f>
        <v>3.992278455E10</v>
      </c>
      <c r="H123" s="10" t="s">
        <v>24</v>
      </c>
      <c r="I123" s="2" t="n">
        <f>1647</f>
        <v>1647.0</v>
      </c>
      <c r="J123" s="10"/>
      <c r="K123" s="2" t="n">
        <f>65880</f>
        <v>65880.0</v>
      </c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25303</f>
        <v>25303.0</v>
      </c>
      <c r="F124" s="10"/>
      <c r="G124" s="2" t="n">
        <f>48538959500</f>
        <v>4.85389595E10</v>
      </c>
      <c r="H124" s="10"/>
      <c r="I124" s="2" t="n">
        <f>3343</f>
        <v>3343.0</v>
      </c>
      <c r="J124" s="10"/>
      <c r="K124" s="2" t="n">
        <f>66324</f>
        <v>66324.0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37161</f>
        <v>37161.0</v>
      </c>
      <c r="F125" s="10"/>
      <c r="G125" s="2" t="n">
        <f>71058312210</f>
        <v>7.105831221E10</v>
      </c>
      <c r="H125" s="10"/>
      <c r="I125" s="2" t="n">
        <f>3587</f>
        <v>3587.0</v>
      </c>
      <c r="J125" s="10"/>
      <c r="K125" s="2" t="n">
        <f>66853</f>
        <v>66853.0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39795</f>
        <v>39795.0</v>
      </c>
      <c r="F126" s="10"/>
      <c r="G126" s="2" t="n">
        <f>77199657235</f>
        <v>7.7199657235E10</v>
      </c>
      <c r="H126" s="10"/>
      <c r="I126" s="2" t="n">
        <f>4571</f>
        <v>4571.0</v>
      </c>
      <c r="J126" s="10"/>
      <c r="K126" s="2" t="n">
        <f>63449</f>
        <v>63449.0</v>
      </c>
    </row>
    <row r="127">
      <c r="A127" s="8" t="s">
        <v>48</v>
      </c>
      <c r="B127" s="9" t="s">
        <v>55</v>
      </c>
      <c r="C127" s="9" t="s">
        <v>56</v>
      </c>
      <c r="D127" s="10"/>
      <c r="E127" s="2"/>
      <c r="F127" s="10"/>
      <c r="G127" s="2"/>
      <c r="H127" s="10"/>
      <c r="I127" s="2"/>
      <c r="J127" s="10"/>
      <c r="K127" s="2"/>
    </row>
    <row r="128">
      <c r="A128" s="8" t="s">
        <v>49</v>
      </c>
      <c r="B128" s="9" t="s">
        <v>55</v>
      </c>
      <c r="C128" s="9" t="s">
        <v>56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55</v>
      </c>
      <c r="C129" s="9" t="s">
        <v>56</v>
      </c>
      <c r="D129" s="10"/>
      <c r="E129" s="2" t="n">
        <f>38930</f>
        <v>38930.0</v>
      </c>
      <c r="F129" s="10"/>
      <c r="G129" s="2" t="n">
        <f>75247642900</f>
        <v>7.52476429E10</v>
      </c>
      <c r="H129" s="10"/>
      <c r="I129" s="2" t="n">
        <f>5200</f>
        <v>5200.0</v>
      </c>
      <c r="J129" s="10"/>
      <c r="K129" s="2" t="n">
        <f>65284</f>
        <v>65284.0</v>
      </c>
    </row>
    <row r="130">
      <c r="A130" s="8" t="s">
        <v>16</v>
      </c>
      <c r="B130" s="9" t="s">
        <v>57</v>
      </c>
      <c r="C130" s="9" t="s">
        <v>58</v>
      </c>
      <c r="D130" s="10"/>
      <c r="E130" s="2"/>
      <c r="F130" s="10"/>
      <c r="G130" s="2"/>
      <c r="H130" s="10"/>
      <c r="I130" s="2"/>
      <c r="J130" s="10"/>
      <c r="K130" s="2"/>
    </row>
    <row r="131">
      <c r="A131" s="8" t="s">
        <v>19</v>
      </c>
      <c r="B131" s="9" t="s">
        <v>57</v>
      </c>
      <c r="C131" s="9" t="s">
        <v>58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57</v>
      </c>
      <c r="C133" s="9" t="s">
        <v>58</v>
      </c>
      <c r="D133" s="10"/>
      <c r="E133" s="2"/>
      <c r="F133" s="10"/>
      <c r="G133" s="2"/>
      <c r="H133" s="10"/>
      <c r="I133" s="2"/>
      <c r="J133" s="10"/>
      <c r="K133" s="2"/>
    </row>
    <row r="134">
      <c r="A134" s="8" t="s">
        <v>22</v>
      </c>
      <c r="B134" s="9" t="s">
        <v>57</v>
      </c>
      <c r="C134" s="9" t="s">
        <v>58</v>
      </c>
      <c r="D134" s="10"/>
      <c r="E134" s="2"/>
      <c r="F134" s="10"/>
      <c r="G134" s="2"/>
      <c r="H134" s="10"/>
      <c r="I134" s="2"/>
      <c r="J134" s="10"/>
      <c r="K134" s="2"/>
    </row>
    <row r="135">
      <c r="A135" s="8" t="s">
        <v>23</v>
      </c>
      <c r="B135" s="9" t="s">
        <v>57</v>
      </c>
      <c r="C135" s="9" t="s">
        <v>58</v>
      </c>
      <c r="D135" s="10"/>
      <c r="E135" s="2" t="n">
        <f>16730</f>
        <v>16730.0</v>
      </c>
      <c r="F135" s="10"/>
      <c r="G135" s="2" t="n">
        <f>28963503941</f>
        <v>2.8963503941E10</v>
      </c>
      <c r="H135" s="10"/>
      <c r="I135" s="2" t="n">
        <f>1396</f>
        <v>1396.0</v>
      </c>
      <c r="J135" s="10"/>
      <c r="K135" s="2" t="n">
        <f>99260</f>
        <v>99260.0</v>
      </c>
    </row>
    <row r="136">
      <c r="A136" s="8" t="s">
        <v>25</v>
      </c>
      <c r="B136" s="9" t="s">
        <v>57</v>
      </c>
      <c r="C136" s="9" t="s">
        <v>58</v>
      </c>
      <c r="D136" s="10"/>
      <c r="E136" s="2" t="n">
        <f>14112</f>
        <v>14112.0</v>
      </c>
      <c r="F136" s="10"/>
      <c r="G136" s="2" t="n">
        <f>24559275000</f>
        <v>2.4559275E10</v>
      </c>
      <c r="H136" s="10"/>
      <c r="I136" s="2" t="n">
        <f>501</f>
        <v>501.0</v>
      </c>
      <c r="J136" s="10" t="s">
        <v>24</v>
      </c>
      <c r="K136" s="2" t="n">
        <f>98195</f>
        <v>98195.0</v>
      </c>
    </row>
    <row r="137">
      <c r="A137" s="8" t="s">
        <v>26</v>
      </c>
      <c r="B137" s="9" t="s">
        <v>57</v>
      </c>
      <c r="C137" s="9" t="s">
        <v>58</v>
      </c>
      <c r="D137" s="10"/>
      <c r="E137" s="2"/>
      <c r="F137" s="10"/>
      <c r="G137" s="2"/>
      <c r="H137" s="10"/>
      <c r="I137" s="2"/>
      <c r="J137" s="10"/>
      <c r="K137" s="2"/>
    </row>
    <row r="138">
      <c r="A138" s="8" t="s">
        <v>27</v>
      </c>
      <c r="B138" s="9" t="s">
        <v>57</v>
      </c>
      <c r="C138" s="9" t="s">
        <v>58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57</v>
      </c>
      <c r="C139" s="9" t="s">
        <v>58</v>
      </c>
      <c r="D139" s="10"/>
      <c r="E139" s="2" t="n">
        <f>14719</f>
        <v>14719.0</v>
      </c>
      <c r="F139" s="10"/>
      <c r="G139" s="2" t="n">
        <f>25824335932</f>
        <v>2.5824335932E10</v>
      </c>
      <c r="H139" s="10"/>
      <c r="I139" s="2" t="n">
        <f>1109</f>
        <v>1109.0</v>
      </c>
      <c r="J139" s="10"/>
      <c r="K139" s="2" t="n">
        <f>98305</f>
        <v>98305.0</v>
      </c>
    </row>
    <row r="140">
      <c r="A140" s="8" t="s">
        <v>29</v>
      </c>
      <c r="B140" s="9" t="s">
        <v>57</v>
      </c>
      <c r="C140" s="9" t="s">
        <v>58</v>
      </c>
      <c r="D140" s="10"/>
      <c r="E140" s="2" t="n">
        <f>15148</f>
        <v>15148.0</v>
      </c>
      <c r="F140" s="10"/>
      <c r="G140" s="2" t="n">
        <f>26261513685</f>
        <v>2.6261513685E10</v>
      </c>
      <c r="H140" s="10"/>
      <c r="I140" s="2" t="n">
        <f>867</f>
        <v>867.0</v>
      </c>
      <c r="J140" s="10"/>
      <c r="K140" s="2" t="n">
        <f>98371</f>
        <v>98371.0</v>
      </c>
    </row>
    <row r="141">
      <c r="A141" s="8" t="s">
        <v>30</v>
      </c>
      <c r="B141" s="9" t="s">
        <v>57</v>
      </c>
      <c r="C141" s="9" t="s">
        <v>58</v>
      </c>
      <c r="D141" s="10" t="s">
        <v>31</v>
      </c>
      <c r="E141" s="2" t="n">
        <f>31562</f>
        <v>31562.0</v>
      </c>
      <c r="F141" s="10" t="s">
        <v>31</v>
      </c>
      <c r="G141" s="2" t="n">
        <f>53609910055</f>
        <v>5.3609910055E10</v>
      </c>
      <c r="H141" s="10" t="s">
        <v>31</v>
      </c>
      <c r="I141" s="2" t="n">
        <f>1797</f>
        <v>1797.0</v>
      </c>
      <c r="J141" s="10"/>
      <c r="K141" s="2" t="n">
        <f>99295</f>
        <v>99295.0</v>
      </c>
    </row>
    <row r="142">
      <c r="A142" s="8" t="s">
        <v>32</v>
      </c>
      <c r="B142" s="9" t="s">
        <v>57</v>
      </c>
      <c r="C142" s="9" t="s">
        <v>58</v>
      </c>
      <c r="D142" s="10"/>
      <c r="E142" s="2" t="n">
        <f>23198</f>
        <v>23198.0</v>
      </c>
      <c r="F142" s="10"/>
      <c r="G142" s="2" t="n">
        <f>39000357500</f>
        <v>3.90003575E10</v>
      </c>
      <c r="H142" s="10"/>
      <c r="I142" s="2" t="n">
        <f>1574</f>
        <v>1574.0</v>
      </c>
      <c r="J142" s="10" t="s">
        <v>31</v>
      </c>
      <c r="K142" s="2" t="n">
        <f>100827</f>
        <v>100827.0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18856</f>
        <v>18856.0</v>
      </c>
      <c r="F143" s="10"/>
      <c r="G143" s="2" t="n">
        <f>31719283870</f>
        <v>3.171928387E10</v>
      </c>
      <c r="H143" s="10"/>
      <c r="I143" s="2" t="n">
        <f>1061</f>
        <v>1061.0</v>
      </c>
      <c r="J143" s="10"/>
      <c r="K143" s="2" t="n">
        <f>100291</f>
        <v>100291.0</v>
      </c>
    </row>
    <row r="144">
      <c r="A144" s="8" t="s">
        <v>34</v>
      </c>
      <c r="B144" s="9" t="s">
        <v>57</v>
      </c>
      <c r="C144" s="9" t="s">
        <v>58</v>
      </c>
      <c r="D144" s="10"/>
      <c r="E144" s="2"/>
      <c r="F144" s="10"/>
      <c r="G144" s="2"/>
      <c r="H144" s="10"/>
      <c r="I144" s="2"/>
      <c r="J144" s="10"/>
      <c r="K144" s="2"/>
    </row>
    <row r="145">
      <c r="A145" s="8" t="s">
        <v>35</v>
      </c>
      <c r="B145" s="9" t="s">
        <v>57</v>
      </c>
      <c r="C145" s="9" t="s">
        <v>58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36</v>
      </c>
      <c r="B146" s="9" t="s">
        <v>57</v>
      </c>
      <c r="C146" s="9" t="s">
        <v>58</v>
      </c>
      <c r="D146" s="10"/>
      <c r="E146" s="2" t="n">
        <f>12263</f>
        <v>12263.0</v>
      </c>
      <c r="F146" s="10"/>
      <c r="G146" s="2" t="n">
        <f>20842508925</f>
        <v>2.0842508925E10</v>
      </c>
      <c r="H146" s="10"/>
      <c r="I146" s="2" t="n">
        <f>929</f>
        <v>929.0</v>
      </c>
      <c r="J146" s="10"/>
      <c r="K146" s="2" t="n">
        <f>99472</f>
        <v>99472.0</v>
      </c>
    </row>
    <row r="147">
      <c r="A147" s="8" t="s">
        <v>37</v>
      </c>
      <c r="B147" s="9" t="s">
        <v>57</v>
      </c>
      <c r="C147" s="9" t="s">
        <v>58</v>
      </c>
      <c r="D147" s="10"/>
      <c r="E147" s="2" t="n">
        <f>11180</f>
        <v>11180.0</v>
      </c>
      <c r="F147" s="10"/>
      <c r="G147" s="2" t="n">
        <f>19094466583</f>
        <v>1.9094466583E10</v>
      </c>
      <c r="H147" s="10"/>
      <c r="I147" s="2" t="n">
        <f>760</f>
        <v>760.0</v>
      </c>
      <c r="J147" s="10"/>
      <c r="K147" s="2" t="n">
        <f>100370</f>
        <v>100370.0</v>
      </c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9817</f>
        <v>9817.0</v>
      </c>
      <c r="F148" s="10"/>
      <c r="G148" s="2" t="n">
        <f>16793180500</f>
        <v>1.67931805E10</v>
      </c>
      <c r="H148" s="10"/>
      <c r="I148" s="2" t="n">
        <f>769</f>
        <v>769.0</v>
      </c>
      <c r="J148" s="10"/>
      <c r="K148" s="2" t="n">
        <f>100238</f>
        <v>100238.0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15427</f>
        <v>15427.0</v>
      </c>
      <c r="F149" s="10"/>
      <c r="G149" s="2" t="n">
        <f>26317529000</f>
        <v>2.6317529E10</v>
      </c>
      <c r="H149" s="10"/>
      <c r="I149" s="2" t="n">
        <f>513</f>
        <v>513.0</v>
      </c>
      <c r="J149" s="10"/>
      <c r="K149" s="2" t="n">
        <f>98742</f>
        <v>98742.0</v>
      </c>
    </row>
    <row r="150">
      <c r="A150" s="8" t="s">
        <v>40</v>
      </c>
      <c r="B150" s="9" t="s">
        <v>57</v>
      </c>
      <c r="C150" s="9" t="s">
        <v>58</v>
      </c>
      <c r="D150" s="10"/>
      <c r="E150" s="2" t="n">
        <f>10908</f>
        <v>10908.0</v>
      </c>
      <c r="F150" s="10"/>
      <c r="G150" s="2" t="n">
        <f>18683616000</f>
        <v>1.8683616E10</v>
      </c>
      <c r="H150" s="10"/>
      <c r="I150" s="2" t="n">
        <f>325</f>
        <v>325.0</v>
      </c>
      <c r="J150" s="10"/>
      <c r="K150" s="2" t="n">
        <f>98625</f>
        <v>98625.0</v>
      </c>
    </row>
    <row r="151">
      <c r="A151" s="8" t="s">
        <v>41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42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57</v>
      </c>
      <c r="C153" s="9" t="s">
        <v>58</v>
      </c>
      <c r="D153" s="10"/>
      <c r="E153" s="2" t="n">
        <f>9477</f>
        <v>9477.0</v>
      </c>
      <c r="F153" s="10"/>
      <c r="G153" s="2" t="n">
        <f>16345811000</f>
        <v>1.6345811E10</v>
      </c>
      <c r="H153" s="10"/>
      <c r="I153" s="2" t="n">
        <f>992</f>
        <v>992.0</v>
      </c>
      <c r="J153" s="10"/>
      <c r="K153" s="2" t="n">
        <f>99427</f>
        <v>99427.0</v>
      </c>
    </row>
    <row r="154">
      <c r="A154" s="8" t="s">
        <v>44</v>
      </c>
      <c r="B154" s="9" t="s">
        <v>57</v>
      </c>
      <c r="C154" s="9" t="s">
        <v>58</v>
      </c>
      <c r="D154" s="10"/>
      <c r="E154" s="2" t="n">
        <f>10301</f>
        <v>10301.0</v>
      </c>
      <c r="F154" s="10"/>
      <c r="G154" s="2" t="n">
        <f>17826557000</f>
        <v>1.7826557E10</v>
      </c>
      <c r="H154" s="10"/>
      <c r="I154" s="2" t="n">
        <f>1565</f>
        <v>1565.0</v>
      </c>
      <c r="J154" s="10"/>
      <c r="K154" s="2" t="n">
        <f>98715</f>
        <v>98715.0</v>
      </c>
    </row>
    <row r="155">
      <c r="A155" s="8" t="s">
        <v>45</v>
      </c>
      <c r="B155" s="9" t="s">
        <v>57</v>
      </c>
      <c r="C155" s="9" t="s">
        <v>58</v>
      </c>
      <c r="D155" s="10" t="s">
        <v>24</v>
      </c>
      <c r="E155" s="2" t="n">
        <f>8392</f>
        <v>8392.0</v>
      </c>
      <c r="F155" s="10" t="s">
        <v>24</v>
      </c>
      <c r="G155" s="2" t="n">
        <f>14542428500</f>
        <v>1.45424285E10</v>
      </c>
      <c r="H155" s="10"/>
      <c r="I155" s="2" t="n">
        <f>322</f>
        <v>322.0</v>
      </c>
      <c r="J155" s="10"/>
      <c r="K155" s="2" t="n">
        <f>98870</f>
        <v>98870.0</v>
      </c>
    </row>
    <row r="156">
      <c r="A156" s="8" t="s">
        <v>46</v>
      </c>
      <c r="B156" s="9" t="s">
        <v>57</v>
      </c>
      <c r="C156" s="9" t="s">
        <v>58</v>
      </c>
      <c r="D156" s="10"/>
      <c r="E156" s="2" t="n">
        <f>11026</f>
        <v>11026.0</v>
      </c>
      <c r="F156" s="10"/>
      <c r="G156" s="2" t="n">
        <f>19071159000</f>
        <v>1.9071159E10</v>
      </c>
      <c r="H156" s="10" t="s">
        <v>24</v>
      </c>
      <c r="I156" s="2" t="n">
        <f>163</f>
        <v>163.0</v>
      </c>
      <c r="J156" s="10"/>
      <c r="K156" s="2" t="n">
        <f>99162</f>
        <v>99162.0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12738</f>
        <v>12738.0</v>
      </c>
      <c r="F157" s="10"/>
      <c r="G157" s="2" t="n">
        <f>22320420350</f>
        <v>2.232042035E10</v>
      </c>
      <c r="H157" s="10"/>
      <c r="I157" s="2" t="n">
        <f>636</f>
        <v>636.0</v>
      </c>
      <c r="J157" s="10"/>
      <c r="K157" s="2" t="n">
        <f>99619</f>
        <v>99619.0</v>
      </c>
    </row>
    <row r="158">
      <c r="A158" s="8" t="s">
        <v>48</v>
      </c>
      <c r="B158" s="9" t="s">
        <v>57</v>
      </c>
      <c r="C158" s="9" t="s">
        <v>58</v>
      </c>
      <c r="D158" s="10"/>
      <c r="E158" s="2"/>
      <c r="F158" s="10"/>
      <c r="G158" s="2"/>
      <c r="H158" s="10"/>
      <c r="I158" s="2"/>
      <c r="J158" s="10"/>
      <c r="K158" s="2"/>
    </row>
    <row r="159">
      <c r="A159" s="8" t="s">
        <v>49</v>
      </c>
      <c r="B159" s="9" t="s">
        <v>57</v>
      </c>
      <c r="C159" s="9" t="s">
        <v>58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57</v>
      </c>
      <c r="C160" s="9" t="s">
        <v>58</v>
      </c>
      <c r="D160" s="10"/>
      <c r="E160" s="2" t="n">
        <f>12351</f>
        <v>12351.0</v>
      </c>
      <c r="F160" s="10"/>
      <c r="G160" s="2" t="n">
        <f>21614349698</f>
        <v>2.1614349698E10</v>
      </c>
      <c r="H160" s="10"/>
      <c r="I160" s="2" t="n">
        <f>802</f>
        <v>802.0</v>
      </c>
      <c r="J160" s="10"/>
      <c r="K160" s="2" t="n">
        <f>100029</f>
        <v>100029.0</v>
      </c>
    </row>
    <row r="161">
      <c r="A161" s="8" t="s">
        <v>16</v>
      </c>
      <c r="B161" s="9" t="s">
        <v>59</v>
      </c>
      <c r="C161" s="9" t="s">
        <v>60</v>
      </c>
      <c r="D161" s="10"/>
      <c r="E161" s="2"/>
      <c r="F161" s="10"/>
      <c r="G161" s="2"/>
      <c r="H161" s="10"/>
      <c r="I161" s="2"/>
      <c r="J161" s="10"/>
      <c r="K161" s="2"/>
    </row>
    <row r="162">
      <c r="A162" s="8" t="s">
        <v>19</v>
      </c>
      <c r="B162" s="9" t="s">
        <v>59</v>
      </c>
      <c r="C162" s="9" t="s">
        <v>60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59</v>
      </c>
      <c r="C164" s="9" t="s">
        <v>60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22</v>
      </c>
      <c r="B165" s="9" t="s">
        <v>59</v>
      </c>
      <c r="C165" s="9" t="s">
        <v>60</v>
      </c>
      <c r="D165" s="10"/>
      <c r="E165" s="2"/>
      <c r="F165" s="10"/>
      <c r="G165" s="2"/>
      <c r="H165" s="10"/>
      <c r="I165" s="2"/>
      <c r="J165" s="10"/>
      <c r="K165" s="2"/>
    </row>
    <row r="166">
      <c r="A166" s="8" t="s">
        <v>23</v>
      </c>
      <c r="B166" s="9" t="s">
        <v>59</v>
      </c>
      <c r="C166" s="9" t="s">
        <v>60</v>
      </c>
      <c r="D166" s="10" t="s">
        <v>24</v>
      </c>
      <c r="E166" s="2" t="str">
        <f>"－"</f>
        <v>－</v>
      </c>
      <c r="F166" s="10" t="s">
        <v>24</v>
      </c>
      <c r="G166" s="2" t="str">
        <f>"－"</f>
        <v>－</v>
      </c>
      <c r="H166" s="10" t="s">
        <v>61</v>
      </c>
      <c r="I166" s="2" t="str">
        <f>"－"</f>
        <v>－</v>
      </c>
      <c r="J166" s="10" t="s">
        <v>24</v>
      </c>
      <c r="K166" s="2" t="n">
        <f>63</f>
        <v>63.0</v>
      </c>
    </row>
    <row r="167">
      <c r="A167" s="8" t="s">
        <v>25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63</f>
        <v>63.0</v>
      </c>
    </row>
    <row r="168">
      <c r="A168" s="8" t="s">
        <v>26</v>
      </c>
      <c r="B168" s="9" t="s">
        <v>59</v>
      </c>
      <c r="C168" s="9" t="s">
        <v>60</v>
      </c>
      <c r="D168" s="10"/>
      <c r="E168" s="2"/>
      <c r="F168" s="10"/>
      <c r="G168" s="2"/>
      <c r="H168" s="10"/>
      <c r="I168" s="2"/>
      <c r="J168" s="10"/>
      <c r="K168" s="2"/>
    </row>
    <row r="169">
      <c r="A169" s="8" t="s">
        <v>27</v>
      </c>
      <c r="B169" s="9" t="s">
        <v>59</v>
      </c>
      <c r="C169" s="9" t="s">
        <v>60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59</v>
      </c>
      <c r="C170" s="9" t="s">
        <v>60</v>
      </c>
      <c r="D170" s="10"/>
      <c r="E170" s="2" t="str">
        <f>"－"</f>
        <v>－</v>
      </c>
      <c r="F170" s="10"/>
      <c r="G170" s="2" t="str">
        <f>"－"</f>
        <v>－</v>
      </c>
      <c r="H170" s="10"/>
      <c r="I170" s="2" t="str">
        <f>"－"</f>
        <v>－</v>
      </c>
      <c r="J170" s="10"/>
      <c r="K170" s="2" t="n">
        <f>63</f>
        <v>63.0</v>
      </c>
    </row>
    <row r="171">
      <c r="A171" s="8" t="s">
        <v>29</v>
      </c>
      <c r="B171" s="9" t="s">
        <v>59</v>
      </c>
      <c r="C171" s="9" t="s">
        <v>60</v>
      </c>
      <c r="D171" s="10"/>
      <c r="E171" s="2" t="str">
        <f>"－"</f>
        <v>－</v>
      </c>
      <c r="F171" s="10"/>
      <c r="G171" s="2" t="str">
        <f>"－"</f>
        <v>－</v>
      </c>
      <c r="H171" s="10"/>
      <c r="I171" s="2" t="str">
        <f>"－"</f>
        <v>－</v>
      </c>
      <c r="J171" s="10"/>
      <c r="K171" s="2" t="n">
        <f>63</f>
        <v>63.0</v>
      </c>
    </row>
    <row r="172">
      <c r="A172" s="8" t="s">
        <v>30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63</f>
        <v>63.0</v>
      </c>
    </row>
    <row r="173">
      <c r="A173" s="8" t="s">
        <v>32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63</f>
        <v>63.0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63</f>
        <v>63.0</v>
      </c>
    </row>
    <row r="175">
      <c r="A175" s="8" t="s">
        <v>34</v>
      </c>
      <c r="B175" s="9" t="s">
        <v>59</v>
      </c>
      <c r="C175" s="9" t="s">
        <v>60</v>
      </c>
      <c r="D175" s="10"/>
      <c r="E175" s="2"/>
      <c r="F175" s="10"/>
      <c r="G175" s="2"/>
      <c r="H175" s="10"/>
      <c r="I175" s="2"/>
      <c r="J175" s="10"/>
      <c r="K175" s="2"/>
    </row>
    <row r="176">
      <c r="A176" s="8" t="s">
        <v>35</v>
      </c>
      <c r="B176" s="9" t="s">
        <v>59</v>
      </c>
      <c r="C176" s="9" t="s">
        <v>60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36</v>
      </c>
      <c r="B177" s="9" t="s">
        <v>59</v>
      </c>
      <c r="C177" s="9" t="s">
        <v>60</v>
      </c>
      <c r="D177" s="10"/>
      <c r="E177" s="2" t="str">
        <f>"－"</f>
        <v>－</v>
      </c>
      <c r="F177" s="10"/>
      <c r="G177" s="2" t="str">
        <f>"－"</f>
        <v>－</v>
      </c>
      <c r="H177" s="10"/>
      <c r="I177" s="2" t="str">
        <f>"－"</f>
        <v>－</v>
      </c>
      <c r="J177" s="10"/>
      <c r="K177" s="2" t="n">
        <f>63</f>
        <v>63.0</v>
      </c>
    </row>
    <row r="178">
      <c r="A178" s="8" t="s">
        <v>37</v>
      </c>
      <c r="B178" s="9" t="s">
        <v>59</v>
      </c>
      <c r="C178" s="9" t="s">
        <v>60</v>
      </c>
      <c r="D178" s="10"/>
      <c r="E178" s="2" t="str">
        <f>"－"</f>
        <v>－</v>
      </c>
      <c r="F178" s="10"/>
      <c r="G178" s="2" t="str">
        <f>"－"</f>
        <v>－</v>
      </c>
      <c r="H178" s="10"/>
      <c r="I178" s="2" t="str">
        <f>"－"</f>
        <v>－</v>
      </c>
      <c r="J178" s="10"/>
      <c r="K178" s="2" t="n">
        <f>63</f>
        <v>63.0</v>
      </c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63</f>
        <v>63.0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63</f>
        <v>63.0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63</f>
        <v>63.0</v>
      </c>
    </row>
    <row r="182">
      <c r="A182" s="8" t="s">
        <v>41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42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59</v>
      </c>
      <c r="C184" s="9" t="s">
        <v>60</v>
      </c>
      <c r="D184" s="10"/>
      <c r="E184" s="2" t="str">
        <f>"－"</f>
        <v>－</v>
      </c>
      <c r="F184" s="10"/>
      <c r="G184" s="2" t="str">
        <f>"－"</f>
        <v>－</v>
      </c>
      <c r="H184" s="10"/>
      <c r="I184" s="2" t="str">
        <f>"－"</f>
        <v>－</v>
      </c>
      <c r="J184" s="10"/>
      <c r="K184" s="2" t="n">
        <f>63</f>
        <v>63.0</v>
      </c>
    </row>
    <row r="185">
      <c r="A185" s="8" t="s">
        <v>44</v>
      </c>
      <c r="B185" s="9" t="s">
        <v>59</v>
      </c>
      <c r="C185" s="9" t="s">
        <v>60</v>
      </c>
      <c r="D185" s="10"/>
      <c r="E185" s="2" t="str">
        <f>"－"</f>
        <v>－</v>
      </c>
      <c r="F185" s="10"/>
      <c r="G185" s="2" t="str">
        <f>"－"</f>
        <v>－</v>
      </c>
      <c r="H185" s="10"/>
      <c r="I185" s="2" t="str">
        <f>"－"</f>
        <v>－</v>
      </c>
      <c r="J185" s="10"/>
      <c r="K185" s="2" t="n">
        <f>63</f>
        <v>63.0</v>
      </c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63</f>
        <v>63.0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63</f>
        <v>63.0</v>
      </c>
    </row>
    <row r="188">
      <c r="A188" s="8" t="s">
        <v>47</v>
      </c>
      <c r="B188" s="9" t="s">
        <v>59</v>
      </c>
      <c r="C188" s="9" t="s">
        <v>60</v>
      </c>
      <c r="D188" s="10" t="s">
        <v>31</v>
      </c>
      <c r="E188" s="2" t="n">
        <f>2</f>
        <v>2.0</v>
      </c>
      <c r="F188" s="10" t="s">
        <v>31</v>
      </c>
      <c r="G188" s="2" t="n">
        <f>1854000</f>
        <v>1854000.0</v>
      </c>
      <c r="H188" s="10"/>
      <c r="I188" s="2" t="str">
        <f>"－"</f>
        <v>－</v>
      </c>
      <c r="J188" s="10" t="s">
        <v>31</v>
      </c>
      <c r="K188" s="2" t="n">
        <f>65</f>
        <v>65.0</v>
      </c>
    </row>
    <row r="189">
      <c r="A189" s="8" t="s">
        <v>48</v>
      </c>
      <c r="B189" s="9" t="s">
        <v>59</v>
      </c>
      <c r="C189" s="9" t="s">
        <v>60</v>
      </c>
      <c r="D189" s="10"/>
      <c r="E189" s="2"/>
      <c r="F189" s="10"/>
      <c r="G189" s="2"/>
      <c r="H189" s="10"/>
      <c r="I189" s="2"/>
      <c r="J189" s="10"/>
      <c r="K189" s="2"/>
    </row>
    <row r="190">
      <c r="A190" s="8" t="s">
        <v>49</v>
      </c>
      <c r="B190" s="9" t="s">
        <v>59</v>
      </c>
      <c r="C190" s="9" t="s">
        <v>60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59</v>
      </c>
      <c r="C191" s="9" t="s">
        <v>60</v>
      </c>
      <c r="D191" s="10"/>
      <c r="E191" s="2" t="str">
        <f>"－"</f>
        <v>－</v>
      </c>
      <c r="F191" s="10"/>
      <c r="G191" s="2" t="str">
        <f>"－"</f>
        <v>－</v>
      </c>
      <c r="H191" s="10"/>
      <c r="I191" s="2" t="str">
        <f>"－"</f>
        <v>－</v>
      </c>
      <c r="J191" s="10"/>
      <c r="K191" s="2" t="n">
        <f>65</f>
        <v>65.0</v>
      </c>
    </row>
    <row r="192">
      <c r="A192" s="8" t="s">
        <v>16</v>
      </c>
      <c r="B192" s="9" t="s">
        <v>62</v>
      </c>
      <c r="C192" s="9" t="s">
        <v>63</v>
      </c>
      <c r="D192" s="10"/>
      <c r="E192" s="2"/>
      <c r="F192" s="10"/>
      <c r="G192" s="2"/>
      <c r="H192" s="10"/>
      <c r="I192" s="2"/>
      <c r="J192" s="10"/>
      <c r="K192" s="2"/>
    </row>
    <row r="193">
      <c r="A193" s="8" t="s">
        <v>19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62</v>
      </c>
      <c r="C195" s="9" t="s">
        <v>63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22</v>
      </c>
      <c r="B196" s="9" t="s">
        <v>62</v>
      </c>
      <c r="C196" s="9" t="s">
        <v>63</v>
      </c>
      <c r="D196" s="10"/>
      <c r="E196" s="2"/>
      <c r="F196" s="10"/>
      <c r="G196" s="2"/>
      <c r="H196" s="10"/>
      <c r="I196" s="2"/>
      <c r="J196" s="10"/>
      <c r="K196" s="2"/>
    </row>
    <row r="197">
      <c r="A197" s="8" t="s">
        <v>23</v>
      </c>
      <c r="B197" s="9" t="s">
        <v>62</v>
      </c>
      <c r="C197" s="9" t="s">
        <v>63</v>
      </c>
      <c r="D197" s="10" t="s">
        <v>24</v>
      </c>
      <c r="E197" s="2" t="str">
        <f>"－"</f>
        <v>－</v>
      </c>
      <c r="F197" s="10" t="s">
        <v>24</v>
      </c>
      <c r="G197" s="2" t="str">
        <f>"－"</f>
        <v>－</v>
      </c>
      <c r="H197" s="10" t="s">
        <v>24</v>
      </c>
      <c r="I197" s="2" t="str">
        <f>"－"</f>
        <v>－</v>
      </c>
      <c r="J197" s="10" t="s">
        <v>24</v>
      </c>
      <c r="K197" s="2" t="n">
        <f>55063</f>
        <v>55063.0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55063</f>
        <v>55063.0</v>
      </c>
    </row>
    <row r="199">
      <c r="A199" s="8" t="s">
        <v>26</v>
      </c>
      <c r="B199" s="9" t="s">
        <v>62</v>
      </c>
      <c r="C199" s="9" t="s">
        <v>63</v>
      </c>
      <c r="D199" s="10"/>
      <c r="E199" s="2"/>
      <c r="F199" s="10"/>
      <c r="G199" s="2"/>
      <c r="H199" s="10"/>
      <c r="I199" s="2"/>
      <c r="J199" s="10"/>
      <c r="K199" s="2"/>
    </row>
    <row r="200">
      <c r="A200" s="8" t="s">
        <v>27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62</v>
      </c>
      <c r="C201" s="9" t="s">
        <v>63</v>
      </c>
      <c r="D201" s="10"/>
      <c r="E201" s="2" t="str">
        <f>"－"</f>
        <v>－</v>
      </c>
      <c r="F201" s="10"/>
      <c r="G201" s="2" t="str">
        <f>"－"</f>
        <v>－</v>
      </c>
      <c r="H201" s="10"/>
      <c r="I201" s="2" t="str">
        <f>"－"</f>
        <v>－</v>
      </c>
      <c r="J201" s="10"/>
      <c r="K201" s="2" t="n">
        <f>55063</f>
        <v>55063.0</v>
      </c>
    </row>
    <row r="202">
      <c r="A202" s="8" t="s">
        <v>29</v>
      </c>
      <c r="B202" s="9" t="s">
        <v>62</v>
      </c>
      <c r="C202" s="9" t="s">
        <v>63</v>
      </c>
      <c r="D202" s="10" t="s">
        <v>31</v>
      </c>
      <c r="E202" s="2" t="n">
        <f>746</f>
        <v>746.0</v>
      </c>
      <c r="F202" s="10" t="s">
        <v>31</v>
      </c>
      <c r="G202" s="2" t="n">
        <f>1091759064</f>
        <v>1.091759064E9</v>
      </c>
      <c r="H202" s="10" t="s">
        <v>31</v>
      </c>
      <c r="I202" s="2" t="n">
        <f>746</f>
        <v>746.0</v>
      </c>
      <c r="J202" s="10" t="s">
        <v>31</v>
      </c>
      <c r="K202" s="2" t="n">
        <f>55809</f>
        <v>55809.0</v>
      </c>
    </row>
    <row r="203">
      <c r="A203" s="8" t="s">
        <v>30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55809</f>
        <v>55809.0</v>
      </c>
    </row>
    <row r="204">
      <c r="A204" s="8" t="s">
        <v>32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55809</f>
        <v>55809.0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55809</f>
        <v>55809.0</v>
      </c>
    </row>
    <row r="206">
      <c r="A206" s="8" t="s">
        <v>34</v>
      </c>
      <c r="B206" s="9" t="s">
        <v>62</v>
      </c>
      <c r="C206" s="9" t="s">
        <v>63</v>
      </c>
      <c r="D206" s="10"/>
      <c r="E206" s="2"/>
      <c r="F206" s="10"/>
      <c r="G206" s="2"/>
      <c r="H206" s="10"/>
      <c r="I206" s="2"/>
      <c r="J206" s="10"/>
      <c r="K206" s="2"/>
    </row>
    <row r="207">
      <c r="A207" s="8" t="s">
        <v>35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36</v>
      </c>
      <c r="B208" s="9" t="s">
        <v>62</v>
      </c>
      <c r="C208" s="9" t="s">
        <v>63</v>
      </c>
      <c r="D208" s="10"/>
      <c r="E208" s="2" t="n">
        <f>509</f>
        <v>509.0</v>
      </c>
      <c r="F208" s="10"/>
      <c r="G208" s="2" t="n">
        <f>744402320</f>
        <v>7.4440232E8</v>
      </c>
      <c r="H208" s="10"/>
      <c r="I208" s="2" t="n">
        <f>509</f>
        <v>509.0</v>
      </c>
      <c r="J208" s="10"/>
      <c r="K208" s="2" t="n">
        <f>55300</f>
        <v>55300.0</v>
      </c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55300</f>
        <v>55300.0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55300</f>
        <v>55300.0</v>
      </c>
    </row>
    <row r="211">
      <c r="A211" s="8" t="s">
        <v>39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55300</f>
        <v>55300.0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55300</f>
        <v>55300.0</v>
      </c>
    </row>
    <row r="213">
      <c r="A213" s="8" t="s">
        <v>41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42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62</v>
      </c>
      <c r="C215" s="9" t="s">
        <v>63</v>
      </c>
      <c r="D215" s="10"/>
      <c r="E215" s="2" t="str">
        <f>"－"</f>
        <v>－</v>
      </c>
      <c r="F215" s="10"/>
      <c r="G215" s="2" t="str">
        <f>"－"</f>
        <v>－</v>
      </c>
      <c r="H215" s="10"/>
      <c r="I215" s="2" t="str">
        <f>"－"</f>
        <v>－</v>
      </c>
      <c r="J215" s="10"/>
      <c r="K215" s="2" t="n">
        <f>55300</f>
        <v>55300.0</v>
      </c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55300</f>
        <v>55300.0</v>
      </c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55300</f>
        <v>55300.0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55300</f>
        <v>55300.0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55300</f>
        <v>55300.0</v>
      </c>
    </row>
    <row r="220">
      <c r="A220" s="8" t="s">
        <v>48</v>
      </c>
      <c r="B220" s="9" t="s">
        <v>62</v>
      </c>
      <c r="C220" s="9" t="s">
        <v>63</v>
      </c>
      <c r="D220" s="10"/>
      <c r="E220" s="2"/>
      <c r="F220" s="10"/>
      <c r="G220" s="2"/>
      <c r="H220" s="10"/>
      <c r="I220" s="2"/>
      <c r="J220" s="10"/>
      <c r="K220" s="2"/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 t="str">
        <f>"－"</f>
        <v>－</v>
      </c>
      <c r="F222" s="10"/>
      <c r="G222" s="2" t="str">
        <f>"－"</f>
        <v>－</v>
      </c>
      <c r="H222" s="10"/>
      <c r="I222" s="2" t="str">
        <f>"－"</f>
        <v>－</v>
      </c>
      <c r="J222" s="10"/>
      <c r="K222" s="2" t="n">
        <f>55300</f>
        <v>55300.0</v>
      </c>
    </row>
    <row r="223">
      <c r="A223" s="8" t="s">
        <v>16</v>
      </c>
      <c r="B223" s="9" t="s">
        <v>64</v>
      </c>
      <c r="C223" s="9" t="s">
        <v>65</v>
      </c>
      <c r="D223" s="10"/>
      <c r="E223" s="2"/>
      <c r="F223" s="10"/>
      <c r="G223" s="2"/>
      <c r="H223" s="10"/>
      <c r="I223" s="2"/>
      <c r="J223" s="10"/>
      <c r="K223" s="2"/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22</v>
      </c>
      <c r="B227" s="9" t="s">
        <v>64</v>
      </c>
      <c r="C227" s="9" t="s">
        <v>65</v>
      </c>
      <c r="D227" s="10"/>
      <c r="E227" s="2"/>
      <c r="F227" s="10"/>
      <c r="G227" s="2"/>
      <c r="H227" s="10"/>
      <c r="I227" s="2"/>
      <c r="J227" s="10"/>
      <c r="K227" s="2"/>
    </row>
    <row r="228">
      <c r="A228" s="8" t="s">
        <v>23</v>
      </c>
      <c r="B228" s="9" t="s">
        <v>64</v>
      </c>
      <c r="C228" s="9" t="s">
        <v>65</v>
      </c>
      <c r="D228" s="10"/>
      <c r="E228" s="2" t="n">
        <f>380</f>
        <v>380.0</v>
      </c>
      <c r="F228" s="10"/>
      <c r="G228" s="2" t="n">
        <f>784481070</f>
        <v>7.8448107E8</v>
      </c>
      <c r="H228" s="10"/>
      <c r="I228" s="2" t="n">
        <f>22</f>
        <v>22.0</v>
      </c>
      <c r="J228" s="10"/>
      <c r="K228" s="2" t="n">
        <f>57285</f>
        <v>57285.0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1127</f>
        <v>1127.0</v>
      </c>
      <c r="F229" s="10"/>
      <c r="G229" s="2" t="n">
        <f>2316507950</f>
        <v>2.31650795E9</v>
      </c>
      <c r="H229" s="10"/>
      <c r="I229" s="2" t="n">
        <f>94</f>
        <v>94.0</v>
      </c>
      <c r="J229" s="10" t="s">
        <v>24</v>
      </c>
      <c r="K229" s="2" t="n">
        <f>57241</f>
        <v>57241.0</v>
      </c>
    </row>
    <row r="230">
      <c r="A230" s="8" t="s">
        <v>26</v>
      </c>
      <c r="B230" s="9" t="s">
        <v>64</v>
      </c>
      <c r="C230" s="9" t="s">
        <v>65</v>
      </c>
      <c r="D230" s="10"/>
      <c r="E230" s="2"/>
      <c r="F230" s="10"/>
      <c r="G230" s="2"/>
      <c r="H230" s="10"/>
      <c r="I230" s="2"/>
      <c r="J230" s="10"/>
      <c r="K230" s="2"/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 t="n">
        <f>615</f>
        <v>615.0</v>
      </c>
      <c r="F232" s="10"/>
      <c r="G232" s="2" t="n">
        <f>1259608000</f>
        <v>1.259608E9</v>
      </c>
      <c r="H232" s="10"/>
      <c r="I232" s="2" t="n">
        <f>43</f>
        <v>43.0</v>
      </c>
      <c r="J232" s="10"/>
      <c r="K232" s="2" t="n">
        <f>57371</f>
        <v>57371.0</v>
      </c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361</f>
        <v>361.0</v>
      </c>
      <c r="F233" s="10"/>
      <c r="G233" s="2" t="n">
        <f>741936000</f>
        <v>7.41936E8</v>
      </c>
      <c r="H233" s="10"/>
      <c r="I233" s="2" t="n">
        <f>13</f>
        <v>13.0</v>
      </c>
      <c r="J233" s="10"/>
      <c r="K233" s="2" t="n">
        <f>57383</f>
        <v>57383.0</v>
      </c>
    </row>
    <row r="234">
      <c r="A234" s="8" t="s">
        <v>30</v>
      </c>
      <c r="B234" s="9" t="s">
        <v>64</v>
      </c>
      <c r="C234" s="9" t="s">
        <v>65</v>
      </c>
      <c r="D234" s="10"/>
      <c r="E234" s="2" t="n">
        <f>251</f>
        <v>251.0</v>
      </c>
      <c r="F234" s="10"/>
      <c r="G234" s="2" t="n">
        <f>514686800</f>
        <v>5.146868E8</v>
      </c>
      <c r="H234" s="10" t="s">
        <v>24</v>
      </c>
      <c r="I234" s="2" t="n">
        <f>2</f>
        <v>2.0</v>
      </c>
      <c r="J234" s="10"/>
      <c r="K234" s="2" t="n">
        <f>57363</f>
        <v>57363.0</v>
      </c>
    </row>
    <row r="235">
      <c r="A235" s="8" t="s">
        <v>32</v>
      </c>
      <c r="B235" s="9" t="s">
        <v>64</v>
      </c>
      <c r="C235" s="9" t="s">
        <v>65</v>
      </c>
      <c r="D235" s="10"/>
      <c r="E235" s="2" t="n">
        <f>548</f>
        <v>548.0</v>
      </c>
      <c r="F235" s="10"/>
      <c r="G235" s="2" t="n">
        <f>1112016220</f>
        <v>1.11201622E9</v>
      </c>
      <c r="H235" s="10"/>
      <c r="I235" s="2" t="n">
        <f>30</f>
        <v>30.0</v>
      </c>
      <c r="J235" s="10"/>
      <c r="K235" s="2" t="n">
        <f>57462</f>
        <v>57462.0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620</f>
        <v>620.0</v>
      </c>
      <c r="F236" s="10"/>
      <c r="G236" s="2" t="n">
        <f>1260362000</f>
        <v>1.260362E9</v>
      </c>
      <c r="H236" s="10"/>
      <c r="I236" s="2" t="n">
        <f>3</f>
        <v>3.0</v>
      </c>
      <c r="J236" s="10"/>
      <c r="K236" s="2" t="n">
        <f>57456</f>
        <v>57456.0</v>
      </c>
    </row>
    <row r="237">
      <c r="A237" s="8" t="s">
        <v>34</v>
      </c>
      <c r="B237" s="9" t="s">
        <v>64</v>
      </c>
      <c r="C237" s="9" t="s">
        <v>65</v>
      </c>
      <c r="D237" s="10"/>
      <c r="E237" s="2"/>
      <c r="F237" s="10"/>
      <c r="G237" s="2"/>
      <c r="H237" s="10"/>
      <c r="I237" s="2"/>
      <c r="J237" s="10"/>
      <c r="K237" s="2"/>
    </row>
    <row r="238">
      <c r="A238" s="8" t="s">
        <v>35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36</v>
      </c>
      <c r="B239" s="9" t="s">
        <v>64</v>
      </c>
      <c r="C239" s="9" t="s">
        <v>65</v>
      </c>
      <c r="D239" s="10"/>
      <c r="E239" s="2" t="n">
        <f>287</f>
        <v>287.0</v>
      </c>
      <c r="F239" s="10"/>
      <c r="G239" s="2" t="n">
        <f>582552000</f>
        <v>5.82552E8</v>
      </c>
      <c r="H239" s="10"/>
      <c r="I239" s="2" t="n">
        <f>7</f>
        <v>7.0</v>
      </c>
      <c r="J239" s="10"/>
      <c r="K239" s="2" t="n">
        <f>57613</f>
        <v>57613.0</v>
      </c>
    </row>
    <row r="240">
      <c r="A240" s="8" t="s">
        <v>37</v>
      </c>
      <c r="B240" s="9" t="s">
        <v>64</v>
      </c>
      <c r="C240" s="9" t="s">
        <v>65</v>
      </c>
      <c r="D240" s="10"/>
      <c r="E240" s="2" t="n">
        <f>1669</f>
        <v>1669.0</v>
      </c>
      <c r="F240" s="10"/>
      <c r="G240" s="2" t="n">
        <f>3398925000</f>
        <v>3.398925E9</v>
      </c>
      <c r="H240" s="10"/>
      <c r="I240" s="2" t="n">
        <f>7</f>
        <v>7.0</v>
      </c>
      <c r="J240" s="10"/>
      <c r="K240" s="2" t="n">
        <f>57512</f>
        <v>57512.0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2206</f>
        <v>2206.0</v>
      </c>
      <c r="F241" s="10"/>
      <c r="G241" s="2" t="n">
        <f>4533811000</f>
        <v>4.533811E9</v>
      </c>
      <c r="H241" s="10"/>
      <c r="I241" s="2" t="n">
        <f>43</f>
        <v>43.0</v>
      </c>
      <c r="J241" s="10"/>
      <c r="K241" s="2" t="n">
        <f>59449</f>
        <v>59449.0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2139</f>
        <v>2139.0</v>
      </c>
      <c r="F242" s="10"/>
      <c r="G242" s="2" t="n">
        <f>4400543000</f>
        <v>4.400543E9</v>
      </c>
      <c r="H242" s="10" t="s">
        <v>31</v>
      </c>
      <c r="I242" s="2" t="n">
        <f>191</f>
        <v>191.0</v>
      </c>
      <c r="J242" s="10"/>
      <c r="K242" s="2" t="n">
        <f>60051</f>
        <v>60051.0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734</f>
        <v>734.0</v>
      </c>
      <c r="F243" s="10"/>
      <c r="G243" s="2" t="n">
        <f>1509120580</f>
        <v>1.50912058E9</v>
      </c>
      <c r="H243" s="10"/>
      <c r="I243" s="2" t="n">
        <f>31</f>
        <v>31.0</v>
      </c>
      <c r="J243" s="10"/>
      <c r="K243" s="2" t="n">
        <f>60333</f>
        <v>60333.0</v>
      </c>
    </row>
    <row r="244">
      <c r="A244" s="8" t="s">
        <v>41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 t="n">
        <f>736</f>
        <v>736.0</v>
      </c>
      <c r="F246" s="10"/>
      <c r="G246" s="2" t="n">
        <f>1514676200</f>
        <v>1.5146762E9</v>
      </c>
      <c r="H246" s="10"/>
      <c r="I246" s="2" t="n">
        <f>11</f>
        <v>11.0</v>
      </c>
      <c r="J246" s="10"/>
      <c r="K246" s="2" t="n">
        <f>60804</f>
        <v>60804.0</v>
      </c>
    </row>
    <row r="247">
      <c r="A247" s="8" t="s">
        <v>44</v>
      </c>
      <c r="B247" s="9" t="s">
        <v>64</v>
      </c>
      <c r="C247" s="9" t="s">
        <v>65</v>
      </c>
      <c r="D247" s="10"/>
      <c r="E247" s="2" t="n">
        <f>693</f>
        <v>693.0</v>
      </c>
      <c r="F247" s="10"/>
      <c r="G247" s="2" t="n">
        <f>1433063500</f>
        <v>1.4330635E9</v>
      </c>
      <c r="H247" s="10"/>
      <c r="I247" s="2" t="n">
        <f>10</f>
        <v>10.0</v>
      </c>
      <c r="J247" s="10"/>
      <c r="K247" s="2" t="n">
        <f>61312</f>
        <v>61312.0</v>
      </c>
    </row>
    <row r="248">
      <c r="A248" s="8" t="s">
        <v>45</v>
      </c>
      <c r="B248" s="9" t="s">
        <v>64</v>
      </c>
      <c r="C248" s="9" t="s">
        <v>65</v>
      </c>
      <c r="D248" s="10" t="s">
        <v>24</v>
      </c>
      <c r="E248" s="2" t="n">
        <f>166</f>
        <v>166.0</v>
      </c>
      <c r="F248" s="10" t="s">
        <v>24</v>
      </c>
      <c r="G248" s="2" t="n">
        <f>343481070</f>
        <v>3.4348107E8</v>
      </c>
      <c r="H248" s="10"/>
      <c r="I248" s="2" t="n">
        <f>87</f>
        <v>87.0</v>
      </c>
      <c r="J248" s="10"/>
      <c r="K248" s="2" t="n">
        <f>61339</f>
        <v>61339.0</v>
      </c>
    </row>
    <row r="249">
      <c r="A249" s="8" t="s">
        <v>46</v>
      </c>
      <c r="B249" s="9" t="s">
        <v>64</v>
      </c>
      <c r="C249" s="9" t="s">
        <v>65</v>
      </c>
      <c r="D249" s="10" t="s">
        <v>31</v>
      </c>
      <c r="E249" s="2" t="n">
        <f>2448</f>
        <v>2448.0</v>
      </c>
      <c r="F249" s="10" t="s">
        <v>31</v>
      </c>
      <c r="G249" s="2" t="n">
        <f>5087822320</f>
        <v>5.08782232E9</v>
      </c>
      <c r="H249" s="10"/>
      <c r="I249" s="2" t="n">
        <f>29</f>
        <v>29.0</v>
      </c>
      <c r="J249" s="10"/>
      <c r="K249" s="2" t="n">
        <f>62380</f>
        <v>62380.0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1026</f>
        <v>1026.0</v>
      </c>
      <c r="F250" s="10"/>
      <c r="G250" s="2" t="n">
        <f>2130046860</f>
        <v>2.13004686E9</v>
      </c>
      <c r="H250" s="10"/>
      <c r="I250" s="2" t="n">
        <f>2</f>
        <v>2.0</v>
      </c>
      <c r="J250" s="10" t="s">
        <v>31</v>
      </c>
      <c r="K250" s="2" t="n">
        <f>62976</f>
        <v>62976.0</v>
      </c>
    </row>
    <row r="251">
      <c r="A251" s="8" t="s">
        <v>48</v>
      </c>
      <c r="B251" s="9" t="s">
        <v>64</v>
      </c>
      <c r="C251" s="9" t="s">
        <v>65</v>
      </c>
      <c r="D251" s="10"/>
      <c r="E251" s="2"/>
      <c r="F251" s="10"/>
      <c r="G251" s="2"/>
      <c r="H251" s="10"/>
      <c r="I251" s="2"/>
      <c r="J251" s="10"/>
      <c r="K251" s="2"/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 t="n">
        <f>706</f>
        <v>706.0</v>
      </c>
      <c r="F253" s="10"/>
      <c r="G253" s="2" t="n">
        <f>1461932160</f>
        <v>1.46193216E9</v>
      </c>
      <c r="H253" s="10"/>
      <c r="I253" s="2" t="n">
        <f>10</f>
        <v>10.0</v>
      </c>
      <c r="J253" s="10"/>
      <c r="K253" s="2" t="n">
        <f>62450</f>
        <v>62450.0</v>
      </c>
    </row>
    <row r="254">
      <c r="A254" s="8" t="s">
        <v>16</v>
      </c>
      <c r="B254" s="9" t="s">
        <v>66</v>
      </c>
      <c r="C254" s="9" t="s">
        <v>67</v>
      </c>
      <c r="D254" s="10"/>
      <c r="E254" s="2"/>
      <c r="F254" s="10"/>
      <c r="G254" s="2"/>
      <c r="H254" s="10"/>
      <c r="I254" s="2"/>
      <c r="J254" s="10"/>
      <c r="K254" s="2"/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22</v>
      </c>
      <c r="B258" s="9" t="s">
        <v>66</v>
      </c>
      <c r="C258" s="9" t="s">
        <v>67</v>
      </c>
      <c r="D258" s="10"/>
      <c r="E258" s="2"/>
      <c r="F258" s="10"/>
      <c r="G258" s="2"/>
      <c r="H258" s="10"/>
      <c r="I258" s="2"/>
      <c r="J258" s="10"/>
      <c r="K258" s="2"/>
    </row>
    <row r="259">
      <c r="A259" s="8" t="s">
        <v>23</v>
      </c>
      <c r="B259" s="9" t="s">
        <v>66</v>
      </c>
      <c r="C259" s="9" t="s">
        <v>67</v>
      </c>
      <c r="D259" s="10" t="s">
        <v>61</v>
      </c>
      <c r="E259" s="2" t="str">
        <f>"－"</f>
        <v>－</v>
      </c>
      <c r="F259" s="10" t="s">
        <v>61</v>
      </c>
      <c r="G259" s="2" t="str">
        <f>"－"</f>
        <v>－</v>
      </c>
      <c r="H259" s="10" t="s">
        <v>61</v>
      </c>
      <c r="I259" s="2" t="str">
        <f>"－"</f>
        <v>－</v>
      </c>
      <c r="J259" s="10" t="s">
        <v>61</v>
      </c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/>
      <c r="F261" s="10"/>
      <c r="G261" s="2"/>
      <c r="H261" s="10"/>
      <c r="I261" s="2"/>
      <c r="J261" s="10"/>
      <c r="K261" s="2"/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 t="str">
        <f>"－"</f>
        <v>－</v>
      </c>
      <c r="F263" s="10"/>
      <c r="G263" s="2" t="str">
        <f>"－"</f>
        <v>－</v>
      </c>
      <c r="H263" s="10"/>
      <c r="I263" s="2" t="str">
        <f>"－"</f>
        <v>－</v>
      </c>
      <c r="J263" s="10"/>
      <c r="K263" s="2" t="str">
        <f>"－"</f>
        <v>－</v>
      </c>
    </row>
    <row r="264">
      <c r="A264" s="8" t="s">
        <v>29</v>
      </c>
      <c r="B264" s="9" t="s">
        <v>66</v>
      </c>
      <c r="C264" s="9" t="s">
        <v>67</v>
      </c>
      <c r="D264" s="10"/>
      <c r="E264" s="2" t="str">
        <f>"－"</f>
        <v>－</v>
      </c>
      <c r="F264" s="10"/>
      <c r="G264" s="2" t="str">
        <f>"－"</f>
        <v>－</v>
      </c>
      <c r="H264" s="10"/>
      <c r="I264" s="2" t="str">
        <f>"－"</f>
        <v>－</v>
      </c>
      <c r="J264" s="10"/>
      <c r="K264" s="2" t="str">
        <f>"－"</f>
        <v>－</v>
      </c>
    </row>
    <row r="265">
      <c r="A265" s="8" t="s">
        <v>30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32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/>
      <c r="F268" s="10"/>
      <c r="G268" s="2"/>
      <c r="H268" s="10"/>
      <c r="I268" s="2"/>
      <c r="J268" s="10"/>
      <c r="K268" s="2"/>
    </row>
    <row r="269">
      <c r="A269" s="8" t="s">
        <v>35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36</v>
      </c>
      <c r="B270" s="9" t="s">
        <v>66</v>
      </c>
      <c r="C270" s="9" t="s">
        <v>67</v>
      </c>
      <c r="D270" s="10"/>
      <c r="E270" s="2" t="str">
        <f>"－"</f>
        <v>－</v>
      </c>
      <c r="F270" s="10"/>
      <c r="G270" s="2" t="str">
        <f>"－"</f>
        <v>－</v>
      </c>
      <c r="H270" s="10"/>
      <c r="I270" s="2" t="str">
        <f>"－"</f>
        <v>－</v>
      </c>
      <c r="J270" s="10"/>
      <c r="K270" s="2" t="str">
        <f>"－"</f>
        <v>－</v>
      </c>
    </row>
    <row r="271">
      <c r="A271" s="8" t="s">
        <v>37</v>
      </c>
      <c r="B271" s="9" t="s">
        <v>66</v>
      </c>
      <c r="C271" s="9" t="s">
        <v>67</v>
      </c>
      <c r="D271" s="10"/>
      <c r="E271" s="2" t="str">
        <f>"－"</f>
        <v>－</v>
      </c>
      <c r="F271" s="10"/>
      <c r="G271" s="2" t="str">
        <f>"－"</f>
        <v>－</v>
      </c>
      <c r="H271" s="10"/>
      <c r="I271" s="2" t="str">
        <f>"－"</f>
        <v>－</v>
      </c>
      <c r="J271" s="10"/>
      <c r="K271" s="2" t="str">
        <f>"－"</f>
        <v>－</v>
      </c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 t="str">
        <f>"－"</f>
        <v>－</v>
      </c>
      <c r="F277" s="10"/>
      <c r="G277" s="2" t="str">
        <f>"－"</f>
        <v>－</v>
      </c>
      <c r="H277" s="10"/>
      <c r="I277" s="2" t="str">
        <f>"－"</f>
        <v>－</v>
      </c>
      <c r="J277" s="10"/>
      <c r="K277" s="2" t="str">
        <f>"－"</f>
        <v>－</v>
      </c>
    </row>
    <row r="278">
      <c r="A278" s="8" t="s">
        <v>44</v>
      </c>
      <c r="B278" s="9" t="s">
        <v>66</v>
      </c>
      <c r="C278" s="9" t="s">
        <v>67</v>
      </c>
      <c r="D278" s="10"/>
      <c r="E278" s="2" t="str">
        <f>"－"</f>
        <v>－</v>
      </c>
      <c r="F278" s="10"/>
      <c r="G278" s="2" t="str">
        <f>"－"</f>
        <v>－</v>
      </c>
      <c r="H278" s="10"/>
      <c r="I278" s="2" t="str">
        <f>"－"</f>
        <v>－</v>
      </c>
      <c r="J278" s="10"/>
      <c r="K278" s="2" t="str">
        <f>"－"</f>
        <v>－</v>
      </c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/>
      <c r="F282" s="10"/>
      <c r="G282" s="2"/>
      <c r="H282" s="10"/>
      <c r="I282" s="2"/>
      <c r="J282" s="10"/>
      <c r="K282" s="2"/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 t="str">
        <f>"－"</f>
        <v>－</v>
      </c>
      <c r="F284" s="10"/>
      <c r="G284" s="2" t="str">
        <f>"－"</f>
        <v>－</v>
      </c>
      <c r="H284" s="10"/>
      <c r="I284" s="2" t="str">
        <f>"－"</f>
        <v>－</v>
      </c>
      <c r="J284" s="10"/>
      <c r="K284" s="2" t="str">
        <f>"－"</f>
        <v>－</v>
      </c>
    </row>
    <row r="285">
      <c r="A285" s="8" t="s">
        <v>16</v>
      </c>
      <c r="B285" s="9" t="s">
        <v>68</v>
      </c>
      <c r="C285" s="9" t="s">
        <v>69</v>
      </c>
      <c r="D285" s="10"/>
      <c r="E285" s="2"/>
      <c r="F285" s="10"/>
      <c r="G285" s="2"/>
      <c r="H285" s="10"/>
      <c r="I285" s="2"/>
      <c r="J285" s="10"/>
      <c r="K285" s="2"/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22</v>
      </c>
      <c r="B289" s="9" t="s">
        <v>68</v>
      </c>
      <c r="C289" s="9" t="s">
        <v>69</v>
      </c>
      <c r="D289" s="10"/>
      <c r="E289" s="2"/>
      <c r="F289" s="10"/>
      <c r="G289" s="2"/>
      <c r="H289" s="10"/>
      <c r="I289" s="2"/>
      <c r="J289" s="10"/>
      <c r="K289" s="2"/>
    </row>
    <row r="290">
      <c r="A290" s="8" t="s">
        <v>23</v>
      </c>
      <c r="B290" s="9" t="s">
        <v>68</v>
      </c>
      <c r="C290" s="9" t="s">
        <v>69</v>
      </c>
      <c r="D290" s="10" t="s">
        <v>24</v>
      </c>
      <c r="E290" s="2" t="n">
        <f>2425</f>
        <v>2425.0</v>
      </c>
      <c r="F290" s="10" t="s">
        <v>24</v>
      </c>
      <c r="G290" s="2" t="n">
        <f>2865209360</f>
        <v>2.86520936E9</v>
      </c>
      <c r="H290" s="10"/>
      <c r="I290" s="2" t="n">
        <f>184</f>
        <v>184.0</v>
      </c>
      <c r="J290" s="10"/>
      <c r="K290" s="2" t="n">
        <f>21082</f>
        <v>21082.0</v>
      </c>
    </row>
    <row r="291">
      <c r="A291" s="8" t="s">
        <v>25</v>
      </c>
      <c r="B291" s="9" t="s">
        <v>68</v>
      </c>
      <c r="C291" s="9" t="s">
        <v>69</v>
      </c>
      <c r="D291" s="10"/>
      <c r="E291" s="2" t="n">
        <f>3207</f>
        <v>3207.0</v>
      </c>
      <c r="F291" s="10"/>
      <c r="G291" s="2" t="n">
        <f>3740802000</f>
        <v>3.740802E9</v>
      </c>
      <c r="H291" s="10"/>
      <c r="I291" s="2" t="n">
        <f>320</f>
        <v>320.0</v>
      </c>
      <c r="J291" s="10"/>
      <c r="K291" s="2" t="n">
        <f>20826</f>
        <v>20826.0</v>
      </c>
    </row>
    <row r="292">
      <c r="A292" s="8" t="s">
        <v>26</v>
      </c>
      <c r="B292" s="9" t="s">
        <v>68</v>
      </c>
      <c r="C292" s="9" t="s">
        <v>69</v>
      </c>
      <c r="D292" s="10"/>
      <c r="E292" s="2"/>
      <c r="F292" s="10"/>
      <c r="G292" s="2"/>
      <c r="H292" s="10"/>
      <c r="I292" s="2"/>
      <c r="J292" s="10"/>
      <c r="K292" s="2"/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 t="n">
        <f>3334</f>
        <v>3334.0</v>
      </c>
      <c r="F294" s="10"/>
      <c r="G294" s="2" t="n">
        <f>3867167300</f>
        <v>3.8671673E9</v>
      </c>
      <c r="H294" s="10"/>
      <c r="I294" s="2" t="n">
        <f>322</f>
        <v>322.0</v>
      </c>
      <c r="J294" s="10" t="s">
        <v>24</v>
      </c>
      <c r="K294" s="2" t="n">
        <f>20684</f>
        <v>20684.0</v>
      </c>
    </row>
    <row r="295">
      <c r="A295" s="8" t="s">
        <v>29</v>
      </c>
      <c r="B295" s="9" t="s">
        <v>68</v>
      </c>
      <c r="C295" s="9" t="s">
        <v>69</v>
      </c>
      <c r="D295" s="10"/>
      <c r="E295" s="2" t="n">
        <f>6456</f>
        <v>6456.0</v>
      </c>
      <c r="F295" s="10"/>
      <c r="G295" s="2" t="n">
        <f>7292819000</f>
        <v>7.292819E9</v>
      </c>
      <c r="H295" s="10" t="s">
        <v>31</v>
      </c>
      <c r="I295" s="2" t="n">
        <f>1290</f>
        <v>1290.0</v>
      </c>
      <c r="J295" s="10"/>
      <c r="K295" s="2" t="n">
        <f>21548</f>
        <v>21548.0</v>
      </c>
    </row>
    <row r="296">
      <c r="A296" s="8" t="s">
        <v>30</v>
      </c>
      <c r="B296" s="9" t="s">
        <v>68</v>
      </c>
      <c r="C296" s="9" t="s">
        <v>69</v>
      </c>
      <c r="D296" s="10" t="s">
        <v>31</v>
      </c>
      <c r="E296" s="2" t="n">
        <f>8431</f>
        <v>8431.0</v>
      </c>
      <c r="F296" s="10" t="s">
        <v>31</v>
      </c>
      <c r="G296" s="2" t="n">
        <f>9281022560</f>
        <v>9.28102256E9</v>
      </c>
      <c r="H296" s="10"/>
      <c r="I296" s="2" t="n">
        <f>686</f>
        <v>686.0</v>
      </c>
      <c r="J296" s="10"/>
      <c r="K296" s="2" t="n">
        <f>21569</f>
        <v>21569.0</v>
      </c>
    </row>
    <row r="297">
      <c r="A297" s="8" t="s">
        <v>32</v>
      </c>
      <c r="B297" s="9" t="s">
        <v>68</v>
      </c>
      <c r="C297" s="9" t="s">
        <v>69</v>
      </c>
      <c r="D297" s="10"/>
      <c r="E297" s="2" t="n">
        <f>5786</f>
        <v>5786.0</v>
      </c>
      <c r="F297" s="10"/>
      <c r="G297" s="2" t="n">
        <f>6180717200</f>
        <v>6.1807172E9</v>
      </c>
      <c r="H297" s="10"/>
      <c r="I297" s="2" t="n">
        <f>470</f>
        <v>470.0</v>
      </c>
      <c r="J297" s="10"/>
      <c r="K297" s="2" t="n">
        <f>21858</f>
        <v>21858.0</v>
      </c>
    </row>
    <row r="298">
      <c r="A298" s="8" t="s">
        <v>33</v>
      </c>
      <c r="B298" s="9" t="s">
        <v>68</v>
      </c>
      <c r="C298" s="9" t="s">
        <v>69</v>
      </c>
      <c r="D298" s="10"/>
      <c r="E298" s="2" t="n">
        <f>5754</f>
        <v>5754.0</v>
      </c>
      <c r="F298" s="10"/>
      <c r="G298" s="2" t="n">
        <f>6139310330</f>
        <v>6.13931033E9</v>
      </c>
      <c r="H298" s="10"/>
      <c r="I298" s="2" t="n">
        <f>549</f>
        <v>549.0</v>
      </c>
      <c r="J298" s="10"/>
      <c r="K298" s="2" t="n">
        <f>22263</f>
        <v>22263.0</v>
      </c>
    </row>
    <row r="299">
      <c r="A299" s="8" t="s">
        <v>34</v>
      </c>
      <c r="B299" s="9" t="s">
        <v>68</v>
      </c>
      <c r="C299" s="9" t="s">
        <v>69</v>
      </c>
      <c r="D299" s="10"/>
      <c r="E299" s="2"/>
      <c r="F299" s="10"/>
      <c r="G299" s="2"/>
      <c r="H299" s="10"/>
      <c r="I299" s="2"/>
      <c r="J299" s="10"/>
      <c r="K299" s="2"/>
    </row>
    <row r="300">
      <c r="A300" s="8" t="s">
        <v>35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36</v>
      </c>
      <c r="B301" s="9" t="s">
        <v>68</v>
      </c>
      <c r="C301" s="9" t="s">
        <v>69</v>
      </c>
      <c r="D301" s="10"/>
      <c r="E301" s="2" t="n">
        <f>6139</f>
        <v>6139.0</v>
      </c>
      <c r="F301" s="10"/>
      <c r="G301" s="2" t="n">
        <f>6481682120</f>
        <v>6.48168212E9</v>
      </c>
      <c r="H301" s="10"/>
      <c r="I301" s="2" t="n">
        <f>537</f>
        <v>537.0</v>
      </c>
      <c r="J301" s="10"/>
      <c r="K301" s="2" t="n">
        <f>22088</f>
        <v>22088.0</v>
      </c>
    </row>
    <row r="302">
      <c r="A302" s="8" t="s">
        <v>37</v>
      </c>
      <c r="B302" s="9" t="s">
        <v>68</v>
      </c>
      <c r="C302" s="9" t="s">
        <v>69</v>
      </c>
      <c r="D302" s="10"/>
      <c r="E302" s="2" t="n">
        <f>5902</f>
        <v>5902.0</v>
      </c>
      <c r="F302" s="10"/>
      <c r="G302" s="2" t="n">
        <f>6206557290</f>
        <v>6.20655729E9</v>
      </c>
      <c r="H302" s="10"/>
      <c r="I302" s="2" t="n">
        <f>442</f>
        <v>442.0</v>
      </c>
      <c r="J302" s="10"/>
      <c r="K302" s="2" t="n">
        <f>22179</f>
        <v>22179.0</v>
      </c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6594</f>
        <v>6594.0</v>
      </c>
      <c r="F303" s="10"/>
      <c r="G303" s="2" t="n">
        <f>7115766440</f>
        <v>7.11576644E9</v>
      </c>
      <c r="H303" s="10"/>
      <c r="I303" s="2" t="n">
        <f>456</f>
        <v>456.0</v>
      </c>
      <c r="J303" s="10"/>
      <c r="K303" s="2" t="n">
        <f>22203</f>
        <v>22203.0</v>
      </c>
    </row>
    <row r="304">
      <c r="A304" s="8" t="s">
        <v>39</v>
      </c>
      <c r="B304" s="9" t="s">
        <v>68</v>
      </c>
      <c r="C304" s="9" t="s">
        <v>69</v>
      </c>
      <c r="D304" s="10"/>
      <c r="E304" s="2" t="n">
        <f>7945</f>
        <v>7945.0</v>
      </c>
      <c r="F304" s="10"/>
      <c r="G304" s="2" t="n">
        <f>8689118120</f>
        <v>8.68911812E9</v>
      </c>
      <c r="H304" s="10"/>
      <c r="I304" s="2" t="n">
        <f>403</f>
        <v>403.0</v>
      </c>
      <c r="J304" s="10"/>
      <c r="K304" s="2" t="n">
        <f>21685</f>
        <v>21685.0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6946</f>
        <v>6946.0</v>
      </c>
      <c r="F305" s="10"/>
      <c r="G305" s="2" t="n">
        <f>7791707770</f>
        <v>7.79170777E9</v>
      </c>
      <c r="H305" s="10"/>
      <c r="I305" s="2" t="n">
        <f>462</f>
        <v>462.0</v>
      </c>
      <c r="J305" s="10"/>
      <c r="K305" s="2" t="n">
        <f>21904</f>
        <v>21904.0</v>
      </c>
    </row>
    <row r="306">
      <c r="A306" s="8" t="s">
        <v>41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 t="n">
        <f>5227</f>
        <v>5227.0</v>
      </c>
      <c r="F308" s="10"/>
      <c r="G308" s="2" t="n">
        <f>5818579120</f>
        <v>5.81857912E9</v>
      </c>
      <c r="H308" s="10"/>
      <c r="I308" s="2" t="n">
        <f>335</f>
        <v>335.0</v>
      </c>
      <c r="J308" s="10"/>
      <c r="K308" s="2" t="n">
        <f>22163</f>
        <v>22163.0</v>
      </c>
    </row>
    <row r="309">
      <c r="A309" s="8" t="s">
        <v>44</v>
      </c>
      <c r="B309" s="9" t="s">
        <v>68</v>
      </c>
      <c r="C309" s="9" t="s">
        <v>69</v>
      </c>
      <c r="D309" s="10"/>
      <c r="E309" s="2" t="n">
        <f>4173</f>
        <v>4173.0</v>
      </c>
      <c r="F309" s="10"/>
      <c r="G309" s="2" t="n">
        <f>4685618000</f>
        <v>4.685618E9</v>
      </c>
      <c r="H309" s="10"/>
      <c r="I309" s="2" t="n">
        <f>282</f>
        <v>282.0</v>
      </c>
      <c r="J309" s="10"/>
      <c r="K309" s="2" t="n">
        <f>22254</f>
        <v>22254.0</v>
      </c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4853</f>
        <v>4853.0</v>
      </c>
      <c r="F310" s="10"/>
      <c r="G310" s="2" t="n">
        <f>5483700280</f>
        <v>5.48370028E9</v>
      </c>
      <c r="H310" s="10"/>
      <c r="I310" s="2" t="n">
        <f>364</f>
        <v>364.0</v>
      </c>
      <c r="J310" s="10"/>
      <c r="K310" s="2" t="n">
        <f>22395</f>
        <v>22395.0</v>
      </c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3928</f>
        <v>3928.0</v>
      </c>
      <c r="F311" s="10"/>
      <c r="G311" s="2" t="n">
        <f>4471449680</f>
        <v>4.47144968E9</v>
      </c>
      <c r="H311" s="10"/>
      <c r="I311" s="2" t="n">
        <f>251</f>
        <v>251.0</v>
      </c>
      <c r="J311" s="10"/>
      <c r="K311" s="2" t="n">
        <f>22512</f>
        <v>22512.0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3643</f>
        <v>3643.0</v>
      </c>
      <c r="F312" s="10"/>
      <c r="G312" s="2" t="n">
        <f>4168551920</f>
        <v>4.16855192E9</v>
      </c>
      <c r="H312" s="10"/>
      <c r="I312" s="2" t="n">
        <f>190</f>
        <v>190.0</v>
      </c>
      <c r="J312" s="10" t="s">
        <v>31</v>
      </c>
      <c r="K312" s="2" t="n">
        <f>22721</f>
        <v>22721.0</v>
      </c>
    </row>
    <row r="313">
      <c r="A313" s="8" t="s">
        <v>48</v>
      </c>
      <c r="B313" s="9" t="s">
        <v>68</v>
      </c>
      <c r="C313" s="9" t="s">
        <v>69</v>
      </c>
      <c r="D313" s="10"/>
      <c r="E313" s="2"/>
      <c r="F313" s="10"/>
      <c r="G313" s="2"/>
      <c r="H313" s="10"/>
      <c r="I313" s="2"/>
      <c r="J313" s="10"/>
      <c r="K313" s="2"/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 t="n">
        <f>2984</f>
        <v>2984.0</v>
      </c>
      <c r="F315" s="10"/>
      <c r="G315" s="2" t="n">
        <f>3414759350</f>
        <v>3.41475935E9</v>
      </c>
      <c r="H315" s="10" t="s">
        <v>24</v>
      </c>
      <c r="I315" s="2" t="n">
        <f>171</f>
        <v>171.0</v>
      </c>
      <c r="J315" s="10"/>
      <c r="K315" s="2" t="n">
        <f>22462</f>
        <v>22462.0</v>
      </c>
    </row>
    <row r="316">
      <c r="A316" s="8" t="s">
        <v>16</v>
      </c>
      <c r="B316" s="9" t="s">
        <v>70</v>
      </c>
      <c r="C316" s="9" t="s">
        <v>71</v>
      </c>
      <c r="D316" s="10"/>
      <c r="E316" s="2"/>
      <c r="F316" s="10"/>
      <c r="G316" s="2"/>
      <c r="H316" s="10"/>
      <c r="I316" s="2"/>
      <c r="J316" s="10"/>
      <c r="K316" s="2"/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22</v>
      </c>
      <c r="B320" s="9" t="s">
        <v>70</v>
      </c>
      <c r="C320" s="9" t="s">
        <v>71</v>
      </c>
      <c r="D320" s="10"/>
      <c r="E320" s="2"/>
      <c r="F320" s="10"/>
      <c r="G320" s="2"/>
      <c r="H320" s="10"/>
      <c r="I320" s="2"/>
      <c r="J320" s="10"/>
      <c r="K320" s="2"/>
    </row>
    <row r="321">
      <c r="A321" s="8" t="s">
        <v>23</v>
      </c>
      <c r="B321" s="9" t="s">
        <v>70</v>
      </c>
      <c r="C321" s="9" t="s">
        <v>71</v>
      </c>
      <c r="D321" s="10"/>
      <c r="E321" s="2" t="n">
        <f>1798</f>
        <v>1798.0</v>
      </c>
      <c r="F321" s="10"/>
      <c r="G321" s="2" t="n">
        <f>6122047900</f>
        <v>6.1220479E9</v>
      </c>
      <c r="H321" s="10"/>
      <c r="I321" s="2" t="n">
        <f>225</f>
        <v>225.0</v>
      </c>
      <c r="J321" s="10"/>
      <c r="K321" s="2" t="n">
        <f>2876</f>
        <v>2876.0</v>
      </c>
    </row>
    <row r="322">
      <c r="A322" s="8" t="s">
        <v>25</v>
      </c>
      <c r="B322" s="9" t="s">
        <v>70</v>
      </c>
      <c r="C322" s="9" t="s">
        <v>71</v>
      </c>
      <c r="D322" s="10"/>
      <c r="E322" s="2" t="n">
        <f>2686</f>
        <v>2686.0</v>
      </c>
      <c r="F322" s="10"/>
      <c r="G322" s="2" t="n">
        <f>9232842600</f>
        <v>9.2328426E9</v>
      </c>
      <c r="H322" s="10"/>
      <c r="I322" s="2" t="n">
        <f>427</f>
        <v>427.0</v>
      </c>
      <c r="J322" s="10" t="s">
        <v>24</v>
      </c>
      <c r="K322" s="2" t="n">
        <f>1656</f>
        <v>1656.0</v>
      </c>
    </row>
    <row r="323">
      <c r="A323" s="8" t="s">
        <v>26</v>
      </c>
      <c r="B323" s="9" t="s">
        <v>70</v>
      </c>
      <c r="C323" s="9" t="s">
        <v>71</v>
      </c>
      <c r="D323" s="10"/>
      <c r="E323" s="2"/>
      <c r="F323" s="10"/>
      <c r="G323" s="2"/>
      <c r="H323" s="10"/>
      <c r="I323" s="2"/>
      <c r="J323" s="10"/>
      <c r="K323" s="2"/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 t="n">
        <f>2366</f>
        <v>2366.0</v>
      </c>
      <c r="F325" s="10"/>
      <c r="G325" s="2" t="n">
        <f>8202878600</f>
        <v>8.2028786E9</v>
      </c>
      <c r="H325" s="10"/>
      <c r="I325" s="2" t="n">
        <f>379</f>
        <v>379.0</v>
      </c>
      <c r="J325" s="10"/>
      <c r="K325" s="2" t="n">
        <f>1911</f>
        <v>1911.0</v>
      </c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1848</f>
        <v>1848.0</v>
      </c>
      <c r="F326" s="10"/>
      <c r="G326" s="2" t="n">
        <f>6413772800</f>
        <v>6.4137728E9</v>
      </c>
      <c r="H326" s="10"/>
      <c r="I326" s="2" t="n">
        <f>426</f>
        <v>426.0</v>
      </c>
      <c r="J326" s="10"/>
      <c r="K326" s="2" t="n">
        <f>2176</f>
        <v>2176.0</v>
      </c>
    </row>
    <row r="327">
      <c r="A327" s="8" t="s">
        <v>30</v>
      </c>
      <c r="B327" s="9" t="s">
        <v>70</v>
      </c>
      <c r="C327" s="9" t="s">
        <v>71</v>
      </c>
      <c r="D327" s="10" t="s">
        <v>31</v>
      </c>
      <c r="E327" s="2" t="n">
        <f>3111</f>
        <v>3111.0</v>
      </c>
      <c r="F327" s="10" t="s">
        <v>31</v>
      </c>
      <c r="G327" s="2" t="n">
        <f>10617390200</f>
        <v>1.06173902E10</v>
      </c>
      <c r="H327" s="10"/>
      <c r="I327" s="2" t="n">
        <f>534</f>
        <v>534.0</v>
      </c>
      <c r="J327" s="10"/>
      <c r="K327" s="2" t="n">
        <f>3418</f>
        <v>3418.0</v>
      </c>
    </row>
    <row r="328">
      <c r="A328" s="8" t="s">
        <v>32</v>
      </c>
      <c r="B328" s="9" t="s">
        <v>70</v>
      </c>
      <c r="C328" s="9" t="s">
        <v>71</v>
      </c>
      <c r="D328" s="10"/>
      <c r="E328" s="2" t="n">
        <f>1664</f>
        <v>1664.0</v>
      </c>
      <c r="F328" s="10"/>
      <c r="G328" s="2" t="n">
        <f>5629870700</f>
        <v>5.6298707E9</v>
      </c>
      <c r="H328" s="10"/>
      <c r="I328" s="2" t="n">
        <f>124</f>
        <v>124.0</v>
      </c>
      <c r="J328" s="10"/>
      <c r="K328" s="2" t="n">
        <f>3217</f>
        <v>3217.0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2166</f>
        <v>2166.0</v>
      </c>
      <c r="F329" s="10"/>
      <c r="G329" s="2" t="n">
        <f>7318357200</f>
        <v>7.3183572E9</v>
      </c>
      <c r="H329" s="10" t="s">
        <v>31</v>
      </c>
      <c r="I329" s="2" t="n">
        <f>568</f>
        <v>568.0</v>
      </c>
      <c r="J329" s="10"/>
      <c r="K329" s="2" t="n">
        <f>3392</f>
        <v>3392.0</v>
      </c>
    </row>
    <row r="330">
      <c r="A330" s="8" t="s">
        <v>34</v>
      </c>
      <c r="B330" s="9" t="s">
        <v>70</v>
      </c>
      <c r="C330" s="9" t="s">
        <v>71</v>
      </c>
      <c r="D330" s="10"/>
      <c r="E330" s="2"/>
      <c r="F330" s="10"/>
      <c r="G330" s="2"/>
      <c r="H330" s="10"/>
      <c r="I330" s="2"/>
      <c r="J330" s="10"/>
      <c r="K330" s="2"/>
    </row>
    <row r="331">
      <c r="A331" s="8" t="s">
        <v>35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36</v>
      </c>
      <c r="B332" s="9" t="s">
        <v>70</v>
      </c>
      <c r="C332" s="9" t="s">
        <v>71</v>
      </c>
      <c r="D332" s="10"/>
      <c r="E332" s="2" t="n">
        <f>1276</f>
        <v>1276.0</v>
      </c>
      <c r="F332" s="10"/>
      <c r="G332" s="2" t="n">
        <f>4366036100</f>
        <v>4.3660361E9</v>
      </c>
      <c r="H332" s="10"/>
      <c r="I332" s="2" t="n">
        <f>301</f>
        <v>301.0</v>
      </c>
      <c r="J332" s="10"/>
      <c r="K332" s="2" t="n">
        <f>3533</f>
        <v>3533.0</v>
      </c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1144</f>
        <v>1144.0</v>
      </c>
      <c r="F333" s="10"/>
      <c r="G333" s="2" t="n">
        <f>3915691900</f>
        <v>3.9156919E9</v>
      </c>
      <c r="H333" s="10"/>
      <c r="I333" s="2" t="n">
        <f>247</f>
        <v>247.0</v>
      </c>
      <c r="J333" s="10"/>
      <c r="K333" s="2" t="n">
        <f>3567</f>
        <v>3567.0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1458</f>
        <v>1458.0</v>
      </c>
      <c r="F334" s="10"/>
      <c r="G334" s="2" t="n">
        <f>4957910300</f>
        <v>4.9579103E9</v>
      </c>
      <c r="H334" s="10"/>
      <c r="I334" s="2" t="n">
        <f>164</f>
        <v>164.0</v>
      </c>
      <c r="J334" s="10"/>
      <c r="K334" s="2" t="n">
        <f>4256</f>
        <v>4256.0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1302</f>
        <v>1302.0</v>
      </c>
      <c r="F335" s="10"/>
      <c r="G335" s="2" t="n">
        <f>4384385700</f>
        <v>4.3843857E9</v>
      </c>
      <c r="H335" s="10"/>
      <c r="I335" s="2" t="n">
        <f>373</f>
        <v>373.0</v>
      </c>
      <c r="J335" s="10"/>
      <c r="K335" s="2" t="n">
        <f>4257</f>
        <v>4257.0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900</f>
        <v>900.0</v>
      </c>
      <c r="F336" s="10"/>
      <c r="G336" s="2" t="n">
        <f>3053089600</f>
        <v>3.0530896E9</v>
      </c>
      <c r="H336" s="10"/>
      <c r="I336" s="2" t="n">
        <f>234</f>
        <v>234.0</v>
      </c>
      <c r="J336" s="10" t="s">
        <v>31</v>
      </c>
      <c r="K336" s="2" t="n">
        <f>4260</f>
        <v>4260.0</v>
      </c>
    </row>
    <row r="337">
      <c r="A337" s="8" t="s">
        <v>41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 t="n">
        <f>1729</f>
        <v>1729.0</v>
      </c>
      <c r="F339" s="10"/>
      <c r="G339" s="2" t="n">
        <f>5920823100</f>
        <v>5.9208231E9</v>
      </c>
      <c r="H339" s="10"/>
      <c r="I339" s="2" t="n">
        <f>195</f>
        <v>195.0</v>
      </c>
      <c r="J339" s="10"/>
      <c r="K339" s="2" t="n">
        <f>3407</f>
        <v>3407.0</v>
      </c>
    </row>
    <row r="340">
      <c r="A340" s="8" t="s">
        <v>44</v>
      </c>
      <c r="B340" s="9" t="s">
        <v>70</v>
      </c>
      <c r="C340" s="9" t="s">
        <v>71</v>
      </c>
      <c r="D340" s="10"/>
      <c r="E340" s="2" t="n">
        <f>1894</f>
        <v>1894.0</v>
      </c>
      <c r="F340" s="10"/>
      <c r="G340" s="2" t="n">
        <f>6509698500</f>
        <v>6.5096985E9</v>
      </c>
      <c r="H340" s="10"/>
      <c r="I340" s="2" t="n">
        <f>478</f>
        <v>478.0</v>
      </c>
      <c r="J340" s="10"/>
      <c r="K340" s="2" t="n">
        <f>3167</f>
        <v>3167.0</v>
      </c>
    </row>
    <row r="341">
      <c r="A341" s="8" t="s">
        <v>45</v>
      </c>
      <c r="B341" s="9" t="s">
        <v>70</v>
      </c>
      <c r="C341" s="9" t="s">
        <v>71</v>
      </c>
      <c r="D341" s="10" t="s">
        <v>24</v>
      </c>
      <c r="E341" s="2" t="n">
        <f>370</f>
        <v>370.0</v>
      </c>
      <c r="F341" s="10" t="s">
        <v>24</v>
      </c>
      <c r="G341" s="2" t="n">
        <f>1270938300</f>
        <v>1.2709383E9</v>
      </c>
      <c r="H341" s="10" t="s">
        <v>24</v>
      </c>
      <c r="I341" s="2" t="n">
        <f>91</f>
        <v>91.0</v>
      </c>
      <c r="J341" s="10"/>
      <c r="K341" s="2" t="n">
        <f>3163</f>
        <v>3163.0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1451</f>
        <v>1451.0</v>
      </c>
      <c r="F342" s="10"/>
      <c r="G342" s="2" t="n">
        <f>4970784000</f>
        <v>4.970784E9</v>
      </c>
      <c r="H342" s="10"/>
      <c r="I342" s="2" t="n">
        <f>105</f>
        <v>105.0</v>
      </c>
      <c r="J342" s="10"/>
      <c r="K342" s="2" t="n">
        <f>4136</f>
        <v>4136.0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1274</f>
        <v>1274.0</v>
      </c>
      <c r="F343" s="10"/>
      <c r="G343" s="2" t="n">
        <f>4401246100</f>
        <v>4.4012461E9</v>
      </c>
      <c r="H343" s="10"/>
      <c r="I343" s="2" t="n">
        <f>188</f>
        <v>188.0</v>
      </c>
      <c r="J343" s="10"/>
      <c r="K343" s="2" t="n">
        <f>3435</f>
        <v>3435.0</v>
      </c>
    </row>
    <row r="344">
      <c r="A344" s="8" t="s">
        <v>48</v>
      </c>
      <c r="B344" s="9" t="s">
        <v>70</v>
      </c>
      <c r="C344" s="9" t="s">
        <v>71</v>
      </c>
      <c r="D344" s="10"/>
      <c r="E344" s="2"/>
      <c r="F344" s="10"/>
      <c r="G344" s="2"/>
      <c r="H344" s="10"/>
      <c r="I344" s="2"/>
      <c r="J344" s="10"/>
      <c r="K344" s="2"/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 t="n">
        <f>551</f>
        <v>551.0</v>
      </c>
      <c r="F346" s="10"/>
      <c r="G346" s="2" t="n">
        <f>1904481800</f>
        <v>1.9044818E9</v>
      </c>
      <c r="H346" s="10"/>
      <c r="I346" s="2" t="n">
        <f>159</f>
        <v>159.0</v>
      </c>
      <c r="J346" s="10"/>
      <c r="K346" s="2" t="n">
        <f>3421</f>
        <v>3421.0</v>
      </c>
    </row>
    <row r="347">
      <c r="A347" s="8" t="s">
        <v>16</v>
      </c>
      <c r="B347" s="9" t="s">
        <v>72</v>
      </c>
      <c r="C347" s="9" t="s">
        <v>73</v>
      </c>
      <c r="D347" s="10"/>
      <c r="E347" s="2"/>
      <c r="F347" s="10"/>
      <c r="G347" s="2"/>
      <c r="H347" s="10"/>
      <c r="I347" s="2"/>
      <c r="J347" s="10"/>
      <c r="K347" s="2"/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/>
      <c r="E350" s="2"/>
      <c r="F350" s="10"/>
      <c r="G350" s="2"/>
      <c r="H350" s="10"/>
      <c r="I350" s="2"/>
      <c r="J350" s="10"/>
      <c r="K350" s="2"/>
    </row>
    <row r="351">
      <c r="A351" s="8" t="s">
        <v>22</v>
      </c>
      <c r="B351" s="9" t="s">
        <v>72</v>
      </c>
      <c r="C351" s="9" t="s">
        <v>73</v>
      </c>
      <c r="D351" s="10"/>
      <c r="E351" s="2"/>
      <c r="F351" s="10"/>
      <c r="G351" s="2"/>
      <c r="H351" s="10"/>
      <c r="I351" s="2"/>
      <c r="J351" s="10"/>
      <c r="K351" s="2"/>
    </row>
    <row r="352">
      <c r="A352" s="8" t="s">
        <v>23</v>
      </c>
      <c r="B352" s="9" t="s">
        <v>72</v>
      </c>
      <c r="C352" s="9" t="s">
        <v>73</v>
      </c>
      <c r="D352" s="10" t="s">
        <v>61</v>
      </c>
      <c r="E352" s="2" t="str">
        <f>"－"</f>
        <v>－</v>
      </c>
      <c r="F352" s="10" t="s">
        <v>61</v>
      </c>
      <c r="G352" s="2" t="str">
        <f>"－"</f>
        <v>－</v>
      </c>
      <c r="H352" s="10" t="s">
        <v>61</v>
      </c>
      <c r="I352" s="2" t="str">
        <f>"－"</f>
        <v>－</v>
      </c>
      <c r="J352" s="10" t="s">
        <v>61</v>
      </c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/>
      <c r="F354" s="10"/>
      <c r="G354" s="2"/>
      <c r="H354" s="10"/>
      <c r="I354" s="2"/>
      <c r="J354" s="10"/>
      <c r="K354" s="2"/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 t="str">
        <f>"－"</f>
        <v>－</v>
      </c>
      <c r="F356" s="10"/>
      <c r="G356" s="2" t="str">
        <f>"－"</f>
        <v>－</v>
      </c>
      <c r="H356" s="10"/>
      <c r="I356" s="2" t="str">
        <f>"－"</f>
        <v>－</v>
      </c>
      <c r="J356" s="10"/>
      <c r="K356" s="2" t="str">
        <f>"－"</f>
        <v>－</v>
      </c>
    </row>
    <row r="357">
      <c r="A357" s="8" t="s">
        <v>29</v>
      </c>
      <c r="B357" s="9" t="s">
        <v>72</v>
      </c>
      <c r="C357" s="9" t="s">
        <v>73</v>
      </c>
      <c r="D357" s="10"/>
      <c r="E357" s="2" t="str">
        <f>"－"</f>
        <v>－</v>
      </c>
      <c r="F357" s="10"/>
      <c r="G357" s="2" t="str">
        <f>"－"</f>
        <v>－</v>
      </c>
      <c r="H357" s="10"/>
      <c r="I357" s="2" t="str">
        <f>"－"</f>
        <v>－</v>
      </c>
      <c r="J357" s="10"/>
      <c r="K357" s="2" t="str">
        <f>"－"</f>
        <v>－</v>
      </c>
    </row>
    <row r="358">
      <c r="A358" s="8" t="s">
        <v>30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/>
      <c r="F361" s="10"/>
      <c r="G361" s="2"/>
      <c r="H361" s="10"/>
      <c r="I361" s="2"/>
      <c r="J361" s="10"/>
      <c r="K361" s="2"/>
    </row>
    <row r="362">
      <c r="A362" s="8" t="s">
        <v>35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36</v>
      </c>
      <c r="B363" s="9" t="s">
        <v>72</v>
      </c>
      <c r="C363" s="9" t="s">
        <v>73</v>
      </c>
      <c r="D363" s="10"/>
      <c r="E363" s="2" t="str">
        <f>"－"</f>
        <v>－</v>
      </c>
      <c r="F363" s="10"/>
      <c r="G363" s="2" t="str">
        <f>"－"</f>
        <v>－</v>
      </c>
      <c r="H363" s="10"/>
      <c r="I363" s="2" t="str">
        <f>"－"</f>
        <v>－</v>
      </c>
      <c r="J363" s="10"/>
      <c r="K363" s="2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2" t="str">
        <f>"－"</f>
        <v>－</v>
      </c>
      <c r="F364" s="10"/>
      <c r="G364" s="2" t="str">
        <f>"－"</f>
        <v>－</v>
      </c>
      <c r="H364" s="10"/>
      <c r="I364" s="2" t="str">
        <f>"－"</f>
        <v>－</v>
      </c>
      <c r="J364" s="10"/>
      <c r="K364" s="2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 t="str">
        <f>"－"</f>
        <v>－</v>
      </c>
      <c r="F370" s="10"/>
      <c r="G370" s="2" t="str">
        <f>"－"</f>
        <v>－</v>
      </c>
      <c r="H370" s="10"/>
      <c r="I370" s="2" t="str">
        <f>"－"</f>
        <v>－</v>
      </c>
      <c r="J370" s="10"/>
      <c r="K370" s="2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2" t="str">
        <f>"－"</f>
        <v>－</v>
      </c>
      <c r="F371" s="10"/>
      <c r="G371" s="2" t="str">
        <f>"－"</f>
        <v>－</v>
      </c>
      <c r="H371" s="10"/>
      <c r="I371" s="2" t="str">
        <f>"－"</f>
        <v>－</v>
      </c>
      <c r="J371" s="10"/>
      <c r="K371" s="2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/>
      <c r="F375" s="10"/>
      <c r="G375" s="2"/>
      <c r="H375" s="10"/>
      <c r="I375" s="2"/>
      <c r="J375" s="10"/>
      <c r="K375" s="2"/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 t="str">
        <f>"－"</f>
        <v>－</v>
      </c>
      <c r="F377" s="10"/>
      <c r="G377" s="2" t="str">
        <f>"－"</f>
        <v>－</v>
      </c>
      <c r="H377" s="10"/>
      <c r="I377" s="2" t="str">
        <f>"－"</f>
        <v>－</v>
      </c>
      <c r="J377" s="10"/>
      <c r="K377" s="2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2"/>
      <c r="F378" s="10"/>
      <c r="G378" s="2"/>
      <c r="H378" s="10"/>
      <c r="I378" s="2"/>
      <c r="J378" s="10"/>
      <c r="K378" s="2"/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22</v>
      </c>
      <c r="B382" s="9" t="s">
        <v>74</v>
      </c>
      <c r="C382" s="9" t="s">
        <v>75</v>
      </c>
      <c r="D382" s="10"/>
      <c r="E382" s="2"/>
      <c r="F382" s="10"/>
      <c r="G382" s="2"/>
      <c r="H382" s="10"/>
      <c r="I382" s="2"/>
      <c r="J382" s="10"/>
      <c r="K382" s="2"/>
    </row>
    <row r="383">
      <c r="A383" s="8" t="s">
        <v>23</v>
      </c>
      <c r="B383" s="9" t="s">
        <v>74</v>
      </c>
      <c r="C383" s="9" t="s">
        <v>75</v>
      </c>
      <c r="D383" s="10" t="s">
        <v>61</v>
      </c>
      <c r="E383" s="2" t="str">
        <f>"－"</f>
        <v>－</v>
      </c>
      <c r="F383" s="10" t="s">
        <v>61</v>
      </c>
      <c r="G383" s="2" t="str">
        <f>"－"</f>
        <v>－</v>
      </c>
      <c r="H383" s="10" t="s">
        <v>61</v>
      </c>
      <c r="I383" s="2" t="str">
        <f>"－"</f>
        <v>－</v>
      </c>
      <c r="J383" s="10" t="s">
        <v>61</v>
      </c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/>
      <c r="F385" s="10"/>
      <c r="G385" s="2"/>
      <c r="H385" s="10"/>
      <c r="I385" s="2"/>
      <c r="J385" s="10"/>
      <c r="K385" s="2"/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 t="str">
        <f>"－"</f>
        <v>－</v>
      </c>
      <c r="F387" s="10"/>
      <c r="G387" s="2" t="str">
        <f>"－"</f>
        <v>－</v>
      </c>
      <c r="H387" s="10"/>
      <c r="I387" s="2" t="str">
        <f>"－"</f>
        <v>－</v>
      </c>
      <c r="J387" s="10"/>
      <c r="K387" s="2" t="str">
        <f>"－"</f>
        <v>－</v>
      </c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/>
      <c r="F392" s="10"/>
      <c r="G392" s="2"/>
      <c r="H392" s="10"/>
      <c r="I392" s="2"/>
      <c r="J392" s="10"/>
      <c r="K392" s="2"/>
    </row>
    <row r="393">
      <c r="A393" s="8" t="s">
        <v>35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36</v>
      </c>
      <c r="B394" s="9" t="s">
        <v>74</v>
      </c>
      <c r="C394" s="9" t="s">
        <v>75</v>
      </c>
      <c r="D394" s="10"/>
      <c r="E394" s="2" t="str">
        <f>"－"</f>
        <v>－</v>
      </c>
      <c r="F394" s="10"/>
      <c r="G394" s="2" t="str">
        <f>"－"</f>
        <v>－</v>
      </c>
      <c r="H394" s="10"/>
      <c r="I394" s="2" t="str">
        <f>"－"</f>
        <v>－</v>
      </c>
      <c r="J394" s="10"/>
      <c r="K394" s="2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 t="str">
        <f>"－"</f>
        <v>－</v>
      </c>
      <c r="F401" s="10"/>
      <c r="G401" s="2" t="str">
        <f>"－"</f>
        <v>－</v>
      </c>
      <c r="H401" s="10"/>
      <c r="I401" s="2" t="str">
        <f>"－"</f>
        <v>－</v>
      </c>
      <c r="J401" s="10"/>
      <c r="K401" s="2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/>
      <c r="F406" s="10"/>
      <c r="G406" s="2"/>
      <c r="H406" s="10"/>
      <c r="I406" s="2"/>
      <c r="J406" s="10"/>
      <c r="K406" s="2"/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 t="str">
        <f>"－"</f>
        <v>－</v>
      </c>
      <c r="F408" s="10"/>
      <c r="G408" s="2" t="str">
        <f>"－"</f>
        <v>－</v>
      </c>
      <c r="H408" s="10"/>
      <c r="I408" s="2" t="str">
        <f>"－"</f>
        <v>－</v>
      </c>
      <c r="J408" s="10"/>
      <c r="K408" s="2" t="str">
        <f>"－"</f>
        <v>－</v>
      </c>
    </row>
    <row r="409">
      <c r="A409" s="8" t="s">
        <v>16</v>
      </c>
      <c r="B409" s="9" t="s">
        <v>76</v>
      </c>
      <c r="C409" s="9" t="s">
        <v>77</v>
      </c>
      <c r="D409" s="10"/>
      <c r="E409" s="2"/>
      <c r="F409" s="10"/>
      <c r="G409" s="2"/>
      <c r="H409" s="10"/>
      <c r="I409" s="2"/>
      <c r="J409" s="10"/>
      <c r="K409" s="2"/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22</v>
      </c>
      <c r="B413" s="9" t="s">
        <v>76</v>
      </c>
      <c r="C413" s="9" t="s">
        <v>77</v>
      </c>
      <c r="D413" s="10"/>
      <c r="E413" s="2"/>
      <c r="F413" s="10"/>
      <c r="G413" s="2"/>
      <c r="H413" s="10"/>
      <c r="I413" s="2"/>
      <c r="J413" s="10"/>
      <c r="K413" s="2"/>
    </row>
    <row r="414">
      <c r="A414" s="8" t="s">
        <v>23</v>
      </c>
      <c r="B414" s="9" t="s">
        <v>76</v>
      </c>
      <c r="C414" s="9" t="s">
        <v>77</v>
      </c>
      <c r="D414" s="10" t="s">
        <v>61</v>
      </c>
      <c r="E414" s="2" t="str">
        <f>"－"</f>
        <v>－</v>
      </c>
      <c r="F414" s="10" t="s">
        <v>61</v>
      </c>
      <c r="G414" s="2" t="str">
        <f>"－"</f>
        <v>－</v>
      </c>
      <c r="H414" s="10" t="s">
        <v>61</v>
      </c>
      <c r="I414" s="2" t="str">
        <f>"－"</f>
        <v>－</v>
      </c>
      <c r="J414" s="10" t="s">
        <v>61</v>
      </c>
      <c r="K414" s="2" t="n">
        <f>29212</f>
        <v>29212.0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29212</f>
        <v>29212.0</v>
      </c>
    </row>
    <row r="416">
      <c r="A416" s="8" t="s">
        <v>26</v>
      </c>
      <c r="B416" s="9" t="s">
        <v>76</v>
      </c>
      <c r="C416" s="9" t="s">
        <v>77</v>
      </c>
      <c r="D416" s="10"/>
      <c r="E416" s="2"/>
      <c r="F416" s="10"/>
      <c r="G416" s="2"/>
      <c r="H416" s="10"/>
      <c r="I416" s="2"/>
      <c r="J416" s="10"/>
      <c r="K416" s="2"/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 t="str">
        <f>"－"</f>
        <v>－</v>
      </c>
      <c r="F418" s="10"/>
      <c r="G418" s="2" t="str">
        <f>"－"</f>
        <v>－</v>
      </c>
      <c r="H418" s="10"/>
      <c r="I418" s="2" t="str">
        <f>"－"</f>
        <v>－</v>
      </c>
      <c r="J418" s="10"/>
      <c r="K418" s="2" t="n">
        <f>29212</f>
        <v>29212.0</v>
      </c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n">
        <f>29212</f>
        <v>29212.0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29212</f>
        <v>29212.0</v>
      </c>
    </row>
    <row r="421">
      <c r="A421" s="8" t="s">
        <v>32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29212</f>
        <v>29212.0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29212</f>
        <v>29212.0</v>
      </c>
    </row>
    <row r="423">
      <c r="A423" s="8" t="s">
        <v>34</v>
      </c>
      <c r="B423" s="9" t="s">
        <v>76</v>
      </c>
      <c r="C423" s="9" t="s">
        <v>77</v>
      </c>
      <c r="D423" s="10"/>
      <c r="E423" s="2"/>
      <c r="F423" s="10"/>
      <c r="G423" s="2"/>
      <c r="H423" s="10"/>
      <c r="I423" s="2"/>
      <c r="J423" s="10"/>
      <c r="K423" s="2"/>
    </row>
    <row r="424">
      <c r="A424" s="8" t="s">
        <v>35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36</v>
      </c>
      <c r="B425" s="9" t="s">
        <v>76</v>
      </c>
      <c r="C425" s="9" t="s">
        <v>77</v>
      </c>
      <c r="D425" s="10"/>
      <c r="E425" s="2" t="str">
        <f>"－"</f>
        <v>－</v>
      </c>
      <c r="F425" s="10"/>
      <c r="G425" s="2" t="str">
        <f>"－"</f>
        <v>－</v>
      </c>
      <c r="H425" s="10"/>
      <c r="I425" s="2" t="str">
        <f>"－"</f>
        <v>－</v>
      </c>
      <c r="J425" s="10"/>
      <c r="K425" s="2" t="n">
        <f>29212</f>
        <v>29212.0</v>
      </c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n">
        <f>29212</f>
        <v>29212.0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29212</f>
        <v>29212.0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29212</f>
        <v>29212.0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29212</f>
        <v>29212.0</v>
      </c>
    </row>
    <row r="430">
      <c r="A430" s="8" t="s">
        <v>41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 t="str">
        <f>"－"</f>
        <v>－</v>
      </c>
      <c r="F432" s="10"/>
      <c r="G432" s="2" t="str">
        <f>"－"</f>
        <v>－</v>
      </c>
      <c r="H432" s="10"/>
      <c r="I432" s="2" t="str">
        <f>"－"</f>
        <v>－</v>
      </c>
      <c r="J432" s="10"/>
      <c r="K432" s="2" t="n">
        <f>29212</f>
        <v>29212.0</v>
      </c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n">
        <f>29212</f>
        <v>29212.0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29212</f>
        <v>29212.0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n">
        <f>29212</f>
        <v>29212.0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29212</f>
        <v>29212.0</v>
      </c>
    </row>
    <row r="437">
      <c r="A437" s="8" t="s">
        <v>48</v>
      </c>
      <c r="B437" s="9" t="s">
        <v>76</v>
      </c>
      <c r="C437" s="9" t="s">
        <v>77</v>
      </c>
      <c r="D437" s="10"/>
      <c r="E437" s="2"/>
      <c r="F437" s="10"/>
      <c r="G437" s="2"/>
      <c r="H437" s="10"/>
      <c r="I437" s="2"/>
      <c r="J437" s="10"/>
      <c r="K437" s="2"/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 t="str">
        <f>"－"</f>
        <v>－</v>
      </c>
      <c r="F439" s="10"/>
      <c r="G439" s="2" t="str">
        <f>"－"</f>
        <v>－</v>
      </c>
      <c r="H439" s="10"/>
      <c r="I439" s="2" t="str">
        <f>"－"</f>
        <v>－</v>
      </c>
      <c r="J439" s="10"/>
      <c r="K439" s="2" t="n">
        <f>29212</f>
        <v>29212.0</v>
      </c>
    </row>
    <row r="440">
      <c r="A440" s="8" t="s">
        <v>16</v>
      </c>
      <c r="B440" s="9" t="s">
        <v>78</v>
      </c>
      <c r="C440" s="9" t="s">
        <v>79</v>
      </c>
      <c r="D440" s="10"/>
      <c r="E440" s="2"/>
      <c r="F440" s="10"/>
      <c r="G440" s="2"/>
      <c r="H440" s="10"/>
      <c r="I440" s="2"/>
      <c r="J440" s="10"/>
      <c r="K440" s="2"/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22</v>
      </c>
      <c r="B444" s="9" t="s">
        <v>78</v>
      </c>
      <c r="C444" s="9" t="s">
        <v>79</v>
      </c>
      <c r="D444" s="10"/>
      <c r="E444" s="2"/>
      <c r="F444" s="10"/>
      <c r="G444" s="2"/>
      <c r="H444" s="10"/>
      <c r="I444" s="2"/>
      <c r="J444" s="10"/>
      <c r="K444" s="2"/>
    </row>
    <row r="445">
      <c r="A445" s="8" t="s">
        <v>23</v>
      </c>
      <c r="B445" s="9" t="s">
        <v>78</v>
      </c>
      <c r="C445" s="9" t="s">
        <v>79</v>
      </c>
      <c r="D445" s="10" t="s">
        <v>61</v>
      </c>
      <c r="E445" s="2" t="str">
        <f>"－"</f>
        <v>－</v>
      </c>
      <c r="F445" s="10" t="s">
        <v>61</v>
      </c>
      <c r="G445" s="2" t="str">
        <f>"－"</f>
        <v>－</v>
      </c>
      <c r="H445" s="10" t="s">
        <v>61</v>
      </c>
      <c r="I445" s="2" t="str">
        <f>"－"</f>
        <v>－</v>
      </c>
      <c r="J445" s="10" t="s">
        <v>61</v>
      </c>
      <c r="K445" s="2" t="str">
        <f>"－"</f>
        <v>－</v>
      </c>
    </row>
    <row r="446">
      <c r="A446" s="8" t="s">
        <v>25</v>
      </c>
      <c r="B446" s="9" t="s">
        <v>78</v>
      </c>
      <c r="C446" s="9" t="s">
        <v>79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str">
        <f>"－"</f>
        <v>－</v>
      </c>
    </row>
    <row r="447">
      <c r="A447" s="8" t="s">
        <v>26</v>
      </c>
      <c r="B447" s="9" t="s">
        <v>78</v>
      </c>
      <c r="C447" s="9" t="s">
        <v>79</v>
      </c>
      <c r="D447" s="10"/>
      <c r="E447" s="2"/>
      <c r="F447" s="10"/>
      <c r="G447" s="2"/>
      <c r="H447" s="10"/>
      <c r="I447" s="2"/>
      <c r="J447" s="10"/>
      <c r="K447" s="2"/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 t="str">
        <f>"－"</f>
        <v>－</v>
      </c>
      <c r="F449" s="10"/>
      <c r="G449" s="2" t="str">
        <f>"－"</f>
        <v>－</v>
      </c>
      <c r="H449" s="10"/>
      <c r="I449" s="2" t="str">
        <f>"－"</f>
        <v>－</v>
      </c>
      <c r="J449" s="10"/>
      <c r="K449" s="2" t="str">
        <f>"－"</f>
        <v>－</v>
      </c>
    </row>
    <row r="450">
      <c r="A450" s="8" t="s">
        <v>29</v>
      </c>
      <c r="B450" s="9" t="s">
        <v>78</v>
      </c>
      <c r="C450" s="9" t="s">
        <v>79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str">
        <f>"－"</f>
        <v>－</v>
      </c>
    </row>
    <row r="451">
      <c r="A451" s="8" t="s">
        <v>30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32</v>
      </c>
      <c r="B452" s="9" t="s">
        <v>78</v>
      </c>
      <c r="C452" s="9" t="s">
        <v>79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str">
        <f>"－"</f>
        <v>－</v>
      </c>
    </row>
    <row r="453">
      <c r="A453" s="8" t="s">
        <v>33</v>
      </c>
      <c r="B453" s="9" t="s">
        <v>78</v>
      </c>
      <c r="C453" s="9" t="s">
        <v>79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str">
        <f>"－"</f>
        <v>－</v>
      </c>
    </row>
    <row r="454">
      <c r="A454" s="8" t="s">
        <v>34</v>
      </c>
      <c r="B454" s="9" t="s">
        <v>78</v>
      </c>
      <c r="C454" s="9" t="s">
        <v>79</v>
      </c>
      <c r="D454" s="10"/>
      <c r="E454" s="2"/>
      <c r="F454" s="10"/>
      <c r="G454" s="2"/>
      <c r="H454" s="10"/>
      <c r="I454" s="2"/>
      <c r="J454" s="10"/>
      <c r="K454" s="2"/>
    </row>
    <row r="455">
      <c r="A455" s="8" t="s">
        <v>35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36</v>
      </c>
      <c r="B456" s="9" t="s">
        <v>78</v>
      </c>
      <c r="C456" s="9" t="s">
        <v>79</v>
      </c>
      <c r="D456" s="10"/>
      <c r="E456" s="2" t="str">
        <f>"－"</f>
        <v>－</v>
      </c>
      <c r="F456" s="10"/>
      <c r="G456" s="2" t="str">
        <f>"－"</f>
        <v>－</v>
      </c>
      <c r="H456" s="10"/>
      <c r="I456" s="2" t="str">
        <f>"－"</f>
        <v>－</v>
      </c>
      <c r="J456" s="10"/>
      <c r="K456" s="2" t="str">
        <f>"－"</f>
        <v>－</v>
      </c>
    </row>
    <row r="457">
      <c r="A457" s="8" t="s">
        <v>37</v>
      </c>
      <c r="B457" s="9" t="s">
        <v>78</v>
      </c>
      <c r="C457" s="9" t="s">
        <v>79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str">
        <f>"－"</f>
        <v>－</v>
      </c>
    </row>
    <row r="458">
      <c r="A458" s="8" t="s">
        <v>38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39</v>
      </c>
      <c r="B459" s="9" t="s">
        <v>78</v>
      </c>
      <c r="C459" s="9" t="s">
        <v>79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str">
        <f>"－"</f>
        <v>－</v>
      </c>
    </row>
    <row r="460">
      <c r="A460" s="8" t="s">
        <v>40</v>
      </c>
      <c r="B460" s="9" t="s">
        <v>78</v>
      </c>
      <c r="C460" s="9" t="s">
        <v>79</v>
      </c>
      <c r="D460" s="10"/>
      <c r="E460" s="2" t="str">
        <f>"－"</f>
        <v>－</v>
      </c>
      <c r="F460" s="10"/>
      <c r="G460" s="2" t="str">
        <f>"－"</f>
        <v>－</v>
      </c>
      <c r="H460" s="10"/>
      <c r="I460" s="2" t="str">
        <f>"－"</f>
        <v>－</v>
      </c>
      <c r="J460" s="10"/>
      <c r="K460" s="2" t="str">
        <f>"－"</f>
        <v>－</v>
      </c>
    </row>
    <row r="461">
      <c r="A461" s="8" t="s">
        <v>41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 t="str">
        <f>"－"</f>
        <v>－</v>
      </c>
      <c r="F463" s="10"/>
      <c r="G463" s="2" t="str">
        <f>"－"</f>
        <v>－</v>
      </c>
      <c r="H463" s="10"/>
      <c r="I463" s="2" t="str">
        <f>"－"</f>
        <v>－</v>
      </c>
      <c r="J463" s="10"/>
      <c r="K463" s="2" t="str">
        <f>"－"</f>
        <v>－</v>
      </c>
    </row>
    <row r="464">
      <c r="A464" s="8" t="s">
        <v>44</v>
      </c>
      <c r="B464" s="9" t="s">
        <v>78</v>
      </c>
      <c r="C464" s="9" t="s">
        <v>79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str">
        <f>"－"</f>
        <v>－</v>
      </c>
    </row>
    <row r="465">
      <c r="A465" s="8" t="s">
        <v>45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46</v>
      </c>
      <c r="B466" s="9" t="s">
        <v>78</v>
      </c>
      <c r="C466" s="9" t="s">
        <v>79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str">
        <f>"－"</f>
        <v>－</v>
      </c>
    </row>
    <row r="467">
      <c r="A467" s="8" t="s">
        <v>47</v>
      </c>
      <c r="B467" s="9" t="s">
        <v>78</v>
      </c>
      <c r="C467" s="9" t="s">
        <v>79</v>
      </c>
      <c r="D467" s="10"/>
      <c r="E467" s="2" t="str">
        <f>"－"</f>
        <v>－</v>
      </c>
      <c r="F467" s="10"/>
      <c r="G467" s="2" t="str">
        <f>"－"</f>
        <v>－</v>
      </c>
      <c r="H467" s="10"/>
      <c r="I467" s="2" t="str">
        <f>"－"</f>
        <v>－</v>
      </c>
      <c r="J467" s="10"/>
      <c r="K467" s="2" t="str">
        <f>"－"</f>
        <v>－</v>
      </c>
    </row>
    <row r="468">
      <c r="A468" s="8" t="s">
        <v>48</v>
      </c>
      <c r="B468" s="9" t="s">
        <v>78</v>
      </c>
      <c r="C468" s="9" t="s">
        <v>79</v>
      </c>
      <c r="D468" s="10"/>
      <c r="E468" s="2"/>
      <c r="F468" s="10"/>
      <c r="G468" s="2"/>
      <c r="H468" s="10"/>
      <c r="I468" s="2"/>
      <c r="J468" s="10"/>
      <c r="K468" s="2"/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 t="str">
        <f>"－"</f>
        <v>－</v>
      </c>
      <c r="F470" s="10"/>
      <c r="G470" s="2" t="str">
        <f>"－"</f>
        <v>－</v>
      </c>
      <c r="H470" s="10"/>
      <c r="I470" s="2" t="str">
        <f>"－"</f>
        <v>－</v>
      </c>
      <c r="J470" s="10"/>
      <c r="K470" s="2" t="str">
        <f>"－"</f>
        <v>－</v>
      </c>
    </row>
    <row r="471">
      <c r="A471" s="8" t="s">
        <v>16</v>
      </c>
      <c r="B471" s="9" t="s">
        <v>80</v>
      </c>
      <c r="C471" s="9" t="s">
        <v>81</v>
      </c>
      <c r="D471" s="10"/>
      <c r="E471" s="2"/>
      <c r="F471" s="10"/>
      <c r="G471" s="2"/>
      <c r="H471" s="10"/>
      <c r="I471" s="2"/>
      <c r="J471" s="10"/>
      <c r="K471" s="2"/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22</v>
      </c>
      <c r="B475" s="9" t="s">
        <v>80</v>
      </c>
      <c r="C475" s="9" t="s">
        <v>81</v>
      </c>
      <c r="D475" s="10"/>
      <c r="E475" s="2"/>
      <c r="F475" s="10"/>
      <c r="G475" s="2"/>
      <c r="H475" s="10"/>
      <c r="I475" s="2"/>
      <c r="J475" s="10"/>
      <c r="K475" s="2"/>
    </row>
    <row r="476">
      <c r="A476" s="8" t="s">
        <v>23</v>
      </c>
      <c r="B476" s="9" t="s">
        <v>80</v>
      </c>
      <c r="C476" s="9" t="s">
        <v>81</v>
      </c>
      <c r="D476" s="10" t="s">
        <v>61</v>
      </c>
      <c r="E476" s="2" t="str">
        <f>"－"</f>
        <v>－</v>
      </c>
      <c r="F476" s="10" t="s">
        <v>61</v>
      </c>
      <c r="G476" s="2" t="str">
        <f>"－"</f>
        <v>－</v>
      </c>
      <c r="H476" s="10" t="s">
        <v>61</v>
      </c>
      <c r="I476" s="2" t="str">
        <f>"－"</f>
        <v>－</v>
      </c>
      <c r="J476" s="10" t="s">
        <v>61</v>
      </c>
      <c r="K476" s="2" t="str">
        <f>"－"</f>
        <v>－</v>
      </c>
    </row>
    <row r="477">
      <c r="A477" s="8" t="s">
        <v>25</v>
      </c>
      <c r="B477" s="9" t="s">
        <v>80</v>
      </c>
      <c r="C477" s="9" t="s">
        <v>81</v>
      </c>
      <c r="D477" s="10"/>
      <c r="E477" s="2" t="str">
        <f>"－"</f>
        <v>－</v>
      </c>
      <c r="F477" s="10"/>
      <c r="G477" s="2" t="str">
        <f>"－"</f>
        <v>－</v>
      </c>
      <c r="H477" s="10"/>
      <c r="I477" s="2" t="str">
        <f>"－"</f>
        <v>－</v>
      </c>
      <c r="J477" s="10"/>
      <c r="K477" s="2" t="str">
        <f>"－"</f>
        <v>－</v>
      </c>
    </row>
    <row r="478">
      <c r="A478" s="8" t="s">
        <v>26</v>
      </c>
      <c r="B478" s="9" t="s">
        <v>80</v>
      </c>
      <c r="C478" s="9" t="s">
        <v>81</v>
      </c>
      <c r="D478" s="10"/>
      <c r="E478" s="2"/>
      <c r="F478" s="10"/>
      <c r="G478" s="2"/>
      <c r="H478" s="10"/>
      <c r="I478" s="2"/>
      <c r="J478" s="10"/>
      <c r="K478" s="2"/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 t="str">
        <f>"－"</f>
        <v>－</v>
      </c>
      <c r="F480" s="10"/>
      <c r="G480" s="2" t="str">
        <f>"－"</f>
        <v>－</v>
      </c>
      <c r="H480" s="10"/>
      <c r="I480" s="2" t="str">
        <f>"－"</f>
        <v>－</v>
      </c>
      <c r="J480" s="10"/>
      <c r="K480" s="2" t="str">
        <f>"－"</f>
        <v>－</v>
      </c>
    </row>
    <row r="481">
      <c r="A481" s="8" t="s">
        <v>29</v>
      </c>
      <c r="B481" s="9" t="s">
        <v>80</v>
      </c>
      <c r="C481" s="9" t="s">
        <v>81</v>
      </c>
      <c r="D481" s="10"/>
      <c r="E481" s="2" t="str">
        <f>"－"</f>
        <v>－</v>
      </c>
      <c r="F481" s="10"/>
      <c r="G481" s="2" t="str">
        <f>"－"</f>
        <v>－</v>
      </c>
      <c r="H481" s="10"/>
      <c r="I481" s="2" t="str">
        <f>"－"</f>
        <v>－</v>
      </c>
      <c r="J481" s="10"/>
      <c r="K481" s="2" t="str">
        <f>"－"</f>
        <v>－</v>
      </c>
    </row>
    <row r="482">
      <c r="A482" s="8" t="s">
        <v>30</v>
      </c>
      <c r="B482" s="9" t="s">
        <v>80</v>
      </c>
      <c r="C482" s="9" t="s">
        <v>81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32</v>
      </c>
      <c r="B483" s="9" t="s">
        <v>80</v>
      </c>
      <c r="C483" s="9" t="s">
        <v>81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33</v>
      </c>
      <c r="B484" s="9" t="s">
        <v>80</v>
      </c>
      <c r="C484" s="9" t="s">
        <v>81</v>
      </c>
      <c r="D484" s="10"/>
      <c r="E484" s="2" t="str">
        <f>"－"</f>
        <v>－</v>
      </c>
      <c r="F484" s="10"/>
      <c r="G484" s="2" t="str">
        <f>"－"</f>
        <v>－</v>
      </c>
      <c r="H484" s="10"/>
      <c r="I484" s="2" t="str">
        <f>"－"</f>
        <v>－</v>
      </c>
      <c r="J484" s="10"/>
      <c r="K484" s="2" t="str">
        <f>"－"</f>
        <v>－</v>
      </c>
    </row>
    <row r="485">
      <c r="A485" s="8" t="s">
        <v>34</v>
      </c>
      <c r="B485" s="9" t="s">
        <v>80</v>
      </c>
      <c r="C485" s="9" t="s">
        <v>81</v>
      </c>
      <c r="D485" s="10"/>
      <c r="E485" s="2"/>
      <c r="F485" s="10"/>
      <c r="G485" s="2"/>
      <c r="H485" s="10"/>
      <c r="I485" s="2"/>
      <c r="J485" s="10"/>
      <c r="K485" s="2"/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 t="str">
        <f>"－"</f>
        <v>－</v>
      </c>
      <c r="F487" s="10"/>
      <c r="G487" s="2" t="str">
        <f>"－"</f>
        <v>－</v>
      </c>
      <c r="H487" s="10"/>
      <c r="I487" s="2" t="str">
        <f>"－"</f>
        <v>－</v>
      </c>
      <c r="J487" s="10"/>
      <c r="K487" s="2" t="str">
        <f>"－"</f>
        <v>－</v>
      </c>
    </row>
    <row r="488">
      <c r="A488" s="8" t="s">
        <v>37</v>
      </c>
      <c r="B488" s="9" t="s">
        <v>80</v>
      </c>
      <c r="C488" s="9" t="s">
        <v>81</v>
      </c>
      <c r="D488" s="10"/>
      <c r="E488" s="2" t="str">
        <f>"－"</f>
        <v>－</v>
      </c>
      <c r="F488" s="10"/>
      <c r="G488" s="2" t="str">
        <f>"－"</f>
        <v>－</v>
      </c>
      <c r="H488" s="10"/>
      <c r="I488" s="2" t="str">
        <f>"－"</f>
        <v>－</v>
      </c>
      <c r="J488" s="10"/>
      <c r="K488" s="2" t="str">
        <f>"－"</f>
        <v>－</v>
      </c>
    </row>
    <row r="489">
      <c r="A489" s="8" t="s">
        <v>38</v>
      </c>
      <c r="B489" s="9" t="s">
        <v>80</v>
      </c>
      <c r="C489" s="9" t="s">
        <v>81</v>
      </c>
      <c r="D489" s="10"/>
      <c r="E489" s="2" t="str">
        <f>"－"</f>
        <v>－</v>
      </c>
      <c r="F489" s="10"/>
      <c r="G489" s="2" t="str">
        <f>"－"</f>
        <v>－</v>
      </c>
      <c r="H489" s="10"/>
      <c r="I489" s="2" t="str">
        <f>"－"</f>
        <v>－</v>
      </c>
      <c r="J489" s="10"/>
      <c r="K489" s="2" t="str">
        <f>"－"</f>
        <v>－</v>
      </c>
    </row>
    <row r="490">
      <c r="A490" s="8" t="s">
        <v>39</v>
      </c>
      <c r="B490" s="9" t="s">
        <v>80</v>
      </c>
      <c r="C490" s="9" t="s">
        <v>81</v>
      </c>
      <c r="D490" s="10"/>
      <c r="E490" s="2" t="str">
        <f>"－"</f>
        <v>－</v>
      </c>
      <c r="F490" s="10"/>
      <c r="G490" s="2" t="str">
        <f>"－"</f>
        <v>－</v>
      </c>
      <c r="H490" s="10"/>
      <c r="I490" s="2" t="str">
        <f>"－"</f>
        <v>－</v>
      </c>
      <c r="J490" s="10"/>
      <c r="K490" s="2" t="str">
        <f>"－"</f>
        <v>－</v>
      </c>
    </row>
    <row r="491">
      <c r="A491" s="8" t="s">
        <v>40</v>
      </c>
      <c r="B491" s="9" t="s">
        <v>80</v>
      </c>
      <c r="C491" s="9" t="s">
        <v>81</v>
      </c>
      <c r="D491" s="10"/>
      <c r="E491" s="2" t="str">
        <f>"－"</f>
        <v>－</v>
      </c>
      <c r="F491" s="10"/>
      <c r="G491" s="2" t="str">
        <f>"－"</f>
        <v>－</v>
      </c>
      <c r="H491" s="10"/>
      <c r="I491" s="2" t="str">
        <f>"－"</f>
        <v>－</v>
      </c>
      <c r="J491" s="10"/>
      <c r="K491" s="2" t="str">
        <f>"－"</f>
        <v>－</v>
      </c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 t="str">
        <f>"－"</f>
        <v>－</v>
      </c>
      <c r="F494" s="10"/>
      <c r="G494" s="2" t="str">
        <f>"－"</f>
        <v>－</v>
      </c>
      <c r="H494" s="10"/>
      <c r="I494" s="2" t="str">
        <f>"－"</f>
        <v>－</v>
      </c>
      <c r="J494" s="10"/>
      <c r="K494" s="2" t="str">
        <f>"－"</f>
        <v>－</v>
      </c>
    </row>
    <row r="495">
      <c r="A495" s="8" t="s">
        <v>44</v>
      </c>
      <c r="B495" s="9" t="s">
        <v>80</v>
      </c>
      <c r="C495" s="9" t="s">
        <v>81</v>
      </c>
      <c r="D495" s="10"/>
      <c r="E495" s="2" t="str">
        <f>"－"</f>
        <v>－</v>
      </c>
      <c r="F495" s="10"/>
      <c r="G495" s="2" t="str">
        <f>"－"</f>
        <v>－</v>
      </c>
      <c r="H495" s="10"/>
      <c r="I495" s="2" t="str">
        <f>"－"</f>
        <v>－</v>
      </c>
      <c r="J495" s="10"/>
      <c r="K495" s="2" t="str">
        <f>"－"</f>
        <v>－</v>
      </c>
    </row>
    <row r="496">
      <c r="A496" s="8" t="s">
        <v>45</v>
      </c>
      <c r="B496" s="9" t="s">
        <v>80</v>
      </c>
      <c r="C496" s="9" t="s">
        <v>81</v>
      </c>
      <c r="D496" s="10"/>
      <c r="E496" s="2" t="str">
        <f>"－"</f>
        <v>－</v>
      </c>
      <c r="F496" s="10"/>
      <c r="G496" s="2" t="str">
        <f>"－"</f>
        <v>－</v>
      </c>
      <c r="H496" s="10"/>
      <c r="I496" s="2" t="str">
        <f>"－"</f>
        <v>－</v>
      </c>
      <c r="J496" s="10"/>
      <c r="K496" s="2" t="str">
        <f>"－"</f>
        <v>－</v>
      </c>
    </row>
    <row r="497">
      <c r="A497" s="8" t="s">
        <v>46</v>
      </c>
      <c r="B497" s="9" t="s">
        <v>80</v>
      </c>
      <c r="C497" s="9" t="s">
        <v>81</v>
      </c>
      <c r="D497" s="10"/>
      <c r="E497" s="2" t="str">
        <f>"－"</f>
        <v>－</v>
      </c>
      <c r="F497" s="10"/>
      <c r="G497" s="2" t="str">
        <f>"－"</f>
        <v>－</v>
      </c>
      <c r="H497" s="10"/>
      <c r="I497" s="2" t="str">
        <f>"－"</f>
        <v>－</v>
      </c>
      <c r="J497" s="10"/>
      <c r="K497" s="2" t="str">
        <f>"－"</f>
        <v>－</v>
      </c>
    </row>
    <row r="498">
      <c r="A498" s="8" t="s">
        <v>47</v>
      </c>
      <c r="B498" s="9" t="s">
        <v>80</v>
      </c>
      <c r="C498" s="9" t="s">
        <v>81</v>
      </c>
      <c r="D498" s="10"/>
      <c r="E498" s="2" t="str">
        <f>"－"</f>
        <v>－</v>
      </c>
      <c r="F498" s="10"/>
      <c r="G498" s="2" t="str">
        <f>"－"</f>
        <v>－</v>
      </c>
      <c r="H498" s="10"/>
      <c r="I498" s="2" t="str">
        <f>"－"</f>
        <v>－</v>
      </c>
      <c r="J498" s="10"/>
      <c r="K498" s="2" t="str">
        <f>"－"</f>
        <v>－</v>
      </c>
    </row>
    <row r="499">
      <c r="A499" s="8" t="s">
        <v>48</v>
      </c>
      <c r="B499" s="9" t="s">
        <v>80</v>
      </c>
      <c r="C499" s="9" t="s">
        <v>81</v>
      </c>
      <c r="D499" s="10"/>
      <c r="E499" s="2"/>
      <c r="F499" s="10"/>
      <c r="G499" s="2"/>
      <c r="H499" s="10"/>
      <c r="I499" s="2"/>
      <c r="J499" s="10"/>
      <c r="K499" s="2"/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 t="str">
        <f>"－"</f>
        <v>－</v>
      </c>
      <c r="F501" s="10"/>
      <c r="G501" s="2" t="str">
        <f>"－"</f>
        <v>－</v>
      </c>
      <c r="H501" s="10"/>
      <c r="I501" s="2" t="str">
        <f>"－"</f>
        <v>－</v>
      </c>
      <c r="J501" s="10"/>
      <c r="K501" s="2" t="str">
        <f>"－"</f>
        <v>－</v>
      </c>
    </row>
    <row r="502">
      <c r="A502" s="8" t="s">
        <v>16</v>
      </c>
      <c r="B502" s="9" t="s">
        <v>82</v>
      </c>
      <c r="C502" s="9" t="s">
        <v>83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19</v>
      </c>
      <c r="B503" s="9" t="s">
        <v>82</v>
      </c>
      <c r="C503" s="9" t="s">
        <v>83</v>
      </c>
      <c r="D503" s="10"/>
      <c r="E503" s="2"/>
      <c r="F503" s="10"/>
      <c r="G503" s="2"/>
      <c r="H503" s="10"/>
      <c r="I503" s="2"/>
      <c r="J503" s="10"/>
      <c r="K503" s="2"/>
    </row>
    <row r="504">
      <c r="A504" s="8" t="s">
        <v>20</v>
      </c>
      <c r="B504" s="9" t="s">
        <v>82</v>
      </c>
      <c r="C504" s="9" t="s">
        <v>83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21</v>
      </c>
      <c r="B505" s="9" t="s">
        <v>82</v>
      </c>
      <c r="C505" s="9" t="s">
        <v>83</v>
      </c>
      <c r="D505" s="10"/>
      <c r="E505" s="2"/>
      <c r="F505" s="10"/>
      <c r="G505" s="2"/>
      <c r="H505" s="10"/>
      <c r="I505" s="2"/>
      <c r="J505" s="10"/>
      <c r="K505" s="2"/>
    </row>
    <row r="506">
      <c r="A506" s="8" t="s">
        <v>22</v>
      </c>
      <c r="B506" s="9" t="s">
        <v>82</v>
      </c>
      <c r="C506" s="9" t="s">
        <v>83</v>
      </c>
      <c r="D506" s="10"/>
      <c r="E506" s="2"/>
      <c r="F506" s="10"/>
      <c r="G506" s="2"/>
      <c r="H506" s="10"/>
      <c r="I506" s="2"/>
      <c r="J506" s="10"/>
      <c r="K506" s="2"/>
    </row>
    <row r="507">
      <c r="A507" s="8" t="s">
        <v>23</v>
      </c>
      <c r="B507" s="9" t="s">
        <v>82</v>
      </c>
      <c r="C507" s="9" t="s">
        <v>83</v>
      </c>
      <c r="D507" s="10"/>
      <c r="E507" s="2" t="n">
        <f>264</f>
        <v>264.0</v>
      </c>
      <c r="F507" s="10"/>
      <c r="G507" s="2" t="n">
        <f>51923000</f>
        <v>5.1923E7</v>
      </c>
      <c r="H507" s="10" t="s">
        <v>61</v>
      </c>
      <c r="I507" s="2" t="str">
        <f>"－"</f>
        <v>－</v>
      </c>
      <c r="J507" s="10"/>
      <c r="K507" s="2" t="n">
        <f>609</f>
        <v>609.0</v>
      </c>
    </row>
    <row r="508">
      <c r="A508" s="8" t="s">
        <v>25</v>
      </c>
      <c r="B508" s="9" t="s">
        <v>82</v>
      </c>
      <c r="C508" s="9" t="s">
        <v>83</v>
      </c>
      <c r="D508" s="10"/>
      <c r="E508" s="2" t="n">
        <f>327</f>
        <v>327.0</v>
      </c>
      <c r="F508" s="10"/>
      <c r="G508" s="2" t="n">
        <f>64636500</f>
        <v>6.46365E7</v>
      </c>
      <c r="H508" s="10"/>
      <c r="I508" s="2" t="str">
        <f>"－"</f>
        <v>－</v>
      </c>
      <c r="J508" s="10"/>
      <c r="K508" s="2" t="n">
        <f>822</f>
        <v>822.0</v>
      </c>
    </row>
    <row r="509">
      <c r="A509" s="8" t="s">
        <v>26</v>
      </c>
      <c r="B509" s="9" t="s">
        <v>82</v>
      </c>
      <c r="C509" s="9" t="s">
        <v>83</v>
      </c>
      <c r="D509" s="10"/>
      <c r="E509" s="2"/>
      <c r="F509" s="10"/>
      <c r="G509" s="2"/>
      <c r="H509" s="10"/>
      <c r="I509" s="2"/>
      <c r="J509" s="10"/>
      <c r="K509" s="2"/>
    </row>
    <row r="510">
      <c r="A510" s="8" t="s">
        <v>27</v>
      </c>
      <c r="B510" s="9" t="s">
        <v>82</v>
      </c>
      <c r="C510" s="9" t="s">
        <v>83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28</v>
      </c>
      <c r="B511" s="9" t="s">
        <v>82</v>
      </c>
      <c r="C511" s="9" t="s">
        <v>83</v>
      </c>
      <c r="D511" s="10"/>
      <c r="E511" s="2" t="n">
        <f>617</f>
        <v>617.0</v>
      </c>
      <c r="F511" s="10"/>
      <c r="G511" s="2" t="n">
        <f>116641000</f>
        <v>1.16641E8</v>
      </c>
      <c r="H511" s="10"/>
      <c r="I511" s="2" t="str">
        <f>"－"</f>
        <v>－</v>
      </c>
      <c r="J511" s="10"/>
      <c r="K511" s="2" t="n">
        <f>1112</f>
        <v>1112.0</v>
      </c>
    </row>
    <row r="512">
      <c r="A512" s="8" t="s">
        <v>29</v>
      </c>
      <c r="B512" s="9" t="s">
        <v>82</v>
      </c>
      <c r="C512" s="9" t="s">
        <v>83</v>
      </c>
      <c r="D512" s="10"/>
      <c r="E512" s="2" t="n">
        <f>333</f>
        <v>333.0</v>
      </c>
      <c r="F512" s="10"/>
      <c r="G512" s="2" t="n">
        <f>70587000</f>
        <v>7.0587E7</v>
      </c>
      <c r="H512" s="10"/>
      <c r="I512" s="2" t="str">
        <f>"－"</f>
        <v>－</v>
      </c>
      <c r="J512" s="10"/>
      <c r="K512" s="2" t="n">
        <f>1293</f>
        <v>1293.0</v>
      </c>
    </row>
    <row r="513">
      <c r="A513" s="8" t="s">
        <v>30</v>
      </c>
      <c r="B513" s="9" t="s">
        <v>82</v>
      </c>
      <c r="C513" s="9" t="s">
        <v>83</v>
      </c>
      <c r="D513" s="10"/>
      <c r="E513" s="2" t="n">
        <f>278</f>
        <v>278.0</v>
      </c>
      <c r="F513" s="10"/>
      <c r="G513" s="2" t="n">
        <f>62530500</f>
        <v>6.25305E7</v>
      </c>
      <c r="H513" s="10"/>
      <c r="I513" s="2" t="str">
        <f>"－"</f>
        <v>－</v>
      </c>
      <c r="J513" s="10" t="s">
        <v>31</v>
      </c>
      <c r="K513" s="2" t="n">
        <f>1313</f>
        <v>1313.0</v>
      </c>
    </row>
    <row r="514">
      <c r="A514" s="8" t="s">
        <v>32</v>
      </c>
      <c r="B514" s="9" t="s">
        <v>82</v>
      </c>
      <c r="C514" s="9" t="s">
        <v>83</v>
      </c>
      <c r="D514" s="10"/>
      <c r="E514" s="2" t="n">
        <f>167</f>
        <v>167.0</v>
      </c>
      <c r="F514" s="10"/>
      <c r="G514" s="2" t="n">
        <f>39150500</f>
        <v>3.91505E7</v>
      </c>
      <c r="H514" s="10"/>
      <c r="I514" s="2" t="str">
        <f>"－"</f>
        <v>－</v>
      </c>
      <c r="J514" s="10"/>
      <c r="K514" s="2" t="n">
        <f>737</f>
        <v>737.0</v>
      </c>
    </row>
    <row r="515">
      <c r="A515" s="8" t="s">
        <v>33</v>
      </c>
      <c r="B515" s="9" t="s">
        <v>82</v>
      </c>
      <c r="C515" s="9" t="s">
        <v>83</v>
      </c>
      <c r="D515" s="10"/>
      <c r="E515" s="2" t="n">
        <f>121</f>
        <v>121.0</v>
      </c>
      <c r="F515" s="10"/>
      <c r="G515" s="2" t="n">
        <f>26368000</f>
        <v>2.6368E7</v>
      </c>
      <c r="H515" s="10"/>
      <c r="I515" s="2" t="str">
        <f>"－"</f>
        <v>－</v>
      </c>
      <c r="J515" s="10"/>
      <c r="K515" s="2" t="n">
        <f>777</f>
        <v>777.0</v>
      </c>
    </row>
    <row r="516">
      <c r="A516" s="8" t="s">
        <v>34</v>
      </c>
      <c r="B516" s="9" t="s">
        <v>82</v>
      </c>
      <c r="C516" s="9" t="s">
        <v>83</v>
      </c>
      <c r="D516" s="10"/>
      <c r="E516" s="2"/>
      <c r="F516" s="10"/>
      <c r="G516" s="2"/>
      <c r="H516" s="10"/>
      <c r="I516" s="2"/>
      <c r="J516" s="10"/>
      <c r="K516" s="2"/>
    </row>
    <row r="517">
      <c r="A517" s="8" t="s">
        <v>35</v>
      </c>
      <c r="B517" s="9" t="s">
        <v>82</v>
      </c>
      <c r="C517" s="9" t="s">
        <v>83</v>
      </c>
      <c r="D517" s="10"/>
      <c r="E517" s="2"/>
      <c r="F517" s="10"/>
      <c r="G517" s="2"/>
      <c r="H517" s="10"/>
      <c r="I517" s="2"/>
      <c r="J517" s="10"/>
      <c r="K517" s="2"/>
    </row>
    <row r="518">
      <c r="A518" s="8" t="s">
        <v>36</v>
      </c>
      <c r="B518" s="9" t="s">
        <v>82</v>
      </c>
      <c r="C518" s="9" t="s">
        <v>83</v>
      </c>
      <c r="D518" s="10"/>
      <c r="E518" s="2" t="n">
        <f>314</f>
        <v>314.0</v>
      </c>
      <c r="F518" s="10"/>
      <c r="G518" s="2" t="n">
        <f>70925500</f>
        <v>7.09255E7</v>
      </c>
      <c r="H518" s="10"/>
      <c r="I518" s="2" t="str">
        <f>"－"</f>
        <v>－</v>
      </c>
      <c r="J518" s="10"/>
      <c r="K518" s="2" t="n">
        <f>779</f>
        <v>779.0</v>
      </c>
    </row>
    <row r="519">
      <c r="A519" s="8" t="s">
        <v>37</v>
      </c>
      <c r="B519" s="9" t="s">
        <v>82</v>
      </c>
      <c r="C519" s="9" t="s">
        <v>83</v>
      </c>
      <c r="D519" s="10"/>
      <c r="E519" s="2" t="n">
        <f>396</f>
        <v>396.0</v>
      </c>
      <c r="F519" s="10"/>
      <c r="G519" s="2" t="n">
        <f>85709000</f>
        <v>8.5709E7</v>
      </c>
      <c r="H519" s="10"/>
      <c r="I519" s="2" t="str">
        <f>"－"</f>
        <v>－</v>
      </c>
      <c r="J519" s="10"/>
      <c r="K519" s="2" t="n">
        <f>722</f>
        <v>722.0</v>
      </c>
    </row>
    <row r="520">
      <c r="A520" s="8" t="s">
        <v>38</v>
      </c>
      <c r="B520" s="9" t="s">
        <v>82</v>
      </c>
      <c r="C520" s="9" t="s">
        <v>83</v>
      </c>
      <c r="D520" s="10"/>
      <c r="E520" s="2" t="n">
        <f>584</f>
        <v>584.0</v>
      </c>
      <c r="F520" s="10"/>
      <c r="G520" s="2" t="n">
        <f>130607000</f>
        <v>1.30607E8</v>
      </c>
      <c r="H520" s="10"/>
      <c r="I520" s="2" t="str">
        <f>"－"</f>
        <v>－</v>
      </c>
      <c r="J520" s="10" t="s">
        <v>24</v>
      </c>
      <c r="K520" s="2" t="n">
        <f>604</f>
        <v>604.0</v>
      </c>
    </row>
    <row r="521">
      <c r="A521" s="8" t="s">
        <v>39</v>
      </c>
      <c r="B521" s="9" t="s">
        <v>82</v>
      </c>
      <c r="C521" s="9" t="s">
        <v>83</v>
      </c>
      <c r="D521" s="10" t="s">
        <v>31</v>
      </c>
      <c r="E521" s="2" t="n">
        <f>769</f>
        <v>769.0</v>
      </c>
      <c r="F521" s="10" t="s">
        <v>31</v>
      </c>
      <c r="G521" s="2" t="n">
        <f>171069000</f>
        <v>1.71069E8</v>
      </c>
      <c r="H521" s="10"/>
      <c r="I521" s="2" t="str">
        <f>"－"</f>
        <v>－</v>
      </c>
      <c r="J521" s="10"/>
      <c r="K521" s="2" t="n">
        <f>784</f>
        <v>784.0</v>
      </c>
    </row>
    <row r="522">
      <c r="A522" s="8" t="s">
        <v>40</v>
      </c>
      <c r="B522" s="9" t="s">
        <v>82</v>
      </c>
      <c r="C522" s="9" t="s">
        <v>83</v>
      </c>
      <c r="D522" s="10"/>
      <c r="E522" s="2" t="n">
        <f>356</f>
        <v>356.0</v>
      </c>
      <c r="F522" s="10"/>
      <c r="G522" s="2" t="n">
        <f>79732500</f>
        <v>7.97325E7</v>
      </c>
      <c r="H522" s="10"/>
      <c r="I522" s="2" t="str">
        <f>"－"</f>
        <v>－</v>
      </c>
      <c r="J522" s="10"/>
      <c r="K522" s="2" t="n">
        <f>929</f>
        <v>929.0</v>
      </c>
    </row>
    <row r="523">
      <c r="A523" s="8" t="s">
        <v>41</v>
      </c>
      <c r="B523" s="9" t="s">
        <v>82</v>
      </c>
      <c r="C523" s="9" t="s">
        <v>83</v>
      </c>
      <c r="D523" s="10"/>
      <c r="E523" s="2"/>
      <c r="F523" s="10"/>
      <c r="G523" s="2"/>
      <c r="H523" s="10"/>
      <c r="I523" s="2"/>
      <c r="J523" s="10"/>
      <c r="K523" s="2"/>
    </row>
    <row r="524">
      <c r="A524" s="8" t="s">
        <v>42</v>
      </c>
      <c r="B524" s="9" t="s">
        <v>82</v>
      </c>
      <c r="C524" s="9" t="s">
        <v>83</v>
      </c>
      <c r="D524" s="10"/>
      <c r="E524" s="2"/>
      <c r="F524" s="10"/>
      <c r="G524" s="2"/>
      <c r="H524" s="10"/>
      <c r="I524" s="2"/>
      <c r="J524" s="10"/>
      <c r="K524" s="2"/>
    </row>
    <row r="525">
      <c r="A525" s="8" t="s">
        <v>43</v>
      </c>
      <c r="B525" s="9" t="s">
        <v>82</v>
      </c>
      <c r="C525" s="9" t="s">
        <v>83</v>
      </c>
      <c r="D525" s="10"/>
      <c r="E525" s="2" t="n">
        <f>125</f>
        <v>125.0</v>
      </c>
      <c r="F525" s="10"/>
      <c r="G525" s="2" t="n">
        <f>26853000</f>
        <v>2.6853E7</v>
      </c>
      <c r="H525" s="10"/>
      <c r="I525" s="2" t="str">
        <f>"－"</f>
        <v>－</v>
      </c>
      <c r="J525" s="10"/>
      <c r="K525" s="2" t="n">
        <f>1044</f>
        <v>1044.0</v>
      </c>
    </row>
    <row r="526">
      <c r="A526" s="8" t="s">
        <v>44</v>
      </c>
      <c r="B526" s="9" t="s">
        <v>82</v>
      </c>
      <c r="C526" s="9" t="s">
        <v>83</v>
      </c>
      <c r="D526" s="10"/>
      <c r="E526" s="2" t="n">
        <f>152</f>
        <v>152.0</v>
      </c>
      <c r="F526" s="10"/>
      <c r="G526" s="2" t="n">
        <f>31616500</f>
        <v>3.16165E7</v>
      </c>
      <c r="H526" s="10"/>
      <c r="I526" s="2" t="str">
        <f>"－"</f>
        <v>－</v>
      </c>
      <c r="J526" s="10"/>
      <c r="K526" s="2" t="n">
        <f>1016</f>
        <v>1016.0</v>
      </c>
    </row>
    <row r="527">
      <c r="A527" s="8" t="s">
        <v>45</v>
      </c>
      <c r="B527" s="9" t="s">
        <v>82</v>
      </c>
      <c r="C527" s="9" t="s">
        <v>83</v>
      </c>
      <c r="D527" s="10"/>
      <c r="E527" s="2" t="n">
        <f>230</f>
        <v>230.0</v>
      </c>
      <c r="F527" s="10"/>
      <c r="G527" s="2" t="n">
        <f>46540500</f>
        <v>4.65405E7</v>
      </c>
      <c r="H527" s="10"/>
      <c r="I527" s="2" t="str">
        <f>"－"</f>
        <v>－</v>
      </c>
      <c r="J527" s="10"/>
      <c r="K527" s="2" t="n">
        <f>1016</f>
        <v>1016.0</v>
      </c>
    </row>
    <row r="528">
      <c r="A528" s="8" t="s">
        <v>46</v>
      </c>
      <c r="B528" s="9" t="s">
        <v>82</v>
      </c>
      <c r="C528" s="9" t="s">
        <v>83</v>
      </c>
      <c r="D528" s="10"/>
      <c r="E528" s="2" t="n">
        <f>429</f>
        <v>429.0</v>
      </c>
      <c r="F528" s="10"/>
      <c r="G528" s="2" t="n">
        <f>89372000</f>
        <v>8.9372E7</v>
      </c>
      <c r="H528" s="10"/>
      <c r="I528" s="2" t="str">
        <f>"－"</f>
        <v>－</v>
      </c>
      <c r="J528" s="10"/>
      <c r="K528" s="2" t="n">
        <f>1213</f>
        <v>1213.0</v>
      </c>
    </row>
    <row r="529">
      <c r="A529" s="8" t="s">
        <v>47</v>
      </c>
      <c r="B529" s="9" t="s">
        <v>82</v>
      </c>
      <c r="C529" s="9" t="s">
        <v>83</v>
      </c>
      <c r="D529" s="10"/>
      <c r="E529" s="2" t="n">
        <f>49</f>
        <v>49.0</v>
      </c>
      <c r="F529" s="10"/>
      <c r="G529" s="2" t="n">
        <f>9639500</f>
        <v>9639500.0</v>
      </c>
      <c r="H529" s="10"/>
      <c r="I529" s="2" t="str">
        <f>"－"</f>
        <v>－</v>
      </c>
      <c r="J529" s="10"/>
      <c r="K529" s="2" t="n">
        <f>1206</f>
        <v>1206.0</v>
      </c>
    </row>
    <row r="530">
      <c r="A530" s="8" t="s">
        <v>48</v>
      </c>
      <c r="B530" s="9" t="s">
        <v>82</v>
      </c>
      <c r="C530" s="9" t="s">
        <v>83</v>
      </c>
      <c r="D530" s="10"/>
      <c r="E530" s="2"/>
      <c r="F530" s="10"/>
      <c r="G530" s="2"/>
      <c r="H530" s="10"/>
      <c r="I530" s="2"/>
      <c r="J530" s="10"/>
      <c r="K530" s="2"/>
    </row>
    <row r="531">
      <c r="A531" s="8" t="s">
        <v>49</v>
      </c>
      <c r="B531" s="9" t="s">
        <v>82</v>
      </c>
      <c r="C531" s="9" t="s">
        <v>83</v>
      </c>
      <c r="D531" s="10"/>
      <c r="E531" s="2"/>
      <c r="F531" s="10"/>
      <c r="G531" s="2"/>
      <c r="H531" s="10"/>
      <c r="I531" s="2"/>
      <c r="J531" s="10"/>
      <c r="K531" s="2"/>
    </row>
    <row r="532">
      <c r="A532" s="8" t="s">
        <v>50</v>
      </c>
      <c r="B532" s="9" t="s">
        <v>82</v>
      </c>
      <c r="C532" s="9" t="s">
        <v>83</v>
      </c>
      <c r="D532" s="10" t="s">
        <v>24</v>
      </c>
      <c r="E532" s="2" t="n">
        <f>42</f>
        <v>42.0</v>
      </c>
      <c r="F532" s="10" t="s">
        <v>24</v>
      </c>
      <c r="G532" s="2" t="n">
        <f>8276500</f>
        <v>8276500.0</v>
      </c>
      <c r="H532" s="10"/>
      <c r="I532" s="2" t="str">
        <f>"－"</f>
        <v>－</v>
      </c>
      <c r="J532" s="10"/>
      <c r="K532" s="2" t="n">
        <f>1205</f>
        <v>1205.0</v>
      </c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