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<sst xmlns="http://schemas.openxmlformats.org/spreadsheetml/2006/main" count="512" uniqueCount="68">
  <si>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</si>
  <si>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</si>
  <si>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</si>
  <si>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</si>
  <si>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</si>
  <si>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</si>
  <si>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</si>
  <si>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</si>
  <si>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</si>
  <si>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</si>
  <si>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</si>
  <si>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</si>
  <si>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</si>
  <si>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</si>
  <si>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</si>
  <si>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</si>
  <si>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</si>
  <si>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</si>
  <si>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</si>
  <si>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</si>
  <si>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</si>
  <si>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</si>
  <si>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</si>
  <si>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</si>
  <si>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</si>
  <si>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</si>
  <si>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</si>
  <si>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日経225オプション</t>
  </si>
  <si>
    <t>Nikkei 225 Options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</si>
  <si>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</si>
  <si>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</si>
  <si>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</si>
  <si>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</si>
  <si>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</si>
  <si>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</si>
  <si>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</si>
  <si>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</si>
  <si>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</si>
  <si>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</si>
  <si>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</si>
  <si>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</si>
  <si>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</si>
  <si>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</si>
  <si>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●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</si>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</sst>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33</v>
      </c>
      <c r="B15" s="22" t="s">
        <v>27</v>
      </c>
      <c r="C15" s="22" t="s">
        <v>28</v>
      </c>
      <c r="D15" s="24"/>
      <c r="E15" s="25" t="n">
        <f>73036</f>
        <v>73036.0</v>
      </c>
      <c r="F15" s="23"/>
      <c r="G15" s="25" t="n">
        <f>44277</f>
        <v>44277.0</v>
      </c>
      <c r="H15" s="23"/>
      <c r="I15" s="26" t="n">
        <f>117313</f>
        <v>117313.0</v>
      </c>
      <c r="J15" s="24"/>
      <c r="K15" s="25" t="n">
        <f>12180151510</f>
        <v>1.218015151E10</v>
      </c>
      <c r="L15" s="23"/>
      <c r="M15" s="25" t="n">
        <f>6830039500</f>
        <v>6.8300395E9</v>
      </c>
      <c r="N15" s="23"/>
      <c r="O15" s="26" t="n">
        <f>19010191010</f>
        <v>1.901019101E10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11228</f>
        <v>11228.0</v>
      </c>
      <c r="U15" s="23"/>
      <c r="V15" s="25" t="n">
        <f>7631</f>
        <v>7631.0</v>
      </c>
      <c r="W15" s="23"/>
      <c r="X15" s="26" t="n">
        <f>18859</f>
        <v>18859.0</v>
      </c>
      <c r="Y15" s="24"/>
      <c r="Z15" s="25" t="n">
        <f>915185</f>
        <v>915185.0</v>
      </c>
      <c r="AA15" s="23"/>
      <c r="AB15" s="25" t="n">
        <f>549352</f>
        <v>549352.0</v>
      </c>
      <c r="AC15" s="23"/>
      <c r="AD15" s="26" t="n">
        <f>1464537</f>
        <v>1464537.0</v>
      </c>
    </row>
    <row r="16">
      <c r="A16" s="30" t="s">
        <v>34</v>
      </c>
      <c r="B16" s="22" t="s">
        <v>27</v>
      </c>
      <c r="C16" s="22" t="s">
        <v>28</v>
      </c>
      <c r="D16" s="24"/>
      <c r="E16" s="25" t="n">
        <f>71252</f>
        <v>71252.0</v>
      </c>
      <c r="F16" s="23"/>
      <c r="G16" s="25" t="n">
        <f>37000</f>
        <v>37000.0</v>
      </c>
      <c r="H16" s="23"/>
      <c r="I16" s="26" t="n">
        <f>108252</f>
        <v>108252.0</v>
      </c>
      <c r="J16" s="24"/>
      <c r="K16" s="25" t="n">
        <f>11791679230</f>
        <v>1.179167923E10</v>
      </c>
      <c r="L16" s="23"/>
      <c r="M16" s="25" t="n">
        <f>4473570000</f>
        <v>4.47357E9</v>
      </c>
      <c r="N16" s="23"/>
      <c r="O16" s="26" t="n">
        <f>16265249230</f>
        <v>1.626524923E10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15625</f>
        <v>15625.0</v>
      </c>
      <c r="U16" s="23"/>
      <c r="V16" s="25" t="n">
        <f>4547</f>
        <v>4547.0</v>
      </c>
      <c r="W16" s="23"/>
      <c r="X16" s="26" t="n">
        <f>20172</f>
        <v>20172.0</v>
      </c>
      <c r="Y16" s="24"/>
      <c r="Z16" s="25" t="n">
        <f>910033</f>
        <v>910033.0</v>
      </c>
      <c r="AA16" s="23"/>
      <c r="AB16" s="25" t="n">
        <f>550149</f>
        <v>550149.0</v>
      </c>
      <c r="AC16" s="23"/>
      <c r="AD16" s="26" t="n">
        <f>1460182</f>
        <v>1460182.0</v>
      </c>
    </row>
    <row r="17">
      <c r="A17" s="30" t="s">
        <v>35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36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37</v>
      </c>
      <c r="B19" s="22" t="s">
        <v>27</v>
      </c>
      <c r="C19" s="22" t="s">
        <v>28</v>
      </c>
      <c r="D19" s="24"/>
      <c r="E19" s="25" t="n">
        <f>58437</f>
        <v>58437.0</v>
      </c>
      <c r="F19" s="23"/>
      <c r="G19" s="25" t="n">
        <f>46337</f>
        <v>46337.0</v>
      </c>
      <c r="H19" s="23"/>
      <c r="I19" s="26" t="n">
        <f>104774</f>
        <v>104774.0</v>
      </c>
      <c r="J19" s="24"/>
      <c r="K19" s="25" t="n">
        <f>8922307000</f>
        <v>8.922307E9</v>
      </c>
      <c r="L19" s="23"/>
      <c r="M19" s="25" t="n">
        <f>5458394000</f>
        <v>5.458394E9</v>
      </c>
      <c r="N19" s="23"/>
      <c r="O19" s="26" t="n">
        <f>14380701000</f>
        <v>1.4380701E10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6160</f>
        <v>6160.0</v>
      </c>
      <c r="U19" s="23"/>
      <c r="V19" s="25" t="n">
        <f>4959</f>
        <v>4959.0</v>
      </c>
      <c r="W19" s="23"/>
      <c r="X19" s="26" t="n">
        <f>11119</f>
        <v>11119.0</v>
      </c>
      <c r="Y19" s="24"/>
      <c r="Z19" s="25" t="n">
        <f>917563</f>
        <v>917563.0</v>
      </c>
      <c r="AA19" s="23"/>
      <c r="AB19" s="25" t="n">
        <f>551414</f>
        <v>551414.0</v>
      </c>
      <c r="AC19" s="23"/>
      <c r="AD19" s="26" t="n">
        <f>1468977</f>
        <v>1468977.0</v>
      </c>
    </row>
    <row r="20">
      <c r="A20" s="30" t="s">
        <v>38</v>
      </c>
      <c r="B20" s="22" t="s">
        <v>27</v>
      </c>
      <c r="C20" s="22" t="s">
        <v>28</v>
      </c>
      <c r="D20" s="24"/>
      <c r="E20" s="25" t="n">
        <f>100068</f>
        <v>100068.0</v>
      </c>
      <c r="F20" s="23"/>
      <c r="G20" s="25" t="n">
        <f>73682</f>
        <v>73682.0</v>
      </c>
      <c r="H20" s="23"/>
      <c r="I20" s="26" t="n">
        <f>173750</f>
        <v>173750.0</v>
      </c>
      <c r="J20" s="24"/>
      <c r="K20" s="25" t="n">
        <f>15701599204</f>
        <v>1.5701599204E10</v>
      </c>
      <c r="L20" s="23"/>
      <c r="M20" s="25" t="n">
        <f>9651727858</f>
        <v>9.651727858E9</v>
      </c>
      <c r="N20" s="23"/>
      <c r="O20" s="26" t="n">
        <f>25353327062</f>
        <v>2.5353327062E10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9998</f>
        <v>9998.0</v>
      </c>
      <c r="U20" s="23"/>
      <c r="V20" s="25" t="n">
        <f>17435</f>
        <v>17435.0</v>
      </c>
      <c r="W20" s="23"/>
      <c r="X20" s="26" t="n">
        <f>27433</f>
        <v>27433.0</v>
      </c>
      <c r="Y20" s="24"/>
      <c r="Z20" s="25" t="n">
        <f>920793</f>
        <v>920793.0</v>
      </c>
      <c r="AA20" s="23"/>
      <c r="AB20" s="25" t="n">
        <f>562876</f>
        <v>562876.0</v>
      </c>
      <c r="AC20" s="23"/>
      <c r="AD20" s="26" t="n">
        <f>1483669</f>
        <v>1483669.0</v>
      </c>
    </row>
    <row r="21">
      <c r="A21" s="30" t="s">
        <v>39</v>
      </c>
      <c r="B21" s="22" t="s">
        <v>27</v>
      </c>
      <c r="C21" s="22" t="s">
        <v>28</v>
      </c>
      <c r="D21" s="24"/>
      <c r="E21" s="25" t="n">
        <f>136166</f>
        <v>136166.0</v>
      </c>
      <c r="F21" s="23" t="s">
        <v>40</v>
      </c>
      <c r="G21" s="25" t="n">
        <f>90903</f>
        <v>90903.0</v>
      </c>
      <c r="H21" s="23" t="s">
        <v>40</v>
      </c>
      <c r="I21" s="26" t="n">
        <f>227069</f>
        <v>227069.0</v>
      </c>
      <c r="J21" s="24"/>
      <c r="K21" s="25" t="n">
        <f>32530943580</f>
        <v>3.253094358E10</v>
      </c>
      <c r="L21" s="23" t="s">
        <v>40</v>
      </c>
      <c r="M21" s="25" t="n">
        <f>18614373494</f>
        <v>1.8614373494E10</v>
      </c>
      <c r="N21" s="23" t="s">
        <v>40</v>
      </c>
      <c r="O21" s="26" t="n">
        <f>51145317074</f>
        <v>5.1145317074E10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19849</f>
        <v>19849.0</v>
      </c>
      <c r="U21" s="23" t="s">
        <v>40</v>
      </c>
      <c r="V21" s="25" t="n">
        <f>17755</f>
        <v>17755.0</v>
      </c>
      <c r="W21" s="23" t="s">
        <v>40</v>
      </c>
      <c r="X21" s="26" t="n">
        <f>37604</f>
        <v>37604.0</v>
      </c>
      <c r="Y21" s="24"/>
      <c r="Z21" s="25" t="n">
        <f>926072</f>
        <v>926072.0</v>
      </c>
      <c r="AA21" s="23"/>
      <c r="AB21" s="25" t="n">
        <f>574473</f>
        <v>574473.0</v>
      </c>
      <c r="AC21" s="23"/>
      <c r="AD21" s="26" t="n">
        <f>1500545</f>
        <v>1500545.0</v>
      </c>
    </row>
    <row r="22">
      <c r="A22" s="30" t="s">
        <v>41</v>
      </c>
      <c r="B22" s="22" t="s">
        <v>27</v>
      </c>
      <c r="C22" s="22" t="s">
        <v>28</v>
      </c>
      <c r="D22" s="24" t="s">
        <v>40</v>
      </c>
      <c r="E22" s="25" t="n">
        <f>148103</f>
        <v>148103.0</v>
      </c>
      <c r="F22" s="23"/>
      <c r="G22" s="25" t="n">
        <f>75938</f>
        <v>75938.0</v>
      </c>
      <c r="H22" s="23"/>
      <c r="I22" s="26" t="n">
        <f>224041</f>
        <v>224041.0</v>
      </c>
      <c r="J22" s="24" t="s">
        <v>40</v>
      </c>
      <c r="K22" s="25" t="n">
        <f>38114421176</f>
        <v>3.8114421176E10</v>
      </c>
      <c r="L22" s="23"/>
      <c r="M22" s="25" t="n">
        <f>11171326007</f>
        <v>1.1171326007E10</v>
      </c>
      <c r="N22" s="23"/>
      <c r="O22" s="26" t="n">
        <f>49285747183</f>
        <v>4.9285747183E10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 t="s">
        <v>40</v>
      </c>
      <c r="T22" s="25" t="n">
        <f>24594</f>
        <v>24594.0</v>
      </c>
      <c r="U22" s="23"/>
      <c r="V22" s="25" t="n">
        <f>12653</f>
        <v>12653.0</v>
      </c>
      <c r="W22" s="23"/>
      <c r="X22" s="26" t="n">
        <f>37247</f>
        <v>37247.0</v>
      </c>
      <c r="Y22" s="24"/>
      <c r="Z22" s="25" t="n">
        <f>937081</f>
        <v>937081.0</v>
      </c>
      <c r="AA22" s="23" t="s">
        <v>40</v>
      </c>
      <c r="AB22" s="25" t="n">
        <f>590093</f>
        <v>590093.0</v>
      </c>
      <c r="AC22" s="23" t="s">
        <v>40</v>
      </c>
      <c r="AD22" s="26" t="n">
        <f>1527174</f>
        <v>1527174.0</v>
      </c>
    </row>
    <row r="23">
      <c r="A23" s="30" t="s">
        <v>42</v>
      </c>
      <c r="B23" s="22" t="s">
        <v>27</v>
      </c>
      <c r="C23" s="22" t="s">
        <v>28</v>
      </c>
      <c r="D23" s="24"/>
      <c r="E23" s="25" t="n">
        <f>64838</f>
        <v>64838.0</v>
      </c>
      <c r="F23" s="23"/>
      <c r="G23" s="25" t="n">
        <f>52566</f>
        <v>52566.0</v>
      </c>
      <c r="H23" s="23"/>
      <c r="I23" s="26" t="n">
        <f>117404</f>
        <v>117404.0</v>
      </c>
      <c r="J23" s="24"/>
      <c r="K23" s="25" t="n">
        <f>28419650300</f>
        <v>2.84196503E10</v>
      </c>
      <c r="L23" s="23"/>
      <c r="M23" s="25" t="n">
        <f>12575875000</f>
        <v>1.2575875E10</v>
      </c>
      <c r="N23" s="23"/>
      <c r="O23" s="26" t="n">
        <f>40995525300</f>
        <v>4.09955253E10</v>
      </c>
      <c r="P23" s="27" t="n">
        <f>32255</f>
        <v>32255.0</v>
      </c>
      <c r="Q23" s="28" t="n">
        <f>3122</f>
        <v>3122.0</v>
      </c>
      <c r="R23" s="29" t="n">
        <f>35377</f>
        <v>35377.0</v>
      </c>
      <c r="S23" s="24"/>
      <c r="T23" s="25" t="n">
        <f>8995</f>
        <v>8995.0</v>
      </c>
      <c r="U23" s="23"/>
      <c r="V23" s="25" t="n">
        <f>12651</f>
        <v>12651.0</v>
      </c>
      <c r="W23" s="23"/>
      <c r="X23" s="26" t="n">
        <f>21646</f>
        <v>21646.0</v>
      </c>
      <c r="Y23" s="24" t="s">
        <v>43</v>
      </c>
      <c r="Z23" s="25" t="n">
        <f>847853</f>
        <v>847853.0</v>
      </c>
      <c r="AA23" s="23" t="s">
        <v>43</v>
      </c>
      <c r="AB23" s="25" t="n">
        <f>516178</f>
        <v>516178.0</v>
      </c>
      <c r="AC23" s="23" t="s">
        <v>43</v>
      </c>
      <c r="AD23" s="26" t="n">
        <f>1364031</f>
        <v>1364031.0</v>
      </c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 t="n">
        <f>60444</f>
        <v>60444.0</v>
      </c>
      <c r="F26" s="23"/>
      <c r="G26" s="25" t="n">
        <f>51775</f>
        <v>51775.0</v>
      </c>
      <c r="H26" s="23"/>
      <c r="I26" s="26" t="n">
        <f>112219</f>
        <v>112219.0</v>
      </c>
      <c r="J26" s="24"/>
      <c r="K26" s="25" t="n">
        <f>21863797200</f>
        <v>2.18637972E10</v>
      </c>
      <c r="L26" s="23"/>
      <c r="M26" s="25" t="n">
        <f>13196703086</f>
        <v>1.3196703086E10</v>
      </c>
      <c r="N26" s="23"/>
      <c r="O26" s="26" t="n">
        <f>35060500286</f>
        <v>3.5060500286E10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10180</f>
        <v>10180.0</v>
      </c>
      <c r="U26" s="23"/>
      <c r="V26" s="25" t="n">
        <f>16367</f>
        <v>16367.0</v>
      </c>
      <c r="W26" s="23"/>
      <c r="X26" s="26" t="n">
        <f>26547</f>
        <v>26547.0</v>
      </c>
      <c r="Y26" s="24"/>
      <c r="Z26" s="25" t="n">
        <f>862419</f>
        <v>862419.0</v>
      </c>
      <c r="AA26" s="23"/>
      <c r="AB26" s="25" t="n">
        <f>532597</f>
        <v>532597.0</v>
      </c>
      <c r="AC26" s="23"/>
      <c r="AD26" s="26" t="n">
        <f>1395016</f>
        <v>1395016.0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47106</f>
        <v>47106.0</v>
      </c>
      <c r="F27" s="23"/>
      <c r="G27" s="25" t="n">
        <f>50541</f>
        <v>50541.0</v>
      </c>
      <c r="H27" s="23"/>
      <c r="I27" s="26" t="n">
        <f>97647</f>
        <v>97647.0</v>
      </c>
      <c r="J27" s="24"/>
      <c r="K27" s="25" t="n">
        <f>11233538984</f>
        <v>1.1233538984E10</v>
      </c>
      <c r="L27" s="23"/>
      <c r="M27" s="25" t="n">
        <f>7004327000</f>
        <v>7.004327E9</v>
      </c>
      <c r="N27" s="23"/>
      <c r="O27" s="26" t="n">
        <f>18237865984</f>
        <v>1.8237865984E10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7094</f>
        <v>7094.0</v>
      </c>
      <c r="U27" s="23"/>
      <c r="V27" s="25" t="n">
        <f>6391</f>
        <v>6391.0</v>
      </c>
      <c r="W27" s="23"/>
      <c r="X27" s="26" t="n">
        <f>13485</f>
        <v>13485.0</v>
      </c>
      <c r="Y27" s="24"/>
      <c r="Z27" s="25" t="n">
        <f>865395</f>
        <v>865395.0</v>
      </c>
      <c r="AA27" s="23"/>
      <c r="AB27" s="25" t="n">
        <f>530346</f>
        <v>530346.0</v>
      </c>
      <c r="AC27" s="23"/>
      <c r="AD27" s="26" t="n">
        <f>1395741</f>
        <v>1395741.0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52451</f>
        <v>52451.0</v>
      </c>
      <c r="F28" s="23"/>
      <c r="G28" s="25" t="n">
        <f>28703</f>
        <v>28703.0</v>
      </c>
      <c r="H28" s="23"/>
      <c r="I28" s="26" t="n">
        <f>81154</f>
        <v>81154.0</v>
      </c>
      <c r="J28" s="24"/>
      <c r="K28" s="25" t="n">
        <f>16917267500</f>
        <v>1.69172675E10</v>
      </c>
      <c r="L28" s="23"/>
      <c r="M28" s="25" t="n">
        <f>6430016000</f>
        <v>6.430016E9</v>
      </c>
      <c r="N28" s="23"/>
      <c r="O28" s="26" t="n">
        <f>23347283500</f>
        <v>2.33472835E10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15964</f>
        <v>15964.0</v>
      </c>
      <c r="U28" s="23"/>
      <c r="V28" s="25" t="n">
        <f>3504</f>
        <v>3504.0</v>
      </c>
      <c r="W28" s="23"/>
      <c r="X28" s="26" t="n">
        <f>19468</f>
        <v>19468.0</v>
      </c>
      <c r="Y28" s="24"/>
      <c r="Z28" s="25" t="n">
        <f>882733</f>
        <v>882733.0</v>
      </c>
      <c r="AA28" s="23"/>
      <c r="AB28" s="25" t="n">
        <f>533687</f>
        <v>533687.0</v>
      </c>
      <c r="AC28" s="23"/>
      <c r="AD28" s="26" t="n">
        <f>1416420</f>
        <v>1416420.0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45746</f>
        <v>45746.0</v>
      </c>
      <c r="F29" s="23"/>
      <c r="G29" s="25" t="n">
        <f>24521</f>
        <v>24521.0</v>
      </c>
      <c r="H29" s="23"/>
      <c r="I29" s="26" t="n">
        <f>70267</f>
        <v>70267.0</v>
      </c>
      <c r="J29" s="24"/>
      <c r="K29" s="25" t="n">
        <f>15914557742</f>
        <v>1.5914557742E10</v>
      </c>
      <c r="L29" s="23"/>
      <c r="M29" s="25" t="n">
        <f>6661153000</f>
        <v>6.661153E9</v>
      </c>
      <c r="N29" s="23"/>
      <c r="O29" s="26" t="n">
        <f>22575710742</f>
        <v>2.2575710742E10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9284</f>
        <v>9284.0</v>
      </c>
      <c r="U29" s="23"/>
      <c r="V29" s="25" t="n">
        <f>4270</f>
        <v>4270.0</v>
      </c>
      <c r="W29" s="23"/>
      <c r="X29" s="26" t="n">
        <f>13554</f>
        <v>13554.0</v>
      </c>
      <c r="Y29" s="24"/>
      <c r="Z29" s="25" t="n">
        <f>892092</f>
        <v>892092.0</v>
      </c>
      <c r="AA29" s="23"/>
      <c r="AB29" s="25" t="n">
        <f>537165</f>
        <v>537165.0</v>
      </c>
      <c r="AC29" s="23"/>
      <c r="AD29" s="26" t="n">
        <f>1429257</f>
        <v>1429257.0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39350</f>
        <v>39350.0</v>
      </c>
      <c r="F30" s="23"/>
      <c r="G30" s="25" t="n">
        <f>29082</f>
        <v>29082.0</v>
      </c>
      <c r="H30" s="23"/>
      <c r="I30" s="26" t="n">
        <f>68432</f>
        <v>68432.0</v>
      </c>
      <c r="J30" s="24"/>
      <c r="K30" s="25" t="n">
        <f>14819489010</f>
        <v>1.481948901E10</v>
      </c>
      <c r="L30" s="23"/>
      <c r="M30" s="25" t="n">
        <f>6932045837</f>
        <v>6.932045837E9</v>
      </c>
      <c r="N30" s="23"/>
      <c r="O30" s="26" t="n">
        <f>21751534847</f>
        <v>2.1751534847E10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43</v>
      </c>
      <c r="T30" s="25" t="n">
        <f>3978</f>
        <v>3978.0</v>
      </c>
      <c r="U30" s="23"/>
      <c r="V30" s="25" t="n">
        <f>6502</f>
        <v>6502.0</v>
      </c>
      <c r="W30" s="23"/>
      <c r="X30" s="26" t="n">
        <f>10480</f>
        <v>10480.0</v>
      </c>
      <c r="Y30" s="24"/>
      <c r="Z30" s="25" t="n">
        <f>897710</f>
        <v>897710.0</v>
      </c>
      <c r="AA30" s="23"/>
      <c r="AB30" s="25" t="n">
        <f>542759</f>
        <v>542759.0</v>
      </c>
      <c r="AC30" s="23"/>
      <c r="AD30" s="26" t="n">
        <f>1440469</f>
        <v>1440469.0</v>
      </c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38598</f>
        <v>38598.0</v>
      </c>
      <c r="F33" s="23"/>
      <c r="G33" s="25" t="n">
        <f>24093</f>
        <v>24093.0</v>
      </c>
      <c r="H33" s="23"/>
      <c r="I33" s="26" t="n">
        <f>62691</f>
        <v>62691.0</v>
      </c>
      <c r="J33" s="24"/>
      <c r="K33" s="25" t="n">
        <f>8119149640</f>
        <v>8.11914964E9</v>
      </c>
      <c r="L33" s="23"/>
      <c r="M33" s="25" t="n">
        <f>5196034500</f>
        <v>5.1960345E9</v>
      </c>
      <c r="N33" s="23"/>
      <c r="O33" s="26" t="n">
        <f>13315184140</f>
        <v>1.331518414E10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7496</f>
        <v>7496.0</v>
      </c>
      <c r="U33" s="23"/>
      <c r="V33" s="25" t="n">
        <f>4264</f>
        <v>4264.0</v>
      </c>
      <c r="W33" s="23"/>
      <c r="X33" s="26" t="n">
        <f>11760</f>
        <v>11760.0</v>
      </c>
      <c r="Y33" s="24"/>
      <c r="Z33" s="25" t="n">
        <f>904472</f>
        <v>904472.0</v>
      </c>
      <c r="AA33" s="23"/>
      <c r="AB33" s="25" t="n">
        <f>545297</f>
        <v>545297.0</v>
      </c>
      <c r="AC33" s="23"/>
      <c r="AD33" s="26" t="n">
        <f>1449769</f>
        <v>1449769.0</v>
      </c>
    </row>
    <row r="34">
      <c r="A34" s="30" t="s">
        <v>54</v>
      </c>
      <c r="B34" s="22" t="s">
        <v>27</v>
      </c>
      <c r="C34" s="22" t="s">
        <v>28</v>
      </c>
      <c r="D34" s="24" t="s">
        <v>43</v>
      </c>
      <c r="E34" s="25" t="n">
        <f>35539</f>
        <v>35539.0</v>
      </c>
      <c r="F34" s="23"/>
      <c r="G34" s="25" t="n">
        <f>26978</f>
        <v>26978.0</v>
      </c>
      <c r="H34" s="23" t="s">
        <v>43</v>
      </c>
      <c r="I34" s="26" t="n">
        <f>62517</f>
        <v>62517.0</v>
      </c>
      <c r="J34" s="24"/>
      <c r="K34" s="25" t="n">
        <f>8560406000</f>
        <v>8.560406E9</v>
      </c>
      <c r="L34" s="23" t="s">
        <v>43</v>
      </c>
      <c r="M34" s="25" t="n">
        <f>4430220000</f>
        <v>4.43022E9</v>
      </c>
      <c r="N34" s="23"/>
      <c r="O34" s="26" t="n">
        <f>12990626000</f>
        <v>1.2990626E10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4163</f>
        <v>4163.0</v>
      </c>
      <c r="U34" s="23" t="s">
        <v>43</v>
      </c>
      <c r="V34" s="25" t="n">
        <f>2756</f>
        <v>2756.0</v>
      </c>
      <c r="W34" s="23" t="s">
        <v>43</v>
      </c>
      <c r="X34" s="26" t="n">
        <f>6919</f>
        <v>6919.0</v>
      </c>
      <c r="Y34" s="24"/>
      <c r="Z34" s="25" t="n">
        <f>910671</f>
        <v>910671.0</v>
      </c>
      <c r="AA34" s="23"/>
      <c r="AB34" s="25" t="n">
        <f>550218</f>
        <v>550218.0</v>
      </c>
      <c r="AC34" s="23"/>
      <c r="AD34" s="26" t="n">
        <f>1460889</f>
        <v>1460889.0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48947</f>
        <v>48947.0</v>
      </c>
      <c r="F35" s="23"/>
      <c r="G35" s="25" t="n">
        <f>31163</f>
        <v>31163.0</v>
      </c>
      <c r="H35" s="23"/>
      <c r="I35" s="26" t="n">
        <f>80110</f>
        <v>80110.0</v>
      </c>
      <c r="J35" s="24"/>
      <c r="K35" s="25" t="n">
        <f>11028485000</f>
        <v>1.1028485E10</v>
      </c>
      <c r="L35" s="23"/>
      <c r="M35" s="25" t="n">
        <f>6269519000</f>
        <v>6.269519E9</v>
      </c>
      <c r="N35" s="23"/>
      <c r="O35" s="26" t="n">
        <f>17298004000</f>
        <v>1.7298004E10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8634</f>
        <v>8634.0</v>
      </c>
      <c r="U35" s="23"/>
      <c r="V35" s="25" t="n">
        <f>7315</f>
        <v>7315.0</v>
      </c>
      <c r="W35" s="23"/>
      <c r="X35" s="26" t="n">
        <f>15949</f>
        <v>15949.0</v>
      </c>
      <c r="Y35" s="24"/>
      <c r="Z35" s="25" t="n">
        <f>924028</f>
        <v>924028.0</v>
      </c>
      <c r="AA35" s="23"/>
      <c r="AB35" s="25" t="n">
        <f>554923</f>
        <v>554923.0</v>
      </c>
      <c r="AC35" s="23"/>
      <c r="AD35" s="26" t="n">
        <f>1478951</f>
        <v>1478951.0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44170</f>
        <v>44170.0</v>
      </c>
      <c r="F36" s="23" t="s">
        <v>43</v>
      </c>
      <c r="G36" s="25" t="n">
        <f>23912</f>
        <v>23912.0</v>
      </c>
      <c r="H36" s="23"/>
      <c r="I36" s="26" t="n">
        <f>68082</f>
        <v>68082.0</v>
      </c>
      <c r="J36" s="24"/>
      <c r="K36" s="25" t="n">
        <f>8758815150</f>
        <v>8.75881515E9</v>
      </c>
      <c r="L36" s="23"/>
      <c r="M36" s="25" t="n">
        <f>4482827600</f>
        <v>4.4828276E9</v>
      </c>
      <c r="N36" s="23"/>
      <c r="O36" s="26" t="n">
        <f>13241642750</f>
        <v>1.324164275E10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4911</f>
        <v>4911.0</v>
      </c>
      <c r="U36" s="23"/>
      <c r="V36" s="25" t="n">
        <f>3041</f>
        <v>3041.0</v>
      </c>
      <c r="W36" s="23"/>
      <c r="X36" s="26" t="n">
        <f>7952</f>
        <v>7952.0</v>
      </c>
      <c r="Y36" s="24"/>
      <c r="Z36" s="25" t="n">
        <f>934628</f>
        <v>934628.0</v>
      </c>
      <c r="AA36" s="23"/>
      <c r="AB36" s="25" t="n">
        <f>558672</f>
        <v>558672.0</v>
      </c>
      <c r="AC36" s="23"/>
      <c r="AD36" s="26" t="n">
        <f>1493300</f>
        <v>1493300.0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70352</f>
        <v>70352.0</v>
      </c>
      <c r="F37" s="23"/>
      <c r="G37" s="25" t="n">
        <f>55768</f>
        <v>55768.0</v>
      </c>
      <c r="H37" s="23"/>
      <c r="I37" s="26" t="n">
        <f>126120</f>
        <v>126120.0</v>
      </c>
      <c r="J37" s="24"/>
      <c r="K37" s="25" t="n">
        <f>12341742000</f>
        <v>1.2341742E10</v>
      </c>
      <c r="L37" s="23"/>
      <c r="M37" s="25" t="n">
        <f>9347885600</f>
        <v>9.3478856E9</v>
      </c>
      <c r="N37" s="23"/>
      <c r="O37" s="26" t="n">
        <f>21689627600</f>
        <v>2.16896276E10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9448</f>
        <v>9448.0</v>
      </c>
      <c r="U37" s="23"/>
      <c r="V37" s="25" t="n">
        <f>7203</f>
        <v>7203.0</v>
      </c>
      <c r="W37" s="23"/>
      <c r="X37" s="26" t="n">
        <f>16651</f>
        <v>16651.0</v>
      </c>
      <c r="Y37" s="24"/>
      <c r="Z37" s="25" t="n">
        <f>946987</f>
        <v>946987.0</v>
      </c>
      <c r="AA37" s="23"/>
      <c r="AB37" s="25" t="n">
        <f>566055</f>
        <v>566055.0</v>
      </c>
      <c r="AC37" s="23"/>
      <c r="AD37" s="26" t="n">
        <f>1513042</f>
        <v>1513042.0</v>
      </c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 t="n">
        <f>40030</f>
        <v>40030.0</v>
      </c>
      <c r="F40" s="23"/>
      <c r="G40" s="25" t="n">
        <f>35824</f>
        <v>35824.0</v>
      </c>
      <c r="H40" s="23"/>
      <c r="I40" s="26" t="n">
        <f>75854</f>
        <v>75854.0</v>
      </c>
      <c r="J40" s="24" t="s">
        <v>43</v>
      </c>
      <c r="K40" s="25" t="n">
        <f>5340805800</f>
        <v>5.3408058E9</v>
      </c>
      <c r="L40" s="23"/>
      <c r="M40" s="25" t="n">
        <f>4752939000</f>
        <v>4.752939E9</v>
      </c>
      <c r="N40" s="23" t="s">
        <v>43</v>
      </c>
      <c r="O40" s="26" t="n">
        <f>10093744800</f>
        <v>1.00937448E10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5076</f>
        <v>5076.0</v>
      </c>
      <c r="U40" s="23"/>
      <c r="V40" s="25" t="n">
        <f>5302</f>
        <v>5302.0</v>
      </c>
      <c r="W40" s="23"/>
      <c r="X40" s="26" t="n">
        <f>10378</f>
        <v>10378.0</v>
      </c>
      <c r="Y40" s="24" t="s">
        <v>40</v>
      </c>
      <c r="Z40" s="25" t="n">
        <f>954098</f>
        <v>954098.0</v>
      </c>
      <c r="AA40" s="23"/>
      <c r="AB40" s="25" t="n">
        <f>570691</f>
        <v>570691.0</v>
      </c>
      <c r="AC40" s="23"/>
      <c r="AD40" s="26" t="n">
        <f>1524789</f>
        <v>1524789.0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32</v>
      </c>
      <c r="B45" s="22" t="s">
        <v>61</v>
      </c>
      <c r="C45" s="22" t="s">
        <v>62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33</v>
      </c>
      <c r="B46" s="22" t="s">
        <v>61</v>
      </c>
      <c r="C46" s="22" t="s">
        <v>62</v>
      </c>
      <c r="D46" s="24"/>
      <c r="E46" s="25" t="n">
        <f>2047</f>
        <v>2047.0</v>
      </c>
      <c r="F46" s="23"/>
      <c r="G46" s="25" t="n">
        <f>1350</f>
        <v>1350.0</v>
      </c>
      <c r="H46" s="23"/>
      <c r="I46" s="26" t="n">
        <f>3397</f>
        <v>3397.0</v>
      </c>
      <c r="J46" s="24"/>
      <c r="K46" s="25" t="n">
        <f>51830000</f>
        <v>5.183E7</v>
      </c>
      <c r="L46" s="23"/>
      <c r="M46" s="25" t="n">
        <f>31654000</f>
        <v>3.1654E7</v>
      </c>
      <c r="N46" s="23"/>
      <c r="O46" s="26" t="n">
        <f>83484000</f>
        <v>8.3484E7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151</f>
        <v>151.0</v>
      </c>
      <c r="U46" s="23"/>
      <c r="V46" s="25" t="n">
        <f>125</f>
        <v>125.0</v>
      </c>
      <c r="W46" s="23"/>
      <c r="X46" s="26" t="n">
        <f>276</f>
        <v>276.0</v>
      </c>
      <c r="Y46" s="24"/>
      <c r="Z46" s="25" t="n">
        <f>1793</f>
        <v>1793.0</v>
      </c>
      <c r="AA46" s="23"/>
      <c r="AB46" s="25" t="n">
        <f>2268</f>
        <v>2268.0</v>
      </c>
      <c r="AC46" s="23"/>
      <c r="AD46" s="26" t="n">
        <f>4061</f>
        <v>4061.0</v>
      </c>
    </row>
    <row r="47">
      <c r="A47" s="30" t="s">
        <v>34</v>
      </c>
      <c r="B47" s="22" t="s">
        <v>61</v>
      </c>
      <c r="C47" s="22" t="s">
        <v>62</v>
      </c>
      <c r="D47" s="24" t="s">
        <v>43</v>
      </c>
      <c r="E47" s="25" t="n">
        <f>54</f>
        <v>54.0</v>
      </c>
      <c r="F47" s="23"/>
      <c r="G47" s="25" t="n">
        <f>498</f>
        <v>498.0</v>
      </c>
      <c r="H47" s="23"/>
      <c r="I47" s="26" t="n">
        <f>552</f>
        <v>552.0</v>
      </c>
      <c r="J47" s="24" t="s">
        <v>43</v>
      </c>
      <c r="K47" s="25" t="n">
        <f>4758000</f>
        <v>4758000.0</v>
      </c>
      <c r="L47" s="23"/>
      <c r="M47" s="25" t="n">
        <f>218508000</f>
        <v>2.18508E8</v>
      </c>
      <c r="N47" s="23"/>
      <c r="O47" s="26" t="n">
        <f>223266000</f>
        <v>2.23266E8</v>
      </c>
      <c r="P47" s="27" t="n">
        <f>49</f>
        <v>49.0</v>
      </c>
      <c r="Q47" s="28" t="n">
        <f>562</f>
        <v>562.0</v>
      </c>
      <c r="R47" s="29" t="n">
        <f>611</f>
        <v>611.0</v>
      </c>
      <c r="S47" s="24" t="s">
        <v>43</v>
      </c>
      <c r="T47" s="25" t="n">
        <f>6</f>
        <v>6.0</v>
      </c>
      <c r="U47" s="23"/>
      <c r="V47" s="25" t="n">
        <f>271</f>
        <v>271.0</v>
      </c>
      <c r="W47" s="23"/>
      <c r="X47" s="26" t="n">
        <f>277</f>
        <v>277.0</v>
      </c>
      <c r="Y47" s="24" t="s">
        <v>43</v>
      </c>
      <c r="Z47" s="25" t="n">
        <f>102</f>
        <v>102.0</v>
      </c>
      <c r="AA47" s="23" t="s">
        <v>43</v>
      </c>
      <c r="AB47" s="25" t="n">
        <f>1024</f>
        <v>1024.0</v>
      </c>
      <c r="AC47" s="23" t="s">
        <v>43</v>
      </c>
      <c r="AD47" s="26" t="n">
        <f>1126</f>
        <v>1126.0</v>
      </c>
    </row>
    <row r="48">
      <c r="A48" s="30" t="s">
        <v>35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36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37</v>
      </c>
      <c r="B50" s="22" t="s">
        <v>61</v>
      </c>
      <c r="C50" s="22" t="s">
        <v>62</v>
      </c>
      <c r="D50" s="24"/>
      <c r="E50" s="25" t="n">
        <f>176</f>
        <v>176.0</v>
      </c>
      <c r="F50" s="23" t="s">
        <v>43</v>
      </c>
      <c r="G50" s="25" t="n">
        <f>49</f>
        <v>49.0</v>
      </c>
      <c r="H50" s="23"/>
      <c r="I50" s="26" t="n">
        <f>225</f>
        <v>225.0</v>
      </c>
      <c r="J50" s="24"/>
      <c r="K50" s="25" t="n">
        <f>16539000</f>
        <v>1.6539E7</v>
      </c>
      <c r="L50" s="23"/>
      <c r="M50" s="25" t="n">
        <f>5388000</f>
        <v>5388000.0</v>
      </c>
      <c r="N50" s="23" t="s">
        <v>43</v>
      </c>
      <c r="O50" s="26" t="n">
        <f>21927000</f>
        <v>2.1927E7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21</f>
        <v>21.0</v>
      </c>
      <c r="U50" s="23"/>
      <c r="V50" s="25" t="n">
        <f>4</f>
        <v>4.0</v>
      </c>
      <c r="W50" s="23"/>
      <c r="X50" s="26" t="n">
        <f>25</f>
        <v>25.0</v>
      </c>
      <c r="Y50" s="24"/>
      <c r="Z50" s="25" t="n">
        <f>229</f>
        <v>229.0</v>
      </c>
      <c r="AA50" s="23"/>
      <c r="AB50" s="25" t="n">
        <f>1052</f>
        <v>1052.0</v>
      </c>
      <c r="AC50" s="23"/>
      <c r="AD50" s="26" t="n">
        <f>1281</f>
        <v>1281.0</v>
      </c>
    </row>
    <row r="51">
      <c r="A51" s="30" t="s">
        <v>38</v>
      </c>
      <c r="B51" s="22" t="s">
        <v>61</v>
      </c>
      <c r="C51" s="22" t="s">
        <v>62</v>
      </c>
      <c r="D51" s="24"/>
      <c r="E51" s="25" t="n">
        <f>204</f>
        <v>204.0</v>
      </c>
      <c r="F51" s="23"/>
      <c r="G51" s="25" t="n">
        <f>90</f>
        <v>90.0</v>
      </c>
      <c r="H51" s="23"/>
      <c r="I51" s="26" t="n">
        <f>294</f>
        <v>294.0</v>
      </c>
      <c r="J51" s="24"/>
      <c r="K51" s="25" t="n">
        <f>34594000</f>
        <v>3.4594E7</v>
      </c>
      <c r="L51" s="23" t="s">
        <v>43</v>
      </c>
      <c r="M51" s="25" t="n">
        <f>5255000</f>
        <v>5255000.0</v>
      </c>
      <c r="N51" s="23"/>
      <c r="O51" s="26" t="n">
        <f>39849000</f>
        <v>3.9849E7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8</f>
        <v>8.0</v>
      </c>
      <c r="U51" s="23" t="s">
        <v>43</v>
      </c>
      <c r="V51" s="25" t="n">
        <f>3</f>
        <v>3.0</v>
      </c>
      <c r="W51" s="23" t="s">
        <v>43</v>
      </c>
      <c r="X51" s="26" t="n">
        <f>11</f>
        <v>11.0</v>
      </c>
      <c r="Y51" s="24"/>
      <c r="Z51" s="25" t="n">
        <f>396</f>
        <v>396.0</v>
      </c>
      <c r="AA51" s="23"/>
      <c r="AB51" s="25" t="n">
        <f>1096</f>
        <v>1096.0</v>
      </c>
      <c r="AC51" s="23"/>
      <c r="AD51" s="26" t="n">
        <f>1492</f>
        <v>1492.0</v>
      </c>
    </row>
    <row r="52">
      <c r="A52" s="30" t="s">
        <v>39</v>
      </c>
      <c r="B52" s="22" t="s">
        <v>61</v>
      </c>
      <c r="C52" s="22" t="s">
        <v>62</v>
      </c>
      <c r="D52" s="24"/>
      <c r="E52" s="25" t="n">
        <f>54</f>
        <v>54.0</v>
      </c>
      <c r="F52" s="23"/>
      <c r="G52" s="25" t="n">
        <f>149</f>
        <v>149.0</v>
      </c>
      <c r="H52" s="23" t="s">
        <v>43</v>
      </c>
      <c r="I52" s="26" t="n">
        <f>203</f>
        <v>203.0</v>
      </c>
      <c r="J52" s="24"/>
      <c r="K52" s="25" t="n">
        <f>14745000</f>
        <v>1.4745E7</v>
      </c>
      <c r="L52" s="23"/>
      <c r="M52" s="25" t="n">
        <f>23511000</f>
        <v>2.3511E7</v>
      </c>
      <c r="N52" s="23"/>
      <c r="O52" s="26" t="n">
        <f>38256000</f>
        <v>3.8256E7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20</f>
        <v>20.0</v>
      </c>
      <c r="U52" s="23"/>
      <c r="V52" s="25" t="n">
        <f>14</f>
        <v>14.0</v>
      </c>
      <c r="W52" s="23"/>
      <c r="X52" s="26" t="n">
        <f>34</f>
        <v>34.0</v>
      </c>
      <c r="Y52" s="24"/>
      <c r="Z52" s="25" t="n">
        <f>386</f>
        <v>386.0</v>
      </c>
      <c r="AA52" s="23"/>
      <c r="AB52" s="25" t="n">
        <f>1152</f>
        <v>1152.0</v>
      </c>
      <c r="AC52" s="23"/>
      <c r="AD52" s="26" t="n">
        <f>1538</f>
        <v>1538.0</v>
      </c>
    </row>
    <row r="53">
      <c r="A53" s="30" t="s">
        <v>41</v>
      </c>
      <c r="B53" s="22" t="s">
        <v>61</v>
      </c>
      <c r="C53" s="22" t="s">
        <v>62</v>
      </c>
      <c r="D53" s="24"/>
      <c r="E53" s="25" t="n">
        <f>202</f>
        <v>202.0</v>
      </c>
      <c r="F53" s="23"/>
      <c r="G53" s="25" t="n">
        <f>782</f>
        <v>782.0</v>
      </c>
      <c r="H53" s="23"/>
      <c r="I53" s="26" t="n">
        <f>984</f>
        <v>984.0</v>
      </c>
      <c r="J53" s="24"/>
      <c r="K53" s="25" t="n">
        <f>84375000</f>
        <v>8.4375E7</v>
      </c>
      <c r="L53" s="23"/>
      <c r="M53" s="25" t="n">
        <f>29360000</f>
        <v>2.936E7</v>
      </c>
      <c r="N53" s="23"/>
      <c r="O53" s="26" t="n">
        <f>113735000</f>
        <v>1.13735E8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13</f>
        <v>13.0</v>
      </c>
      <c r="U53" s="23"/>
      <c r="V53" s="25" t="n">
        <f>33</f>
        <v>33.0</v>
      </c>
      <c r="W53" s="23"/>
      <c r="X53" s="26" t="n">
        <f>46</f>
        <v>46.0</v>
      </c>
      <c r="Y53" s="24"/>
      <c r="Z53" s="25" t="n">
        <f>509</f>
        <v>509.0</v>
      </c>
      <c r="AA53" s="23"/>
      <c r="AB53" s="25" t="n">
        <f>1767</f>
        <v>1767.0</v>
      </c>
      <c r="AC53" s="23"/>
      <c r="AD53" s="26" t="n">
        <f>2276</f>
        <v>2276.0</v>
      </c>
    </row>
    <row r="54">
      <c r="A54" s="30" t="s">
        <v>42</v>
      </c>
      <c r="B54" s="22" t="s">
        <v>61</v>
      </c>
      <c r="C54" s="22" t="s">
        <v>62</v>
      </c>
      <c r="D54" s="24"/>
      <c r="E54" s="25" t="n">
        <f>869</f>
        <v>869.0</v>
      </c>
      <c r="F54" s="23"/>
      <c r="G54" s="25" t="n">
        <f>1690</f>
        <v>1690.0</v>
      </c>
      <c r="H54" s="23"/>
      <c r="I54" s="26" t="n">
        <f>2559</f>
        <v>2559.0</v>
      </c>
      <c r="J54" s="24"/>
      <c r="K54" s="25" t="n">
        <f>152776000</f>
        <v>1.52776E8</v>
      </c>
      <c r="L54" s="23" t="s">
        <v>40</v>
      </c>
      <c r="M54" s="25" t="n">
        <f>251499000</f>
        <v>2.51499E8</v>
      </c>
      <c r="N54" s="23"/>
      <c r="O54" s="26" t="n">
        <f>404275000</f>
        <v>4.04275E8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20</f>
        <v>20.0</v>
      </c>
      <c r="U54" s="23"/>
      <c r="V54" s="25" t="n">
        <f>74</f>
        <v>74.0</v>
      </c>
      <c r="W54" s="23"/>
      <c r="X54" s="26" t="n">
        <f>94</f>
        <v>94.0</v>
      </c>
      <c r="Y54" s="24"/>
      <c r="Z54" s="25" t="n">
        <f>1087</f>
        <v>1087.0</v>
      </c>
      <c r="AA54" s="23"/>
      <c r="AB54" s="25" t="n">
        <f>2737</f>
        <v>2737.0</v>
      </c>
      <c r="AC54" s="23"/>
      <c r="AD54" s="26" t="n">
        <f>3824</f>
        <v>3824.0</v>
      </c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 t="n">
        <f>966</f>
        <v>966.0</v>
      </c>
      <c r="F57" s="23"/>
      <c r="G57" s="25" t="n">
        <f>1292</f>
        <v>1292.0</v>
      </c>
      <c r="H57" s="23"/>
      <c r="I57" s="26" t="n">
        <f>2258</f>
        <v>2258.0</v>
      </c>
      <c r="J57" s="24"/>
      <c r="K57" s="25" t="n">
        <f>139428000</f>
        <v>1.39428E8</v>
      </c>
      <c r="L57" s="23"/>
      <c r="M57" s="25" t="n">
        <f>88231000</f>
        <v>8.8231E7</v>
      </c>
      <c r="N57" s="23"/>
      <c r="O57" s="26" t="n">
        <f>227659000</f>
        <v>2.27659E8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70</f>
        <v>70.0</v>
      </c>
      <c r="U57" s="23"/>
      <c r="V57" s="25" t="n">
        <f>125</f>
        <v>125.0</v>
      </c>
      <c r="W57" s="23"/>
      <c r="X57" s="26" t="n">
        <f>195</f>
        <v>195.0</v>
      </c>
      <c r="Y57" s="24"/>
      <c r="Z57" s="25" t="n">
        <f>1333</f>
        <v>1333.0</v>
      </c>
      <c r="AA57" s="23"/>
      <c r="AB57" s="25" t="n">
        <f>3148</f>
        <v>3148.0</v>
      </c>
      <c r="AC57" s="23"/>
      <c r="AD57" s="26" t="n">
        <f>4481</f>
        <v>4481.0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1510</f>
        <v>1510.0</v>
      </c>
      <c r="F58" s="23"/>
      <c r="G58" s="25" t="n">
        <f>1483</f>
        <v>1483.0</v>
      </c>
      <c r="H58" s="23"/>
      <c r="I58" s="26" t="n">
        <f>2993</f>
        <v>2993.0</v>
      </c>
      <c r="J58" s="24"/>
      <c r="K58" s="25" t="n">
        <f>93380000</f>
        <v>9.338E7</v>
      </c>
      <c r="L58" s="23"/>
      <c r="M58" s="25" t="n">
        <f>164201000</f>
        <v>1.64201E8</v>
      </c>
      <c r="N58" s="23"/>
      <c r="O58" s="26" t="n">
        <f>257581000</f>
        <v>2.57581E8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130</f>
        <v>130.0</v>
      </c>
      <c r="U58" s="23"/>
      <c r="V58" s="25" t="n">
        <f>139</f>
        <v>139.0</v>
      </c>
      <c r="W58" s="23"/>
      <c r="X58" s="26" t="n">
        <f>269</f>
        <v>269.0</v>
      </c>
      <c r="Y58" s="24"/>
      <c r="Z58" s="25" t="n">
        <f>1687</f>
        <v>1687.0</v>
      </c>
      <c r="AA58" s="23"/>
      <c r="AB58" s="25" t="n">
        <f>3327</f>
        <v>3327.0</v>
      </c>
      <c r="AC58" s="23"/>
      <c r="AD58" s="26" t="n">
        <f>5014</f>
        <v>5014.0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1571</f>
        <v>1571.0</v>
      </c>
      <c r="F59" s="23"/>
      <c r="G59" s="25" t="n">
        <f>1718</f>
        <v>1718.0</v>
      </c>
      <c r="H59" s="23"/>
      <c r="I59" s="26" t="n">
        <f>3289</f>
        <v>3289.0</v>
      </c>
      <c r="J59" s="24"/>
      <c r="K59" s="25" t="n">
        <f>167722000</f>
        <v>1.67722E8</v>
      </c>
      <c r="L59" s="23"/>
      <c r="M59" s="25" t="n">
        <f>111372000</f>
        <v>1.11372E8</v>
      </c>
      <c r="N59" s="23"/>
      <c r="O59" s="26" t="n">
        <f>279094000</f>
        <v>2.79094E8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141</f>
        <v>141.0</v>
      </c>
      <c r="U59" s="23"/>
      <c r="V59" s="25" t="n">
        <f>163</f>
        <v>163.0</v>
      </c>
      <c r="W59" s="23"/>
      <c r="X59" s="26" t="n">
        <f>304</f>
        <v>304.0</v>
      </c>
      <c r="Y59" s="24"/>
      <c r="Z59" s="25" t="n">
        <f>2056</f>
        <v>2056.0</v>
      </c>
      <c r="AA59" s="23"/>
      <c r="AB59" s="25" t="n">
        <f>3816</f>
        <v>3816.0</v>
      </c>
      <c r="AC59" s="23"/>
      <c r="AD59" s="26" t="n">
        <f>5872</f>
        <v>5872.0</v>
      </c>
    </row>
    <row r="60">
      <c r="A60" s="30" t="s">
        <v>49</v>
      </c>
      <c r="B60" s="22" t="s">
        <v>61</v>
      </c>
      <c r="C60" s="22" t="s">
        <v>62</v>
      </c>
      <c r="D60" s="24" t="s">
        <v>40</v>
      </c>
      <c r="E60" s="25" t="n">
        <f>3719</f>
        <v>3719.0</v>
      </c>
      <c r="F60" s="23" t="s">
        <v>40</v>
      </c>
      <c r="G60" s="25" t="n">
        <f>3496</f>
        <v>3496.0</v>
      </c>
      <c r="H60" s="23" t="s">
        <v>40</v>
      </c>
      <c r="I60" s="26" t="n">
        <f>7215</f>
        <v>7215.0</v>
      </c>
      <c r="J60" s="24" t="s">
        <v>40</v>
      </c>
      <c r="K60" s="25" t="n">
        <f>336281000</f>
        <v>3.36281E8</v>
      </c>
      <c r="L60" s="23"/>
      <c r="M60" s="25" t="n">
        <f>242327000</f>
        <v>2.42327E8</v>
      </c>
      <c r="N60" s="23" t="s">
        <v>40</v>
      </c>
      <c r="O60" s="26" t="n">
        <f>578608000</f>
        <v>5.78608E8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 t="s">
        <v>40</v>
      </c>
      <c r="T60" s="25" t="n">
        <f>885</f>
        <v>885.0</v>
      </c>
      <c r="U60" s="23" t="s">
        <v>40</v>
      </c>
      <c r="V60" s="25" t="n">
        <f>968</f>
        <v>968.0</v>
      </c>
      <c r="W60" s="23" t="s">
        <v>40</v>
      </c>
      <c r="X60" s="26" t="n">
        <f>1853</f>
        <v>1853.0</v>
      </c>
      <c r="Y60" s="24"/>
      <c r="Z60" s="25" t="n">
        <f>3455</f>
        <v>3455.0</v>
      </c>
      <c r="AA60" s="23" t="s">
        <v>40</v>
      </c>
      <c r="AB60" s="25" t="n">
        <f>4350</f>
        <v>4350.0</v>
      </c>
      <c r="AC60" s="23" t="s">
        <v>40</v>
      </c>
      <c r="AD60" s="26" t="n">
        <f>7805</f>
        <v>7805.0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893</f>
        <v>893.0</v>
      </c>
      <c r="F61" s="23"/>
      <c r="G61" s="25" t="n">
        <f>815</f>
        <v>815.0</v>
      </c>
      <c r="H61" s="23"/>
      <c r="I61" s="26" t="n">
        <f>1708</f>
        <v>1708.0</v>
      </c>
      <c r="J61" s="24"/>
      <c r="K61" s="25" t="n">
        <f>86130000</f>
        <v>8.613E7</v>
      </c>
      <c r="L61" s="23"/>
      <c r="M61" s="25" t="n">
        <f>62768000</f>
        <v>6.2768E7</v>
      </c>
      <c r="N61" s="23"/>
      <c r="O61" s="26" t="n">
        <f>148898000</f>
        <v>1.48898E8</v>
      </c>
      <c r="P61" s="27" t="n">
        <f>90</f>
        <v>90.0</v>
      </c>
      <c r="Q61" s="28" t="n">
        <f>466</f>
        <v>466.0</v>
      </c>
      <c r="R61" s="29" t="n">
        <f>556</f>
        <v>556.0</v>
      </c>
      <c r="S61" s="24"/>
      <c r="T61" s="25" t="n">
        <f>66</f>
        <v>66.0</v>
      </c>
      <c r="U61" s="23"/>
      <c r="V61" s="25" t="n">
        <f>79</f>
        <v>79.0</v>
      </c>
      <c r="W61" s="23"/>
      <c r="X61" s="26" t="n">
        <f>145</f>
        <v>145.0</v>
      </c>
      <c r="Y61" s="24"/>
      <c r="Z61" s="25" t="n">
        <f>1717</f>
        <v>1717.0</v>
      </c>
      <c r="AA61" s="23"/>
      <c r="AB61" s="25" t="n">
        <f>2028</f>
        <v>2028.0</v>
      </c>
      <c r="AC61" s="23"/>
      <c r="AD61" s="26" t="n">
        <f>3745</f>
        <v>3745.0</v>
      </c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 t="n">
        <f>930</f>
        <v>930.0</v>
      </c>
      <c r="F64" s="23"/>
      <c r="G64" s="25" t="n">
        <f>1009</f>
        <v>1009.0</v>
      </c>
      <c r="H64" s="23"/>
      <c r="I64" s="26" t="n">
        <f>1939</f>
        <v>1939.0</v>
      </c>
      <c r="J64" s="24"/>
      <c r="K64" s="25" t="n">
        <f>46438000</f>
        <v>4.6438E7</v>
      </c>
      <c r="L64" s="23"/>
      <c r="M64" s="25" t="n">
        <f>40372000</f>
        <v>4.0372E7</v>
      </c>
      <c r="N64" s="23"/>
      <c r="O64" s="26" t="n">
        <f>86810000</f>
        <v>8.681E7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129</f>
        <v>129.0</v>
      </c>
      <c r="U64" s="23"/>
      <c r="V64" s="25" t="n">
        <f>80</f>
        <v>80.0</v>
      </c>
      <c r="W64" s="23"/>
      <c r="X64" s="26" t="n">
        <f>209</f>
        <v>209.0</v>
      </c>
      <c r="Y64" s="24"/>
      <c r="Z64" s="25" t="n">
        <f>2047</f>
        <v>2047.0</v>
      </c>
      <c r="AA64" s="23"/>
      <c r="AB64" s="25" t="n">
        <f>2406</f>
        <v>2406.0</v>
      </c>
      <c r="AC64" s="23"/>
      <c r="AD64" s="26" t="n">
        <f>4453</f>
        <v>4453.0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1250</f>
        <v>1250.0</v>
      </c>
      <c r="F65" s="23"/>
      <c r="G65" s="25" t="n">
        <f>1019</f>
        <v>1019.0</v>
      </c>
      <c r="H65" s="23"/>
      <c r="I65" s="26" t="n">
        <f>2269</f>
        <v>2269.0</v>
      </c>
      <c r="J65" s="24"/>
      <c r="K65" s="25" t="n">
        <f>40354000</f>
        <v>4.0354E7</v>
      </c>
      <c r="L65" s="23"/>
      <c r="M65" s="25" t="n">
        <f>81842000</f>
        <v>8.1842E7</v>
      </c>
      <c r="N65" s="23"/>
      <c r="O65" s="26" t="n">
        <f>122196000</f>
        <v>1.22196E8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115</f>
        <v>115.0</v>
      </c>
      <c r="U65" s="23"/>
      <c r="V65" s="25" t="n">
        <f>269</f>
        <v>269.0</v>
      </c>
      <c r="W65" s="23"/>
      <c r="X65" s="26" t="n">
        <f>384</f>
        <v>384.0</v>
      </c>
      <c r="Y65" s="24"/>
      <c r="Z65" s="25" t="n">
        <f>2488</f>
        <v>2488.0</v>
      </c>
      <c r="AA65" s="23"/>
      <c r="AB65" s="25" t="n">
        <f>2854</f>
        <v>2854.0</v>
      </c>
      <c r="AC65" s="23"/>
      <c r="AD65" s="26" t="n">
        <f>5342</f>
        <v>5342.0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2132</f>
        <v>2132.0</v>
      </c>
      <c r="F66" s="23"/>
      <c r="G66" s="25" t="n">
        <f>1351</f>
        <v>1351.0</v>
      </c>
      <c r="H66" s="23"/>
      <c r="I66" s="26" t="n">
        <f>3483</f>
        <v>3483.0</v>
      </c>
      <c r="J66" s="24"/>
      <c r="K66" s="25" t="n">
        <f>44825000</f>
        <v>4.4825E7</v>
      </c>
      <c r="L66" s="23"/>
      <c r="M66" s="25" t="n">
        <f>78470000</f>
        <v>7.847E7</v>
      </c>
      <c r="N66" s="23"/>
      <c r="O66" s="26" t="n">
        <f>123295000</f>
        <v>1.23295E8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164</f>
        <v>164.0</v>
      </c>
      <c r="U66" s="23"/>
      <c r="V66" s="25" t="n">
        <f>107</f>
        <v>107.0</v>
      </c>
      <c r="W66" s="23"/>
      <c r="X66" s="26" t="n">
        <f>271</f>
        <v>271.0</v>
      </c>
      <c r="Y66" s="24"/>
      <c r="Z66" s="25" t="n">
        <f>2624</f>
        <v>2624.0</v>
      </c>
      <c r="AA66" s="23"/>
      <c r="AB66" s="25" t="n">
        <f>3051</f>
        <v>3051.0</v>
      </c>
      <c r="AC66" s="23"/>
      <c r="AD66" s="26" t="n">
        <f>5675</f>
        <v>5675.0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2714</f>
        <v>2714.0</v>
      </c>
      <c r="F67" s="23"/>
      <c r="G67" s="25" t="n">
        <f>1851</f>
        <v>1851.0</v>
      </c>
      <c r="H67" s="23"/>
      <c r="I67" s="26" t="n">
        <f>4565</f>
        <v>4565.0</v>
      </c>
      <c r="J67" s="24"/>
      <c r="K67" s="25" t="n">
        <f>105664000</f>
        <v>1.05664E8</v>
      </c>
      <c r="L67" s="23"/>
      <c r="M67" s="25" t="n">
        <f>62668000</f>
        <v>6.2668E7</v>
      </c>
      <c r="N67" s="23"/>
      <c r="O67" s="26" t="n">
        <f>168332000</f>
        <v>1.68332E8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205</f>
        <v>205.0</v>
      </c>
      <c r="U67" s="23"/>
      <c r="V67" s="25" t="n">
        <f>179</f>
        <v>179.0</v>
      </c>
      <c r="W67" s="23"/>
      <c r="X67" s="26" t="n">
        <f>384</f>
        <v>384.0</v>
      </c>
      <c r="Y67" s="24" t="s">
        <v>40</v>
      </c>
      <c r="Z67" s="25" t="n">
        <f>3535</f>
        <v>3535.0</v>
      </c>
      <c r="AA67" s="23"/>
      <c r="AB67" s="25" t="n">
        <f>3653</f>
        <v>3653.0</v>
      </c>
      <c r="AC67" s="23"/>
      <c r="AD67" s="26" t="n">
        <f>7188</f>
        <v>7188.0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1255</f>
        <v>1255.0</v>
      </c>
      <c r="F68" s="23"/>
      <c r="G68" s="25" t="n">
        <f>1799</f>
        <v>1799.0</v>
      </c>
      <c r="H68" s="23"/>
      <c r="I68" s="26" t="n">
        <f>3054</f>
        <v>3054.0</v>
      </c>
      <c r="J68" s="24"/>
      <c r="K68" s="25" t="n">
        <f>74595000</f>
        <v>7.4595E7</v>
      </c>
      <c r="L68" s="23"/>
      <c r="M68" s="25" t="n">
        <f>212167000</f>
        <v>2.12167E8</v>
      </c>
      <c r="N68" s="23"/>
      <c r="O68" s="26" t="n">
        <f>286762000</f>
        <v>2.86762E8</v>
      </c>
      <c r="P68" s="27" t="n">
        <f>3</f>
        <v>3.0</v>
      </c>
      <c r="Q68" s="28" t="n">
        <f>671</f>
        <v>671.0</v>
      </c>
      <c r="R68" s="29" t="n">
        <f>674</f>
        <v>674.0</v>
      </c>
      <c r="S68" s="24"/>
      <c r="T68" s="25" t="n">
        <f>100</f>
        <v>100.0</v>
      </c>
      <c r="U68" s="23"/>
      <c r="V68" s="25" t="n">
        <f>483</f>
        <v>483.0</v>
      </c>
      <c r="W68" s="23"/>
      <c r="X68" s="26" t="n">
        <f>583</f>
        <v>583.0</v>
      </c>
      <c r="Y68" s="24"/>
      <c r="Z68" s="25" t="n">
        <f>1138</f>
        <v>1138.0</v>
      </c>
      <c r="AA68" s="23"/>
      <c r="AB68" s="25" t="n">
        <f>3086</f>
        <v>3086.0</v>
      </c>
      <c r="AC68" s="23"/>
      <c r="AD68" s="26" t="n">
        <f>4224</f>
        <v>4224.0</v>
      </c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 t="n">
        <f>1275</f>
        <v>1275.0</v>
      </c>
      <c r="F71" s="23"/>
      <c r="G71" s="25" t="n">
        <f>1332</f>
        <v>1332.0</v>
      </c>
      <c r="H71" s="23"/>
      <c r="I71" s="26" t="n">
        <f>2607</f>
        <v>2607.0</v>
      </c>
      <c r="J71" s="24"/>
      <c r="K71" s="25" t="n">
        <f>82037000</f>
        <v>8.2037E7</v>
      </c>
      <c r="L71" s="23"/>
      <c r="M71" s="25" t="n">
        <f>89564000</f>
        <v>8.9564E7</v>
      </c>
      <c r="N71" s="23"/>
      <c r="O71" s="26" t="n">
        <f>171601000</f>
        <v>1.71601E8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94</f>
        <v>94.0</v>
      </c>
      <c r="U71" s="23"/>
      <c r="V71" s="25" t="n">
        <f>84</f>
        <v>84.0</v>
      </c>
      <c r="W71" s="23"/>
      <c r="X71" s="26" t="n">
        <f>178</f>
        <v>178.0</v>
      </c>
      <c r="Y71" s="24"/>
      <c r="Z71" s="25" t="n">
        <f>1585</f>
        <v>1585.0</v>
      </c>
      <c r="AA71" s="23"/>
      <c r="AB71" s="25" t="n">
        <f>3575</f>
        <v>3575.0</v>
      </c>
      <c r="AC71" s="23"/>
      <c r="AD71" s="26" t="n">
        <f>5160</f>
        <v>5160.0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32</v>
      </c>
      <c r="B76" s="22" t="s">
        <v>63</v>
      </c>
      <c r="C76" s="22" t="s">
        <v>64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33</v>
      </c>
      <c r="B77" s="22" t="s">
        <v>63</v>
      </c>
      <c r="C77" s="22" t="s">
        <v>64</v>
      </c>
      <c r="D77" s="24" t="s">
        <v>43</v>
      </c>
      <c r="E77" s="25" t="str">
        <f>"－"</f>
        <v>－</v>
      </c>
      <c r="F77" s="23"/>
      <c r="G77" s="25" t="n">
        <f>1587</f>
        <v>1587.0</v>
      </c>
      <c r="H77" s="23"/>
      <c r="I77" s="26" t="n">
        <f>1587</f>
        <v>1587.0</v>
      </c>
      <c r="J77" s="24" t="s">
        <v>43</v>
      </c>
      <c r="K77" s="25" t="str">
        <f>"－"</f>
        <v>－</v>
      </c>
      <c r="L77" s="23"/>
      <c r="M77" s="25" t="n">
        <f>165375000</f>
        <v>1.65375E8</v>
      </c>
      <c r="N77" s="23"/>
      <c r="O77" s="26" t="n">
        <f>165375000</f>
        <v>1.65375E8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 t="s">
        <v>43</v>
      </c>
      <c r="T77" s="25" t="str">
        <f>"－"</f>
        <v>－</v>
      </c>
      <c r="U77" s="23" t="s">
        <v>40</v>
      </c>
      <c r="V77" s="25" t="n">
        <f>1500</f>
        <v>1500.0</v>
      </c>
      <c r="W77" s="23"/>
      <c r="X77" s="26" t="n">
        <f>1500</f>
        <v>1500.0</v>
      </c>
      <c r="Y77" s="24"/>
      <c r="Z77" s="25" t="n">
        <f>79387</f>
        <v>79387.0</v>
      </c>
      <c r="AA77" s="23"/>
      <c r="AB77" s="25" t="n">
        <f>20715</f>
        <v>20715.0</v>
      </c>
      <c r="AC77" s="23"/>
      <c r="AD77" s="26" t="n">
        <f>100102</f>
        <v>100102.0</v>
      </c>
    </row>
    <row r="78">
      <c r="A78" s="30" t="s">
        <v>34</v>
      </c>
      <c r="B78" s="22" t="s">
        <v>63</v>
      </c>
      <c r="C78" s="22" t="s">
        <v>64</v>
      </c>
      <c r="D78" s="24"/>
      <c r="E78" s="25" t="n">
        <f>133</f>
        <v>133.0</v>
      </c>
      <c r="F78" s="23"/>
      <c r="G78" s="25" t="n">
        <f>200</f>
        <v>200.0</v>
      </c>
      <c r="H78" s="23"/>
      <c r="I78" s="26" t="n">
        <f>333</f>
        <v>333.0</v>
      </c>
      <c r="J78" s="24"/>
      <c r="K78" s="25" t="n">
        <f>23010730</f>
        <v>2.301073E7</v>
      </c>
      <c r="L78" s="23"/>
      <c r="M78" s="25" t="n">
        <f>3600000</f>
        <v>3600000.0</v>
      </c>
      <c r="N78" s="23"/>
      <c r="O78" s="26" t="n">
        <f>26610730</f>
        <v>2.661073E7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str">
        <f>"－"</f>
        <v>－</v>
      </c>
      <c r="U78" s="23" t="s">
        <v>43</v>
      </c>
      <c r="V78" s="25" t="str">
        <f>"－"</f>
        <v>－</v>
      </c>
      <c r="W78" s="23" t="s">
        <v>43</v>
      </c>
      <c r="X78" s="26" t="str">
        <f>"－"</f>
        <v>－</v>
      </c>
      <c r="Y78" s="24"/>
      <c r="Z78" s="25" t="n">
        <f>79420</f>
        <v>79420.0</v>
      </c>
      <c r="AA78" s="23"/>
      <c r="AB78" s="25" t="n">
        <f>20915</f>
        <v>20915.0</v>
      </c>
      <c r="AC78" s="23"/>
      <c r="AD78" s="26" t="n">
        <f>100335</f>
        <v>100335.0</v>
      </c>
    </row>
    <row r="79">
      <c r="A79" s="30" t="s">
        <v>35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36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37</v>
      </c>
      <c r="B81" s="22" t="s">
        <v>63</v>
      </c>
      <c r="C81" s="22" t="s">
        <v>64</v>
      </c>
      <c r="D81" s="24"/>
      <c r="E81" s="25" t="str">
        <f>"－"</f>
        <v>－</v>
      </c>
      <c r="F81" s="23" t="s">
        <v>43</v>
      </c>
      <c r="G81" s="25" t="str">
        <f>"－"</f>
        <v>－</v>
      </c>
      <c r="H81" s="23" t="s">
        <v>43</v>
      </c>
      <c r="I81" s="26" t="str">
        <f>"－"</f>
        <v>－</v>
      </c>
      <c r="J81" s="24"/>
      <c r="K81" s="25" t="str">
        <f>"－"</f>
        <v>－</v>
      </c>
      <c r="L81" s="23" t="s">
        <v>43</v>
      </c>
      <c r="M81" s="25" t="str">
        <f>"－"</f>
        <v>－</v>
      </c>
      <c r="N81" s="23" t="s">
        <v>43</v>
      </c>
      <c r="O81" s="26" t="str">
        <f>"－"</f>
        <v>－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str">
        <f>"－"</f>
        <v>－</v>
      </c>
      <c r="U81" s="23"/>
      <c r="V81" s="25" t="str">
        <f>"－"</f>
        <v>－</v>
      </c>
      <c r="W81" s="23"/>
      <c r="X81" s="26" t="str">
        <f>"－"</f>
        <v>－</v>
      </c>
      <c r="Y81" s="24"/>
      <c r="Z81" s="25" t="n">
        <f>79420</f>
        <v>79420.0</v>
      </c>
      <c r="AA81" s="23"/>
      <c r="AB81" s="25" t="n">
        <f>20915</f>
        <v>20915.0</v>
      </c>
      <c r="AC81" s="23"/>
      <c r="AD81" s="26" t="n">
        <f>100335</f>
        <v>100335.0</v>
      </c>
    </row>
    <row r="82">
      <c r="A82" s="30" t="s">
        <v>38</v>
      </c>
      <c r="B82" s="22" t="s">
        <v>63</v>
      </c>
      <c r="C82" s="22" t="s">
        <v>64</v>
      </c>
      <c r="D82" s="24"/>
      <c r="E82" s="25" t="n">
        <f>868</f>
        <v>868.0</v>
      </c>
      <c r="F82" s="23"/>
      <c r="G82" s="25" t="n">
        <f>568</f>
        <v>568.0</v>
      </c>
      <c r="H82" s="23"/>
      <c r="I82" s="26" t="n">
        <f>1436</f>
        <v>1436.0</v>
      </c>
      <c r="J82" s="24"/>
      <c r="K82" s="25" t="n">
        <f>204389484</f>
        <v>2.04389484E8</v>
      </c>
      <c r="L82" s="23"/>
      <c r="M82" s="25" t="n">
        <f>45440000</f>
        <v>4.544E7</v>
      </c>
      <c r="N82" s="23"/>
      <c r="O82" s="26" t="n">
        <f>249829484</f>
        <v>2.49829484E8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568</f>
        <v>568.0</v>
      </c>
      <c r="U82" s="23"/>
      <c r="V82" s="25" t="n">
        <f>568</f>
        <v>568.0</v>
      </c>
      <c r="W82" s="23"/>
      <c r="X82" s="26" t="n">
        <f>1136</f>
        <v>1136.0</v>
      </c>
      <c r="Y82" s="24"/>
      <c r="Z82" s="25" t="n">
        <f>80173</f>
        <v>80173.0</v>
      </c>
      <c r="AA82" s="23"/>
      <c r="AB82" s="25" t="n">
        <f>21483</f>
        <v>21483.0</v>
      </c>
      <c r="AC82" s="23"/>
      <c r="AD82" s="26" t="n">
        <f>101656</f>
        <v>101656.0</v>
      </c>
    </row>
    <row r="83">
      <c r="A83" s="30" t="s">
        <v>39</v>
      </c>
      <c r="B83" s="22" t="s">
        <v>63</v>
      </c>
      <c r="C83" s="22" t="s">
        <v>64</v>
      </c>
      <c r="D83" s="24"/>
      <c r="E83" s="25" t="str">
        <f>"－"</f>
        <v>－</v>
      </c>
      <c r="F83" s="23"/>
      <c r="G83" s="25" t="str">
        <f>"－"</f>
        <v>－</v>
      </c>
      <c r="H83" s="23"/>
      <c r="I83" s="26" t="str">
        <f>"－"</f>
        <v>－</v>
      </c>
      <c r="J83" s="24"/>
      <c r="K83" s="25" t="str">
        <f>"－"</f>
        <v>－</v>
      </c>
      <c r="L83" s="23"/>
      <c r="M83" s="25" t="str">
        <f>"－"</f>
        <v>－</v>
      </c>
      <c r="N83" s="23"/>
      <c r="O83" s="26" t="str">
        <f>"－"</f>
        <v>－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80173</f>
        <v>80173.0</v>
      </c>
      <c r="AA83" s="23"/>
      <c r="AB83" s="25" t="n">
        <f>21483</f>
        <v>21483.0</v>
      </c>
      <c r="AC83" s="23"/>
      <c r="AD83" s="26" t="n">
        <f>101656</f>
        <v>101656.0</v>
      </c>
    </row>
    <row r="84">
      <c r="A84" s="30" t="s">
        <v>41</v>
      </c>
      <c r="B84" s="22" t="s">
        <v>63</v>
      </c>
      <c r="C84" s="22" t="s">
        <v>64</v>
      </c>
      <c r="D84" s="24"/>
      <c r="E84" s="25" t="n">
        <f>804</f>
        <v>804.0</v>
      </c>
      <c r="F84" s="23"/>
      <c r="G84" s="25" t="n">
        <f>236</f>
        <v>236.0</v>
      </c>
      <c r="H84" s="23"/>
      <c r="I84" s="26" t="n">
        <f>1040</f>
        <v>1040.0</v>
      </c>
      <c r="J84" s="24"/>
      <c r="K84" s="25" t="n">
        <f>234000056</f>
        <v>2.34000056E8</v>
      </c>
      <c r="L84" s="23"/>
      <c r="M84" s="25" t="n">
        <f>2360000</f>
        <v>2360000.0</v>
      </c>
      <c r="N84" s="23"/>
      <c r="O84" s="26" t="n">
        <f>236360056</f>
        <v>2.36360056E8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568</f>
        <v>568.0</v>
      </c>
      <c r="U84" s="23"/>
      <c r="V84" s="25" t="str">
        <f>"－"</f>
        <v>－</v>
      </c>
      <c r="W84" s="23"/>
      <c r="X84" s="26" t="n">
        <f>568</f>
        <v>568.0</v>
      </c>
      <c r="Y84" s="24"/>
      <c r="Z84" s="25" t="n">
        <f>79605</f>
        <v>79605.0</v>
      </c>
      <c r="AA84" s="23"/>
      <c r="AB84" s="25" t="n">
        <f>21719</f>
        <v>21719.0</v>
      </c>
      <c r="AC84" s="23"/>
      <c r="AD84" s="26" t="n">
        <f>101324</f>
        <v>101324.0</v>
      </c>
    </row>
    <row r="85">
      <c r="A85" s="30" t="s">
        <v>42</v>
      </c>
      <c r="B85" s="22" t="s">
        <v>63</v>
      </c>
      <c r="C85" s="22" t="s">
        <v>64</v>
      </c>
      <c r="D85" s="24"/>
      <c r="E85" s="25" t="n">
        <f>150</f>
        <v>150.0</v>
      </c>
      <c r="F85" s="23"/>
      <c r="G85" s="25" t="n">
        <f>150</f>
        <v>150.0</v>
      </c>
      <c r="H85" s="23"/>
      <c r="I85" s="26" t="n">
        <f>300</f>
        <v>300.0</v>
      </c>
      <c r="J85" s="24"/>
      <c r="K85" s="25" t="n">
        <f>105000000</f>
        <v>1.05E8</v>
      </c>
      <c r="L85" s="23"/>
      <c r="M85" s="25" t="n">
        <f>139050000</f>
        <v>1.3905E8</v>
      </c>
      <c r="N85" s="23"/>
      <c r="O85" s="26" t="n">
        <f>244050000</f>
        <v>2.4405E8</v>
      </c>
      <c r="P85" s="27" t="n">
        <f>152</f>
        <v>152.0</v>
      </c>
      <c r="Q85" s="28" t="n">
        <f>236</f>
        <v>236.0</v>
      </c>
      <c r="R85" s="29" t="n">
        <f>388</f>
        <v>388.0</v>
      </c>
      <c r="S85" s="24"/>
      <c r="T85" s="25" t="n">
        <f>150</f>
        <v>150.0</v>
      </c>
      <c r="U85" s="23"/>
      <c r="V85" s="25" t="n">
        <f>150</f>
        <v>150.0</v>
      </c>
      <c r="W85" s="23"/>
      <c r="X85" s="26" t="n">
        <f>300</f>
        <v>300.0</v>
      </c>
      <c r="Y85" s="24" t="s">
        <v>43</v>
      </c>
      <c r="Z85" s="25" t="n">
        <f>77002</f>
        <v>77002.0</v>
      </c>
      <c r="AA85" s="23" t="s">
        <v>43</v>
      </c>
      <c r="AB85" s="25" t="n">
        <f>20383</f>
        <v>20383.0</v>
      </c>
      <c r="AC85" s="23" t="s">
        <v>43</v>
      </c>
      <c r="AD85" s="26" t="n">
        <f>97385</f>
        <v>97385.0</v>
      </c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 t="n">
        <f>728</f>
        <v>728.0</v>
      </c>
      <c r="F88" s="23"/>
      <c r="G88" s="25" t="n">
        <f>1003</f>
        <v>1003.0</v>
      </c>
      <c r="H88" s="23"/>
      <c r="I88" s="26" t="n">
        <f>1731</f>
        <v>1731.0</v>
      </c>
      <c r="J88" s="24"/>
      <c r="K88" s="25" t="n">
        <f>258848290</f>
        <v>2.5884829E8</v>
      </c>
      <c r="L88" s="23"/>
      <c r="M88" s="25" t="n">
        <f>46943500</f>
        <v>4.69435E7</v>
      </c>
      <c r="N88" s="23"/>
      <c r="O88" s="26" t="n">
        <f>305791790</f>
        <v>3.0579179E8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 t="s">
        <v>40</v>
      </c>
      <c r="T88" s="25" t="n">
        <f>728</f>
        <v>728.0</v>
      </c>
      <c r="U88" s="23"/>
      <c r="V88" s="25" t="n">
        <f>1003</f>
        <v>1003.0</v>
      </c>
      <c r="W88" s="23" t="s">
        <v>40</v>
      </c>
      <c r="X88" s="26" t="n">
        <f>1731</f>
        <v>1731.0</v>
      </c>
      <c r="Y88" s="24"/>
      <c r="Z88" s="25" t="n">
        <f>77730</f>
        <v>77730.0</v>
      </c>
      <c r="AA88" s="23"/>
      <c r="AB88" s="25" t="n">
        <f>20820</f>
        <v>20820.0</v>
      </c>
      <c r="AC88" s="23"/>
      <c r="AD88" s="26" t="n">
        <f>98550</f>
        <v>98550.0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460</f>
        <v>460.0</v>
      </c>
      <c r="F89" s="23"/>
      <c r="G89" s="25" t="str">
        <f>"－"</f>
        <v>－</v>
      </c>
      <c r="H89" s="23"/>
      <c r="I89" s="26" t="n">
        <f>460</f>
        <v>460.0</v>
      </c>
      <c r="J89" s="24"/>
      <c r="K89" s="25" t="n">
        <f>145595980</f>
        <v>1.4559598E8</v>
      </c>
      <c r="L89" s="23"/>
      <c r="M89" s="25" t="str">
        <f>"－"</f>
        <v>－</v>
      </c>
      <c r="N89" s="23"/>
      <c r="O89" s="26" t="n">
        <f>145595980</f>
        <v>1.4559598E8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460</f>
        <v>460.0</v>
      </c>
      <c r="U89" s="23"/>
      <c r="V89" s="25" t="str">
        <f>"－"</f>
        <v>－</v>
      </c>
      <c r="W89" s="23"/>
      <c r="X89" s="26" t="n">
        <f>460</f>
        <v>460.0</v>
      </c>
      <c r="Y89" s="24"/>
      <c r="Z89" s="25" t="n">
        <f>77730</f>
        <v>77730.0</v>
      </c>
      <c r="AA89" s="23"/>
      <c r="AB89" s="25" t="n">
        <f>20820</f>
        <v>20820.0</v>
      </c>
      <c r="AC89" s="23"/>
      <c r="AD89" s="26" t="n">
        <f>98550</f>
        <v>98550.0</v>
      </c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str">
        <f>"－"</f>
        <v>－</v>
      </c>
      <c r="H90" s="23"/>
      <c r="I90" s="26" t="str">
        <f>"－"</f>
        <v>－</v>
      </c>
      <c r="J90" s="24"/>
      <c r="K90" s="25" t="str">
        <f>"－"</f>
        <v>－</v>
      </c>
      <c r="L90" s="23"/>
      <c r="M90" s="25" t="str">
        <f>"－"</f>
        <v>－</v>
      </c>
      <c r="N90" s="23"/>
      <c r="O90" s="26" t="str">
        <f>"－"</f>
        <v>－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77730</f>
        <v>77730.0</v>
      </c>
      <c r="AA90" s="23"/>
      <c r="AB90" s="25" t="n">
        <f>20820</f>
        <v>20820.0</v>
      </c>
      <c r="AC90" s="23"/>
      <c r="AD90" s="26" t="n">
        <f>98550</f>
        <v>98550.0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484</f>
        <v>484.0</v>
      </c>
      <c r="F91" s="23"/>
      <c r="G91" s="25" t="n">
        <f>75</f>
        <v>75.0</v>
      </c>
      <c r="H91" s="23"/>
      <c r="I91" s="26" t="n">
        <f>559</f>
        <v>559.0</v>
      </c>
      <c r="J91" s="24"/>
      <c r="K91" s="25" t="n">
        <f>329697300</f>
        <v>3.296973E8</v>
      </c>
      <c r="L91" s="23"/>
      <c r="M91" s="25" t="n">
        <f>69750000</f>
        <v>6.975E7</v>
      </c>
      <c r="N91" s="23"/>
      <c r="O91" s="26" t="n">
        <f>399447300</f>
        <v>3.994473E8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75</f>
        <v>75.0</v>
      </c>
      <c r="U91" s="23"/>
      <c r="V91" s="25" t="n">
        <f>75</f>
        <v>75.0</v>
      </c>
      <c r="W91" s="23"/>
      <c r="X91" s="26" t="n">
        <f>150</f>
        <v>150.0</v>
      </c>
      <c r="Y91" s="24"/>
      <c r="Z91" s="25" t="n">
        <f>78114</f>
        <v>78114.0</v>
      </c>
      <c r="AA91" s="23"/>
      <c r="AB91" s="25" t="n">
        <f>20895</f>
        <v>20895.0</v>
      </c>
      <c r="AC91" s="23"/>
      <c r="AD91" s="26" t="n">
        <f>99009</f>
        <v>99009.0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170</f>
        <v>170.0</v>
      </c>
      <c r="F92" s="23"/>
      <c r="G92" s="25" t="n">
        <f>87</f>
        <v>87.0</v>
      </c>
      <c r="H92" s="23"/>
      <c r="I92" s="26" t="n">
        <f>257</f>
        <v>257.0</v>
      </c>
      <c r="J92" s="24"/>
      <c r="K92" s="25" t="n">
        <f>80750000</f>
        <v>8.075E7</v>
      </c>
      <c r="L92" s="23"/>
      <c r="M92" s="25" t="n">
        <f>3262500</f>
        <v>3262500.0</v>
      </c>
      <c r="N92" s="23"/>
      <c r="O92" s="26" t="n">
        <f>84012500</f>
        <v>8.40125E7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n">
        <f>87</f>
        <v>87.0</v>
      </c>
      <c r="W92" s="23"/>
      <c r="X92" s="26" t="n">
        <f>87</f>
        <v>87.0</v>
      </c>
      <c r="Y92" s="24"/>
      <c r="Z92" s="25" t="n">
        <f>78114</f>
        <v>78114.0</v>
      </c>
      <c r="AA92" s="23"/>
      <c r="AB92" s="25" t="n">
        <f>20895</f>
        <v>20895.0</v>
      </c>
      <c r="AC92" s="23"/>
      <c r="AD92" s="26" t="n">
        <f>99009</f>
        <v>99009.0</v>
      </c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 t="s">
        <v>40</v>
      </c>
      <c r="E95" s="25" t="n">
        <f>3260</f>
        <v>3260.0</v>
      </c>
      <c r="F95" s="23" t="s">
        <v>40</v>
      </c>
      <c r="G95" s="25" t="n">
        <f>2816</f>
        <v>2816.0</v>
      </c>
      <c r="H95" s="23" t="s">
        <v>40</v>
      </c>
      <c r="I95" s="26" t="n">
        <f>6076</f>
        <v>6076.0</v>
      </c>
      <c r="J95" s="24" t="s">
        <v>40</v>
      </c>
      <c r="K95" s="25" t="n">
        <f>2405392000</f>
        <v>2.405392E9</v>
      </c>
      <c r="L95" s="23" t="s">
        <v>40</v>
      </c>
      <c r="M95" s="25" t="n">
        <f>1815996184</f>
        <v>1.815996184E9</v>
      </c>
      <c r="N95" s="23" t="s">
        <v>40</v>
      </c>
      <c r="O95" s="26" t="n">
        <f>4221388184</f>
        <v>4.221388184E9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415</f>
        <v>415.0</v>
      </c>
      <c r="U95" s="23"/>
      <c r="V95" s="25" t="n">
        <f>1058</f>
        <v>1058.0</v>
      </c>
      <c r="W95" s="23"/>
      <c r="X95" s="26" t="n">
        <f>1473</f>
        <v>1473.0</v>
      </c>
      <c r="Y95" s="24"/>
      <c r="Z95" s="25" t="n">
        <f>80844</f>
        <v>80844.0</v>
      </c>
      <c r="AA95" s="23"/>
      <c r="AB95" s="25" t="n">
        <f>23386</f>
        <v>23386.0</v>
      </c>
      <c r="AC95" s="23"/>
      <c r="AD95" s="26" t="n">
        <f>104230</f>
        <v>104230.0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300</f>
        <v>300.0</v>
      </c>
      <c r="F96" s="23"/>
      <c r="G96" s="25" t="str">
        <f>"－"</f>
        <v>－</v>
      </c>
      <c r="H96" s="23"/>
      <c r="I96" s="26" t="n">
        <f>300</f>
        <v>300.0</v>
      </c>
      <c r="J96" s="24"/>
      <c r="K96" s="25" t="n">
        <f>132861000</f>
        <v>1.32861E8</v>
      </c>
      <c r="L96" s="23"/>
      <c r="M96" s="25" t="str">
        <f>"－"</f>
        <v>－</v>
      </c>
      <c r="N96" s="23"/>
      <c r="O96" s="26" t="n">
        <f>132861000</f>
        <v>1.32861E8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300</f>
        <v>300.0</v>
      </c>
      <c r="U96" s="23"/>
      <c r="V96" s="25" t="str">
        <f>"－"</f>
        <v>－</v>
      </c>
      <c r="W96" s="23"/>
      <c r="X96" s="26" t="n">
        <f>300</f>
        <v>300.0</v>
      </c>
      <c r="Y96" s="24"/>
      <c r="Z96" s="25" t="n">
        <f>81144</f>
        <v>81144.0</v>
      </c>
      <c r="AA96" s="23"/>
      <c r="AB96" s="25" t="n">
        <f>23386</f>
        <v>23386.0</v>
      </c>
      <c r="AC96" s="23"/>
      <c r="AD96" s="26" t="n">
        <f>104530</f>
        <v>104530.0</v>
      </c>
    </row>
    <row r="97">
      <c r="A97" s="30" t="s">
        <v>55</v>
      </c>
      <c r="B97" s="22" t="s">
        <v>63</v>
      </c>
      <c r="C97" s="22" t="s">
        <v>64</v>
      </c>
      <c r="D97" s="24"/>
      <c r="E97" s="25" t="str">
        <f>"－"</f>
        <v>－</v>
      </c>
      <c r="F97" s="23"/>
      <c r="G97" s="25" t="str">
        <f>"－"</f>
        <v>－</v>
      </c>
      <c r="H97" s="23"/>
      <c r="I97" s="26" t="str">
        <f>"－"</f>
        <v>－</v>
      </c>
      <c r="J97" s="24"/>
      <c r="K97" s="25" t="str">
        <f>"－"</f>
        <v>－</v>
      </c>
      <c r="L97" s="23"/>
      <c r="M97" s="25" t="str">
        <f>"－"</f>
        <v>－</v>
      </c>
      <c r="N97" s="23"/>
      <c r="O97" s="26" t="str">
        <f>"－"</f>
        <v>－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81144</f>
        <v>81144.0</v>
      </c>
      <c r="AA97" s="23"/>
      <c r="AB97" s="25" t="n">
        <f>23386</f>
        <v>23386.0</v>
      </c>
      <c r="AC97" s="23"/>
      <c r="AD97" s="26" t="n">
        <f>104530</f>
        <v>104530.0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418</f>
        <v>418.0</v>
      </c>
      <c r="F98" s="23"/>
      <c r="G98" s="25" t="n">
        <f>318</f>
        <v>318.0</v>
      </c>
      <c r="H98" s="23"/>
      <c r="I98" s="26" t="n">
        <f>736</f>
        <v>736.0</v>
      </c>
      <c r="J98" s="24"/>
      <c r="K98" s="25" t="n">
        <f>354825000</f>
        <v>3.54825E8</v>
      </c>
      <c r="L98" s="23"/>
      <c r="M98" s="25" t="n">
        <f>258285000</f>
        <v>2.58285E8</v>
      </c>
      <c r="N98" s="23"/>
      <c r="O98" s="26" t="n">
        <f>613110000</f>
        <v>6.1311E8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81212</f>
        <v>81212.0</v>
      </c>
      <c r="AA98" s="23"/>
      <c r="AB98" s="25" t="n">
        <f>23704</f>
        <v>23704.0</v>
      </c>
      <c r="AC98" s="23"/>
      <c r="AD98" s="26" t="n">
        <f>104916</f>
        <v>104916.0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693</f>
        <v>693.0</v>
      </c>
      <c r="F99" s="23"/>
      <c r="G99" s="25" t="n">
        <f>450</f>
        <v>450.0</v>
      </c>
      <c r="H99" s="23"/>
      <c r="I99" s="26" t="n">
        <f>1143</f>
        <v>1143.0</v>
      </c>
      <c r="J99" s="24"/>
      <c r="K99" s="25" t="n">
        <f>925994790</f>
        <v>9.2599479E8</v>
      </c>
      <c r="L99" s="23"/>
      <c r="M99" s="25" t="n">
        <f>607500000</f>
        <v>6.075E8</v>
      </c>
      <c r="N99" s="23"/>
      <c r="O99" s="26" t="n">
        <f>1533494790</f>
        <v>1.53349479E9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243</f>
        <v>243.0</v>
      </c>
      <c r="U99" s="23"/>
      <c r="V99" s="25" t="str">
        <f>"－"</f>
        <v>－</v>
      </c>
      <c r="W99" s="23"/>
      <c r="X99" s="26" t="n">
        <f>243</f>
        <v>243.0</v>
      </c>
      <c r="Y99" s="24"/>
      <c r="Z99" s="25" t="n">
        <f>81905</f>
        <v>81905.0</v>
      </c>
      <c r="AA99" s="23"/>
      <c r="AB99" s="25" t="n">
        <f>24154</f>
        <v>24154.0</v>
      </c>
      <c r="AC99" s="23"/>
      <c r="AD99" s="26" t="n">
        <f>106059</f>
        <v>106059.0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75</f>
        <v>75.0</v>
      </c>
      <c r="F102" s="23"/>
      <c r="G102" s="25" t="n">
        <f>75</f>
        <v>75.0</v>
      </c>
      <c r="H102" s="23"/>
      <c r="I102" s="26" t="n">
        <f>150</f>
        <v>150.0</v>
      </c>
      <c r="J102" s="24"/>
      <c r="K102" s="25" t="n">
        <f>65317500</f>
        <v>6.53175E7</v>
      </c>
      <c r="L102" s="23"/>
      <c r="M102" s="25" t="n">
        <f>77182500</f>
        <v>7.71825E7</v>
      </c>
      <c r="N102" s="23"/>
      <c r="O102" s="26" t="n">
        <f>142500000</f>
        <v>1.425E8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 t="s">
        <v>40</v>
      </c>
      <c r="Z102" s="25" t="n">
        <f>81980</f>
        <v>81980.0</v>
      </c>
      <c r="AA102" s="23" t="s">
        <v>40</v>
      </c>
      <c r="AB102" s="25" t="n">
        <f>24229</f>
        <v>24229.0</v>
      </c>
      <c r="AC102" s="23" t="s">
        <v>40</v>
      </c>
      <c r="AD102" s="26" t="n">
        <f>106209</f>
        <v>106209.0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32</v>
      </c>
      <c r="B107" s="22" t="s">
        <v>65</v>
      </c>
      <c r="C107" s="22" t="s">
        <v>66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33</v>
      </c>
      <c r="B108" s="22" t="s">
        <v>65</v>
      </c>
      <c r="C108" s="22" t="s">
        <v>66</v>
      </c>
      <c r="D108" s="24" t="s">
        <v>67</v>
      </c>
      <c r="E108" s="25" t="str">
        <f>"－"</f>
        <v>－</v>
      </c>
      <c r="F108" s="23" t="s">
        <v>67</v>
      </c>
      <c r="G108" s="25" t="str">
        <f>"－"</f>
        <v>－</v>
      </c>
      <c r="H108" s="23" t="s">
        <v>67</v>
      </c>
      <c r="I108" s="26" t="str">
        <f>"－"</f>
        <v>－</v>
      </c>
      <c r="J108" s="24" t="s">
        <v>67</v>
      </c>
      <c r="K108" s="25" t="str">
        <f>"－"</f>
        <v>－</v>
      </c>
      <c r="L108" s="23" t="s">
        <v>67</v>
      </c>
      <c r="M108" s="25" t="str">
        <f>"－"</f>
        <v>－</v>
      </c>
      <c r="N108" s="23" t="s">
        <v>67</v>
      </c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 t="s">
        <v>67</v>
      </c>
      <c r="T108" s="25" t="str">
        <f>"－"</f>
        <v>－</v>
      </c>
      <c r="U108" s="23" t="s">
        <v>67</v>
      </c>
      <c r="V108" s="25" t="str">
        <f>"－"</f>
        <v>－</v>
      </c>
      <c r="W108" s="23" t="s">
        <v>67</v>
      </c>
      <c r="X108" s="26" t="str">
        <f>"－"</f>
        <v>－</v>
      </c>
      <c r="Y108" s="24" t="s">
        <v>67</v>
      </c>
      <c r="Z108" s="25" t="str">
        <f>"－"</f>
        <v>－</v>
      </c>
      <c r="AA108" s="23" t="s">
        <v>67</v>
      </c>
      <c r="AB108" s="25" t="str">
        <f>"－"</f>
        <v>－</v>
      </c>
      <c r="AC108" s="23" t="s">
        <v>67</v>
      </c>
      <c r="AD108" s="26" t="str">
        <f>"－"</f>
        <v>－</v>
      </c>
    </row>
    <row r="109">
      <c r="A109" s="30" t="s">
        <v>34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35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36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37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38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39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41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42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