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<sst xmlns="http://schemas.openxmlformats.org/spreadsheetml/2006/main" count="170" uniqueCount="60">
  <si>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</si>
  <si>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</si>
  <si>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</si>
  <si>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</si>
  <si>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</si>
  <si>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</si>
  <si>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</si>
  <si>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</si>
  <si>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</si>
  <si>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</si>
  <si>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</si>
  <si>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</si>
  <si>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</si>
  <si>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</si>
  <si>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</si>
  <si>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</si>
  <si>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</si>
  <si>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</si>
  <si>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</si>
  <si>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</si>
  <si>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</si>
  <si>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</si>
  <si>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</si>
  <si>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</si>
  <si>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</si>
  <si>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</si>
  <si>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6.1</t>
  </si>
  <si>
    <t>長期国債先物オプション</t>
  </si>
  <si>
    <t>Options on 10-year JGB Futures</t>
  </si>
  <si>
    <t>●</t>
  </si>
  <si>
    <t>2</t>
  </si>
  <si>
    <t>3</t>
  </si>
  <si>
    <t>◎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</si>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</sst>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333</f>
        <v>333.0</v>
      </c>
      <c r="F10" s="24"/>
      <c r="G10" s="26" t="n">
        <f>400</f>
        <v>400.0</v>
      </c>
      <c r="H10" s="25"/>
      <c r="I10" s="26" t="n">
        <f>733</f>
        <v>733.0</v>
      </c>
      <c r="J10" s="23"/>
      <c r="K10" s="26" t="n">
        <f>20100000</f>
        <v>2.01E7</v>
      </c>
      <c r="L10" s="24"/>
      <c r="M10" s="26" t="n">
        <f>22460000</f>
        <v>2.246E7</v>
      </c>
      <c r="N10" s="25"/>
      <c r="O10" s="26" t="n">
        <f>42560000</f>
        <v>4.256E7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17</f>
        <v>17.0</v>
      </c>
      <c r="U10" s="24" t="s">
        <v>29</v>
      </c>
      <c r="V10" s="26" t="str">
        <f>"－"</f>
        <v>－</v>
      </c>
      <c r="W10" s="25"/>
      <c r="X10" s="26" t="n">
        <f>17</f>
        <v>17.0</v>
      </c>
      <c r="Y10" s="23"/>
      <c r="Z10" s="26" t="n">
        <f>665</f>
        <v>665.0</v>
      </c>
      <c r="AA10" s="24"/>
      <c r="AB10" s="26" t="n">
        <f>628</f>
        <v>628.0</v>
      </c>
      <c r="AC10" s="25"/>
      <c r="AD10" s="26" t="n">
        <f>1293</f>
        <v>1293.0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140</f>
        <v>140.0</v>
      </c>
      <c r="F11" s="24"/>
      <c r="G11" s="26" t="n">
        <f>217</f>
        <v>217.0</v>
      </c>
      <c r="H11" s="25"/>
      <c r="I11" s="26" t="n">
        <f>357</f>
        <v>357.0</v>
      </c>
      <c r="J11" s="23"/>
      <c r="K11" s="26" t="n">
        <f>9470000</f>
        <v>9470000.0</v>
      </c>
      <c r="L11" s="24"/>
      <c r="M11" s="26" t="n">
        <f>13520000</f>
        <v>1.352E7</v>
      </c>
      <c r="N11" s="25"/>
      <c r="O11" s="26" t="n">
        <f>22990000</f>
        <v>2.299E7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34</f>
        <v>34.0</v>
      </c>
      <c r="U11" s="24"/>
      <c r="V11" s="26" t="str">
        <f>"－"</f>
        <v>－</v>
      </c>
      <c r="W11" s="25"/>
      <c r="X11" s="26" t="n">
        <f>34</f>
        <v>34.0</v>
      </c>
      <c r="Y11" s="23"/>
      <c r="Z11" s="26" t="n">
        <f>741</f>
        <v>741.0</v>
      </c>
      <c r="AA11" s="24"/>
      <c r="AB11" s="26" t="n">
        <f>755</f>
        <v>755.0</v>
      </c>
      <c r="AC11" s="25"/>
      <c r="AD11" s="26" t="n">
        <f>1496</f>
        <v>1496.0</v>
      </c>
    </row>
    <row r="12">
      <c r="A12" s="21" t="s">
        <v>31</v>
      </c>
      <c r="B12" s="22" t="s">
        <v>27</v>
      </c>
      <c r="C12" s="22" t="s">
        <v>28</v>
      </c>
      <c r="D12" s="23"/>
      <c r="E12" s="26" t="n">
        <f>437</f>
        <v>437.0</v>
      </c>
      <c r="F12" s="24"/>
      <c r="G12" s="26" t="n">
        <f>251</f>
        <v>251.0</v>
      </c>
      <c r="H12" s="25"/>
      <c r="I12" s="26" t="n">
        <f>688</f>
        <v>688.0</v>
      </c>
      <c r="J12" s="23"/>
      <c r="K12" s="26" t="n">
        <f>27145000</f>
        <v>2.7145E7</v>
      </c>
      <c r="L12" s="24"/>
      <c r="M12" s="26" t="n">
        <f>17960000</f>
        <v>1.796E7</v>
      </c>
      <c r="N12" s="25"/>
      <c r="O12" s="26" t="n">
        <f>45105000</f>
        <v>4.5105E7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n">
        <f>150</f>
        <v>150.0</v>
      </c>
      <c r="U12" s="24" t="s">
        <v>32</v>
      </c>
      <c r="V12" s="26" t="n">
        <f>110</f>
        <v>110.0</v>
      </c>
      <c r="W12" s="25" t="s">
        <v>32</v>
      </c>
      <c r="X12" s="26" t="n">
        <f>260</f>
        <v>260.0</v>
      </c>
      <c r="Y12" s="23"/>
      <c r="Z12" s="26" t="n">
        <f>765</f>
        <v>765.0</v>
      </c>
      <c r="AA12" s="24"/>
      <c r="AB12" s="26" t="n">
        <f>890</f>
        <v>890.0</v>
      </c>
      <c r="AC12" s="25"/>
      <c r="AD12" s="26" t="n">
        <f>1655</f>
        <v>1655.0</v>
      </c>
    </row>
    <row r="13">
      <c r="A13" s="21" t="s">
        <v>33</v>
      </c>
      <c r="B13" s="22" t="s">
        <v>27</v>
      </c>
      <c r="C13" s="22" t="s">
        <v>28</v>
      </c>
      <c r="D13" s="23"/>
      <c r="E13" s="26" t="n">
        <f>198</f>
        <v>198.0</v>
      </c>
      <c r="F13" s="24"/>
      <c r="G13" s="26" t="n">
        <f>140</f>
        <v>140.0</v>
      </c>
      <c r="H13" s="25"/>
      <c r="I13" s="26" t="n">
        <f>338</f>
        <v>338.0</v>
      </c>
      <c r="J13" s="23"/>
      <c r="K13" s="26" t="n">
        <f>14580000</f>
        <v>1.458E7</v>
      </c>
      <c r="L13" s="24"/>
      <c r="M13" s="26" t="n">
        <f>7400000</f>
        <v>7400000.0</v>
      </c>
      <c r="N13" s="25"/>
      <c r="O13" s="26" t="n">
        <f>21980000</f>
        <v>2.198E7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 t="s">
        <v>29</v>
      </c>
      <c r="T13" s="26" t="str">
        <f>"－"</f>
        <v>－</v>
      </c>
      <c r="U13" s="24"/>
      <c r="V13" s="26" t="str">
        <f>"－"</f>
        <v>－</v>
      </c>
      <c r="W13" s="25" t="s">
        <v>29</v>
      </c>
      <c r="X13" s="26" t="str">
        <f>"－"</f>
        <v>－</v>
      </c>
      <c r="Y13" s="23"/>
      <c r="Z13" s="26" t="n">
        <f>929</f>
        <v>929.0</v>
      </c>
      <c r="AA13" s="24"/>
      <c r="AB13" s="26" t="n">
        <f>966</f>
        <v>966.0</v>
      </c>
      <c r="AC13" s="25"/>
      <c r="AD13" s="26" t="n">
        <f>1895</f>
        <v>1895.0</v>
      </c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36</v>
      </c>
      <c r="B16" s="22" t="s">
        <v>27</v>
      </c>
      <c r="C16" s="22" t="s">
        <v>28</v>
      </c>
      <c r="D16" s="23"/>
      <c r="E16" s="26" t="n">
        <f>140</f>
        <v>140.0</v>
      </c>
      <c r="F16" s="24"/>
      <c r="G16" s="26" t="n">
        <f>674</f>
        <v>674.0</v>
      </c>
      <c r="H16" s="25"/>
      <c r="I16" s="26" t="n">
        <f>814</f>
        <v>814.0</v>
      </c>
      <c r="J16" s="23"/>
      <c r="K16" s="26" t="n">
        <f>10725000</f>
        <v>1.0725E7</v>
      </c>
      <c r="L16" s="24"/>
      <c r="M16" s="26" t="n">
        <f>49390000</f>
        <v>4.939E7</v>
      </c>
      <c r="N16" s="25"/>
      <c r="O16" s="26" t="n">
        <f>60115000</f>
        <v>6.0115E7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200</f>
        <v>200.0</v>
      </c>
      <c r="U16" s="24"/>
      <c r="V16" s="26" t="str">
        <f>"－"</f>
        <v>－</v>
      </c>
      <c r="W16" s="25"/>
      <c r="X16" s="26" t="n">
        <f>200</f>
        <v>200.0</v>
      </c>
      <c r="Y16" s="23"/>
      <c r="Z16" s="26" t="n">
        <f>1010</f>
        <v>1010.0</v>
      </c>
      <c r="AA16" s="24"/>
      <c r="AB16" s="26" t="n">
        <f>1492</f>
        <v>1492.0</v>
      </c>
      <c r="AC16" s="25"/>
      <c r="AD16" s="26" t="n">
        <f>2502</f>
        <v>2502.0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248</f>
        <v>248.0</v>
      </c>
      <c r="F17" s="24"/>
      <c r="G17" s="26" t="n">
        <f>374</f>
        <v>374.0</v>
      </c>
      <c r="H17" s="25"/>
      <c r="I17" s="26" t="n">
        <f>622</f>
        <v>622.0</v>
      </c>
      <c r="J17" s="23"/>
      <c r="K17" s="26" t="n">
        <f>10050000</f>
        <v>1.005E7</v>
      </c>
      <c r="L17" s="24"/>
      <c r="M17" s="26" t="n">
        <f>35690000</f>
        <v>3.569E7</v>
      </c>
      <c r="N17" s="25"/>
      <c r="O17" s="26" t="n">
        <f>45740000</f>
        <v>4.574E7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 t="s">
        <v>32</v>
      </c>
      <c r="T17" s="26" t="n">
        <f>216</f>
        <v>216.0</v>
      </c>
      <c r="U17" s="24"/>
      <c r="V17" s="26" t="str">
        <f>"－"</f>
        <v>－</v>
      </c>
      <c r="W17" s="25"/>
      <c r="X17" s="26" t="n">
        <f>216</f>
        <v>216.0</v>
      </c>
      <c r="Y17" s="23"/>
      <c r="Z17" s="26" t="n">
        <f>1210</f>
        <v>1210.0</v>
      </c>
      <c r="AA17" s="24"/>
      <c r="AB17" s="26" t="n">
        <f>1798</f>
        <v>1798.0</v>
      </c>
      <c r="AC17" s="25"/>
      <c r="AD17" s="26" t="n">
        <f>3008</f>
        <v>3008.0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130</f>
        <v>130.0</v>
      </c>
      <c r="F18" s="24"/>
      <c r="G18" s="26" t="n">
        <f>368</f>
        <v>368.0</v>
      </c>
      <c r="H18" s="25"/>
      <c r="I18" s="26" t="n">
        <f>498</f>
        <v>498.0</v>
      </c>
      <c r="J18" s="23"/>
      <c r="K18" s="26" t="n">
        <f>12840000</f>
        <v>1.284E7</v>
      </c>
      <c r="L18" s="24"/>
      <c r="M18" s="26" t="n">
        <f>47320000</f>
        <v>4.732E7</v>
      </c>
      <c r="N18" s="25"/>
      <c r="O18" s="26" t="n">
        <f>60160000</f>
        <v>6.016E7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n">
        <f>20</f>
        <v>20.0</v>
      </c>
      <c r="W18" s="25"/>
      <c r="X18" s="26" t="n">
        <f>20</f>
        <v>20.0</v>
      </c>
      <c r="Y18" s="23"/>
      <c r="Z18" s="26" t="n">
        <f>1324</f>
        <v>1324.0</v>
      </c>
      <c r="AA18" s="24"/>
      <c r="AB18" s="26" t="n">
        <f>1834</f>
        <v>1834.0</v>
      </c>
      <c r="AC18" s="25"/>
      <c r="AD18" s="26" t="n">
        <f>3158</f>
        <v>3158.0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912</f>
        <v>912.0</v>
      </c>
      <c r="F19" s="24" t="s">
        <v>32</v>
      </c>
      <c r="G19" s="26" t="n">
        <f>1219</f>
        <v>1219.0</v>
      </c>
      <c r="H19" s="25"/>
      <c r="I19" s="26" t="n">
        <f>2131</f>
        <v>2131.0</v>
      </c>
      <c r="J19" s="23"/>
      <c r="K19" s="26" t="n">
        <f>56830000</f>
        <v>5.683E7</v>
      </c>
      <c r="L19" s="24"/>
      <c r="M19" s="26" t="n">
        <f>101580000</f>
        <v>1.0158E8</v>
      </c>
      <c r="N19" s="25"/>
      <c r="O19" s="26" t="n">
        <f>158410000</f>
        <v>1.5841E8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9</f>
        <v>9.0</v>
      </c>
      <c r="U19" s="24"/>
      <c r="V19" s="26" t="str">
        <f>"－"</f>
        <v>－</v>
      </c>
      <c r="W19" s="25"/>
      <c r="X19" s="26" t="n">
        <f>9</f>
        <v>9.0</v>
      </c>
      <c r="Y19" s="23"/>
      <c r="Z19" s="26" t="n">
        <f>1869</f>
        <v>1869.0</v>
      </c>
      <c r="AA19" s="24"/>
      <c r="AB19" s="26" t="n">
        <f>2382</f>
        <v>2382.0</v>
      </c>
      <c r="AC19" s="25"/>
      <c r="AD19" s="26" t="n">
        <f>4251</f>
        <v>4251.0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966</f>
        <v>966.0</v>
      </c>
      <c r="F20" s="24"/>
      <c r="G20" s="26" t="n">
        <f>1215</f>
        <v>1215.0</v>
      </c>
      <c r="H20" s="25"/>
      <c r="I20" s="26" t="n">
        <f>2181</f>
        <v>2181.0</v>
      </c>
      <c r="J20" s="23"/>
      <c r="K20" s="26" t="n">
        <f>43540000</f>
        <v>4.354E7</v>
      </c>
      <c r="L20" s="24" t="s">
        <v>32</v>
      </c>
      <c r="M20" s="26" t="n">
        <f>236550000</f>
        <v>2.3655E8</v>
      </c>
      <c r="N20" s="25" t="s">
        <v>32</v>
      </c>
      <c r="O20" s="26" t="n">
        <f>280090000</f>
        <v>2.8009E8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40</f>
        <v>40.0</v>
      </c>
      <c r="U20" s="24"/>
      <c r="V20" s="26" t="n">
        <f>8</f>
        <v>8.0</v>
      </c>
      <c r="W20" s="25"/>
      <c r="X20" s="26" t="n">
        <f>48</f>
        <v>48.0</v>
      </c>
      <c r="Y20" s="23"/>
      <c r="Z20" s="26" t="n">
        <f>2477</f>
        <v>2477.0</v>
      </c>
      <c r="AA20" s="24"/>
      <c r="AB20" s="26" t="n">
        <f>2867</f>
        <v>2867.0</v>
      </c>
      <c r="AC20" s="25"/>
      <c r="AD20" s="26" t="n">
        <f>5344</f>
        <v>5344.0</v>
      </c>
    </row>
    <row r="21">
      <c r="A21" s="21" t="s">
        <v>41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42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43</v>
      </c>
      <c r="B23" s="22" t="s">
        <v>27</v>
      </c>
      <c r="C23" s="22" t="s">
        <v>28</v>
      </c>
      <c r="D23" s="23"/>
      <c r="E23" s="26" t="n">
        <f>379</f>
        <v>379.0</v>
      </c>
      <c r="F23" s="24"/>
      <c r="G23" s="26" t="n">
        <f>526</f>
        <v>526.0</v>
      </c>
      <c r="H23" s="25"/>
      <c r="I23" s="26" t="n">
        <f>905</f>
        <v>905.0</v>
      </c>
      <c r="J23" s="23"/>
      <c r="K23" s="26" t="n">
        <f>24920000</f>
        <v>2.492E7</v>
      </c>
      <c r="L23" s="24"/>
      <c r="M23" s="26" t="n">
        <f>73210000</f>
        <v>7.321E7</v>
      </c>
      <c r="N23" s="25"/>
      <c r="O23" s="26" t="n">
        <f>98130000</f>
        <v>9.813E7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n">
        <f>44</f>
        <v>44.0</v>
      </c>
      <c r="U23" s="24"/>
      <c r="V23" s="26" t="str">
        <f>"－"</f>
        <v>－</v>
      </c>
      <c r="W23" s="25"/>
      <c r="X23" s="26" t="n">
        <f>44</f>
        <v>44.0</v>
      </c>
      <c r="Y23" s="23"/>
      <c r="Z23" s="26" t="n">
        <f>2708</f>
        <v>2708.0</v>
      </c>
      <c r="AA23" s="24"/>
      <c r="AB23" s="26" t="n">
        <f>3130</f>
        <v>3130.0</v>
      </c>
      <c r="AC23" s="25"/>
      <c r="AD23" s="26" t="n">
        <f>5838</f>
        <v>5838.0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496</f>
        <v>496.0</v>
      </c>
      <c r="F24" s="24"/>
      <c r="G24" s="26" t="n">
        <f>208</f>
        <v>208.0</v>
      </c>
      <c r="H24" s="25"/>
      <c r="I24" s="26" t="n">
        <f>704</f>
        <v>704.0</v>
      </c>
      <c r="J24" s="23"/>
      <c r="K24" s="26" t="n">
        <f>33320000</f>
        <v>3.332E7</v>
      </c>
      <c r="L24" s="24"/>
      <c r="M24" s="26" t="n">
        <f>45690000</f>
        <v>4.569E7</v>
      </c>
      <c r="N24" s="25"/>
      <c r="O24" s="26" t="n">
        <f>79010000</f>
        <v>7.901E7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44</f>
        <v>44.0</v>
      </c>
      <c r="U24" s="24"/>
      <c r="V24" s="26" t="str">
        <f>"－"</f>
        <v>－</v>
      </c>
      <c r="W24" s="25"/>
      <c r="X24" s="26" t="n">
        <f>44</f>
        <v>44.0</v>
      </c>
      <c r="Y24" s="23"/>
      <c r="Z24" s="26" t="n">
        <f>3078</f>
        <v>3078.0</v>
      </c>
      <c r="AA24" s="24"/>
      <c r="AB24" s="26" t="n">
        <f>3104</f>
        <v>3104.0</v>
      </c>
      <c r="AC24" s="25"/>
      <c r="AD24" s="26" t="n">
        <f>6182</f>
        <v>6182.0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181</f>
        <v>181.0</v>
      </c>
      <c r="F25" s="24"/>
      <c r="G25" s="26" t="n">
        <f>305</f>
        <v>305.0</v>
      </c>
      <c r="H25" s="25"/>
      <c r="I25" s="26" t="n">
        <f>486</f>
        <v>486.0</v>
      </c>
      <c r="J25" s="23"/>
      <c r="K25" s="26" t="n">
        <f>13130000</f>
        <v>1.313E7</v>
      </c>
      <c r="L25" s="24"/>
      <c r="M25" s="26" t="n">
        <f>41550000</f>
        <v>4.155E7</v>
      </c>
      <c r="N25" s="25"/>
      <c r="O25" s="26" t="n">
        <f>54680000</f>
        <v>5.468E7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3249</f>
        <v>3249.0</v>
      </c>
      <c r="AA25" s="24" t="s">
        <v>32</v>
      </c>
      <c r="AB25" s="26" t="n">
        <f>3163</f>
        <v>3163.0</v>
      </c>
      <c r="AC25" s="25"/>
      <c r="AD25" s="26" t="n">
        <f>6412</f>
        <v>6412.0</v>
      </c>
    </row>
    <row r="26">
      <c r="A26" s="21" t="s">
        <v>46</v>
      </c>
      <c r="B26" s="22" t="s">
        <v>27</v>
      </c>
      <c r="C26" s="22" t="s">
        <v>28</v>
      </c>
      <c r="D26" s="23" t="s">
        <v>32</v>
      </c>
      <c r="E26" s="26" t="n">
        <f>1492</f>
        <v>1492.0</v>
      </c>
      <c r="F26" s="24"/>
      <c r="G26" s="26" t="n">
        <f>844</f>
        <v>844.0</v>
      </c>
      <c r="H26" s="25" t="s">
        <v>32</v>
      </c>
      <c r="I26" s="26" t="n">
        <f>2336</f>
        <v>2336.0</v>
      </c>
      <c r="J26" s="23" t="s">
        <v>32</v>
      </c>
      <c r="K26" s="26" t="n">
        <f>94330000</f>
        <v>9.433E7</v>
      </c>
      <c r="L26" s="24"/>
      <c r="M26" s="26" t="n">
        <f>63320000</f>
        <v>6.332E7</v>
      </c>
      <c r="N26" s="25"/>
      <c r="O26" s="26" t="n">
        <f>157650000</f>
        <v>1.5765E8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n">
        <f>172</f>
        <v>172.0</v>
      </c>
      <c r="U26" s="24"/>
      <c r="V26" s="26" t="n">
        <f>50</f>
        <v>50.0</v>
      </c>
      <c r="W26" s="25"/>
      <c r="X26" s="26" t="n">
        <f>222</f>
        <v>222.0</v>
      </c>
      <c r="Y26" s="23"/>
      <c r="Z26" s="26" t="n">
        <f>3603</f>
        <v>3603.0</v>
      </c>
      <c r="AA26" s="24"/>
      <c r="AB26" s="26" t="n">
        <f>3035</f>
        <v>3035.0</v>
      </c>
      <c r="AC26" s="25"/>
      <c r="AD26" s="26" t="n">
        <f>6638</f>
        <v>6638.0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442</f>
        <v>442.0</v>
      </c>
      <c r="F27" s="24"/>
      <c r="G27" s="26" t="n">
        <f>25</f>
        <v>25.0</v>
      </c>
      <c r="H27" s="25"/>
      <c r="I27" s="26" t="n">
        <f>467</f>
        <v>467.0</v>
      </c>
      <c r="J27" s="23"/>
      <c r="K27" s="26" t="n">
        <f>27910000</f>
        <v>2.791E7</v>
      </c>
      <c r="L27" s="24" t="s">
        <v>29</v>
      </c>
      <c r="M27" s="26" t="n">
        <f>510000</f>
        <v>510000.0</v>
      </c>
      <c r="N27" s="25"/>
      <c r="O27" s="26" t="n">
        <f>28420000</f>
        <v>2.842E7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3761</f>
        <v>3761.0</v>
      </c>
      <c r="AA27" s="24"/>
      <c r="AB27" s="26" t="n">
        <f>3011</f>
        <v>3011.0</v>
      </c>
      <c r="AC27" s="25"/>
      <c r="AD27" s="26" t="n">
        <f>6772</f>
        <v>6772.0</v>
      </c>
    </row>
    <row r="28">
      <c r="A28" s="21" t="s">
        <v>48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49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50</v>
      </c>
      <c r="B30" s="22" t="s">
        <v>27</v>
      </c>
      <c r="C30" s="22" t="s">
        <v>28</v>
      </c>
      <c r="D30" s="23"/>
      <c r="E30" s="26" t="n">
        <f>362</f>
        <v>362.0</v>
      </c>
      <c r="F30" s="24"/>
      <c r="G30" s="26" t="n">
        <f>297</f>
        <v>297.0</v>
      </c>
      <c r="H30" s="25"/>
      <c r="I30" s="26" t="n">
        <f>659</f>
        <v>659.0</v>
      </c>
      <c r="J30" s="23"/>
      <c r="K30" s="26" t="n">
        <f>20090000</f>
        <v>2.009E7</v>
      </c>
      <c r="L30" s="24"/>
      <c r="M30" s="26" t="n">
        <f>40740000</f>
        <v>4.074E7</v>
      </c>
      <c r="N30" s="25"/>
      <c r="O30" s="26" t="n">
        <f>60830000</f>
        <v>6.083E7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n">
        <f>60</f>
        <v>60.0</v>
      </c>
      <c r="W30" s="25"/>
      <c r="X30" s="26" t="n">
        <f>60</f>
        <v>60.0</v>
      </c>
      <c r="Y30" s="23"/>
      <c r="Z30" s="26" t="n">
        <f>3901</f>
        <v>3901.0</v>
      </c>
      <c r="AA30" s="24"/>
      <c r="AB30" s="26" t="n">
        <f>2964</f>
        <v>2964.0</v>
      </c>
      <c r="AC30" s="25"/>
      <c r="AD30" s="26" t="n">
        <f>6865</f>
        <v>6865.0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335</f>
        <v>335.0</v>
      </c>
      <c r="F31" s="24"/>
      <c r="G31" s="26" t="n">
        <f>232</f>
        <v>232.0</v>
      </c>
      <c r="H31" s="25"/>
      <c r="I31" s="26" t="n">
        <f>567</f>
        <v>567.0</v>
      </c>
      <c r="J31" s="23"/>
      <c r="K31" s="26" t="n">
        <f>20000000</f>
        <v>2.0E7</v>
      </c>
      <c r="L31" s="24"/>
      <c r="M31" s="26" t="n">
        <f>32730000</f>
        <v>3.273E7</v>
      </c>
      <c r="N31" s="25"/>
      <c r="O31" s="26" t="n">
        <f>52730000</f>
        <v>5.273E7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 t="s">
        <v>32</v>
      </c>
      <c r="Z31" s="26" t="n">
        <f>3971</f>
        <v>3971.0</v>
      </c>
      <c r="AA31" s="24"/>
      <c r="AB31" s="26" t="n">
        <f>2843</f>
        <v>2843.0</v>
      </c>
      <c r="AC31" s="25"/>
      <c r="AD31" s="26" t="n">
        <f>6814</f>
        <v>6814.0</v>
      </c>
    </row>
    <row r="32">
      <c r="A32" s="21" t="s">
        <v>52</v>
      </c>
      <c r="B32" s="22" t="s">
        <v>27</v>
      </c>
      <c r="C32" s="22" t="s">
        <v>28</v>
      </c>
      <c r="D32" s="23"/>
      <c r="E32" s="26" t="n">
        <f>223</f>
        <v>223.0</v>
      </c>
      <c r="F32" s="24"/>
      <c r="G32" s="26" t="n">
        <f>91</f>
        <v>91.0</v>
      </c>
      <c r="H32" s="25"/>
      <c r="I32" s="26" t="n">
        <f>314</f>
        <v>314.0</v>
      </c>
      <c r="J32" s="23"/>
      <c r="K32" s="26" t="n">
        <f>11170000</f>
        <v>1.117E7</v>
      </c>
      <c r="L32" s="24"/>
      <c r="M32" s="26" t="n">
        <f>15260000</f>
        <v>1.526E7</v>
      </c>
      <c r="N32" s="25"/>
      <c r="O32" s="26" t="n">
        <f>26430000</f>
        <v>2.643E7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3929</f>
        <v>3929.0</v>
      </c>
      <c r="AA32" s="24"/>
      <c r="AB32" s="26" t="n">
        <f>2824</f>
        <v>2824.0</v>
      </c>
      <c r="AC32" s="25"/>
      <c r="AD32" s="26" t="n">
        <f>6753</f>
        <v>6753.0</v>
      </c>
    </row>
    <row r="33">
      <c r="A33" s="21" t="s">
        <v>53</v>
      </c>
      <c r="B33" s="22" t="s">
        <v>27</v>
      </c>
      <c r="C33" s="22" t="s">
        <v>28</v>
      </c>
      <c r="D33" s="23" t="s">
        <v>29</v>
      </c>
      <c r="E33" s="26" t="n">
        <f>24</f>
        <v>24.0</v>
      </c>
      <c r="F33" s="24" t="s">
        <v>29</v>
      </c>
      <c r="G33" s="26" t="n">
        <f>11</f>
        <v>11.0</v>
      </c>
      <c r="H33" s="25" t="s">
        <v>29</v>
      </c>
      <c r="I33" s="26" t="n">
        <f>35</f>
        <v>35.0</v>
      </c>
      <c r="J33" s="23" t="s">
        <v>29</v>
      </c>
      <c r="K33" s="26" t="n">
        <f>1520000</f>
        <v>1520000.0</v>
      </c>
      <c r="L33" s="24"/>
      <c r="M33" s="26" t="n">
        <f>2010000</f>
        <v>2010000.0</v>
      </c>
      <c r="N33" s="25" t="s">
        <v>29</v>
      </c>
      <c r="O33" s="26" t="n">
        <f>3530000</f>
        <v>3530000.0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3920</f>
        <v>3920.0</v>
      </c>
      <c r="AA33" s="24"/>
      <c r="AB33" s="26" t="n">
        <f>2823</f>
        <v>2823.0</v>
      </c>
      <c r="AC33" s="25"/>
      <c r="AD33" s="26" t="n">
        <f>6743</f>
        <v>6743.0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425</f>
        <v>425.0</v>
      </c>
      <c r="F34" s="24"/>
      <c r="G34" s="26" t="n">
        <f>90</f>
        <v>90.0</v>
      </c>
      <c r="H34" s="25"/>
      <c r="I34" s="26" t="n">
        <f>515</f>
        <v>515.0</v>
      </c>
      <c r="J34" s="23"/>
      <c r="K34" s="26" t="n">
        <f>10680000</f>
        <v>1.068E7</v>
      </c>
      <c r="L34" s="24"/>
      <c r="M34" s="26" t="n">
        <f>3100000</f>
        <v>3100000.0</v>
      </c>
      <c r="N34" s="25"/>
      <c r="O34" s="26" t="n">
        <f>13780000</f>
        <v>1.378E7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3672</f>
        <v>3672.0</v>
      </c>
      <c r="AA34" s="24"/>
      <c r="AB34" s="26" t="n">
        <f>2827</f>
        <v>2827.0</v>
      </c>
      <c r="AC34" s="25"/>
      <c r="AD34" s="26" t="n">
        <f>6499</f>
        <v>6499.0</v>
      </c>
    </row>
    <row r="35">
      <c r="A35" s="21" t="s">
        <v>55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56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57</v>
      </c>
      <c r="B37" s="22" t="s">
        <v>27</v>
      </c>
      <c r="C37" s="22" t="s">
        <v>28</v>
      </c>
      <c r="D37" s="23"/>
      <c r="E37" s="26" t="n">
        <f>346</f>
        <v>346.0</v>
      </c>
      <c r="F37" s="24"/>
      <c r="G37" s="26" t="n">
        <f>200</f>
        <v>200.0</v>
      </c>
      <c r="H37" s="25"/>
      <c r="I37" s="26" t="n">
        <f>546</f>
        <v>546.0</v>
      </c>
      <c r="J37" s="23"/>
      <c r="K37" s="26" t="n">
        <f>6870000</f>
        <v>6870000.0</v>
      </c>
      <c r="L37" s="24"/>
      <c r="M37" s="26" t="n">
        <f>12850000</f>
        <v>1.285E7</v>
      </c>
      <c r="N37" s="25"/>
      <c r="O37" s="26" t="n">
        <f>19720000</f>
        <v>1.972E7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3721</f>
        <v>3721.0</v>
      </c>
      <c r="AA37" s="24"/>
      <c r="AB37" s="26" t="n">
        <f>3017</f>
        <v>3017.0</v>
      </c>
      <c r="AC37" s="25"/>
      <c r="AD37" s="26" t="n">
        <f>6738</f>
        <v>6738.0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256</f>
        <v>256.0</v>
      </c>
      <c r="F38" s="24"/>
      <c r="G38" s="26" t="n">
        <f>194</f>
        <v>194.0</v>
      </c>
      <c r="H38" s="25"/>
      <c r="I38" s="26" t="n">
        <f>450</f>
        <v>450.0</v>
      </c>
      <c r="J38" s="23"/>
      <c r="K38" s="26" t="n">
        <f>3160000</f>
        <v>3160000.0</v>
      </c>
      <c r="L38" s="24"/>
      <c r="M38" s="26" t="n">
        <f>26480000</f>
        <v>2.648E7</v>
      </c>
      <c r="N38" s="25"/>
      <c r="O38" s="26" t="n">
        <f>29640000</f>
        <v>2.964E7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3909</f>
        <v>3909.0</v>
      </c>
      <c r="AA38" s="24"/>
      <c r="AB38" s="26" t="n">
        <f>3114</f>
        <v>3114.0</v>
      </c>
      <c r="AC38" s="25" t="s">
        <v>32</v>
      </c>
      <c r="AD38" s="26" t="n">
        <f>7023</f>
        <v>7023.0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252</f>
        <v>252.0</v>
      </c>
      <c r="F39" s="24"/>
      <c r="G39" s="26" t="n">
        <f>71</f>
        <v>71.0</v>
      </c>
      <c r="H39" s="25"/>
      <c r="I39" s="26" t="n">
        <f>323</f>
        <v>323.0</v>
      </c>
      <c r="J39" s="23"/>
      <c r="K39" s="26" t="n">
        <f>4450000</f>
        <v>4450000.0</v>
      </c>
      <c r="L39" s="24"/>
      <c r="M39" s="26" t="n">
        <f>3650000</f>
        <v>3650000.0</v>
      </c>
      <c r="N39" s="25"/>
      <c r="O39" s="26" t="n">
        <f>8100000</f>
        <v>8100000.0</v>
      </c>
      <c r="P39" s="27" t="n">
        <f>2</f>
        <v>2.0</v>
      </c>
      <c r="Q39" s="28" t="n">
        <f>1256</f>
        <v>1256.0</v>
      </c>
      <c r="R39" s="29" t="n">
        <f>1258</f>
        <v>1258.0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 t="s">
        <v>29</v>
      </c>
      <c r="Z39" s="26" t="n">
        <f>392</f>
        <v>392.0</v>
      </c>
      <c r="AA39" s="24" t="s">
        <v>29</v>
      </c>
      <c r="AB39" s="26" t="n">
        <f>316</f>
        <v>316.0</v>
      </c>
      <c r="AC39" s="25" t="s">
        <v>29</v>
      </c>
      <c r="AD39" s="26" t="n">
        <f>708</f>
        <v>708.0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