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<sst xmlns="http://schemas.openxmlformats.org/spreadsheetml/2006/main" count="500" uniqueCount="67">
  <si>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</si>
  <si>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</si>
  <si>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</si>
  <si>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</si>
  <si>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</si>
  <si>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</si>
  <si>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</si>
  <si>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</si>
  <si>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</si>
  <si>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</si>
  <si>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</si>
  <si>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</si>
  <si>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</si>
  <si>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</si>
  <si>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</si>
  <si>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</si>
  <si>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</si>
  <si>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</si>
  <si>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</si>
  <si>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</si>
  <si>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</si>
  <si>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</si>
  <si>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</si>
  <si>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</si>
  <si>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</si>
  <si>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</si>
  <si>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6.1</t>
  </si>
  <si>
    <t>日経225オプション</t>
  </si>
  <si>
    <t>Nikkei 225 Options</t>
  </si>
  <si>
    <t>●</t>
  </si>
  <si>
    <t>2</t>
  </si>
  <si>
    <t>3</t>
  </si>
  <si>
    <t>4</t>
  </si>
  <si>
    <t>◎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</si>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</sst>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2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 t="n">
        <f>37981</f>
        <v>37981.0</v>
      </c>
      <c r="F10" s="23"/>
      <c r="G10" s="25" t="n">
        <f>27244</f>
        <v>27244.0</v>
      </c>
      <c r="H10" s="23"/>
      <c r="I10" s="26" t="n">
        <f>65225</f>
        <v>65225.0</v>
      </c>
      <c r="J10" s="24" t="s">
        <v>29</v>
      </c>
      <c r="K10" s="25" t="n">
        <f>6545813000</f>
        <v>6.545813E9</v>
      </c>
      <c r="L10" s="23"/>
      <c r="M10" s="25" t="n">
        <f>6413677450</f>
        <v>6.41367745E9</v>
      </c>
      <c r="N10" s="23"/>
      <c r="O10" s="26" t="n">
        <f>12959490450</f>
        <v>1.295949045E10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5154</f>
        <v>5154.0</v>
      </c>
      <c r="U10" s="23"/>
      <c r="V10" s="25" t="n">
        <f>3973</f>
        <v>3973.0</v>
      </c>
      <c r="W10" s="23"/>
      <c r="X10" s="26" t="n">
        <f>9127</f>
        <v>9127.0</v>
      </c>
      <c r="Y10" s="24"/>
      <c r="Z10" s="25" t="n">
        <f>954030</f>
        <v>954030.0</v>
      </c>
      <c r="AA10" s="23"/>
      <c r="AB10" s="25" t="n">
        <f>571986</f>
        <v>571986.0</v>
      </c>
      <c r="AC10" s="23"/>
      <c r="AD10" s="26" t="n">
        <f>1526016</f>
        <v>1526016.0</v>
      </c>
    </row>
    <row r="11">
      <c r="A11" s="30" t="s">
        <v>30</v>
      </c>
      <c r="B11" s="22" t="s">
        <v>27</v>
      </c>
      <c r="C11" s="22" t="s">
        <v>28</v>
      </c>
      <c r="D11" s="24"/>
      <c r="E11" s="25" t="n">
        <f>58964</f>
        <v>58964.0</v>
      </c>
      <c r="F11" s="23"/>
      <c r="G11" s="25" t="n">
        <f>39268</f>
        <v>39268.0</v>
      </c>
      <c r="H11" s="23"/>
      <c r="I11" s="26" t="n">
        <f>98232</f>
        <v>98232.0</v>
      </c>
      <c r="J11" s="24"/>
      <c r="K11" s="25" t="n">
        <f>11616394500</f>
        <v>1.16163945E10</v>
      </c>
      <c r="L11" s="23"/>
      <c r="M11" s="25" t="n">
        <f>7509915200</f>
        <v>7.5099152E9</v>
      </c>
      <c r="N11" s="23"/>
      <c r="O11" s="26" t="n">
        <f>19126309700</f>
        <v>1.91263097E10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10682</f>
        <v>10682.0</v>
      </c>
      <c r="U11" s="23"/>
      <c r="V11" s="25" t="n">
        <f>9672</f>
        <v>9672.0</v>
      </c>
      <c r="W11" s="23"/>
      <c r="X11" s="26" t="n">
        <f>20354</f>
        <v>20354.0</v>
      </c>
      <c r="Y11" s="24"/>
      <c r="Z11" s="25" t="n">
        <f>966450</f>
        <v>966450.0</v>
      </c>
      <c r="AA11" s="23"/>
      <c r="AB11" s="25" t="n">
        <f>582091</f>
        <v>582091.0</v>
      </c>
      <c r="AC11" s="23"/>
      <c r="AD11" s="26" t="n">
        <f>1548541</f>
        <v>1548541.0</v>
      </c>
    </row>
    <row r="12">
      <c r="A12" s="30" t="s">
        <v>31</v>
      </c>
      <c r="B12" s="22" t="s">
        <v>27</v>
      </c>
      <c r="C12" s="22" t="s">
        <v>28</v>
      </c>
      <c r="D12" s="24"/>
      <c r="E12" s="25" t="n">
        <f>50292</f>
        <v>50292.0</v>
      </c>
      <c r="F12" s="23"/>
      <c r="G12" s="25" t="n">
        <f>46540</f>
        <v>46540.0</v>
      </c>
      <c r="H12" s="23"/>
      <c r="I12" s="26" t="n">
        <f>96832</f>
        <v>96832.0</v>
      </c>
      <c r="J12" s="24"/>
      <c r="K12" s="25" t="n">
        <f>16700555422</f>
        <v>1.6700555422E10</v>
      </c>
      <c r="L12" s="23"/>
      <c r="M12" s="25" t="n">
        <f>8321710000</f>
        <v>8.32171E9</v>
      </c>
      <c r="N12" s="23"/>
      <c r="O12" s="26" t="n">
        <f>25022265422</f>
        <v>2.5022265422E10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4"/>
      <c r="T12" s="25" t="n">
        <f>9537</f>
        <v>9537.0</v>
      </c>
      <c r="U12" s="23"/>
      <c r="V12" s="25" t="n">
        <f>9045</f>
        <v>9045.0</v>
      </c>
      <c r="W12" s="23"/>
      <c r="X12" s="26" t="n">
        <f>18582</f>
        <v>18582.0</v>
      </c>
      <c r="Y12" s="24"/>
      <c r="Z12" s="25" t="n">
        <f>976583</f>
        <v>976583.0</v>
      </c>
      <c r="AA12" s="23"/>
      <c r="AB12" s="25" t="n">
        <f>590197</f>
        <v>590197.0</v>
      </c>
      <c r="AC12" s="23"/>
      <c r="AD12" s="26" t="n">
        <f>1566780</f>
        <v>1566780.0</v>
      </c>
    </row>
    <row r="13">
      <c r="A13" s="30" t="s">
        <v>32</v>
      </c>
      <c r="B13" s="22" t="s">
        <v>27</v>
      </c>
      <c r="C13" s="22" t="s">
        <v>28</v>
      </c>
      <c r="D13" s="24"/>
      <c r="E13" s="25" t="n">
        <f>48459</f>
        <v>48459.0</v>
      </c>
      <c r="F13" s="23"/>
      <c r="G13" s="25" t="n">
        <f>55444</f>
        <v>55444.0</v>
      </c>
      <c r="H13" s="23"/>
      <c r="I13" s="26" t="n">
        <f>103903</f>
        <v>103903.0</v>
      </c>
      <c r="J13" s="24"/>
      <c r="K13" s="25" t="n">
        <f>10722323050</f>
        <v>1.072232305E10</v>
      </c>
      <c r="L13" s="23"/>
      <c r="M13" s="25" t="n">
        <f>11261128918</f>
        <v>1.1261128918E10</v>
      </c>
      <c r="N13" s="23"/>
      <c r="O13" s="26" t="n">
        <f>21983451968</f>
        <v>2.1983451968E10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4"/>
      <c r="T13" s="25" t="n">
        <f>9004</f>
        <v>9004.0</v>
      </c>
      <c r="U13" s="23" t="s">
        <v>33</v>
      </c>
      <c r="V13" s="25" t="n">
        <f>14558</f>
        <v>14558.0</v>
      </c>
      <c r="W13" s="23"/>
      <c r="X13" s="26" t="n">
        <f>23562</f>
        <v>23562.0</v>
      </c>
      <c r="Y13" s="24"/>
      <c r="Z13" s="25" t="n">
        <f>984784</f>
        <v>984784.0</v>
      </c>
      <c r="AA13" s="23"/>
      <c r="AB13" s="25" t="n">
        <f>602255</f>
        <v>602255.0</v>
      </c>
      <c r="AC13" s="23"/>
      <c r="AD13" s="26" t="n">
        <f>1587039</f>
        <v>1587039.0</v>
      </c>
    </row>
    <row r="14">
      <c r="A14" s="30" t="s">
        <v>34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35</v>
      </c>
      <c r="B15" s="22" t="s">
        <v>27</v>
      </c>
      <c r="C15" s="22" t="s">
        <v>28</v>
      </c>
      <c r="D15" s="24"/>
      <c r="E15" s="25"/>
      <c r="F15" s="23"/>
      <c r="G15" s="25"/>
      <c r="H15" s="23"/>
      <c r="I15" s="26"/>
      <c r="J15" s="24"/>
      <c r="K15" s="25"/>
      <c r="L15" s="23"/>
      <c r="M15" s="25"/>
      <c r="N15" s="23"/>
      <c r="O15" s="26"/>
      <c r="P15" s="27"/>
      <c r="Q15" s="28"/>
      <c r="R15" s="29"/>
      <c r="S15" s="24"/>
      <c r="T15" s="25"/>
      <c r="U15" s="23"/>
      <c r="V15" s="25"/>
      <c r="W15" s="23"/>
      <c r="X15" s="26"/>
      <c r="Y15" s="24"/>
      <c r="Z15" s="25"/>
      <c r="AA15" s="23"/>
      <c r="AB15" s="25"/>
      <c r="AC15" s="23"/>
      <c r="AD15" s="26"/>
    </row>
    <row r="16">
      <c r="A16" s="30" t="s">
        <v>36</v>
      </c>
      <c r="B16" s="22" t="s">
        <v>27</v>
      </c>
      <c r="C16" s="22" t="s">
        <v>28</v>
      </c>
      <c r="D16" s="24"/>
      <c r="E16" s="25" t="n">
        <f>54848</f>
        <v>54848.0</v>
      </c>
      <c r="F16" s="23"/>
      <c r="G16" s="25" t="n">
        <f>38019</f>
        <v>38019.0</v>
      </c>
      <c r="H16" s="23"/>
      <c r="I16" s="26" t="n">
        <f>92867</f>
        <v>92867.0</v>
      </c>
      <c r="J16" s="24"/>
      <c r="K16" s="25" t="n">
        <f>10738728620</f>
        <v>1.073872862E10</v>
      </c>
      <c r="L16" s="23"/>
      <c r="M16" s="25" t="n">
        <f>6689089400</f>
        <v>6.6890894E9</v>
      </c>
      <c r="N16" s="23"/>
      <c r="O16" s="26" t="n">
        <f>17427818020</f>
        <v>1.742781802E10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7197</f>
        <v>7197.0</v>
      </c>
      <c r="U16" s="23"/>
      <c r="V16" s="25" t="n">
        <f>7190</f>
        <v>7190.0</v>
      </c>
      <c r="W16" s="23"/>
      <c r="X16" s="26" t="n">
        <f>14387</f>
        <v>14387.0</v>
      </c>
      <c r="Y16" s="24"/>
      <c r="Z16" s="25" t="n">
        <f>994254</f>
        <v>994254.0</v>
      </c>
      <c r="AA16" s="23"/>
      <c r="AB16" s="25" t="n">
        <f>606932</f>
        <v>606932.0</v>
      </c>
      <c r="AC16" s="23"/>
      <c r="AD16" s="26" t="n">
        <f>1601186</f>
        <v>1601186.0</v>
      </c>
    </row>
    <row r="17">
      <c r="A17" s="30" t="s">
        <v>37</v>
      </c>
      <c r="B17" s="22" t="s">
        <v>27</v>
      </c>
      <c r="C17" s="22" t="s">
        <v>28</v>
      </c>
      <c r="D17" s="24"/>
      <c r="E17" s="25" t="n">
        <f>54055</f>
        <v>54055.0</v>
      </c>
      <c r="F17" s="23"/>
      <c r="G17" s="25" t="n">
        <f>43887</f>
        <v>43887.0</v>
      </c>
      <c r="H17" s="23"/>
      <c r="I17" s="26" t="n">
        <f>97942</f>
        <v>97942.0</v>
      </c>
      <c r="J17" s="24"/>
      <c r="K17" s="25" t="n">
        <f>10921312750</f>
        <v>1.092131275E10</v>
      </c>
      <c r="L17" s="23"/>
      <c r="M17" s="25" t="n">
        <f>5712557900</f>
        <v>5.7125579E9</v>
      </c>
      <c r="N17" s="23"/>
      <c r="O17" s="26" t="n">
        <f>16633870650</f>
        <v>1.663387065E10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4"/>
      <c r="T17" s="25" t="n">
        <f>5119</f>
        <v>5119.0</v>
      </c>
      <c r="U17" s="23"/>
      <c r="V17" s="25" t="n">
        <f>7068</f>
        <v>7068.0</v>
      </c>
      <c r="W17" s="23"/>
      <c r="X17" s="26" t="n">
        <f>12187</f>
        <v>12187.0</v>
      </c>
      <c r="Y17" s="24"/>
      <c r="Z17" s="25" t="n">
        <f>998220</f>
        <v>998220.0</v>
      </c>
      <c r="AA17" s="23"/>
      <c r="AB17" s="25" t="n">
        <f>608307</f>
        <v>608307.0</v>
      </c>
      <c r="AC17" s="23"/>
      <c r="AD17" s="26" t="n">
        <f>1606527</f>
        <v>1606527.0</v>
      </c>
    </row>
    <row r="18">
      <c r="A18" s="30" t="s">
        <v>38</v>
      </c>
      <c r="B18" s="22" t="s">
        <v>27</v>
      </c>
      <c r="C18" s="22" t="s">
        <v>28</v>
      </c>
      <c r="D18" s="24"/>
      <c r="E18" s="25" t="n">
        <f>53029</f>
        <v>53029.0</v>
      </c>
      <c r="F18" s="23"/>
      <c r="G18" s="25" t="n">
        <f>38627</f>
        <v>38627.0</v>
      </c>
      <c r="H18" s="23"/>
      <c r="I18" s="26" t="n">
        <f>91656</f>
        <v>91656.0</v>
      </c>
      <c r="J18" s="24"/>
      <c r="K18" s="25" t="n">
        <f>10097424554</f>
        <v>1.0097424554E10</v>
      </c>
      <c r="L18" s="23"/>
      <c r="M18" s="25" t="n">
        <f>6235009600</f>
        <v>6.2350096E9</v>
      </c>
      <c r="N18" s="23"/>
      <c r="O18" s="26" t="n">
        <f>16332434154</f>
        <v>1.6332434154E10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8719</f>
        <v>8719.0</v>
      </c>
      <c r="U18" s="23"/>
      <c r="V18" s="25" t="n">
        <f>9244</f>
        <v>9244.0</v>
      </c>
      <c r="W18" s="23"/>
      <c r="X18" s="26" t="n">
        <f>17963</f>
        <v>17963.0</v>
      </c>
      <c r="Y18" s="24"/>
      <c r="Z18" s="25" t="n">
        <f>1010703</f>
        <v>1010703.0</v>
      </c>
      <c r="AA18" s="23"/>
      <c r="AB18" s="25" t="n">
        <f>615091</f>
        <v>615091.0</v>
      </c>
      <c r="AC18" s="23"/>
      <c r="AD18" s="26" t="n">
        <f>1625794</f>
        <v>1625794.0</v>
      </c>
    </row>
    <row r="19">
      <c r="A19" s="30" t="s">
        <v>39</v>
      </c>
      <c r="B19" s="22" t="s">
        <v>27</v>
      </c>
      <c r="C19" s="22" t="s">
        <v>28</v>
      </c>
      <c r="D19" s="24"/>
      <c r="E19" s="25" t="n">
        <f>63878</f>
        <v>63878.0</v>
      </c>
      <c r="F19" s="23"/>
      <c r="G19" s="25" t="n">
        <f>36347</f>
        <v>36347.0</v>
      </c>
      <c r="H19" s="23"/>
      <c r="I19" s="26" t="n">
        <f>100225</f>
        <v>100225.0</v>
      </c>
      <c r="J19" s="24"/>
      <c r="K19" s="25" t="n">
        <f>9153782000</f>
        <v>9.153782E9</v>
      </c>
      <c r="L19" s="23"/>
      <c r="M19" s="25" t="n">
        <f>4810837410</f>
        <v>4.81083741E9</v>
      </c>
      <c r="N19" s="23"/>
      <c r="O19" s="26" t="n">
        <f>13964619410</f>
        <v>1.396461941E10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7915</f>
        <v>7915.0</v>
      </c>
      <c r="U19" s="23"/>
      <c r="V19" s="25" t="n">
        <f>5209</f>
        <v>5209.0</v>
      </c>
      <c r="W19" s="23"/>
      <c r="X19" s="26" t="n">
        <f>13124</f>
        <v>13124.0</v>
      </c>
      <c r="Y19" s="24" t="s">
        <v>33</v>
      </c>
      <c r="Z19" s="25" t="n">
        <f>1023398</f>
        <v>1023398.0</v>
      </c>
      <c r="AA19" s="23" t="s">
        <v>33</v>
      </c>
      <c r="AB19" s="25" t="n">
        <f>621079</f>
        <v>621079.0</v>
      </c>
      <c r="AC19" s="23" t="s">
        <v>33</v>
      </c>
      <c r="AD19" s="26" t="n">
        <f>1644477</f>
        <v>1644477.0</v>
      </c>
    </row>
    <row r="20">
      <c r="A20" s="30" t="s">
        <v>40</v>
      </c>
      <c r="B20" s="22" t="s">
        <v>27</v>
      </c>
      <c r="C20" s="22" t="s">
        <v>28</v>
      </c>
      <c r="D20" s="24"/>
      <c r="E20" s="25" t="n">
        <f>44225</f>
        <v>44225.0</v>
      </c>
      <c r="F20" s="23"/>
      <c r="G20" s="25" t="n">
        <f>29273</f>
        <v>29273.0</v>
      </c>
      <c r="H20" s="23"/>
      <c r="I20" s="26" t="n">
        <f>73498</f>
        <v>73498.0</v>
      </c>
      <c r="J20" s="24"/>
      <c r="K20" s="25" t="n">
        <f>10179581880</f>
        <v>1.017958188E10</v>
      </c>
      <c r="L20" s="23"/>
      <c r="M20" s="25" t="n">
        <f>8096933533</f>
        <v>8.096933533E9</v>
      </c>
      <c r="N20" s="23"/>
      <c r="O20" s="26" t="n">
        <f>18276515413</f>
        <v>1.8276515413E10</v>
      </c>
      <c r="P20" s="27" t="n">
        <f>6182</f>
        <v>6182.0</v>
      </c>
      <c r="Q20" s="28" t="n">
        <f>83547</f>
        <v>83547.0</v>
      </c>
      <c r="R20" s="29" t="n">
        <f>89729</f>
        <v>89729.0</v>
      </c>
      <c r="S20" s="24"/>
      <c r="T20" s="25" t="n">
        <f>6486</f>
        <v>6486.0</v>
      </c>
      <c r="U20" s="23"/>
      <c r="V20" s="25" t="n">
        <f>6262</f>
        <v>6262.0</v>
      </c>
      <c r="W20" s="23"/>
      <c r="X20" s="26" t="n">
        <f>12748</f>
        <v>12748.0</v>
      </c>
      <c r="Y20" s="24" t="s">
        <v>29</v>
      </c>
      <c r="Z20" s="25" t="n">
        <f>755033</f>
        <v>755033.0</v>
      </c>
      <c r="AA20" s="23" t="s">
        <v>29</v>
      </c>
      <c r="AB20" s="25" t="n">
        <f>455667</f>
        <v>455667.0</v>
      </c>
      <c r="AC20" s="23" t="s">
        <v>29</v>
      </c>
      <c r="AD20" s="26" t="n">
        <f>1210700</f>
        <v>1210700.0</v>
      </c>
    </row>
    <row r="21">
      <c r="A21" s="30" t="s">
        <v>41</v>
      </c>
      <c r="B21" s="22" t="s">
        <v>27</v>
      </c>
      <c r="C21" s="22" t="s">
        <v>28</v>
      </c>
      <c r="D21" s="24"/>
      <c r="E21" s="25"/>
      <c r="F21" s="23"/>
      <c r="G21" s="25"/>
      <c r="H21" s="23"/>
      <c r="I21" s="26"/>
      <c r="J21" s="24"/>
      <c r="K21" s="25"/>
      <c r="L21" s="23"/>
      <c r="M21" s="25"/>
      <c r="N21" s="23"/>
      <c r="O21" s="26"/>
      <c r="P21" s="27"/>
      <c r="Q21" s="28"/>
      <c r="R21" s="29"/>
      <c r="S21" s="24"/>
      <c r="T21" s="25"/>
      <c r="U21" s="23"/>
      <c r="V21" s="25"/>
      <c r="W21" s="23"/>
      <c r="X21" s="26"/>
      <c r="Y21" s="24"/>
      <c r="Z21" s="25"/>
      <c r="AA21" s="23"/>
      <c r="AB21" s="25"/>
      <c r="AC21" s="23"/>
      <c r="AD21" s="26"/>
    </row>
    <row r="22">
      <c r="A22" s="30" t="s">
        <v>42</v>
      </c>
      <c r="B22" s="22" t="s">
        <v>27</v>
      </c>
      <c r="C22" s="22" t="s">
        <v>28</v>
      </c>
      <c r="D22" s="24"/>
      <c r="E22" s="25"/>
      <c r="F22" s="23"/>
      <c r="G22" s="25"/>
      <c r="H22" s="23"/>
      <c r="I22" s="26"/>
      <c r="J22" s="24"/>
      <c r="K22" s="25"/>
      <c r="L22" s="23"/>
      <c r="M22" s="25"/>
      <c r="N22" s="23"/>
      <c r="O22" s="26"/>
      <c r="P22" s="27"/>
      <c r="Q22" s="28"/>
      <c r="R22" s="29"/>
      <c r="S22" s="24"/>
      <c r="T22" s="25"/>
      <c r="U22" s="23"/>
      <c r="V22" s="25"/>
      <c r="W22" s="23"/>
      <c r="X22" s="26"/>
      <c r="Y22" s="24"/>
      <c r="Z22" s="25"/>
      <c r="AA22" s="23"/>
      <c r="AB22" s="25"/>
      <c r="AC22" s="23"/>
      <c r="AD22" s="26"/>
    </row>
    <row r="23">
      <c r="A23" s="30" t="s">
        <v>43</v>
      </c>
      <c r="B23" s="22" t="s">
        <v>27</v>
      </c>
      <c r="C23" s="22" t="s">
        <v>28</v>
      </c>
      <c r="D23" s="24"/>
      <c r="E23" s="25" t="n">
        <f>43693</f>
        <v>43693.0</v>
      </c>
      <c r="F23" s="23" t="s">
        <v>29</v>
      </c>
      <c r="G23" s="25" t="n">
        <f>21154</f>
        <v>21154.0</v>
      </c>
      <c r="H23" s="23"/>
      <c r="I23" s="26" t="n">
        <f>64847</f>
        <v>64847.0</v>
      </c>
      <c r="J23" s="24"/>
      <c r="K23" s="25" t="n">
        <f>7749010020</f>
        <v>7.74901002E9</v>
      </c>
      <c r="L23" s="23"/>
      <c r="M23" s="25" t="n">
        <f>2835444140</f>
        <v>2.83544414E9</v>
      </c>
      <c r="N23" s="23"/>
      <c r="O23" s="26" t="n">
        <f>10584454160</f>
        <v>1.058445416E10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11164</f>
        <v>11164.0</v>
      </c>
      <c r="U23" s="23"/>
      <c r="V23" s="25" t="n">
        <f>3175</f>
        <v>3175.0</v>
      </c>
      <c r="W23" s="23"/>
      <c r="X23" s="26" t="n">
        <f>14339</f>
        <v>14339.0</v>
      </c>
      <c r="Y23" s="24"/>
      <c r="Z23" s="25" t="n">
        <f>768659</f>
        <v>768659.0</v>
      </c>
      <c r="AA23" s="23"/>
      <c r="AB23" s="25" t="n">
        <f>461114</f>
        <v>461114.0</v>
      </c>
      <c r="AC23" s="23"/>
      <c r="AD23" s="26" t="n">
        <f>1229773</f>
        <v>1229773.0</v>
      </c>
    </row>
    <row r="24">
      <c r="A24" s="30" t="s">
        <v>44</v>
      </c>
      <c r="B24" s="22" t="s">
        <v>27</v>
      </c>
      <c r="C24" s="22" t="s">
        <v>28</v>
      </c>
      <c r="D24" s="24" t="s">
        <v>29</v>
      </c>
      <c r="E24" s="25" t="n">
        <f>30161</f>
        <v>30161.0</v>
      </c>
      <c r="F24" s="23"/>
      <c r="G24" s="25" t="n">
        <f>32747</f>
        <v>32747.0</v>
      </c>
      <c r="H24" s="23"/>
      <c r="I24" s="26" t="n">
        <f>62908</f>
        <v>62908.0</v>
      </c>
      <c r="J24" s="24"/>
      <c r="K24" s="25" t="n">
        <f>7987061000</f>
        <v>7.987061E9</v>
      </c>
      <c r="L24" s="23"/>
      <c r="M24" s="25" t="n">
        <f>4855467000</f>
        <v>4.855467E9</v>
      </c>
      <c r="N24" s="23"/>
      <c r="O24" s="26" t="n">
        <f>12842528000</f>
        <v>1.2842528E10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3779</f>
        <v>3779.0</v>
      </c>
      <c r="U24" s="23"/>
      <c r="V24" s="25" t="n">
        <f>6809</f>
        <v>6809.0</v>
      </c>
      <c r="W24" s="23"/>
      <c r="X24" s="26" t="n">
        <f>10588</f>
        <v>10588.0</v>
      </c>
      <c r="Y24" s="24"/>
      <c r="Z24" s="25" t="n">
        <f>778037</f>
        <v>778037.0</v>
      </c>
      <c r="AA24" s="23"/>
      <c r="AB24" s="25" t="n">
        <f>466829</f>
        <v>466829.0</v>
      </c>
      <c r="AC24" s="23"/>
      <c r="AD24" s="26" t="n">
        <f>1244866</f>
        <v>1244866.0</v>
      </c>
    </row>
    <row r="25">
      <c r="A25" s="30" t="s">
        <v>45</v>
      </c>
      <c r="B25" s="22" t="s">
        <v>27</v>
      </c>
      <c r="C25" s="22" t="s">
        <v>28</v>
      </c>
      <c r="D25" s="24"/>
      <c r="E25" s="25" t="n">
        <f>33686</f>
        <v>33686.0</v>
      </c>
      <c r="F25" s="23"/>
      <c r="G25" s="25" t="n">
        <f>22614</f>
        <v>22614.0</v>
      </c>
      <c r="H25" s="23" t="s">
        <v>29</v>
      </c>
      <c r="I25" s="26" t="n">
        <f>56300</f>
        <v>56300.0</v>
      </c>
      <c r="J25" s="24"/>
      <c r="K25" s="25" t="n">
        <f>9055090000</f>
        <v>9.05509E9</v>
      </c>
      <c r="L25" s="23" t="s">
        <v>29</v>
      </c>
      <c r="M25" s="25" t="n">
        <f>2794427560</f>
        <v>2.79442756E9</v>
      </c>
      <c r="N25" s="23"/>
      <c r="O25" s="26" t="n">
        <f>11849517560</f>
        <v>1.184951756E10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 t="s">
        <v>29</v>
      </c>
      <c r="T25" s="25" t="n">
        <f>2485</f>
        <v>2485.0</v>
      </c>
      <c r="U25" s="23"/>
      <c r="V25" s="25" t="n">
        <f>5342</f>
        <v>5342.0</v>
      </c>
      <c r="W25" s="23" t="s">
        <v>29</v>
      </c>
      <c r="X25" s="26" t="n">
        <f>7827</f>
        <v>7827.0</v>
      </c>
      <c r="Y25" s="24"/>
      <c r="Z25" s="25" t="n">
        <f>788004</f>
        <v>788004.0</v>
      </c>
      <c r="AA25" s="23"/>
      <c r="AB25" s="25" t="n">
        <f>467767</f>
        <v>467767.0</v>
      </c>
      <c r="AC25" s="23"/>
      <c r="AD25" s="26" t="n">
        <f>1255771</f>
        <v>1255771.0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41754</f>
        <v>41754.0</v>
      </c>
      <c r="F26" s="23"/>
      <c r="G26" s="25" t="n">
        <f>38278</f>
        <v>38278.0</v>
      </c>
      <c r="H26" s="23"/>
      <c r="I26" s="26" t="n">
        <f>80032</f>
        <v>80032.0</v>
      </c>
      <c r="J26" s="24"/>
      <c r="K26" s="25" t="n">
        <f>9635739400</f>
        <v>9.6357394E9</v>
      </c>
      <c r="L26" s="23"/>
      <c r="M26" s="25" t="n">
        <f>9544071024</f>
        <v>9.544071024E9</v>
      </c>
      <c r="N26" s="23"/>
      <c r="O26" s="26" t="n">
        <f>19179810424</f>
        <v>1.9179810424E10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/>
      <c r="T26" s="25" t="n">
        <f>5971</f>
        <v>5971.0</v>
      </c>
      <c r="U26" s="23"/>
      <c r="V26" s="25" t="n">
        <f>9222</f>
        <v>9222.0</v>
      </c>
      <c r="W26" s="23"/>
      <c r="X26" s="26" t="n">
        <f>15193</f>
        <v>15193.0</v>
      </c>
      <c r="Y26" s="24"/>
      <c r="Z26" s="25" t="n">
        <f>797071</f>
        <v>797071.0</v>
      </c>
      <c r="AA26" s="23"/>
      <c r="AB26" s="25" t="n">
        <f>476683</f>
        <v>476683.0</v>
      </c>
      <c r="AC26" s="23"/>
      <c r="AD26" s="26" t="n">
        <f>1273754</f>
        <v>1273754.0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38517</f>
        <v>38517.0</v>
      </c>
      <c r="F27" s="23"/>
      <c r="G27" s="25" t="n">
        <f>25335</f>
        <v>25335.0</v>
      </c>
      <c r="H27" s="23"/>
      <c r="I27" s="26" t="n">
        <f>63852</f>
        <v>63852.0</v>
      </c>
      <c r="J27" s="24"/>
      <c r="K27" s="25" t="n">
        <f>7965917150</f>
        <v>7.96591715E9</v>
      </c>
      <c r="L27" s="23"/>
      <c r="M27" s="25" t="n">
        <f>4735231250</f>
        <v>4.73523125E9</v>
      </c>
      <c r="N27" s="23"/>
      <c r="O27" s="26" t="n">
        <f>12701148400</f>
        <v>1.27011484E10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7020</f>
        <v>7020.0</v>
      </c>
      <c r="U27" s="23"/>
      <c r="V27" s="25" t="n">
        <f>6685</f>
        <v>6685.0</v>
      </c>
      <c r="W27" s="23"/>
      <c r="X27" s="26" t="n">
        <f>13705</f>
        <v>13705.0</v>
      </c>
      <c r="Y27" s="24"/>
      <c r="Z27" s="25" t="n">
        <f>802961</f>
        <v>802961.0</v>
      </c>
      <c r="AA27" s="23"/>
      <c r="AB27" s="25" t="n">
        <f>480379</f>
        <v>480379.0</v>
      </c>
      <c r="AC27" s="23"/>
      <c r="AD27" s="26" t="n">
        <f>1283340</f>
        <v>1283340.0</v>
      </c>
    </row>
    <row r="28">
      <c r="A28" s="30" t="s">
        <v>48</v>
      </c>
      <c r="B28" s="22" t="s">
        <v>27</v>
      </c>
      <c r="C28" s="22" t="s">
        <v>28</v>
      </c>
      <c r="D28" s="24"/>
      <c r="E28" s="25"/>
      <c r="F28" s="23"/>
      <c r="G28" s="25"/>
      <c r="H28" s="23"/>
      <c r="I28" s="26"/>
      <c r="J28" s="24"/>
      <c r="K28" s="25"/>
      <c r="L28" s="23"/>
      <c r="M28" s="25"/>
      <c r="N28" s="23"/>
      <c r="O28" s="26"/>
      <c r="P28" s="27"/>
      <c r="Q28" s="28"/>
      <c r="R28" s="29"/>
      <c r="S28" s="24"/>
      <c r="T28" s="25"/>
      <c r="U28" s="23"/>
      <c r="V28" s="25"/>
      <c r="W28" s="23"/>
      <c r="X28" s="26"/>
      <c r="Y28" s="24"/>
      <c r="Z28" s="25"/>
      <c r="AA28" s="23"/>
      <c r="AB28" s="25"/>
      <c r="AC28" s="23"/>
      <c r="AD28" s="26"/>
    </row>
    <row r="29">
      <c r="A29" s="30" t="s">
        <v>49</v>
      </c>
      <c r="B29" s="22" t="s">
        <v>27</v>
      </c>
      <c r="C29" s="22" t="s">
        <v>28</v>
      </c>
      <c r="D29" s="24"/>
      <c r="E29" s="25"/>
      <c r="F29" s="23"/>
      <c r="G29" s="25"/>
      <c r="H29" s="23"/>
      <c r="I29" s="26"/>
      <c r="J29" s="24"/>
      <c r="K29" s="25"/>
      <c r="L29" s="23"/>
      <c r="M29" s="25"/>
      <c r="N29" s="23"/>
      <c r="O29" s="26"/>
      <c r="P29" s="27"/>
      <c r="Q29" s="28"/>
      <c r="R29" s="29"/>
      <c r="S29" s="24"/>
      <c r="T29" s="25"/>
      <c r="U29" s="23"/>
      <c r="V29" s="25"/>
      <c r="W29" s="23"/>
      <c r="X29" s="26"/>
      <c r="Y29" s="24"/>
      <c r="Z29" s="25"/>
      <c r="AA29" s="23"/>
      <c r="AB29" s="25"/>
      <c r="AC29" s="23"/>
      <c r="AD29" s="26"/>
    </row>
    <row r="30">
      <c r="A30" s="30" t="s">
        <v>50</v>
      </c>
      <c r="B30" s="22" t="s">
        <v>27</v>
      </c>
      <c r="C30" s="22" t="s">
        <v>28</v>
      </c>
      <c r="D30" s="24" t="s">
        <v>33</v>
      </c>
      <c r="E30" s="25" t="n">
        <f>92502</f>
        <v>92502.0</v>
      </c>
      <c r="F30" s="23" t="s">
        <v>33</v>
      </c>
      <c r="G30" s="25" t="n">
        <f>63343</f>
        <v>63343.0</v>
      </c>
      <c r="H30" s="23" t="s">
        <v>33</v>
      </c>
      <c r="I30" s="26" t="n">
        <f>155845</f>
        <v>155845.0</v>
      </c>
      <c r="J30" s="24" t="s">
        <v>33</v>
      </c>
      <c r="K30" s="25" t="n">
        <f>24699438650</f>
        <v>2.469943865E10</v>
      </c>
      <c r="L30" s="23" t="s">
        <v>33</v>
      </c>
      <c r="M30" s="25" t="n">
        <f>11478771900</f>
        <v>1.14787719E10</v>
      </c>
      <c r="N30" s="23" t="s">
        <v>33</v>
      </c>
      <c r="O30" s="26" t="n">
        <f>36178210550</f>
        <v>3.617821055E10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 t="s">
        <v>33</v>
      </c>
      <c r="T30" s="25" t="n">
        <f>17026</f>
        <v>17026.0</v>
      </c>
      <c r="U30" s="23"/>
      <c r="V30" s="25" t="n">
        <f>13726</f>
        <v>13726.0</v>
      </c>
      <c r="W30" s="23" t="s">
        <v>33</v>
      </c>
      <c r="X30" s="26" t="n">
        <f>30752</f>
        <v>30752.0</v>
      </c>
      <c r="Y30" s="24"/>
      <c r="Z30" s="25" t="n">
        <f>810968</f>
        <v>810968.0</v>
      </c>
      <c r="AA30" s="23"/>
      <c r="AB30" s="25" t="n">
        <f>497537</f>
        <v>497537.0</v>
      </c>
      <c r="AC30" s="23"/>
      <c r="AD30" s="26" t="n">
        <f>1308505</f>
        <v>1308505.0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73071</f>
        <v>73071.0</v>
      </c>
      <c r="F31" s="23"/>
      <c r="G31" s="25" t="n">
        <f>54016</f>
        <v>54016.0</v>
      </c>
      <c r="H31" s="23"/>
      <c r="I31" s="26" t="n">
        <f>127087</f>
        <v>127087.0</v>
      </c>
      <c r="J31" s="24"/>
      <c r="K31" s="25" t="n">
        <f>17339297750</f>
        <v>1.733929775E10</v>
      </c>
      <c r="L31" s="23"/>
      <c r="M31" s="25" t="n">
        <f>11151922350</f>
        <v>1.115192235E10</v>
      </c>
      <c r="N31" s="23"/>
      <c r="O31" s="26" t="n">
        <f>28491220100</f>
        <v>2.84912201E10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12664</f>
        <v>12664.0</v>
      </c>
      <c r="U31" s="23"/>
      <c r="V31" s="25" t="n">
        <f>9868</f>
        <v>9868.0</v>
      </c>
      <c r="W31" s="23"/>
      <c r="X31" s="26" t="n">
        <f>22532</f>
        <v>22532.0</v>
      </c>
      <c r="Y31" s="24"/>
      <c r="Z31" s="25" t="n">
        <f>817354</f>
        <v>817354.0</v>
      </c>
      <c r="AA31" s="23"/>
      <c r="AB31" s="25" t="n">
        <f>503932</f>
        <v>503932.0</v>
      </c>
      <c r="AC31" s="23"/>
      <c r="AD31" s="26" t="n">
        <f>1321286</f>
        <v>1321286.0</v>
      </c>
    </row>
    <row r="32">
      <c r="A32" s="30" t="s">
        <v>52</v>
      </c>
      <c r="B32" s="22" t="s">
        <v>27</v>
      </c>
      <c r="C32" s="22" t="s">
        <v>28</v>
      </c>
      <c r="D32" s="24"/>
      <c r="E32" s="25" t="n">
        <f>49714</f>
        <v>49714.0</v>
      </c>
      <c r="F32" s="23"/>
      <c r="G32" s="25" t="n">
        <f>29626</f>
        <v>29626.0</v>
      </c>
      <c r="H32" s="23"/>
      <c r="I32" s="26" t="n">
        <f>79340</f>
        <v>79340.0</v>
      </c>
      <c r="J32" s="24"/>
      <c r="K32" s="25" t="n">
        <f>9630843150</f>
        <v>9.63084315E9</v>
      </c>
      <c r="L32" s="23"/>
      <c r="M32" s="25" t="n">
        <f>10891863130</f>
        <v>1.089186313E10</v>
      </c>
      <c r="N32" s="23"/>
      <c r="O32" s="26" t="n">
        <f>20522706280</f>
        <v>2.052270628E10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5050</f>
        <v>5050.0</v>
      </c>
      <c r="U32" s="23"/>
      <c r="V32" s="25" t="n">
        <f>5422</f>
        <v>5422.0</v>
      </c>
      <c r="W32" s="23"/>
      <c r="X32" s="26" t="n">
        <f>10472</f>
        <v>10472.0</v>
      </c>
      <c r="Y32" s="24"/>
      <c r="Z32" s="25" t="n">
        <f>825116</f>
        <v>825116.0</v>
      </c>
      <c r="AA32" s="23"/>
      <c r="AB32" s="25" t="n">
        <f>510738</f>
        <v>510738.0</v>
      </c>
      <c r="AC32" s="23"/>
      <c r="AD32" s="26" t="n">
        <f>1335854</f>
        <v>1335854.0</v>
      </c>
    </row>
    <row r="33">
      <c r="A33" s="30" t="s">
        <v>53</v>
      </c>
      <c r="B33" s="22" t="s">
        <v>27</v>
      </c>
      <c r="C33" s="22" t="s">
        <v>28</v>
      </c>
      <c r="D33" s="24"/>
      <c r="E33" s="25" t="n">
        <f>45488</f>
        <v>45488.0</v>
      </c>
      <c r="F33" s="23"/>
      <c r="G33" s="25" t="n">
        <f>25272</f>
        <v>25272.0</v>
      </c>
      <c r="H33" s="23"/>
      <c r="I33" s="26" t="n">
        <f>70760</f>
        <v>70760.0</v>
      </c>
      <c r="J33" s="24"/>
      <c r="K33" s="25" t="n">
        <f>12805444500</f>
        <v>1.28054445E10</v>
      </c>
      <c r="L33" s="23"/>
      <c r="M33" s="25" t="n">
        <f>9688421600</f>
        <v>9.6884216E9</v>
      </c>
      <c r="N33" s="23"/>
      <c r="O33" s="26" t="n">
        <f>22493866100</f>
        <v>2.24938661E10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8213</f>
        <v>8213.0</v>
      </c>
      <c r="U33" s="23" t="s">
        <v>29</v>
      </c>
      <c r="V33" s="25" t="n">
        <f>2463</f>
        <v>2463.0</v>
      </c>
      <c r="W33" s="23"/>
      <c r="X33" s="26" t="n">
        <f>10676</f>
        <v>10676.0</v>
      </c>
      <c r="Y33" s="24"/>
      <c r="Z33" s="25" t="n">
        <f>831083</f>
        <v>831083.0</v>
      </c>
      <c r="AA33" s="23"/>
      <c r="AB33" s="25" t="n">
        <f>514358</f>
        <v>514358.0</v>
      </c>
      <c r="AC33" s="23"/>
      <c r="AD33" s="26" t="n">
        <f>1345441</f>
        <v>1345441.0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55547</f>
        <v>55547.0</v>
      </c>
      <c r="F34" s="23"/>
      <c r="G34" s="25" t="n">
        <f>28379</f>
        <v>28379.0</v>
      </c>
      <c r="H34" s="23"/>
      <c r="I34" s="26" t="n">
        <f>83926</f>
        <v>83926.0</v>
      </c>
      <c r="J34" s="24"/>
      <c r="K34" s="25" t="n">
        <f>7377102955</f>
        <v>7.377102955E9</v>
      </c>
      <c r="L34" s="23"/>
      <c r="M34" s="25" t="n">
        <f>3135772450</f>
        <v>3.13577245E9</v>
      </c>
      <c r="N34" s="23" t="s">
        <v>29</v>
      </c>
      <c r="O34" s="26" t="n">
        <f>10512875405</f>
        <v>1.0512875405E10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12613</f>
        <v>12613.0</v>
      </c>
      <c r="U34" s="23"/>
      <c r="V34" s="25" t="n">
        <f>3618</f>
        <v>3618.0</v>
      </c>
      <c r="W34" s="23"/>
      <c r="X34" s="26" t="n">
        <f>16231</f>
        <v>16231.0</v>
      </c>
      <c r="Y34" s="24"/>
      <c r="Z34" s="25" t="n">
        <f>836684</f>
        <v>836684.0</v>
      </c>
      <c r="AA34" s="23"/>
      <c r="AB34" s="25" t="n">
        <f>521051</f>
        <v>521051.0</v>
      </c>
      <c r="AC34" s="23"/>
      <c r="AD34" s="26" t="n">
        <f>1357735</f>
        <v>1357735.0</v>
      </c>
    </row>
    <row r="35">
      <c r="A35" s="30" t="s">
        <v>55</v>
      </c>
      <c r="B35" s="22" t="s">
        <v>27</v>
      </c>
      <c r="C35" s="22" t="s">
        <v>28</v>
      </c>
      <c r="D35" s="24"/>
      <c r="E35" s="25"/>
      <c r="F35" s="23"/>
      <c r="G35" s="25"/>
      <c r="H35" s="23"/>
      <c r="I35" s="26"/>
      <c r="J35" s="24"/>
      <c r="K35" s="25"/>
      <c r="L35" s="23"/>
      <c r="M35" s="25"/>
      <c r="N35" s="23"/>
      <c r="O35" s="26"/>
      <c r="P35" s="27"/>
      <c r="Q35" s="28"/>
      <c r="R35" s="29"/>
      <c r="S35" s="24"/>
      <c r="T35" s="25"/>
      <c r="U35" s="23"/>
      <c r="V35" s="25"/>
      <c r="W35" s="23"/>
      <c r="X35" s="26"/>
      <c r="Y35" s="24"/>
      <c r="Z35" s="25"/>
      <c r="AA35" s="23"/>
      <c r="AB35" s="25"/>
      <c r="AC35" s="23"/>
      <c r="AD35" s="26"/>
    </row>
    <row r="36">
      <c r="A36" s="30" t="s">
        <v>56</v>
      </c>
      <c r="B36" s="22" t="s">
        <v>27</v>
      </c>
      <c r="C36" s="22" t="s">
        <v>28</v>
      </c>
      <c r="D36" s="24"/>
      <c r="E36" s="25"/>
      <c r="F36" s="23"/>
      <c r="G36" s="25"/>
      <c r="H36" s="23"/>
      <c r="I36" s="26"/>
      <c r="J36" s="24"/>
      <c r="K36" s="25"/>
      <c r="L36" s="23"/>
      <c r="M36" s="25"/>
      <c r="N36" s="23"/>
      <c r="O36" s="26"/>
      <c r="P36" s="27"/>
      <c r="Q36" s="28"/>
      <c r="R36" s="29"/>
      <c r="S36" s="24"/>
      <c r="T36" s="25"/>
      <c r="U36" s="23"/>
      <c r="V36" s="25"/>
      <c r="W36" s="23"/>
      <c r="X36" s="26"/>
      <c r="Y36" s="24"/>
      <c r="Z36" s="25"/>
      <c r="AA36" s="23"/>
      <c r="AB36" s="25"/>
      <c r="AC36" s="23"/>
      <c r="AD36" s="26"/>
    </row>
    <row r="37">
      <c r="A37" s="30" t="s">
        <v>57</v>
      </c>
      <c r="B37" s="22" t="s">
        <v>27</v>
      </c>
      <c r="C37" s="22" t="s">
        <v>28</v>
      </c>
      <c r="D37" s="24"/>
      <c r="E37" s="25" t="n">
        <f>47365</f>
        <v>47365.0</v>
      </c>
      <c r="F37" s="23"/>
      <c r="G37" s="25" t="n">
        <f>28658</f>
        <v>28658.0</v>
      </c>
      <c r="H37" s="23"/>
      <c r="I37" s="26" t="n">
        <f>76023</f>
        <v>76023.0</v>
      </c>
      <c r="J37" s="24"/>
      <c r="K37" s="25" t="n">
        <f>14485438839</f>
        <v>1.4485438839E10</v>
      </c>
      <c r="L37" s="23"/>
      <c r="M37" s="25" t="n">
        <f>5692328050</f>
        <v>5.69232805E9</v>
      </c>
      <c r="N37" s="23"/>
      <c r="O37" s="26" t="n">
        <f>20177766889</f>
        <v>2.0177766889E10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9179</f>
        <v>9179.0</v>
      </c>
      <c r="U37" s="23"/>
      <c r="V37" s="25" t="n">
        <f>4390</f>
        <v>4390.0</v>
      </c>
      <c r="W37" s="23"/>
      <c r="X37" s="26" t="n">
        <f>13569</f>
        <v>13569.0</v>
      </c>
      <c r="Y37" s="24"/>
      <c r="Z37" s="25" t="n">
        <f>838749</f>
        <v>838749.0</v>
      </c>
      <c r="AA37" s="23"/>
      <c r="AB37" s="25" t="n">
        <f>524518</f>
        <v>524518.0</v>
      </c>
      <c r="AC37" s="23"/>
      <c r="AD37" s="26" t="n">
        <f>1363267</f>
        <v>1363267.0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44973</f>
        <v>44973.0</v>
      </c>
      <c r="F38" s="23"/>
      <c r="G38" s="25" t="n">
        <f>27148</f>
        <v>27148.0</v>
      </c>
      <c r="H38" s="23"/>
      <c r="I38" s="26" t="n">
        <f>72121</f>
        <v>72121.0</v>
      </c>
      <c r="J38" s="24"/>
      <c r="K38" s="25" t="n">
        <f>6723109750</f>
        <v>6.72310975E9</v>
      </c>
      <c r="L38" s="23"/>
      <c r="M38" s="25" t="n">
        <f>6608147900</f>
        <v>6.6081479E9</v>
      </c>
      <c r="N38" s="23"/>
      <c r="O38" s="26" t="n">
        <f>13331257650</f>
        <v>1.333125765E10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7034</f>
        <v>7034.0</v>
      </c>
      <c r="U38" s="23"/>
      <c r="V38" s="25" t="n">
        <f>4278</f>
        <v>4278.0</v>
      </c>
      <c r="W38" s="23"/>
      <c r="X38" s="26" t="n">
        <f>11312</f>
        <v>11312.0</v>
      </c>
      <c r="Y38" s="24"/>
      <c r="Z38" s="25" t="n">
        <f>837273</f>
        <v>837273.0</v>
      </c>
      <c r="AA38" s="23"/>
      <c r="AB38" s="25" t="n">
        <f>529548</f>
        <v>529548.0</v>
      </c>
      <c r="AC38" s="23"/>
      <c r="AD38" s="26" t="n">
        <f>1366821</f>
        <v>1366821.0</v>
      </c>
    </row>
    <row r="39">
      <c r="A39" s="30" t="s">
        <v>59</v>
      </c>
      <c r="B39" s="22" t="s">
        <v>27</v>
      </c>
      <c r="C39" s="22" t="s">
        <v>28</v>
      </c>
      <c r="D39" s="24"/>
      <c r="E39" s="25" t="n">
        <f>41966</f>
        <v>41966.0</v>
      </c>
      <c r="F39" s="23"/>
      <c r="G39" s="25" t="n">
        <f>21765</f>
        <v>21765.0</v>
      </c>
      <c r="H39" s="23"/>
      <c r="I39" s="26" t="n">
        <f>63731</f>
        <v>63731.0</v>
      </c>
      <c r="J39" s="24"/>
      <c r="K39" s="25" t="n">
        <f>12277139460</f>
        <v>1.227713946E10</v>
      </c>
      <c r="L39" s="23"/>
      <c r="M39" s="25" t="n">
        <f>5686951820</f>
        <v>5.68695182E9</v>
      </c>
      <c r="N39" s="23"/>
      <c r="O39" s="26" t="n">
        <f>17964091280</f>
        <v>1.796409128E10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10629</f>
        <v>10629.0</v>
      </c>
      <c r="U39" s="23"/>
      <c r="V39" s="25" t="n">
        <f>3715</f>
        <v>3715.0</v>
      </c>
      <c r="W39" s="23"/>
      <c r="X39" s="26" t="n">
        <f>14344</f>
        <v>14344.0</v>
      </c>
      <c r="Y39" s="24"/>
      <c r="Z39" s="25" t="n">
        <f>846157</f>
        <v>846157.0</v>
      </c>
      <c r="AA39" s="23"/>
      <c r="AB39" s="25" t="n">
        <f>532553</f>
        <v>532553.0</v>
      </c>
      <c r="AC39" s="23"/>
      <c r="AD39" s="26" t="n">
        <f>1378710</f>
        <v>1378710.0</v>
      </c>
    </row>
    <row r="40">
      <c r="A40" s="30" t="s">
        <v>26</v>
      </c>
      <c r="B40" s="22" t="s">
        <v>60</v>
      </c>
      <c r="C40" s="22" t="s">
        <v>61</v>
      </c>
      <c r="D40" s="24"/>
      <c r="E40" s="25" t="n">
        <f>1160</f>
        <v>1160.0</v>
      </c>
      <c r="F40" s="23"/>
      <c r="G40" s="25" t="n">
        <f>907</f>
        <v>907.0</v>
      </c>
      <c r="H40" s="23"/>
      <c r="I40" s="26" t="n">
        <f>2067</f>
        <v>2067.0</v>
      </c>
      <c r="J40" s="24"/>
      <c r="K40" s="25" t="n">
        <f>54396000</f>
        <v>5.4396E7</v>
      </c>
      <c r="L40" s="23"/>
      <c r="M40" s="25" t="n">
        <f>55286000</f>
        <v>5.5286E7</v>
      </c>
      <c r="N40" s="23"/>
      <c r="O40" s="26" t="n">
        <f>109682000</f>
        <v>1.09682E8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75</f>
        <v>75.0</v>
      </c>
      <c r="U40" s="23"/>
      <c r="V40" s="25" t="n">
        <f>123</f>
        <v>123.0</v>
      </c>
      <c r="W40" s="23"/>
      <c r="X40" s="26" t="n">
        <f>198</f>
        <v>198.0</v>
      </c>
      <c r="Y40" s="24"/>
      <c r="Z40" s="25" t="n">
        <f>1996</f>
        <v>1996.0</v>
      </c>
      <c r="AA40" s="23"/>
      <c r="AB40" s="25" t="n">
        <f>3593</f>
        <v>3593.0</v>
      </c>
      <c r="AC40" s="23"/>
      <c r="AD40" s="26" t="n">
        <f>5589</f>
        <v>5589.0</v>
      </c>
    </row>
    <row r="41">
      <c r="A41" s="30" t="s">
        <v>30</v>
      </c>
      <c r="B41" s="22" t="s">
        <v>60</v>
      </c>
      <c r="C41" s="22" t="s">
        <v>61</v>
      </c>
      <c r="D41" s="24"/>
      <c r="E41" s="25" t="n">
        <f>1103</f>
        <v>1103.0</v>
      </c>
      <c r="F41" s="23"/>
      <c r="G41" s="25" t="n">
        <f>1310</f>
        <v>1310.0</v>
      </c>
      <c r="H41" s="23"/>
      <c r="I41" s="26" t="n">
        <f>2413</f>
        <v>2413.0</v>
      </c>
      <c r="J41" s="24"/>
      <c r="K41" s="25" t="n">
        <f>35227000</f>
        <v>3.5227E7</v>
      </c>
      <c r="L41" s="23"/>
      <c r="M41" s="25" t="n">
        <f>73779000</f>
        <v>7.3779E7</v>
      </c>
      <c r="N41" s="23"/>
      <c r="O41" s="26" t="n">
        <f>109006000</f>
        <v>1.09006E8</v>
      </c>
      <c r="P41" s="27" t="str">
        <f>"－"</f>
        <v>－</v>
      </c>
      <c r="Q41" s="28" t="str">
        <f>"－"</f>
        <v>－</v>
      </c>
      <c r="R41" s="29" t="str">
        <f>"－"</f>
        <v>－</v>
      </c>
      <c r="S41" s="24"/>
      <c r="T41" s="25" t="n">
        <f>173</f>
        <v>173.0</v>
      </c>
      <c r="U41" s="23"/>
      <c r="V41" s="25" t="n">
        <f>147</f>
        <v>147.0</v>
      </c>
      <c r="W41" s="23"/>
      <c r="X41" s="26" t="n">
        <f>320</f>
        <v>320.0</v>
      </c>
      <c r="Y41" s="24"/>
      <c r="Z41" s="25" t="n">
        <f>2102</f>
        <v>2102.0</v>
      </c>
      <c r="AA41" s="23"/>
      <c r="AB41" s="25" t="n">
        <f>3843</f>
        <v>3843.0</v>
      </c>
      <c r="AC41" s="23"/>
      <c r="AD41" s="26" t="n">
        <f>5945</f>
        <v>5945.0</v>
      </c>
    </row>
    <row r="42">
      <c r="A42" s="30" t="s">
        <v>31</v>
      </c>
      <c r="B42" s="22" t="s">
        <v>60</v>
      </c>
      <c r="C42" s="22" t="s">
        <v>61</v>
      </c>
      <c r="D42" s="24"/>
      <c r="E42" s="25" t="n">
        <f>1552</f>
        <v>1552.0</v>
      </c>
      <c r="F42" s="23"/>
      <c r="G42" s="25" t="n">
        <f>1390</f>
        <v>1390.0</v>
      </c>
      <c r="H42" s="23"/>
      <c r="I42" s="26" t="n">
        <f>2942</f>
        <v>2942.0</v>
      </c>
      <c r="J42" s="24"/>
      <c r="K42" s="25" t="n">
        <f>33331000</f>
        <v>3.3331E7</v>
      </c>
      <c r="L42" s="23"/>
      <c r="M42" s="25" t="n">
        <f>66787000</f>
        <v>6.6787E7</v>
      </c>
      <c r="N42" s="23"/>
      <c r="O42" s="26" t="n">
        <f>100118000</f>
        <v>1.00118E8</v>
      </c>
      <c r="P42" s="27" t="str">
        <f>"－"</f>
        <v>－</v>
      </c>
      <c r="Q42" s="28" t="str">
        <f>"－"</f>
        <v>－</v>
      </c>
      <c r="R42" s="29" t="str">
        <f>"－"</f>
        <v>－</v>
      </c>
      <c r="S42" s="24"/>
      <c r="T42" s="25" t="n">
        <f>212</f>
        <v>212.0</v>
      </c>
      <c r="U42" s="23"/>
      <c r="V42" s="25" t="n">
        <f>141</f>
        <v>141.0</v>
      </c>
      <c r="W42" s="23"/>
      <c r="X42" s="26" t="n">
        <f>353</f>
        <v>353.0</v>
      </c>
      <c r="Y42" s="24"/>
      <c r="Z42" s="25" t="n">
        <f>2322</f>
        <v>2322.0</v>
      </c>
      <c r="AA42" s="23"/>
      <c r="AB42" s="25" t="n">
        <f>4001</f>
        <v>4001.0</v>
      </c>
      <c r="AC42" s="23"/>
      <c r="AD42" s="26" t="n">
        <f>6323</f>
        <v>6323.0</v>
      </c>
    </row>
    <row r="43">
      <c r="A43" s="30" t="s">
        <v>32</v>
      </c>
      <c r="B43" s="22" t="s">
        <v>60</v>
      </c>
      <c r="C43" s="22" t="s">
        <v>61</v>
      </c>
      <c r="D43" s="24"/>
      <c r="E43" s="25" t="n">
        <f>72</f>
        <v>72.0</v>
      </c>
      <c r="F43" s="23"/>
      <c r="G43" s="25" t="n">
        <f>381</f>
        <v>381.0</v>
      </c>
      <c r="H43" s="23"/>
      <c r="I43" s="26" t="n">
        <f>453</f>
        <v>453.0</v>
      </c>
      <c r="J43" s="24"/>
      <c r="K43" s="25" t="n">
        <f>20394000</f>
        <v>2.0394E7</v>
      </c>
      <c r="L43" s="23"/>
      <c r="M43" s="25" t="n">
        <f>133044000</f>
        <v>1.33044E8</v>
      </c>
      <c r="N43" s="23"/>
      <c r="O43" s="26" t="n">
        <f>153438000</f>
        <v>1.53438E8</v>
      </c>
      <c r="P43" s="27" t="n">
        <f>139</f>
        <v>139.0</v>
      </c>
      <c r="Q43" s="28" t="n">
        <f>187</f>
        <v>187.0</v>
      </c>
      <c r="R43" s="29" t="n">
        <f>326</f>
        <v>326.0</v>
      </c>
      <c r="S43" s="24" t="s">
        <v>29</v>
      </c>
      <c r="T43" s="25" t="n">
        <f>1</f>
        <v>1.0</v>
      </c>
      <c r="U43" s="23"/>
      <c r="V43" s="25" t="n">
        <f>280</f>
        <v>280.0</v>
      </c>
      <c r="W43" s="23"/>
      <c r="X43" s="26" t="n">
        <f>281</f>
        <v>281.0</v>
      </c>
      <c r="Y43" s="24" t="s">
        <v>29</v>
      </c>
      <c r="Z43" s="25" t="n">
        <f>112</f>
        <v>112.0</v>
      </c>
      <c r="AA43" s="23" t="s">
        <v>29</v>
      </c>
      <c r="AB43" s="25" t="n">
        <f>902</f>
        <v>902.0</v>
      </c>
      <c r="AC43" s="23" t="s">
        <v>29</v>
      </c>
      <c r="AD43" s="26" t="n">
        <f>1014</f>
        <v>1014.0</v>
      </c>
    </row>
    <row r="44">
      <c r="A44" s="30" t="s">
        <v>34</v>
      </c>
      <c r="B44" s="22" t="s">
        <v>60</v>
      </c>
      <c r="C44" s="22" t="s">
        <v>61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35</v>
      </c>
      <c r="B45" s="22" t="s">
        <v>60</v>
      </c>
      <c r="C45" s="22" t="s">
        <v>61</v>
      </c>
      <c r="D45" s="24"/>
      <c r="E45" s="25"/>
      <c r="F45" s="23"/>
      <c r="G45" s="25"/>
      <c r="H45" s="23"/>
      <c r="I45" s="26"/>
      <c r="J45" s="24"/>
      <c r="K45" s="25"/>
      <c r="L45" s="23"/>
      <c r="M45" s="25"/>
      <c r="N45" s="23"/>
      <c r="O45" s="26"/>
      <c r="P45" s="27"/>
      <c r="Q45" s="28"/>
      <c r="R45" s="29"/>
      <c r="S45" s="24"/>
      <c r="T45" s="25"/>
      <c r="U45" s="23"/>
      <c r="V45" s="25"/>
      <c r="W45" s="23"/>
      <c r="X45" s="26"/>
      <c r="Y45" s="24"/>
      <c r="Z45" s="25"/>
      <c r="AA45" s="23"/>
      <c r="AB45" s="25"/>
      <c r="AC45" s="23"/>
      <c r="AD45" s="26"/>
    </row>
    <row r="46">
      <c r="A46" s="30" t="s">
        <v>36</v>
      </c>
      <c r="B46" s="22" t="s">
        <v>60</v>
      </c>
      <c r="C46" s="22" t="s">
        <v>61</v>
      </c>
      <c r="D46" s="24" t="s">
        <v>29</v>
      </c>
      <c r="E46" s="25" t="n">
        <f>44</f>
        <v>44.0</v>
      </c>
      <c r="F46" s="23" t="s">
        <v>29</v>
      </c>
      <c r="G46" s="25" t="n">
        <f>89</f>
        <v>89.0</v>
      </c>
      <c r="H46" s="23" t="s">
        <v>29</v>
      </c>
      <c r="I46" s="26" t="n">
        <f>133</f>
        <v>133.0</v>
      </c>
      <c r="J46" s="24" t="s">
        <v>29</v>
      </c>
      <c r="K46" s="25" t="n">
        <f>2976000</f>
        <v>2976000.0</v>
      </c>
      <c r="L46" s="23"/>
      <c r="M46" s="25" t="n">
        <f>26976000</f>
        <v>2.6976E7</v>
      </c>
      <c r="N46" s="23"/>
      <c r="O46" s="26" t="n">
        <f>29952000</f>
        <v>2.9952E7</v>
      </c>
      <c r="P46" s="27" t="str">
        <f>"－"</f>
        <v>－</v>
      </c>
      <c r="Q46" s="28" t="str">
        <f>"－"</f>
        <v>－</v>
      </c>
      <c r="R46" s="29" t="str">
        <f>"－"</f>
        <v>－</v>
      </c>
      <c r="S46" s="24"/>
      <c r="T46" s="25" t="n">
        <f>3</f>
        <v>3.0</v>
      </c>
      <c r="U46" s="23" t="s">
        <v>29</v>
      </c>
      <c r="V46" s="25" t="n">
        <f>1</f>
        <v>1.0</v>
      </c>
      <c r="W46" s="23" t="s">
        <v>29</v>
      </c>
      <c r="X46" s="26" t="n">
        <f>4</f>
        <v>4.0</v>
      </c>
      <c r="Y46" s="24"/>
      <c r="Z46" s="25" t="n">
        <f>138</f>
        <v>138.0</v>
      </c>
      <c r="AA46" s="23"/>
      <c r="AB46" s="25" t="n">
        <f>948</f>
        <v>948.0</v>
      </c>
      <c r="AC46" s="23"/>
      <c r="AD46" s="26" t="n">
        <f>1086</f>
        <v>1086.0</v>
      </c>
    </row>
    <row r="47">
      <c r="A47" s="30" t="s">
        <v>37</v>
      </c>
      <c r="B47" s="22" t="s">
        <v>60</v>
      </c>
      <c r="C47" s="22" t="s">
        <v>61</v>
      </c>
      <c r="D47" s="24"/>
      <c r="E47" s="25" t="n">
        <f>131</f>
        <v>131.0</v>
      </c>
      <c r="F47" s="23"/>
      <c r="G47" s="25" t="n">
        <f>147</f>
        <v>147.0</v>
      </c>
      <c r="H47" s="23"/>
      <c r="I47" s="26" t="n">
        <f>278</f>
        <v>278.0</v>
      </c>
      <c r="J47" s="24"/>
      <c r="K47" s="25" t="n">
        <f>8730000</f>
        <v>8730000.0</v>
      </c>
      <c r="L47" s="23" t="s">
        <v>29</v>
      </c>
      <c r="M47" s="25" t="n">
        <f>15069000</f>
        <v>1.5069E7</v>
      </c>
      <c r="N47" s="23" t="s">
        <v>29</v>
      </c>
      <c r="O47" s="26" t="n">
        <f>23799000</f>
        <v>2.3799E7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7</f>
        <v>7.0</v>
      </c>
      <c r="U47" s="23"/>
      <c r="V47" s="25" t="n">
        <f>5</f>
        <v>5.0</v>
      </c>
      <c r="W47" s="23"/>
      <c r="X47" s="26" t="n">
        <f>12</f>
        <v>12.0</v>
      </c>
      <c r="Y47" s="24"/>
      <c r="Z47" s="25" t="n">
        <f>222</f>
        <v>222.0</v>
      </c>
      <c r="AA47" s="23"/>
      <c r="AB47" s="25" t="n">
        <f>1081</f>
        <v>1081.0</v>
      </c>
      <c r="AC47" s="23"/>
      <c r="AD47" s="26" t="n">
        <f>1303</f>
        <v>1303.0</v>
      </c>
    </row>
    <row r="48">
      <c r="A48" s="30" t="s">
        <v>38</v>
      </c>
      <c r="B48" s="22" t="s">
        <v>60</v>
      </c>
      <c r="C48" s="22" t="s">
        <v>61</v>
      </c>
      <c r="D48" s="24"/>
      <c r="E48" s="25" t="n">
        <f>668</f>
        <v>668.0</v>
      </c>
      <c r="F48" s="23"/>
      <c r="G48" s="25" t="n">
        <f>614</f>
        <v>614.0</v>
      </c>
      <c r="H48" s="23"/>
      <c r="I48" s="26" t="n">
        <f>1282</f>
        <v>1282.0</v>
      </c>
      <c r="J48" s="24"/>
      <c r="K48" s="25" t="n">
        <f>71503000</f>
        <v>7.1503E7</v>
      </c>
      <c r="L48" s="23"/>
      <c r="M48" s="25" t="n">
        <f>70789000</f>
        <v>7.0789E7</v>
      </c>
      <c r="N48" s="23"/>
      <c r="O48" s="26" t="n">
        <f>142292000</f>
        <v>1.42292E8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12</f>
        <v>12.0</v>
      </c>
      <c r="U48" s="23"/>
      <c r="V48" s="25" t="n">
        <f>6</f>
        <v>6.0</v>
      </c>
      <c r="W48" s="23"/>
      <c r="X48" s="26" t="n">
        <f>18</f>
        <v>18.0</v>
      </c>
      <c r="Y48" s="24"/>
      <c r="Z48" s="25" t="n">
        <f>849</f>
        <v>849.0</v>
      </c>
      <c r="AA48" s="23"/>
      <c r="AB48" s="25" t="n">
        <f>1621</f>
        <v>1621.0</v>
      </c>
      <c r="AC48" s="23"/>
      <c r="AD48" s="26" t="n">
        <f>2470</f>
        <v>2470.0</v>
      </c>
    </row>
    <row r="49">
      <c r="A49" s="30" t="s">
        <v>39</v>
      </c>
      <c r="B49" s="22" t="s">
        <v>60</v>
      </c>
      <c r="C49" s="22" t="s">
        <v>61</v>
      </c>
      <c r="D49" s="24"/>
      <c r="E49" s="25" t="n">
        <f>601</f>
        <v>601.0</v>
      </c>
      <c r="F49" s="23"/>
      <c r="G49" s="25" t="n">
        <f>1452</f>
        <v>1452.0</v>
      </c>
      <c r="H49" s="23"/>
      <c r="I49" s="26" t="n">
        <f>2053</f>
        <v>2053.0</v>
      </c>
      <c r="J49" s="24"/>
      <c r="K49" s="25" t="n">
        <f>54903000</f>
        <v>5.4903E7</v>
      </c>
      <c r="L49" s="23"/>
      <c r="M49" s="25" t="n">
        <f>227809000</f>
        <v>2.27809E8</v>
      </c>
      <c r="N49" s="23"/>
      <c r="O49" s="26" t="n">
        <f>282712000</f>
        <v>2.82712E8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124</f>
        <v>124.0</v>
      </c>
      <c r="U49" s="23"/>
      <c r="V49" s="25" t="n">
        <f>207</f>
        <v>207.0</v>
      </c>
      <c r="W49" s="23"/>
      <c r="X49" s="26" t="n">
        <f>331</f>
        <v>331.0</v>
      </c>
      <c r="Y49" s="24"/>
      <c r="Z49" s="25" t="n">
        <f>1253</f>
        <v>1253.0</v>
      </c>
      <c r="AA49" s="23"/>
      <c r="AB49" s="25" t="n">
        <f>2884</f>
        <v>2884.0</v>
      </c>
      <c r="AC49" s="23"/>
      <c r="AD49" s="26" t="n">
        <f>4137</f>
        <v>4137.0</v>
      </c>
    </row>
    <row r="50">
      <c r="A50" s="30" t="s">
        <v>40</v>
      </c>
      <c r="B50" s="22" t="s">
        <v>60</v>
      </c>
      <c r="C50" s="22" t="s">
        <v>61</v>
      </c>
      <c r="D50" s="24"/>
      <c r="E50" s="25" t="n">
        <f>710</f>
        <v>710.0</v>
      </c>
      <c r="F50" s="23"/>
      <c r="G50" s="25" t="n">
        <f>1495</f>
        <v>1495.0</v>
      </c>
      <c r="H50" s="23"/>
      <c r="I50" s="26" t="n">
        <f>2205</f>
        <v>2205.0</v>
      </c>
      <c r="J50" s="24"/>
      <c r="K50" s="25" t="n">
        <f>84515000</f>
        <v>8.4515E7</v>
      </c>
      <c r="L50" s="23"/>
      <c r="M50" s="25" t="n">
        <f>122528000</f>
        <v>1.22528E8</v>
      </c>
      <c r="N50" s="23"/>
      <c r="O50" s="26" t="n">
        <f>207043000</f>
        <v>2.07043E8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/>
      <c r="T50" s="25" t="n">
        <f>40</f>
        <v>40.0</v>
      </c>
      <c r="U50" s="23"/>
      <c r="V50" s="25" t="n">
        <f>89</f>
        <v>89.0</v>
      </c>
      <c r="W50" s="23"/>
      <c r="X50" s="26" t="n">
        <f>129</f>
        <v>129.0</v>
      </c>
      <c r="Y50" s="24"/>
      <c r="Z50" s="25" t="n">
        <f>1529</f>
        <v>1529.0</v>
      </c>
      <c r="AA50" s="23"/>
      <c r="AB50" s="25" t="n">
        <f>3772</f>
        <v>3772.0</v>
      </c>
      <c r="AC50" s="23"/>
      <c r="AD50" s="26" t="n">
        <f>5301</f>
        <v>5301.0</v>
      </c>
    </row>
    <row r="51">
      <c r="A51" s="30" t="s">
        <v>41</v>
      </c>
      <c r="B51" s="22" t="s">
        <v>60</v>
      </c>
      <c r="C51" s="22" t="s">
        <v>61</v>
      </c>
      <c r="D51" s="24"/>
      <c r="E51" s="25"/>
      <c r="F51" s="23"/>
      <c r="G51" s="25"/>
      <c r="H51" s="23"/>
      <c r="I51" s="26"/>
      <c r="J51" s="24"/>
      <c r="K51" s="25"/>
      <c r="L51" s="23"/>
      <c r="M51" s="25"/>
      <c r="N51" s="23"/>
      <c r="O51" s="26"/>
      <c r="P51" s="27"/>
      <c r="Q51" s="28"/>
      <c r="R51" s="29"/>
      <c r="S51" s="24"/>
      <c r="T51" s="25"/>
      <c r="U51" s="23"/>
      <c r="V51" s="25"/>
      <c r="W51" s="23"/>
      <c r="X51" s="26"/>
      <c r="Y51" s="24"/>
      <c r="Z51" s="25"/>
      <c r="AA51" s="23"/>
      <c r="AB51" s="25"/>
      <c r="AC51" s="23"/>
      <c r="AD51" s="26"/>
    </row>
    <row r="52">
      <c r="A52" s="30" t="s">
        <v>42</v>
      </c>
      <c r="B52" s="22" t="s">
        <v>60</v>
      </c>
      <c r="C52" s="22" t="s">
        <v>61</v>
      </c>
      <c r="D52" s="24"/>
      <c r="E52" s="25"/>
      <c r="F52" s="23"/>
      <c r="G52" s="25"/>
      <c r="H52" s="23"/>
      <c r="I52" s="26"/>
      <c r="J52" s="24"/>
      <c r="K52" s="25"/>
      <c r="L52" s="23"/>
      <c r="M52" s="25"/>
      <c r="N52" s="23"/>
      <c r="O52" s="26"/>
      <c r="P52" s="27"/>
      <c r="Q52" s="28"/>
      <c r="R52" s="29"/>
      <c r="S52" s="24"/>
      <c r="T52" s="25"/>
      <c r="U52" s="23"/>
      <c r="V52" s="25"/>
      <c r="W52" s="23"/>
      <c r="X52" s="26"/>
      <c r="Y52" s="24"/>
      <c r="Z52" s="25"/>
      <c r="AA52" s="23"/>
      <c r="AB52" s="25"/>
      <c r="AC52" s="23"/>
      <c r="AD52" s="26"/>
    </row>
    <row r="53">
      <c r="A53" s="30" t="s">
        <v>43</v>
      </c>
      <c r="B53" s="22" t="s">
        <v>60</v>
      </c>
      <c r="C53" s="22" t="s">
        <v>61</v>
      </c>
      <c r="D53" s="24"/>
      <c r="E53" s="25" t="n">
        <f>1412</f>
        <v>1412.0</v>
      </c>
      <c r="F53" s="23"/>
      <c r="G53" s="25" t="n">
        <f>1132</f>
        <v>1132.0</v>
      </c>
      <c r="H53" s="23"/>
      <c r="I53" s="26" t="n">
        <f>2544</f>
        <v>2544.0</v>
      </c>
      <c r="J53" s="24"/>
      <c r="K53" s="25" t="n">
        <f>49980000</f>
        <v>4.998E7</v>
      </c>
      <c r="L53" s="23"/>
      <c r="M53" s="25" t="n">
        <f>44840000</f>
        <v>4.484E7</v>
      </c>
      <c r="N53" s="23"/>
      <c r="O53" s="26" t="n">
        <f>94820000</f>
        <v>9.482E7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99</f>
        <v>99.0</v>
      </c>
      <c r="U53" s="23"/>
      <c r="V53" s="25" t="n">
        <f>91</f>
        <v>91.0</v>
      </c>
      <c r="W53" s="23"/>
      <c r="X53" s="26" t="n">
        <f>190</f>
        <v>190.0</v>
      </c>
      <c r="Y53" s="24"/>
      <c r="Z53" s="25" t="n">
        <f>2093</f>
        <v>2093.0</v>
      </c>
      <c r="AA53" s="23"/>
      <c r="AB53" s="25" t="n">
        <f>4295</f>
        <v>4295.0</v>
      </c>
      <c r="AC53" s="23"/>
      <c r="AD53" s="26" t="n">
        <f>6388</f>
        <v>6388.0</v>
      </c>
    </row>
    <row r="54">
      <c r="A54" s="30" t="s">
        <v>44</v>
      </c>
      <c r="B54" s="22" t="s">
        <v>60</v>
      </c>
      <c r="C54" s="22" t="s">
        <v>61</v>
      </c>
      <c r="D54" s="24"/>
      <c r="E54" s="25" t="n">
        <f>1701</f>
        <v>1701.0</v>
      </c>
      <c r="F54" s="23"/>
      <c r="G54" s="25" t="n">
        <f>2650</f>
        <v>2650.0</v>
      </c>
      <c r="H54" s="23"/>
      <c r="I54" s="26" t="n">
        <f>4351</f>
        <v>4351.0</v>
      </c>
      <c r="J54" s="24"/>
      <c r="K54" s="25" t="n">
        <f>46781000</f>
        <v>4.6781E7</v>
      </c>
      <c r="L54" s="23" t="s">
        <v>33</v>
      </c>
      <c r="M54" s="25" t="n">
        <f>358635000</f>
        <v>3.58635E8</v>
      </c>
      <c r="N54" s="23"/>
      <c r="O54" s="26" t="n">
        <f>405416000</f>
        <v>4.05416E8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172</f>
        <v>172.0</v>
      </c>
      <c r="U54" s="23"/>
      <c r="V54" s="25" t="n">
        <f>63</f>
        <v>63.0</v>
      </c>
      <c r="W54" s="23"/>
      <c r="X54" s="26" t="n">
        <f>235</f>
        <v>235.0</v>
      </c>
      <c r="Y54" s="24"/>
      <c r="Z54" s="25" t="n">
        <f>2528</f>
        <v>2528.0</v>
      </c>
      <c r="AA54" s="23"/>
      <c r="AB54" s="25" t="n">
        <f>5623</f>
        <v>5623.0</v>
      </c>
      <c r="AC54" s="23"/>
      <c r="AD54" s="26" t="n">
        <f>8151</f>
        <v>8151.0</v>
      </c>
    </row>
    <row r="55">
      <c r="A55" s="30" t="s">
        <v>45</v>
      </c>
      <c r="B55" s="22" t="s">
        <v>60</v>
      </c>
      <c r="C55" s="22" t="s">
        <v>61</v>
      </c>
      <c r="D55" s="24"/>
      <c r="E55" s="25" t="n">
        <f>3044</f>
        <v>3044.0</v>
      </c>
      <c r="F55" s="23"/>
      <c r="G55" s="25" t="n">
        <f>1908</f>
        <v>1908.0</v>
      </c>
      <c r="H55" s="23"/>
      <c r="I55" s="26" t="n">
        <f>4952</f>
        <v>4952.0</v>
      </c>
      <c r="J55" s="24"/>
      <c r="K55" s="25" t="n">
        <f>167453000</f>
        <v>1.67453E8</v>
      </c>
      <c r="L55" s="23"/>
      <c r="M55" s="25" t="n">
        <f>151524000</f>
        <v>1.51524E8</v>
      </c>
      <c r="N55" s="23"/>
      <c r="O55" s="26" t="n">
        <f>318977000</f>
        <v>3.18977E8</v>
      </c>
      <c r="P55" s="27" t="str">
        <f>"－"</f>
        <v>－</v>
      </c>
      <c r="Q55" s="28" t="str">
        <f>"－"</f>
        <v>－</v>
      </c>
      <c r="R55" s="29" t="str">
        <f>"－"</f>
        <v>－</v>
      </c>
      <c r="S55" s="24"/>
      <c r="T55" s="25" t="n">
        <f>114</f>
        <v>114.0</v>
      </c>
      <c r="U55" s="23"/>
      <c r="V55" s="25" t="n">
        <f>69</f>
        <v>69.0</v>
      </c>
      <c r="W55" s="23"/>
      <c r="X55" s="26" t="n">
        <f>183</f>
        <v>183.0</v>
      </c>
      <c r="Y55" s="24"/>
      <c r="Z55" s="25" t="n">
        <f>4489</f>
        <v>4489.0</v>
      </c>
      <c r="AA55" s="23"/>
      <c r="AB55" s="25" t="n">
        <f>6542</f>
        <v>6542.0</v>
      </c>
      <c r="AC55" s="23"/>
      <c r="AD55" s="26" t="n">
        <f>11031</f>
        <v>11031.0</v>
      </c>
    </row>
    <row r="56">
      <c r="A56" s="30" t="s">
        <v>46</v>
      </c>
      <c r="B56" s="22" t="s">
        <v>60</v>
      </c>
      <c r="C56" s="22" t="s">
        <v>61</v>
      </c>
      <c r="D56" s="24"/>
      <c r="E56" s="25" t="n">
        <f>3643</f>
        <v>3643.0</v>
      </c>
      <c r="F56" s="23"/>
      <c r="G56" s="25" t="n">
        <f>2168</f>
        <v>2168.0</v>
      </c>
      <c r="H56" s="23"/>
      <c r="I56" s="26" t="n">
        <f>5811</f>
        <v>5811.0</v>
      </c>
      <c r="J56" s="24"/>
      <c r="K56" s="25" t="n">
        <f>177932000</f>
        <v>1.77932E8</v>
      </c>
      <c r="L56" s="23"/>
      <c r="M56" s="25" t="n">
        <f>91775000</f>
        <v>9.1775E7</v>
      </c>
      <c r="N56" s="23"/>
      <c r="O56" s="26" t="n">
        <f>269707000</f>
        <v>2.69707E8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196</f>
        <v>196.0</v>
      </c>
      <c r="U56" s="23"/>
      <c r="V56" s="25" t="n">
        <f>230</f>
        <v>230.0</v>
      </c>
      <c r="W56" s="23"/>
      <c r="X56" s="26" t="n">
        <f>426</f>
        <v>426.0</v>
      </c>
      <c r="Y56" s="24"/>
      <c r="Z56" s="25" t="n">
        <f>5602</f>
        <v>5602.0</v>
      </c>
      <c r="AA56" s="23" t="s">
        <v>33</v>
      </c>
      <c r="AB56" s="25" t="n">
        <f>7041</f>
        <v>7041.0</v>
      </c>
      <c r="AC56" s="23" t="s">
        <v>33</v>
      </c>
      <c r="AD56" s="26" t="n">
        <f>12643</f>
        <v>12643.0</v>
      </c>
    </row>
    <row r="57">
      <c r="A57" s="30" t="s">
        <v>47</v>
      </c>
      <c r="B57" s="22" t="s">
        <v>60</v>
      </c>
      <c r="C57" s="22" t="s">
        <v>61</v>
      </c>
      <c r="D57" s="24"/>
      <c r="E57" s="25" t="n">
        <f>1249</f>
        <v>1249.0</v>
      </c>
      <c r="F57" s="23"/>
      <c r="G57" s="25" t="n">
        <f>1875</f>
        <v>1875.0</v>
      </c>
      <c r="H57" s="23"/>
      <c r="I57" s="26" t="n">
        <f>3124</f>
        <v>3124.0</v>
      </c>
      <c r="J57" s="24"/>
      <c r="K57" s="25" t="n">
        <f>87625000</f>
        <v>8.7625E7</v>
      </c>
      <c r="L57" s="23"/>
      <c r="M57" s="25" t="n">
        <f>209001000</f>
        <v>2.09001E8</v>
      </c>
      <c r="N57" s="23"/>
      <c r="O57" s="26" t="n">
        <f>296626000</f>
        <v>2.96626E8</v>
      </c>
      <c r="P57" s="27" t="n">
        <f>353</f>
        <v>353.0</v>
      </c>
      <c r="Q57" s="28" t="n">
        <f>885</f>
        <v>885.0</v>
      </c>
      <c r="R57" s="29" t="n">
        <f>1238</f>
        <v>1238.0</v>
      </c>
      <c r="S57" s="24"/>
      <c r="T57" s="25" t="n">
        <f>34</f>
        <v>34.0</v>
      </c>
      <c r="U57" s="23"/>
      <c r="V57" s="25" t="n">
        <f>366</f>
        <v>366.0</v>
      </c>
      <c r="W57" s="23"/>
      <c r="X57" s="26" t="n">
        <f>400</f>
        <v>400.0</v>
      </c>
      <c r="Y57" s="24"/>
      <c r="Z57" s="25" t="n">
        <f>2126</f>
        <v>2126.0</v>
      </c>
      <c r="AA57" s="23"/>
      <c r="AB57" s="25" t="n">
        <f>4017</f>
        <v>4017.0</v>
      </c>
      <c r="AC57" s="23"/>
      <c r="AD57" s="26" t="n">
        <f>6143</f>
        <v>6143.0</v>
      </c>
    </row>
    <row r="58">
      <c r="A58" s="30" t="s">
        <v>48</v>
      </c>
      <c r="B58" s="22" t="s">
        <v>60</v>
      </c>
      <c r="C58" s="22" t="s">
        <v>61</v>
      </c>
      <c r="D58" s="24"/>
      <c r="E58" s="25"/>
      <c r="F58" s="23"/>
      <c r="G58" s="25"/>
      <c r="H58" s="23"/>
      <c r="I58" s="26"/>
      <c r="J58" s="24"/>
      <c r="K58" s="25"/>
      <c r="L58" s="23"/>
      <c r="M58" s="25"/>
      <c r="N58" s="23"/>
      <c r="O58" s="26"/>
      <c r="P58" s="27"/>
      <c r="Q58" s="28"/>
      <c r="R58" s="29"/>
      <c r="S58" s="24"/>
      <c r="T58" s="25"/>
      <c r="U58" s="23"/>
      <c r="V58" s="25"/>
      <c r="W58" s="23"/>
      <c r="X58" s="26"/>
      <c r="Y58" s="24"/>
      <c r="Z58" s="25"/>
      <c r="AA58" s="23"/>
      <c r="AB58" s="25"/>
      <c r="AC58" s="23"/>
      <c r="AD58" s="26"/>
    </row>
    <row r="59">
      <c r="A59" s="30" t="s">
        <v>49</v>
      </c>
      <c r="B59" s="22" t="s">
        <v>60</v>
      </c>
      <c r="C59" s="22" t="s">
        <v>61</v>
      </c>
      <c r="D59" s="24"/>
      <c r="E59" s="25"/>
      <c r="F59" s="23"/>
      <c r="G59" s="25"/>
      <c r="H59" s="23"/>
      <c r="I59" s="26"/>
      <c r="J59" s="24"/>
      <c r="K59" s="25"/>
      <c r="L59" s="23"/>
      <c r="M59" s="25"/>
      <c r="N59" s="23"/>
      <c r="O59" s="26"/>
      <c r="P59" s="27"/>
      <c r="Q59" s="28"/>
      <c r="R59" s="29"/>
      <c r="S59" s="24"/>
      <c r="T59" s="25"/>
      <c r="U59" s="23"/>
      <c r="V59" s="25"/>
      <c r="W59" s="23"/>
      <c r="X59" s="26"/>
      <c r="Y59" s="24"/>
      <c r="Z59" s="25"/>
      <c r="AA59" s="23"/>
      <c r="AB59" s="25"/>
      <c r="AC59" s="23"/>
      <c r="AD59" s="26"/>
    </row>
    <row r="60">
      <c r="A60" s="30" t="s">
        <v>50</v>
      </c>
      <c r="B60" s="22" t="s">
        <v>60</v>
      </c>
      <c r="C60" s="22" t="s">
        <v>61</v>
      </c>
      <c r="D60" s="24"/>
      <c r="E60" s="25" t="n">
        <f>2596</f>
        <v>2596.0</v>
      </c>
      <c r="F60" s="23" t="s">
        <v>33</v>
      </c>
      <c r="G60" s="25" t="n">
        <f>2921</f>
        <v>2921.0</v>
      </c>
      <c r="H60" s="23"/>
      <c r="I60" s="26" t="n">
        <f>5517</f>
        <v>5517.0</v>
      </c>
      <c r="J60" s="24" t="s">
        <v>33</v>
      </c>
      <c r="K60" s="25" t="n">
        <f>406623000</f>
        <v>4.06623E8</v>
      </c>
      <c r="L60" s="23"/>
      <c r="M60" s="25" t="n">
        <f>161194000</f>
        <v>1.61194E8</v>
      </c>
      <c r="N60" s="23" t="s">
        <v>33</v>
      </c>
      <c r="O60" s="26" t="n">
        <f>567817000</f>
        <v>5.67817E8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834</f>
        <v>834.0</v>
      </c>
      <c r="U60" s="23"/>
      <c r="V60" s="25" t="n">
        <f>228</f>
        <v>228.0</v>
      </c>
      <c r="W60" s="23" t="s">
        <v>33</v>
      </c>
      <c r="X60" s="26" t="n">
        <f>1062</f>
        <v>1062.0</v>
      </c>
      <c r="Y60" s="24"/>
      <c r="Z60" s="25" t="n">
        <f>3083</f>
        <v>3083.0</v>
      </c>
      <c r="AA60" s="23"/>
      <c r="AB60" s="25" t="n">
        <f>4867</f>
        <v>4867.0</v>
      </c>
      <c r="AC60" s="23"/>
      <c r="AD60" s="26" t="n">
        <f>7950</f>
        <v>7950.0</v>
      </c>
    </row>
    <row r="61">
      <c r="A61" s="30" t="s">
        <v>51</v>
      </c>
      <c r="B61" s="22" t="s">
        <v>60</v>
      </c>
      <c r="C61" s="22" t="s">
        <v>61</v>
      </c>
      <c r="D61" s="24"/>
      <c r="E61" s="25" t="n">
        <f>2078</f>
        <v>2078.0</v>
      </c>
      <c r="F61" s="23"/>
      <c r="G61" s="25" t="n">
        <f>2117</f>
        <v>2117.0</v>
      </c>
      <c r="H61" s="23"/>
      <c r="I61" s="26" t="n">
        <f>4195</f>
        <v>4195.0</v>
      </c>
      <c r="J61" s="24"/>
      <c r="K61" s="25" t="n">
        <f>162942000</f>
        <v>1.62942E8</v>
      </c>
      <c r="L61" s="23"/>
      <c r="M61" s="25" t="n">
        <f>171952000</f>
        <v>1.71952E8</v>
      </c>
      <c r="N61" s="23"/>
      <c r="O61" s="26" t="n">
        <f>334894000</f>
        <v>3.34894E8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/>
      <c r="T61" s="25" t="n">
        <f>180</f>
        <v>180.0</v>
      </c>
      <c r="U61" s="23"/>
      <c r="V61" s="25" t="n">
        <f>197</f>
        <v>197.0</v>
      </c>
      <c r="W61" s="23"/>
      <c r="X61" s="26" t="n">
        <f>377</f>
        <v>377.0</v>
      </c>
      <c r="Y61" s="24"/>
      <c r="Z61" s="25" t="n">
        <f>3706</f>
        <v>3706.0</v>
      </c>
      <c r="AA61" s="23"/>
      <c r="AB61" s="25" t="n">
        <f>5239</f>
        <v>5239.0</v>
      </c>
      <c r="AC61" s="23"/>
      <c r="AD61" s="26" t="n">
        <f>8945</f>
        <v>8945.0</v>
      </c>
    </row>
    <row r="62">
      <c r="A62" s="30" t="s">
        <v>52</v>
      </c>
      <c r="B62" s="22" t="s">
        <v>60</v>
      </c>
      <c r="C62" s="22" t="s">
        <v>61</v>
      </c>
      <c r="D62" s="24"/>
      <c r="E62" s="25" t="n">
        <f>1994</f>
        <v>1994.0</v>
      </c>
      <c r="F62" s="23"/>
      <c r="G62" s="25" t="n">
        <f>1788</f>
        <v>1788.0</v>
      </c>
      <c r="H62" s="23"/>
      <c r="I62" s="26" t="n">
        <f>3782</f>
        <v>3782.0</v>
      </c>
      <c r="J62" s="24"/>
      <c r="K62" s="25" t="n">
        <f>103445000</f>
        <v>1.03445E8</v>
      </c>
      <c r="L62" s="23"/>
      <c r="M62" s="25" t="n">
        <f>130044000</f>
        <v>1.30044E8</v>
      </c>
      <c r="N62" s="23"/>
      <c r="O62" s="26" t="n">
        <f>233489000</f>
        <v>2.33489E8</v>
      </c>
      <c r="P62" s="27" t="str">
        <f>"－"</f>
        <v>－</v>
      </c>
      <c r="Q62" s="28" t="str">
        <f>"－"</f>
        <v>－</v>
      </c>
      <c r="R62" s="29" t="str">
        <f>"－"</f>
        <v>－</v>
      </c>
      <c r="S62" s="24"/>
      <c r="T62" s="25" t="n">
        <f>118</f>
        <v>118.0</v>
      </c>
      <c r="U62" s="23"/>
      <c r="V62" s="25" t="n">
        <f>90</f>
        <v>90.0</v>
      </c>
      <c r="W62" s="23"/>
      <c r="X62" s="26" t="n">
        <f>208</f>
        <v>208.0</v>
      </c>
      <c r="Y62" s="24"/>
      <c r="Z62" s="25" t="n">
        <f>4324</f>
        <v>4324.0</v>
      </c>
      <c r="AA62" s="23"/>
      <c r="AB62" s="25" t="n">
        <f>5659</f>
        <v>5659.0</v>
      </c>
      <c r="AC62" s="23"/>
      <c r="AD62" s="26" t="n">
        <f>9983</f>
        <v>9983.0</v>
      </c>
    </row>
    <row r="63">
      <c r="A63" s="30" t="s">
        <v>53</v>
      </c>
      <c r="B63" s="22" t="s">
        <v>60</v>
      </c>
      <c r="C63" s="22" t="s">
        <v>61</v>
      </c>
      <c r="D63" s="24" t="s">
        <v>33</v>
      </c>
      <c r="E63" s="25" t="n">
        <f>3934</f>
        <v>3934.0</v>
      </c>
      <c r="F63" s="23"/>
      <c r="G63" s="25" t="n">
        <f>2066</f>
        <v>2066.0</v>
      </c>
      <c r="H63" s="23" t="s">
        <v>33</v>
      </c>
      <c r="I63" s="26" t="n">
        <f>6000</f>
        <v>6000.0</v>
      </c>
      <c r="J63" s="24"/>
      <c r="K63" s="25" t="n">
        <f>233076000</f>
        <v>2.33076E8</v>
      </c>
      <c r="L63" s="23"/>
      <c r="M63" s="25" t="n">
        <f>88920000</f>
        <v>8.892E7</v>
      </c>
      <c r="N63" s="23"/>
      <c r="O63" s="26" t="n">
        <f>321996000</f>
        <v>3.21996E8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242</f>
        <v>242.0</v>
      </c>
      <c r="U63" s="23"/>
      <c r="V63" s="25" t="n">
        <f>158</f>
        <v>158.0</v>
      </c>
      <c r="W63" s="23"/>
      <c r="X63" s="26" t="n">
        <f>400</f>
        <v>400.0</v>
      </c>
      <c r="Y63" s="24" t="s">
        <v>33</v>
      </c>
      <c r="Z63" s="25" t="n">
        <f>6001</f>
        <v>6001.0</v>
      </c>
      <c r="AA63" s="23"/>
      <c r="AB63" s="25" t="n">
        <f>5817</f>
        <v>5817.0</v>
      </c>
      <c r="AC63" s="23"/>
      <c r="AD63" s="26" t="n">
        <f>11818</f>
        <v>11818.0</v>
      </c>
    </row>
    <row r="64">
      <c r="A64" s="30" t="s">
        <v>54</v>
      </c>
      <c r="B64" s="22" t="s">
        <v>60</v>
      </c>
      <c r="C64" s="22" t="s">
        <v>61</v>
      </c>
      <c r="D64" s="24"/>
      <c r="E64" s="25" t="n">
        <f>1558</f>
        <v>1558.0</v>
      </c>
      <c r="F64" s="23"/>
      <c r="G64" s="25" t="n">
        <f>882</f>
        <v>882.0</v>
      </c>
      <c r="H64" s="23"/>
      <c r="I64" s="26" t="n">
        <f>2440</f>
        <v>2440.0</v>
      </c>
      <c r="J64" s="24"/>
      <c r="K64" s="25" t="n">
        <f>89067000</f>
        <v>8.9067E7</v>
      </c>
      <c r="L64" s="23"/>
      <c r="M64" s="25" t="n">
        <f>116768000</f>
        <v>1.16768E8</v>
      </c>
      <c r="N64" s="23"/>
      <c r="O64" s="26" t="n">
        <f>205835000</f>
        <v>2.05835E8</v>
      </c>
      <c r="P64" s="27" t="n">
        <f>8</f>
        <v>8.0</v>
      </c>
      <c r="Q64" s="28" t="n">
        <f>1306</f>
        <v>1306.0</v>
      </c>
      <c r="R64" s="29" t="n">
        <f>1314</f>
        <v>1314.0</v>
      </c>
      <c r="S64" s="24" t="s">
        <v>33</v>
      </c>
      <c r="T64" s="25" t="n">
        <f>869</f>
        <v>869.0</v>
      </c>
      <c r="U64" s="23"/>
      <c r="V64" s="25" t="n">
        <f>23</f>
        <v>23.0</v>
      </c>
      <c r="W64" s="23"/>
      <c r="X64" s="26" t="n">
        <f>892</f>
        <v>892.0</v>
      </c>
      <c r="Y64" s="24"/>
      <c r="Z64" s="25" t="n">
        <f>2339</f>
        <v>2339.0</v>
      </c>
      <c r="AA64" s="23"/>
      <c r="AB64" s="25" t="n">
        <f>2298</f>
        <v>2298.0</v>
      </c>
      <c r="AC64" s="23"/>
      <c r="AD64" s="26" t="n">
        <f>4637</f>
        <v>4637.0</v>
      </c>
    </row>
    <row r="65">
      <c r="A65" s="30" t="s">
        <v>55</v>
      </c>
      <c r="B65" s="22" t="s">
        <v>60</v>
      </c>
      <c r="C65" s="22" t="s">
        <v>61</v>
      </c>
      <c r="D65" s="24"/>
      <c r="E65" s="25"/>
      <c r="F65" s="23"/>
      <c r="G65" s="25"/>
      <c r="H65" s="23"/>
      <c r="I65" s="26"/>
      <c r="J65" s="24"/>
      <c r="K65" s="25"/>
      <c r="L65" s="23"/>
      <c r="M65" s="25"/>
      <c r="N65" s="23"/>
      <c r="O65" s="26"/>
      <c r="P65" s="27"/>
      <c r="Q65" s="28"/>
      <c r="R65" s="29"/>
      <c r="S65" s="24"/>
      <c r="T65" s="25"/>
      <c r="U65" s="23"/>
      <c r="V65" s="25"/>
      <c r="W65" s="23"/>
      <c r="X65" s="26"/>
      <c r="Y65" s="24"/>
      <c r="Z65" s="25"/>
      <c r="AA65" s="23"/>
      <c r="AB65" s="25"/>
      <c r="AC65" s="23"/>
      <c r="AD65" s="26"/>
    </row>
    <row r="66">
      <c r="A66" s="30" t="s">
        <v>56</v>
      </c>
      <c r="B66" s="22" t="s">
        <v>60</v>
      </c>
      <c r="C66" s="22" t="s">
        <v>61</v>
      </c>
      <c r="D66" s="24"/>
      <c r="E66" s="25"/>
      <c r="F66" s="23"/>
      <c r="G66" s="25"/>
      <c r="H66" s="23"/>
      <c r="I66" s="26"/>
      <c r="J66" s="24"/>
      <c r="K66" s="25"/>
      <c r="L66" s="23"/>
      <c r="M66" s="25"/>
      <c r="N66" s="23"/>
      <c r="O66" s="26"/>
      <c r="P66" s="27"/>
      <c r="Q66" s="28"/>
      <c r="R66" s="29"/>
      <c r="S66" s="24"/>
      <c r="T66" s="25"/>
      <c r="U66" s="23"/>
      <c r="V66" s="25"/>
      <c r="W66" s="23"/>
      <c r="X66" s="26"/>
      <c r="Y66" s="24"/>
      <c r="Z66" s="25"/>
      <c r="AA66" s="23"/>
      <c r="AB66" s="25"/>
      <c r="AC66" s="23"/>
      <c r="AD66" s="26"/>
    </row>
    <row r="67">
      <c r="A67" s="30" t="s">
        <v>57</v>
      </c>
      <c r="B67" s="22" t="s">
        <v>60</v>
      </c>
      <c r="C67" s="22" t="s">
        <v>61</v>
      </c>
      <c r="D67" s="24"/>
      <c r="E67" s="25" t="n">
        <f>890</f>
        <v>890.0</v>
      </c>
      <c r="F67" s="23"/>
      <c r="G67" s="25" t="n">
        <f>1395</f>
        <v>1395.0</v>
      </c>
      <c r="H67" s="23"/>
      <c r="I67" s="26" t="n">
        <f>2285</f>
        <v>2285.0</v>
      </c>
      <c r="J67" s="24"/>
      <c r="K67" s="25" t="n">
        <f>40092000</f>
        <v>4.0092E7</v>
      </c>
      <c r="L67" s="23"/>
      <c r="M67" s="25" t="n">
        <f>197144000</f>
        <v>1.97144E8</v>
      </c>
      <c r="N67" s="23"/>
      <c r="O67" s="26" t="n">
        <f>237236000</f>
        <v>2.37236E8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104</f>
        <v>104.0</v>
      </c>
      <c r="U67" s="23"/>
      <c r="V67" s="25" t="n">
        <f>421</f>
        <v>421.0</v>
      </c>
      <c r="W67" s="23"/>
      <c r="X67" s="26" t="n">
        <f>525</f>
        <v>525.0</v>
      </c>
      <c r="Y67" s="24"/>
      <c r="Z67" s="25" t="n">
        <f>2900</f>
        <v>2900.0</v>
      </c>
      <c r="AA67" s="23"/>
      <c r="AB67" s="25" t="n">
        <f>2547</f>
        <v>2547.0</v>
      </c>
      <c r="AC67" s="23"/>
      <c r="AD67" s="26" t="n">
        <f>5447</f>
        <v>5447.0</v>
      </c>
    </row>
    <row r="68">
      <c r="A68" s="30" t="s">
        <v>58</v>
      </c>
      <c r="B68" s="22" t="s">
        <v>60</v>
      </c>
      <c r="C68" s="22" t="s">
        <v>61</v>
      </c>
      <c r="D68" s="24"/>
      <c r="E68" s="25" t="n">
        <f>1092</f>
        <v>1092.0</v>
      </c>
      <c r="F68" s="23"/>
      <c r="G68" s="25" t="n">
        <f>1020</f>
        <v>1020.0</v>
      </c>
      <c r="H68" s="23"/>
      <c r="I68" s="26" t="n">
        <f>2112</f>
        <v>2112.0</v>
      </c>
      <c r="J68" s="24"/>
      <c r="K68" s="25" t="n">
        <f>52840000</f>
        <v>5.284E7</v>
      </c>
      <c r="L68" s="23"/>
      <c r="M68" s="25" t="n">
        <f>37031000</f>
        <v>3.7031E7</v>
      </c>
      <c r="N68" s="23"/>
      <c r="O68" s="26" t="n">
        <f>89871000</f>
        <v>8.9871E7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82</f>
        <v>82.0</v>
      </c>
      <c r="U68" s="23"/>
      <c r="V68" s="25" t="n">
        <f>73</f>
        <v>73.0</v>
      </c>
      <c r="W68" s="23"/>
      <c r="X68" s="26" t="n">
        <f>155</f>
        <v>155.0</v>
      </c>
      <c r="Y68" s="24"/>
      <c r="Z68" s="25" t="n">
        <f>3155</f>
        <v>3155.0</v>
      </c>
      <c r="AA68" s="23"/>
      <c r="AB68" s="25" t="n">
        <f>2845</f>
        <v>2845.0</v>
      </c>
      <c r="AC68" s="23"/>
      <c r="AD68" s="26" t="n">
        <f>6000</f>
        <v>6000.0</v>
      </c>
    </row>
    <row r="69">
      <c r="A69" s="30" t="s">
        <v>59</v>
      </c>
      <c r="B69" s="22" t="s">
        <v>60</v>
      </c>
      <c r="C69" s="22" t="s">
        <v>61</v>
      </c>
      <c r="D69" s="24"/>
      <c r="E69" s="25" t="n">
        <f>814</f>
        <v>814.0</v>
      </c>
      <c r="F69" s="23"/>
      <c r="G69" s="25" t="n">
        <f>1865</f>
        <v>1865.0</v>
      </c>
      <c r="H69" s="23"/>
      <c r="I69" s="26" t="n">
        <f>2679</f>
        <v>2679.0</v>
      </c>
      <c r="J69" s="24"/>
      <c r="K69" s="25" t="n">
        <f>26531000</f>
        <v>2.6531E7</v>
      </c>
      <c r="L69" s="23"/>
      <c r="M69" s="25" t="n">
        <f>79834000</f>
        <v>7.9834E7</v>
      </c>
      <c r="N69" s="23"/>
      <c r="O69" s="26" t="n">
        <f>106365000</f>
        <v>1.06365E8</v>
      </c>
      <c r="P69" s="27" t="str">
        <f>"－"</f>
        <v>－</v>
      </c>
      <c r="Q69" s="28" t="str">
        <f>"－"</f>
        <v>－</v>
      </c>
      <c r="R69" s="29" t="str">
        <f>"－"</f>
        <v>－</v>
      </c>
      <c r="S69" s="24"/>
      <c r="T69" s="25" t="n">
        <f>58</f>
        <v>58.0</v>
      </c>
      <c r="U69" s="23" t="s">
        <v>33</v>
      </c>
      <c r="V69" s="25" t="n">
        <f>514</f>
        <v>514.0</v>
      </c>
      <c r="W69" s="23"/>
      <c r="X69" s="26" t="n">
        <f>572</f>
        <v>572.0</v>
      </c>
      <c r="Y69" s="24"/>
      <c r="Z69" s="25" t="n">
        <f>3193</f>
        <v>3193.0</v>
      </c>
      <c r="AA69" s="23"/>
      <c r="AB69" s="25" t="n">
        <f>3802</f>
        <v>3802.0</v>
      </c>
      <c r="AC69" s="23"/>
      <c r="AD69" s="26" t="n">
        <f>6995</f>
        <v>6995.0</v>
      </c>
    </row>
    <row r="70">
      <c r="A70" s="30" t="s">
        <v>26</v>
      </c>
      <c r="B70" s="22" t="s">
        <v>62</v>
      </c>
      <c r="C70" s="22" t="s">
        <v>63</v>
      </c>
      <c r="D70" s="24"/>
      <c r="E70" s="25" t="n">
        <f>106</f>
        <v>106.0</v>
      </c>
      <c r="F70" s="23" t="s">
        <v>29</v>
      </c>
      <c r="G70" s="25" t="str">
        <f>"－"</f>
        <v>－</v>
      </c>
      <c r="H70" s="23"/>
      <c r="I70" s="26" t="n">
        <f>106</f>
        <v>106.0</v>
      </c>
      <c r="J70" s="24"/>
      <c r="K70" s="25" t="n">
        <f>7547200</f>
        <v>7547200.0</v>
      </c>
      <c r="L70" s="23" t="s">
        <v>29</v>
      </c>
      <c r="M70" s="25" t="str">
        <f>"－"</f>
        <v>－</v>
      </c>
      <c r="N70" s="23" t="s">
        <v>29</v>
      </c>
      <c r="O70" s="26" t="n">
        <f>7547200</f>
        <v>7547200.0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 t="s">
        <v>29</v>
      </c>
      <c r="T70" s="25" t="str">
        <f>"－"</f>
        <v>－</v>
      </c>
      <c r="U70" s="23" t="s">
        <v>29</v>
      </c>
      <c r="V70" s="25" t="str">
        <f>"－"</f>
        <v>－</v>
      </c>
      <c r="W70" s="23" t="s">
        <v>29</v>
      </c>
      <c r="X70" s="26" t="str">
        <f>"－"</f>
        <v>－</v>
      </c>
      <c r="Y70" s="24"/>
      <c r="Z70" s="25" t="n">
        <f>82086</f>
        <v>82086.0</v>
      </c>
      <c r="AA70" s="23"/>
      <c r="AB70" s="25" t="n">
        <f>24229</f>
        <v>24229.0</v>
      </c>
      <c r="AC70" s="23"/>
      <c r="AD70" s="26" t="n">
        <f>106315</f>
        <v>106315.0</v>
      </c>
    </row>
    <row r="71">
      <c r="A71" s="30" t="s">
        <v>30</v>
      </c>
      <c r="B71" s="22" t="s">
        <v>62</v>
      </c>
      <c r="C71" s="22" t="s">
        <v>63</v>
      </c>
      <c r="D71" s="24"/>
      <c r="E71" s="25" t="n">
        <f>175</f>
        <v>175.0</v>
      </c>
      <c r="F71" s="23"/>
      <c r="G71" s="25" t="n">
        <f>650</f>
        <v>650.0</v>
      </c>
      <c r="H71" s="23"/>
      <c r="I71" s="26" t="n">
        <f>825</f>
        <v>825.0</v>
      </c>
      <c r="J71" s="24"/>
      <c r="K71" s="25" t="n">
        <f>17200000</f>
        <v>1.72E7</v>
      </c>
      <c r="L71" s="23"/>
      <c r="M71" s="25" t="n">
        <f>176889575</f>
        <v>1.76889575E8</v>
      </c>
      <c r="N71" s="23"/>
      <c r="O71" s="26" t="n">
        <f>194089575</f>
        <v>1.94089575E8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75</f>
        <v>75.0</v>
      </c>
      <c r="U71" s="23"/>
      <c r="V71" s="25" t="n">
        <f>462</f>
        <v>462.0</v>
      </c>
      <c r="W71" s="23"/>
      <c r="X71" s="26" t="n">
        <f>537</f>
        <v>537.0</v>
      </c>
      <c r="Y71" s="24"/>
      <c r="Z71" s="25" t="n">
        <f>82261</f>
        <v>82261.0</v>
      </c>
      <c r="AA71" s="23"/>
      <c r="AB71" s="25" t="n">
        <f>24879</f>
        <v>24879.0</v>
      </c>
      <c r="AC71" s="23"/>
      <c r="AD71" s="26" t="n">
        <f>107140</f>
        <v>107140.0</v>
      </c>
    </row>
    <row r="72">
      <c r="A72" s="30" t="s">
        <v>31</v>
      </c>
      <c r="B72" s="22" t="s">
        <v>62</v>
      </c>
      <c r="C72" s="22" t="s">
        <v>63</v>
      </c>
      <c r="D72" s="24"/>
      <c r="E72" s="25" t="n">
        <f>650</f>
        <v>650.0</v>
      </c>
      <c r="F72" s="23"/>
      <c r="G72" s="25" t="n">
        <f>917</f>
        <v>917.0</v>
      </c>
      <c r="H72" s="23"/>
      <c r="I72" s="26" t="n">
        <f>1567</f>
        <v>1567.0</v>
      </c>
      <c r="J72" s="24"/>
      <c r="K72" s="25" t="n">
        <f>228915500</f>
        <v>2.289155E8</v>
      </c>
      <c r="L72" s="23"/>
      <c r="M72" s="25" t="n">
        <f>218440000</f>
        <v>2.1844E8</v>
      </c>
      <c r="N72" s="23"/>
      <c r="O72" s="26" t="n">
        <f>447355500</f>
        <v>4.473555E8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/>
      <c r="T72" s="25" t="n">
        <f>450</f>
        <v>450.0</v>
      </c>
      <c r="U72" s="23"/>
      <c r="V72" s="25" t="n">
        <f>917</f>
        <v>917.0</v>
      </c>
      <c r="W72" s="23"/>
      <c r="X72" s="26" t="n">
        <f>1367</f>
        <v>1367.0</v>
      </c>
      <c r="Y72" s="24"/>
      <c r="Z72" s="25" t="n">
        <f>82761</f>
        <v>82761.0</v>
      </c>
      <c r="AA72" s="23"/>
      <c r="AB72" s="25" t="n">
        <f>24879</f>
        <v>24879.0</v>
      </c>
      <c r="AC72" s="23"/>
      <c r="AD72" s="26" t="n">
        <f>107640</f>
        <v>107640.0</v>
      </c>
    </row>
    <row r="73">
      <c r="A73" s="30" t="s">
        <v>32</v>
      </c>
      <c r="B73" s="22" t="s">
        <v>62</v>
      </c>
      <c r="C73" s="22" t="s">
        <v>63</v>
      </c>
      <c r="D73" s="24" t="s">
        <v>29</v>
      </c>
      <c r="E73" s="25" t="str">
        <f>"－"</f>
        <v>－</v>
      </c>
      <c r="F73" s="23"/>
      <c r="G73" s="25" t="n">
        <f>460</f>
        <v>460.0</v>
      </c>
      <c r="H73" s="23"/>
      <c r="I73" s="26" t="n">
        <f>460</f>
        <v>460.0</v>
      </c>
      <c r="J73" s="24" t="s">
        <v>29</v>
      </c>
      <c r="K73" s="25" t="str">
        <f>"－"</f>
        <v>－</v>
      </c>
      <c r="L73" s="23"/>
      <c r="M73" s="25" t="n">
        <f>57672000</f>
        <v>5.7672E7</v>
      </c>
      <c r="N73" s="23"/>
      <c r="O73" s="26" t="n">
        <f>57672000</f>
        <v>5.7672E7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/>
      <c r="T73" s="25" t="str">
        <f>"－"</f>
        <v>－</v>
      </c>
      <c r="U73" s="23"/>
      <c r="V73" s="25" t="n">
        <f>200</f>
        <v>200.0</v>
      </c>
      <c r="W73" s="23"/>
      <c r="X73" s="26" t="n">
        <f>200</f>
        <v>200.0</v>
      </c>
      <c r="Y73" s="24"/>
      <c r="Z73" s="25" t="n">
        <f>82761</f>
        <v>82761.0</v>
      </c>
      <c r="AA73" s="23"/>
      <c r="AB73" s="25" t="n">
        <f>25339</f>
        <v>25339.0</v>
      </c>
      <c r="AC73" s="23"/>
      <c r="AD73" s="26" t="n">
        <f>108100</f>
        <v>108100.0</v>
      </c>
    </row>
    <row r="74">
      <c r="A74" s="30" t="s">
        <v>34</v>
      </c>
      <c r="B74" s="22" t="s">
        <v>62</v>
      </c>
      <c r="C74" s="22" t="s">
        <v>63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35</v>
      </c>
      <c r="B75" s="22" t="s">
        <v>62</v>
      </c>
      <c r="C75" s="22" t="s">
        <v>63</v>
      </c>
      <c r="D75" s="24"/>
      <c r="E75" s="25"/>
      <c r="F75" s="23"/>
      <c r="G75" s="25"/>
      <c r="H75" s="23"/>
      <c r="I75" s="26"/>
      <c r="J75" s="24"/>
      <c r="K75" s="25"/>
      <c r="L75" s="23"/>
      <c r="M75" s="25"/>
      <c r="N75" s="23"/>
      <c r="O75" s="26"/>
      <c r="P75" s="27"/>
      <c r="Q75" s="28"/>
      <c r="R75" s="29"/>
      <c r="S75" s="24"/>
      <c r="T75" s="25"/>
      <c r="U75" s="23"/>
      <c r="V75" s="25"/>
      <c r="W75" s="23"/>
      <c r="X75" s="26"/>
      <c r="Y75" s="24"/>
      <c r="Z75" s="25"/>
      <c r="AA75" s="23"/>
      <c r="AB75" s="25"/>
      <c r="AC75" s="23"/>
      <c r="AD75" s="26"/>
    </row>
    <row r="76">
      <c r="A76" s="30" t="s">
        <v>36</v>
      </c>
      <c r="B76" s="22" t="s">
        <v>62</v>
      </c>
      <c r="C76" s="22" t="s">
        <v>63</v>
      </c>
      <c r="D76" s="24"/>
      <c r="E76" s="25" t="n">
        <f>3300</f>
        <v>3300.0</v>
      </c>
      <c r="F76" s="23"/>
      <c r="G76" s="25" t="str">
        <f>"－"</f>
        <v>－</v>
      </c>
      <c r="H76" s="23"/>
      <c r="I76" s="26" t="n">
        <f>3300</f>
        <v>3300.0</v>
      </c>
      <c r="J76" s="24"/>
      <c r="K76" s="25" t="n">
        <f>316389750</f>
        <v>3.1638975E8</v>
      </c>
      <c r="L76" s="23"/>
      <c r="M76" s="25" t="str">
        <f>"－"</f>
        <v>－</v>
      </c>
      <c r="N76" s="23"/>
      <c r="O76" s="26" t="n">
        <f>316389750</f>
        <v>3.1638975E8</v>
      </c>
      <c r="P76" s="27" t="str">
        <f>"－"</f>
        <v>－</v>
      </c>
      <c r="Q76" s="28" t="str">
        <f>"－"</f>
        <v>－</v>
      </c>
      <c r="R76" s="29" t="str">
        <f>"－"</f>
        <v>－</v>
      </c>
      <c r="S76" s="24"/>
      <c r="T76" s="25" t="n">
        <f>3300</f>
        <v>3300.0</v>
      </c>
      <c r="U76" s="23"/>
      <c r="V76" s="25" t="str">
        <f>"－"</f>
        <v>－</v>
      </c>
      <c r="W76" s="23"/>
      <c r="X76" s="26" t="n">
        <f>3300</f>
        <v>3300.0</v>
      </c>
      <c r="Y76" s="24"/>
      <c r="Z76" s="25" t="n">
        <f>85986</f>
        <v>85986.0</v>
      </c>
      <c r="AA76" s="23"/>
      <c r="AB76" s="25" t="n">
        <f>25339</f>
        <v>25339.0</v>
      </c>
      <c r="AC76" s="23"/>
      <c r="AD76" s="26" t="n">
        <f>111325</f>
        <v>111325.0</v>
      </c>
    </row>
    <row r="77">
      <c r="A77" s="30" t="s">
        <v>37</v>
      </c>
      <c r="B77" s="22" t="s">
        <v>62</v>
      </c>
      <c r="C77" s="22" t="s">
        <v>63</v>
      </c>
      <c r="D77" s="24"/>
      <c r="E77" s="25" t="n">
        <f>2576</f>
        <v>2576.0</v>
      </c>
      <c r="F77" s="23"/>
      <c r="G77" s="25" t="n">
        <f>1266</f>
        <v>1266.0</v>
      </c>
      <c r="H77" s="23"/>
      <c r="I77" s="26" t="n">
        <f>3842</f>
        <v>3842.0</v>
      </c>
      <c r="J77" s="24"/>
      <c r="K77" s="25" t="n">
        <f>405351250</f>
        <v>4.0535125E8</v>
      </c>
      <c r="L77" s="23" t="s">
        <v>33</v>
      </c>
      <c r="M77" s="25" t="n">
        <f>4227305352</f>
        <v>4.227305352E9</v>
      </c>
      <c r="N77" s="23" t="s">
        <v>33</v>
      </c>
      <c r="O77" s="26" t="n">
        <f>4632656602</f>
        <v>4.632656602E9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2056</f>
        <v>2056.0</v>
      </c>
      <c r="U77" s="23"/>
      <c r="V77" s="25" t="n">
        <f>896</f>
        <v>896.0</v>
      </c>
      <c r="W77" s="23"/>
      <c r="X77" s="26" t="n">
        <f>2952</f>
        <v>2952.0</v>
      </c>
      <c r="Y77" s="24"/>
      <c r="Z77" s="25" t="n">
        <f>88377</f>
        <v>88377.0</v>
      </c>
      <c r="AA77" s="23"/>
      <c r="AB77" s="25" t="n">
        <f>25972</f>
        <v>25972.0</v>
      </c>
      <c r="AC77" s="23"/>
      <c r="AD77" s="26" t="n">
        <f>114349</f>
        <v>114349.0</v>
      </c>
    </row>
    <row r="78">
      <c r="A78" s="30" t="s">
        <v>38</v>
      </c>
      <c r="B78" s="22" t="s">
        <v>62</v>
      </c>
      <c r="C78" s="22" t="s">
        <v>63</v>
      </c>
      <c r="D78" s="24"/>
      <c r="E78" s="25" t="n">
        <f>1900</f>
        <v>1900.0</v>
      </c>
      <c r="F78" s="23"/>
      <c r="G78" s="25" t="n">
        <f>1553</f>
        <v>1553.0</v>
      </c>
      <c r="H78" s="23"/>
      <c r="I78" s="26" t="n">
        <f>3453</f>
        <v>3453.0</v>
      </c>
      <c r="J78" s="24"/>
      <c r="K78" s="25" t="n">
        <f>429710930</f>
        <v>4.2971093E8</v>
      </c>
      <c r="L78" s="23"/>
      <c r="M78" s="25" t="n">
        <f>164859000</f>
        <v>1.64859E8</v>
      </c>
      <c r="N78" s="23"/>
      <c r="O78" s="26" t="n">
        <f>594569930</f>
        <v>5.9456993E8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n">
        <f>1900</f>
        <v>1900.0</v>
      </c>
      <c r="U78" s="23"/>
      <c r="V78" s="25" t="n">
        <f>1458</f>
        <v>1458.0</v>
      </c>
      <c r="W78" s="23"/>
      <c r="X78" s="26" t="n">
        <f>3358</f>
        <v>3358.0</v>
      </c>
      <c r="Y78" s="24"/>
      <c r="Z78" s="25" t="n">
        <f>89938</f>
        <v>89938.0</v>
      </c>
      <c r="AA78" s="23"/>
      <c r="AB78" s="25" t="n">
        <f>27335</f>
        <v>27335.0</v>
      </c>
      <c r="AC78" s="23"/>
      <c r="AD78" s="26" t="n">
        <f>117273</f>
        <v>117273.0</v>
      </c>
    </row>
    <row r="79">
      <c r="A79" s="30" t="s">
        <v>39</v>
      </c>
      <c r="B79" s="22" t="s">
        <v>62</v>
      </c>
      <c r="C79" s="22" t="s">
        <v>63</v>
      </c>
      <c r="D79" s="24"/>
      <c r="E79" s="25" t="n">
        <f>1716</f>
        <v>1716.0</v>
      </c>
      <c r="F79" s="23"/>
      <c r="G79" s="25" t="n">
        <f>1605</f>
        <v>1605.0</v>
      </c>
      <c r="H79" s="23"/>
      <c r="I79" s="26" t="n">
        <f>3321</f>
        <v>3321.0</v>
      </c>
      <c r="J79" s="24"/>
      <c r="K79" s="25" t="n">
        <f>386082550</f>
        <v>3.8608255E8</v>
      </c>
      <c r="L79" s="23"/>
      <c r="M79" s="25" t="n">
        <f>169394400</f>
        <v>1.693944E8</v>
      </c>
      <c r="N79" s="23"/>
      <c r="O79" s="26" t="n">
        <f>555476950</f>
        <v>5.5547695E8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/>
      <c r="T79" s="25" t="n">
        <f>1716</f>
        <v>1716.0</v>
      </c>
      <c r="U79" s="23" t="s">
        <v>33</v>
      </c>
      <c r="V79" s="25" t="n">
        <f>1605</f>
        <v>1605.0</v>
      </c>
      <c r="W79" s="23"/>
      <c r="X79" s="26" t="n">
        <f>3321</f>
        <v>3321.0</v>
      </c>
      <c r="Y79" s="24" t="s">
        <v>33</v>
      </c>
      <c r="Z79" s="25" t="n">
        <f>91654</f>
        <v>91654.0</v>
      </c>
      <c r="AA79" s="23"/>
      <c r="AB79" s="25" t="n">
        <f>28940</f>
        <v>28940.0</v>
      </c>
      <c r="AC79" s="23" t="s">
        <v>33</v>
      </c>
      <c r="AD79" s="26" t="n">
        <f>120594</f>
        <v>120594.0</v>
      </c>
    </row>
    <row r="80">
      <c r="A80" s="30" t="s">
        <v>40</v>
      </c>
      <c r="B80" s="22" t="s">
        <v>62</v>
      </c>
      <c r="C80" s="22" t="s">
        <v>63</v>
      </c>
      <c r="D80" s="24"/>
      <c r="E80" s="25" t="n">
        <f>890</f>
        <v>890.0</v>
      </c>
      <c r="F80" s="23" t="s">
        <v>33</v>
      </c>
      <c r="G80" s="25" t="n">
        <f>1750</f>
        <v>1750.0</v>
      </c>
      <c r="H80" s="23"/>
      <c r="I80" s="26" t="n">
        <f>2640</f>
        <v>2640.0</v>
      </c>
      <c r="J80" s="24"/>
      <c r="K80" s="25" t="n">
        <f>201939000</f>
        <v>2.01939E8</v>
      </c>
      <c r="L80" s="23"/>
      <c r="M80" s="25" t="n">
        <f>1036875000</f>
        <v>1.036875E9</v>
      </c>
      <c r="N80" s="23"/>
      <c r="O80" s="26" t="n">
        <f>1238814000</f>
        <v>1.238814E9</v>
      </c>
      <c r="P80" s="27" t="str">
        <f>"－"</f>
        <v>－</v>
      </c>
      <c r="Q80" s="28" t="n">
        <f>2109</f>
        <v>2109.0</v>
      </c>
      <c r="R80" s="29" t="n">
        <f>2109</f>
        <v>2109.0</v>
      </c>
      <c r="S80" s="24"/>
      <c r="T80" s="25" t="str">
        <f>"－"</f>
        <v>－</v>
      </c>
      <c r="U80" s="23"/>
      <c r="V80" s="25" t="str">
        <f>"－"</f>
        <v>－</v>
      </c>
      <c r="W80" s="23"/>
      <c r="X80" s="26" t="str">
        <f>"－"</f>
        <v>－</v>
      </c>
      <c r="Y80" s="24" t="s">
        <v>29</v>
      </c>
      <c r="Z80" s="25" t="n">
        <f>76890</f>
        <v>76890.0</v>
      </c>
      <c r="AA80" s="23" t="s">
        <v>29</v>
      </c>
      <c r="AB80" s="25" t="n">
        <f>23479</f>
        <v>23479.0</v>
      </c>
      <c r="AC80" s="23" t="s">
        <v>29</v>
      </c>
      <c r="AD80" s="26" t="n">
        <f>100369</f>
        <v>100369.0</v>
      </c>
    </row>
    <row r="81">
      <c r="A81" s="30" t="s">
        <v>41</v>
      </c>
      <c r="B81" s="22" t="s">
        <v>62</v>
      </c>
      <c r="C81" s="22" t="s">
        <v>63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42</v>
      </c>
      <c r="B82" s="22" t="s">
        <v>62</v>
      </c>
      <c r="C82" s="22" t="s">
        <v>63</v>
      </c>
      <c r="D82" s="24"/>
      <c r="E82" s="25"/>
      <c r="F82" s="23"/>
      <c r="G82" s="25"/>
      <c r="H82" s="23"/>
      <c r="I82" s="26"/>
      <c r="J82" s="24"/>
      <c r="K82" s="25"/>
      <c r="L82" s="23"/>
      <c r="M82" s="25"/>
      <c r="N82" s="23"/>
      <c r="O82" s="26"/>
      <c r="P82" s="27"/>
      <c r="Q82" s="28"/>
      <c r="R82" s="29"/>
      <c r="S82" s="24"/>
      <c r="T82" s="25"/>
      <c r="U82" s="23"/>
      <c r="V82" s="25"/>
      <c r="W82" s="23"/>
      <c r="X82" s="26"/>
      <c r="Y82" s="24"/>
      <c r="Z82" s="25"/>
      <c r="AA82" s="23"/>
      <c r="AB82" s="25"/>
      <c r="AC82" s="23"/>
      <c r="AD82" s="26"/>
    </row>
    <row r="83">
      <c r="A83" s="30" t="s">
        <v>43</v>
      </c>
      <c r="B83" s="22" t="s">
        <v>62</v>
      </c>
      <c r="C83" s="22" t="s">
        <v>63</v>
      </c>
      <c r="D83" s="24"/>
      <c r="E83" s="25" t="str">
        <f>"－"</f>
        <v>－</v>
      </c>
      <c r="F83" s="23"/>
      <c r="G83" s="25" t="n">
        <f>186</f>
        <v>186.0</v>
      </c>
      <c r="H83" s="23"/>
      <c r="I83" s="26" t="n">
        <f>186</f>
        <v>186.0</v>
      </c>
      <c r="J83" s="24"/>
      <c r="K83" s="25" t="str">
        <f>"－"</f>
        <v>－</v>
      </c>
      <c r="L83" s="23"/>
      <c r="M83" s="25" t="n">
        <f>110205000</f>
        <v>1.10205E8</v>
      </c>
      <c r="N83" s="23"/>
      <c r="O83" s="26" t="n">
        <f>110205000</f>
        <v>1.10205E8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/>
      <c r="Z83" s="25" t="n">
        <f>76890</f>
        <v>76890.0</v>
      </c>
      <c r="AA83" s="23"/>
      <c r="AB83" s="25" t="n">
        <f>23665</f>
        <v>23665.0</v>
      </c>
      <c r="AC83" s="23"/>
      <c r="AD83" s="26" t="n">
        <f>100555</f>
        <v>100555.0</v>
      </c>
    </row>
    <row r="84">
      <c r="A84" s="30" t="s">
        <v>44</v>
      </c>
      <c r="B84" s="22" t="s">
        <v>62</v>
      </c>
      <c r="C84" s="22" t="s">
        <v>63</v>
      </c>
      <c r="D84" s="24"/>
      <c r="E84" s="25" t="n">
        <f>1150</f>
        <v>1150.0</v>
      </c>
      <c r="F84" s="23"/>
      <c r="G84" s="25" t="n">
        <f>150</f>
        <v>150.0</v>
      </c>
      <c r="H84" s="23"/>
      <c r="I84" s="26" t="n">
        <f>1300</f>
        <v>1300.0</v>
      </c>
      <c r="J84" s="24"/>
      <c r="K84" s="25" t="n">
        <f>439930000</f>
        <v>4.3993E8</v>
      </c>
      <c r="L84" s="23"/>
      <c r="M84" s="25" t="n">
        <f>105000000</f>
        <v>1.05E8</v>
      </c>
      <c r="N84" s="23"/>
      <c r="O84" s="26" t="n">
        <f>544930000</f>
        <v>5.4493E8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n">
        <f>150</f>
        <v>150.0</v>
      </c>
      <c r="U84" s="23"/>
      <c r="V84" s="25" t="n">
        <f>150</f>
        <v>150.0</v>
      </c>
      <c r="W84" s="23"/>
      <c r="X84" s="26" t="n">
        <f>300</f>
        <v>300.0</v>
      </c>
      <c r="Y84" s="24"/>
      <c r="Z84" s="25" t="n">
        <f>77940</f>
        <v>77940.0</v>
      </c>
      <c r="AA84" s="23"/>
      <c r="AB84" s="25" t="n">
        <f>23815</f>
        <v>23815.0</v>
      </c>
      <c r="AC84" s="23"/>
      <c r="AD84" s="26" t="n">
        <f>101755</f>
        <v>101755.0</v>
      </c>
    </row>
    <row r="85">
      <c r="A85" s="30" t="s">
        <v>45</v>
      </c>
      <c r="B85" s="22" t="s">
        <v>62</v>
      </c>
      <c r="C85" s="22" t="s">
        <v>63</v>
      </c>
      <c r="D85" s="24"/>
      <c r="E85" s="25" t="n">
        <f>1115</f>
        <v>1115.0</v>
      </c>
      <c r="F85" s="23"/>
      <c r="G85" s="25" t="n">
        <f>1115</f>
        <v>1115.0</v>
      </c>
      <c r="H85" s="23"/>
      <c r="I85" s="26" t="n">
        <f>2230</f>
        <v>2230.0</v>
      </c>
      <c r="J85" s="24"/>
      <c r="K85" s="25" t="n">
        <f>122650000</f>
        <v>1.2265E8</v>
      </c>
      <c r="L85" s="23"/>
      <c r="M85" s="25" t="n">
        <f>14444825</f>
        <v>1.4444825E7</v>
      </c>
      <c r="N85" s="23"/>
      <c r="O85" s="26" t="n">
        <f>137094825</f>
        <v>1.37094825E8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1115</f>
        <v>1115.0</v>
      </c>
      <c r="U85" s="23"/>
      <c r="V85" s="25" t="n">
        <f>1115</f>
        <v>1115.0</v>
      </c>
      <c r="W85" s="23"/>
      <c r="X85" s="26" t="n">
        <f>2230</f>
        <v>2230.0</v>
      </c>
      <c r="Y85" s="24"/>
      <c r="Z85" s="25" t="n">
        <f>79055</f>
        <v>79055.0</v>
      </c>
      <c r="AA85" s="23"/>
      <c r="AB85" s="25" t="n">
        <f>24930</f>
        <v>24930.0</v>
      </c>
      <c r="AC85" s="23"/>
      <c r="AD85" s="26" t="n">
        <f>103985</f>
        <v>103985.0</v>
      </c>
    </row>
    <row r="86">
      <c r="A86" s="30" t="s">
        <v>46</v>
      </c>
      <c r="B86" s="22" t="s">
        <v>62</v>
      </c>
      <c r="C86" s="22" t="s">
        <v>63</v>
      </c>
      <c r="D86" s="24"/>
      <c r="E86" s="25" t="n">
        <f>2152</f>
        <v>2152.0</v>
      </c>
      <c r="F86" s="23"/>
      <c r="G86" s="25" t="n">
        <f>870</f>
        <v>870.0</v>
      </c>
      <c r="H86" s="23"/>
      <c r="I86" s="26" t="n">
        <f>3022</f>
        <v>3022.0</v>
      </c>
      <c r="J86" s="24"/>
      <c r="K86" s="25" t="n">
        <f>539817888</f>
        <v>5.39817888E8</v>
      </c>
      <c r="L86" s="23"/>
      <c r="M86" s="25" t="n">
        <f>61890000</f>
        <v>6.189E7</v>
      </c>
      <c r="N86" s="23"/>
      <c r="O86" s="26" t="n">
        <f>601707888</f>
        <v>6.01707888E8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n">
        <f>1261</f>
        <v>1261.0</v>
      </c>
      <c r="U86" s="23"/>
      <c r="V86" s="25" t="n">
        <f>870</f>
        <v>870.0</v>
      </c>
      <c r="W86" s="23"/>
      <c r="X86" s="26" t="n">
        <f>2131</f>
        <v>2131.0</v>
      </c>
      <c r="Y86" s="24"/>
      <c r="Z86" s="25" t="n">
        <f>81207</f>
        <v>81207.0</v>
      </c>
      <c r="AA86" s="23"/>
      <c r="AB86" s="25" t="n">
        <f>25635</f>
        <v>25635.0</v>
      </c>
      <c r="AC86" s="23"/>
      <c r="AD86" s="26" t="n">
        <f>106842</f>
        <v>106842.0</v>
      </c>
    </row>
    <row r="87">
      <c r="A87" s="30" t="s">
        <v>47</v>
      </c>
      <c r="B87" s="22" t="s">
        <v>62</v>
      </c>
      <c r="C87" s="22" t="s">
        <v>63</v>
      </c>
      <c r="D87" s="24"/>
      <c r="E87" s="25" t="n">
        <f>50</f>
        <v>50.0</v>
      </c>
      <c r="F87" s="23"/>
      <c r="G87" s="25" t="n">
        <f>50</f>
        <v>50.0</v>
      </c>
      <c r="H87" s="23" t="s">
        <v>29</v>
      </c>
      <c r="I87" s="26" t="n">
        <f>100</f>
        <v>100.0</v>
      </c>
      <c r="J87" s="24"/>
      <c r="K87" s="25" t="n">
        <f>28800000</f>
        <v>2.88E7</v>
      </c>
      <c r="L87" s="23"/>
      <c r="M87" s="25" t="n">
        <f>27800000</f>
        <v>2.78E7</v>
      </c>
      <c r="N87" s="23"/>
      <c r="O87" s="26" t="n">
        <f>56600000</f>
        <v>5.66E7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str">
        <f>"－"</f>
        <v>－</v>
      </c>
      <c r="U87" s="23"/>
      <c r="V87" s="25" t="str">
        <f>"－"</f>
        <v>－</v>
      </c>
      <c r="W87" s="23"/>
      <c r="X87" s="26" t="str">
        <f>"－"</f>
        <v>－</v>
      </c>
      <c r="Y87" s="24"/>
      <c r="Z87" s="25" t="n">
        <f>80694</f>
        <v>80694.0</v>
      </c>
      <c r="AA87" s="23"/>
      <c r="AB87" s="25" t="n">
        <f>25685</f>
        <v>25685.0</v>
      </c>
      <c r="AC87" s="23"/>
      <c r="AD87" s="26" t="n">
        <f>106379</f>
        <v>106379.0</v>
      </c>
    </row>
    <row r="88">
      <c r="A88" s="30" t="s">
        <v>48</v>
      </c>
      <c r="B88" s="22" t="s">
        <v>62</v>
      </c>
      <c r="C88" s="22" t="s">
        <v>63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49</v>
      </c>
      <c r="B89" s="22" t="s">
        <v>62</v>
      </c>
      <c r="C89" s="22" t="s">
        <v>63</v>
      </c>
      <c r="D89" s="24"/>
      <c r="E89" s="25"/>
      <c r="F89" s="23"/>
      <c r="G89" s="25"/>
      <c r="H89" s="23"/>
      <c r="I89" s="26"/>
      <c r="J89" s="24"/>
      <c r="K89" s="25"/>
      <c r="L89" s="23"/>
      <c r="M89" s="25"/>
      <c r="N89" s="23"/>
      <c r="O89" s="26"/>
      <c r="P89" s="27"/>
      <c r="Q89" s="28"/>
      <c r="R89" s="29"/>
      <c r="S89" s="24"/>
      <c r="T89" s="25"/>
      <c r="U89" s="23"/>
      <c r="V89" s="25"/>
      <c r="W89" s="23"/>
      <c r="X89" s="26"/>
      <c r="Y89" s="24"/>
      <c r="Z89" s="25"/>
      <c r="AA89" s="23"/>
      <c r="AB89" s="25"/>
      <c r="AC89" s="23"/>
      <c r="AD89" s="26"/>
    </row>
    <row r="90">
      <c r="A90" s="30" t="s">
        <v>50</v>
      </c>
      <c r="B90" s="22" t="s">
        <v>62</v>
      </c>
      <c r="C90" s="22" t="s">
        <v>63</v>
      </c>
      <c r="D90" s="24"/>
      <c r="E90" s="25" t="n">
        <f>1145</f>
        <v>1145.0</v>
      </c>
      <c r="F90" s="23"/>
      <c r="G90" s="25" t="n">
        <f>705</f>
        <v>705.0</v>
      </c>
      <c r="H90" s="23"/>
      <c r="I90" s="26" t="n">
        <f>1850</f>
        <v>1850.0</v>
      </c>
      <c r="J90" s="24"/>
      <c r="K90" s="25" t="n">
        <f>326434300</f>
        <v>3.264343E8</v>
      </c>
      <c r="L90" s="23"/>
      <c r="M90" s="25" t="n">
        <f>6979500</f>
        <v>6979500.0</v>
      </c>
      <c r="N90" s="23"/>
      <c r="O90" s="26" t="n">
        <f>333413800</f>
        <v>3.334138E8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1145</f>
        <v>1145.0</v>
      </c>
      <c r="U90" s="23"/>
      <c r="V90" s="25" t="n">
        <f>705</f>
        <v>705.0</v>
      </c>
      <c r="W90" s="23"/>
      <c r="X90" s="26" t="n">
        <f>1850</f>
        <v>1850.0</v>
      </c>
      <c r="Y90" s="24"/>
      <c r="Z90" s="25" t="n">
        <f>81839</f>
        <v>81839.0</v>
      </c>
      <c r="AA90" s="23"/>
      <c r="AB90" s="25" t="n">
        <f>26390</f>
        <v>26390.0</v>
      </c>
      <c r="AC90" s="23"/>
      <c r="AD90" s="26" t="n">
        <f>108229</f>
        <v>108229.0</v>
      </c>
    </row>
    <row r="91">
      <c r="A91" s="30" t="s">
        <v>51</v>
      </c>
      <c r="B91" s="22" t="s">
        <v>62</v>
      </c>
      <c r="C91" s="22" t="s">
        <v>63</v>
      </c>
      <c r="D91" s="24" t="s">
        <v>33</v>
      </c>
      <c r="E91" s="25" t="n">
        <f>10903</f>
        <v>10903.0</v>
      </c>
      <c r="F91" s="23"/>
      <c r="G91" s="25" t="n">
        <f>100</f>
        <v>100.0</v>
      </c>
      <c r="H91" s="23" t="s">
        <v>33</v>
      </c>
      <c r="I91" s="26" t="n">
        <f>11003</f>
        <v>11003.0</v>
      </c>
      <c r="J91" s="24" t="s">
        <v>33</v>
      </c>
      <c r="K91" s="25" t="n">
        <f>1024305118</f>
        <v>1.024305118E9</v>
      </c>
      <c r="L91" s="23"/>
      <c r="M91" s="25" t="n">
        <f>5800000</f>
        <v>5800000.0</v>
      </c>
      <c r="N91" s="23"/>
      <c r="O91" s="26" t="n">
        <f>1030105118</f>
        <v>1.030105118E9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 t="s">
        <v>33</v>
      </c>
      <c r="T91" s="25" t="n">
        <f>10616</f>
        <v>10616.0</v>
      </c>
      <c r="U91" s="23"/>
      <c r="V91" s="25" t="n">
        <f>100</f>
        <v>100.0</v>
      </c>
      <c r="W91" s="23" t="s">
        <v>33</v>
      </c>
      <c r="X91" s="26" t="n">
        <f>10716</f>
        <v>10716.0</v>
      </c>
      <c r="Y91" s="24"/>
      <c r="Z91" s="25" t="n">
        <f>81995</f>
        <v>81995.0</v>
      </c>
      <c r="AA91" s="23"/>
      <c r="AB91" s="25" t="n">
        <f>26290</f>
        <v>26290.0</v>
      </c>
      <c r="AC91" s="23"/>
      <c r="AD91" s="26" t="n">
        <f>108285</f>
        <v>108285.0</v>
      </c>
    </row>
    <row r="92">
      <c r="A92" s="30" t="s">
        <v>52</v>
      </c>
      <c r="B92" s="22" t="s">
        <v>62</v>
      </c>
      <c r="C92" s="22" t="s">
        <v>63</v>
      </c>
      <c r="D92" s="24"/>
      <c r="E92" s="25" t="n">
        <f>250</f>
        <v>250.0</v>
      </c>
      <c r="F92" s="23"/>
      <c r="G92" s="25" t="str">
        <f>"－"</f>
        <v>－</v>
      </c>
      <c r="H92" s="23"/>
      <c r="I92" s="26" t="n">
        <f>250</f>
        <v>250.0</v>
      </c>
      <c r="J92" s="24"/>
      <c r="K92" s="25" t="n">
        <f>9087500</f>
        <v>9087500.0</v>
      </c>
      <c r="L92" s="23"/>
      <c r="M92" s="25" t="str">
        <f>"－"</f>
        <v>－</v>
      </c>
      <c r="N92" s="23"/>
      <c r="O92" s="26" t="n">
        <f>9087500</f>
        <v>9087500.0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str">
        <f>"－"</f>
        <v>－</v>
      </c>
      <c r="U92" s="23"/>
      <c r="V92" s="25" t="str">
        <f>"－"</f>
        <v>－</v>
      </c>
      <c r="W92" s="23"/>
      <c r="X92" s="26" t="str">
        <f>"－"</f>
        <v>－</v>
      </c>
      <c r="Y92" s="24"/>
      <c r="Z92" s="25" t="n">
        <f>82245</f>
        <v>82245.0</v>
      </c>
      <c r="AA92" s="23"/>
      <c r="AB92" s="25" t="n">
        <f>26290</f>
        <v>26290.0</v>
      </c>
      <c r="AC92" s="23"/>
      <c r="AD92" s="26" t="n">
        <f>108535</f>
        <v>108535.0</v>
      </c>
    </row>
    <row r="93">
      <c r="A93" s="30" t="s">
        <v>53</v>
      </c>
      <c r="B93" s="22" t="s">
        <v>62</v>
      </c>
      <c r="C93" s="22" t="s">
        <v>63</v>
      </c>
      <c r="D93" s="24"/>
      <c r="E93" s="25" t="n">
        <f>3872</f>
        <v>3872.0</v>
      </c>
      <c r="F93" s="23"/>
      <c r="G93" s="25" t="n">
        <f>1355</f>
        <v>1355.0</v>
      </c>
      <c r="H93" s="23"/>
      <c r="I93" s="26" t="n">
        <f>5227</f>
        <v>5227.0</v>
      </c>
      <c r="J93" s="24"/>
      <c r="K93" s="25" t="n">
        <f>771706780</f>
        <v>7.7170678E8</v>
      </c>
      <c r="L93" s="23"/>
      <c r="M93" s="25" t="n">
        <f>158065400</f>
        <v>1.580654E8</v>
      </c>
      <c r="N93" s="23"/>
      <c r="O93" s="26" t="n">
        <f>929772180</f>
        <v>9.2977218E8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1149</f>
        <v>1149.0</v>
      </c>
      <c r="U93" s="23"/>
      <c r="V93" s="25" t="n">
        <f>855</f>
        <v>855.0</v>
      </c>
      <c r="W93" s="23"/>
      <c r="X93" s="26" t="n">
        <f>2004</f>
        <v>2004.0</v>
      </c>
      <c r="Y93" s="24"/>
      <c r="Z93" s="25" t="n">
        <f>86117</f>
        <v>86117.0</v>
      </c>
      <c r="AA93" s="23"/>
      <c r="AB93" s="25" t="n">
        <f>27645</f>
        <v>27645.0</v>
      </c>
      <c r="AC93" s="23"/>
      <c r="AD93" s="26" t="n">
        <f>113762</f>
        <v>113762.0</v>
      </c>
    </row>
    <row r="94">
      <c r="A94" s="30" t="s">
        <v>54</v>
      </c>
      <c r="B94" s="22" t="s">
        <v>62</v>
      </c>
      <c r="C94" s="22" t="s">
        <v>63</v>
      </c>
      <c r="D94" s="24"/>
      <c r="E94" s="25" t="n">
        <f>1395</f>
        <v>1395.0</v>
      </c>
      <c r="F94" s="23"/>
      <c r="G94" s="25" t="n">
        <f>425</f>
        <v>425.0</v>
      </c>
      <c r="H94" s="23"/>
      <c r="I94" s="26" t="n">
        <f>1820</f>
        <v>1820.0</v>
      </c>
      <c r="J94" s="24"/>
      <c r="K94" s="25" t="n">
        <f>237557560</f>
        <v>2.3755756E8</v>
      </c>
      <c r="L94" s="23"/>
      <c r="M94" s="25" t="n">
        <f>29631500</f>
        <v>2.96315E7</v>
      </c>
      <c r="N94" s="23"/>
      <c r="O94" s="26" t="n">
        <f>267189060</f>
        <v>2.6718906E8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n">
        <f>1395</f>
        <v>1395.0</v>
      </c>
      <c r="U94" s="23"/>
      <c r="V94" s="25" t="n">
        <f>425</f>
        <v>425.0</v>
      </c>
      <c r="W94" s="23"/>
      <c r="X94" s="26" t="n">
        <f>1820</f>
        <v>1820.0</v>
      </c>
      <c r="Y94" s="24"/>
      <c r="Z94" s="25" t="n">
        <f>87512</f>
        <v>87512.0</v>
      </c>
      <c r="AA94" s="23"/>
      <c r="AB94" s="25" t="n">
        <f>28070</f>
        <v>28070.0</v>
      </c>
      <c r="AC94" s="23"/>
      <c r="AD94" s="26" t="n">
        <f>115582</f>
        <v>115582.0</v>
      </c>
    </row>
    <row r="95">
      <c r="A95" s="30" t="s">
        <v>55</v>
      </c>
      <c r="B95" s="22" t="s">
        <v>62</v>
      </c>
      <c r="C95" s="22" t="s">
        <v>63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56</v>
      </c>
      <c r="B96" s="22" t="s">
        <v>62</v>
      </c>
      <c r="C96" s="22" t="s">
        <v>63</v>
      </c>
      <c r="D96" s="24"/>
      <c r="E96" s="25"/>
      <c r="F96" s="23"/>
      <c r="G96" s="25"/>
      <c r="H96" s="23"/>
      <c r="I96" s="26"/>
      <c r="J96" s="24"/>
      <c r="K96" s="25"/>
      <c r="L96" s="23"/>
      <c r="M96" s="25"/>
      <c r="N96" s="23"/>
      <c r="O96" s="26"/>
      <c r="P96" s="27"/>
      <c r="Q96" s="28"/>
      <c r="R96" s="29"/>
      <c r="S96" s="24"/>
      <c r="T96" s="25"/>
      <c r="U96" s="23"/>
      <c r="V96" s="25"/>
      <c r="W96" s="23"/>
      <c r="X96" s="26"/>
      <c r="Y96" s="24"/>
      <c r="Z96" s="25"/>
      <c r="AA96" s="23"/>
      <c r="AB96" s="25"/>
      <c r="AC96" s="23"/>
      <c r="AD96" s="26"/>
    </row>
    <row r="97">
      <c r="A97" s="30" t="s">
        <v>57</v>
      </c>
      <c r="B97" s="22" t="s">
        <v>62</v>
      </c>
      <c r="C97" s="22" t="s">
        <v>63</v>
      </c>
      <c r="D97" s="24"/>
      <c r="E97" s="25" t="n">
        <f>150</f>
        <v>150.0</v>
      </c>
      <c r="F97" s="23"/>
      <c r="G97" s="25" t="n">
        <f>150</f>
        <v>150.0</v>
      </c>
      <c r="H97" s="23"/>
      <c r="I97" s="26" t="n">
        <f>300</f>
        <v>300.0</v>
      </c>
      <c r="J97" s="24"/>
      <c r="K97" s="25" t="n">
        <f>70875000</f>
        <v>7.0875E7</v>
      </c>
      <c r="L97" s="23"/>
      <c r="M97" s="25" t="n">
        <f>87675000</f>
        <v>8.7675E7</v>
      </c>
      <c r="N97" s="23"/>
      <c r="O97" s="26" t="n">
        <f>158550000</f>
        <v>1.5855E8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n">
        <f>150</f>
        <v>150.0</v>
      </c>
      <c r="U97" s="23"/>
      <c r="V97" s="25" t="n">
        <f>150</f>
        <v>150.0</v>
      </c>
      <c r="W97" s="23"/>
      <c r="X97" s="26" t="n">
        <f>300</f>
        <v>300.0</v>
      </c>
      <c r="Y97" s="24"/>
      <c r="Z97" s="25" t="n">
        <f>87512</f>
        <v>87512.0</v>
      </c>
      <c r="AA97" s="23"/>
      <c r="AB97" s="25" t="n">
        <f>28070</f>
        <v>28070.0</v>
      </c>
      <c r="AC97" s="23"/>
      <c r="AD97" s="26" t="n">
        <f>115582</f>
        <v>115582.0</v>
      </c>
    </row>
    <row r="98">
      <c r="A98" s="30" t="s">
        <v>58</v>
      </c>
      <c r="B98" s="22" t="s">
        <v>62</v>
      </c>
      <c r="C98" s="22" t="s">
        <v>63</v>
      </c>
      <c r="D98" s="24"/>
      <c r="E98" s="25" t="n">
        <f>1520</f>
        <v>1520.0</v>
      </c>
      <c r="F98" s="23"/>
      <c r="G98" s="25" t="n">
        <f>760</f>
        <v>760.0</v>
      </c>
      <c r="H98" s="23"/>
      <c r="I98" s="26" t="n">
        <f>2280</f>
        <v>2280.0</v>
      </c>
      <c r="J98" s="24"/>
      <c r="K98" s="25" t="n">
        <f>691600000</f>
        <v>6.916E8</v>
      </c>
      <c r="L98" s="23"/>
      <c r="M98" s="25" t="n">
        <f>430123520</f>
        <v>4.3012352E8</v>
      </c>
      <c r="N98" s="23"/>
      <c r="O98" s="26" t="n">
        <f>1121723520</f>
        <v>1.12172352E9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n">
        <f>1520</f>
        <v>1520.0</v>
      </c>
      <c r="U98" s="23"/>
      <c r="V98" s="25" t="n">
        <f>760</f>
        <v>760.0</v>
      </c>
      <c r="W98" s="23"/>
      <c r="X98" s="26" t="n">
        <f>2280</f>
        <v>2280.0</v>
      </c>
      <c r="Y98" s="24"/>
      <c r="Z98" s="25" t="n">
        <f>89032</f>
        <v>89032.0</v>
      </c>
      <c r="AA98" s="23"/>
      <c r="AB98" s="25" t="n">
        <f>28830</f>
        <v>28830.0</v>
      </c>
      <c r="AC98" s="23"/>
      <c r="AD98" s="26" t="n">
        <f>117862</f>
        <v>117862.0</v>
      </c>
    </row>
    <row r="99">
      <c r="A99" s="30" t="s">
        <v>59</v>
      </c>
      <c r="B99" s="22" t="s">
        <v>62</v>
      </c>
      <c r="C99" s="22" t="s">
        <v>63</v>
      </c>
      <c r="D99" s="24"/>
      <c r="E99" s="25" t="n">
        <f>600</f>
        <v>600.0</v>
      </c>
      <c r="F99" s="23"/>
      <c r="G99" s="25" t="n">
        <f>1732</f>
        <v>1732.0</v>
      </c>
      <c r="H99" s="23"/>
      <c r="I99" s="26" t="n">
        <f>2332</f>
        <v>2332.0</v>
      </c>
      <c r="J99" s="24"/>
      <c r="K99" s="25" t="n">
        <f>218400000</f>
        <v>2.184E8</v>
      </c>
      <c r="L99" s="23"/>
      <c r="M99" s="25" t="n">
        <f>1047145100</f>
        <v>1.0471451E9</v>
      </c>
      <c r="N99" s="23"/>
      <c r="O99" s="26" t="n">
        <f>1265545100</f>
        <v>1.2655451E9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n">
        <f>232</f>
        <v>232.0</v>
      </c>
      <c r="W99" s="23"/>
      <c r="X99" s="26" t="n">
        <f>232</f>
        <v>232.0</v>
      </c>
      <c r="Y99" s="24"/>
      <c r="Z99" s="25" t="n">
        <f>89632</f>
        <v>89632.0</v>
      </c>
      <c r="AA99" s="23" t="s">
        <v>33</v>
      </c>
      <c r="AB99" s="25" t="n">
        <f>30562</f>
        <v>30562.0</v>
      </c>
      <c r="AC99" s="23"/>
      <c r="AD99" s="26" t="n">
        <f>120194</f>
        <v>120194.0</v>
      </c>
    </row>
    <row r="100">
      <c r="A100" s="30" t="s">
        <v>26</v>
      </c>
      <c r="B100" s="22" t="s">
        <v>64</v>
      </c>
      <c r="C100" s="22" t="s">
        <v>65</v>
      </c>
      <c r="D100" s="24" t="s">
        <v>66</v>
      </c>
      <c r="E100" s="25" t="str">
        <f>"－"</f>
        <v>－</v>
      </c>
      <c r="F100" s="23" t="s">
        <v>66</v>
      </c>
      <c r="G100" s="25" t="str">
        <f>"－"</f>
        <v>－</v>
      </c>
      <c r="H100" s="23" t="s">
        <v>66</v>
      </c>
      <c r="I100" s="26" t="str">
        <f>"－"</f>
        <v>－</v>
      </c>
      <c r="J100" s="24" t="s">
        <v>66</v>
      </c>
      <c r="K100" s="25" t="str">
        <f>"－"</f>
        <v>－</v>
      </c>
      <c r="L100" s="23" t="s">
        <v>66</v>
      </c>
      <c r="M100" s="25" t="str">
        <f>"－"</f>
        <v>－</v>
      </c>
      <c r="N100" s="23" t="s">
        <v>66</v>
      </c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 t="s">
        <v>66</v>
      </c>
      <c r="T100" s="25" t="str">
        <f>"－"</f>
        <v>－</v>
      </c>
      <c r="U100" s="23" t="s">
        <v>66</v>
      </c>
      <c r="V100" s="25" t="str">
        <f>"－"</f>
        <v>－</v>
      </c>
      <c r="W100" s="23" t="s">
        <v>66</v>
      </c>
      <c r="X100" s="26" t="str">
        <f>"－"</f>
        <v>－</v>
      </c>
      <c r="Y100" s="24" t="s">
        <v>66</v>
      </c>
      <c r="Z100" s="25" t="str">
        <f>"－"</f>
        <v>－</v>
      </c>
      <c r="AA100" s="23" t="s">
        <v>66</v>
      </c>
      <c r="AB100" s="25" t="str">
        <f>"－"</f>
        <v>－</v>
      </c>
      <c r="AC100" s="23" t="s">
        <v>66</v>
      </c>
      <c r="AD100" s="26" t="str">
        <f>"－"</f>
        <v>－</v>
      </c>
    </row>
    <row r="101">
      <c r="A101" s="30" t="s">
        <v>30</v>
      </c>
      <c r="B101" s="22" t="s">
        <v>64</v>
      </c>
      <c r="C101" s="22" t="s">
        <v>65</v>
      </c>
      <c r="D101" s="24"/>
      <c r="E101" s="25" t="str">
        <f>"－"</f>
        <v>－</v>
      </c>
      <c r="F101" s="23"/>
      <c r="G101" s="25" t="str">
        <f>"－"</f>
        <v>－</v>
      </c>
      <c r="H101" s="23"/>
      <c r="I101" s="26" t="str">
        <f>"－"</f>
        <v>－</v>
      </c>
      <c r="J101" s="24"/>
      <c r="K101" s="25" t="str">
        <f>"－"</f>
        <v>－</v>
      </c>
      <c r="L101" s="23"/>
      <c r="M101" s="25" t="str">
        <f>"－"</f>
        <v>－</v>
      </c>
      <c r="N101" s="23"/>
      <c r="O101" s="26" t="str">
        <f>"－"</f>
        <v>－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str">
        <f>"－"</f>
        <v>－</v>
      </c>
      <c r="U101" s="23"/>
      <c r="V101" s="25" t="str">
        <f>"－"</f>
        <v>－</v>
      </c>
      <c r="W101" s="23"/>
      <c r="X101" s="26" t="str">
        <f>"－"</f>
        <v>－</v>
      </c>
      <c r="Y101" s="24"/>
      <c r="Z101" s="25" t="str">
        <f>"－"</f>
        <v>－</v>
      </c>
      <c r="AA101" s="23"/>
      <c r="AB101" s="25" t="str">
        <f>"－"</f>
        <v>－</v>
      </c>
      <c r="AC101" s="23"/>
      <c r="AD101" s="26" t="str">
        <f>"－"</f>
        <v>－</v>
      </c>
    </row>
    <row r="102">
      <c r="A102" s="30" t="s">
        <v>31</v>
      </c>
      <c r="B102" s="22" t="s">
        <v>64</v>
      </c>
      <c r="C102" s="22" t="s">
        <v>65</v>
      </c>
      <c r="D102" s="24"/>
      <c r="E102" s="25" t="str">
        <f>"－"</f>
        <v>－</v>
      </c>
      <c r="F102" s="23"/>
      <c r="G102" s="25" t="str">
        <f>"－"</f>
        <v>－</v>
      </c>
      <c r="H102" s="23"/>
      <c r="I102" s="26" t="str">
        <f>"－"</f>
        <v>－</v>
      </c>
      <c r="J102" s="24"/>
      <c r="K102" s="25" t="str">
        <f>"－"</f>
        <v>－</v>
      </c>
      <c r="L102" s="23"/>
      <c r="M102" s="25" t="str">
        <f>"－"</f>
        <v>－</v>
      </c>
      <c r="N102" s="23"/>
      <c r="O102" s="26" t="str">
        <f>"－"</f>
        <v>－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str">
        <f>"－"</f>
        <v>－</v>
      </c>
      <c r="U102" s="23"/>
      <c r="V102" s="25" t="str">
        <f>"－"</f>
        <v>－</v>
      </c>
      <c r="W102" s="23"/>
      <c r="X102" s="26" t="str">
        <f>"－"</f>
        <v>－</v>
      </c>
      <c r="Y102" s="24"/>
      <c r="Z102" s="25" t="str">
        <f>"－"</f>
        <v>－</v>
      </c>
      <c r="AA102" s="23"/>
      <c r="AB102" s="25" t="str">
        <f>"－"</f>
        <v>－</v>
      </c>
      <c r="AC102" s="23"/>
      <c r="AD102" s="26" t="str">
        <f>"－"</f>
        <v>－</v>
      </c>
    </row>
    <row r="103">
      <c r="A103" s="30" t="s">
        <v>32</v>
      </c>
      <c r="B103" s="22" t="s">
        <v>64</v>
      </c>
      <c r="C103" s="22" t="s">
        <v>65</v>
      </c>
      <c r="D103" s="24"/>
      <c r="E103" s="25" t="str">
        <f>"－"</f>
        <v>－</v>
      </c>
      <c r="F103" s="23"/>
      <c r="G103" s="25" t="str">
        <f>"－"</f>
        <v>－</v>
      </c>
      <c r="H103" s="23"/>
      <c r="I103" s="26" t="str">
        <f>"－"</f>
        <v>－</v>
      </c>
      <c r="J103" s="24"/>
      <c r="K103" s="25" t="str">
        <f>"－"</f>
        <v>－</v>
      </c>
      <c r="L103" s="23"/>
      <c r="M103" s="25" t="str">
        <f>"－"</f>
        <v>－</v>
      </c>
      <c r="N103" s="23"/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/>
      <c r="T103" s="25" t="str">
        <f>"－"</f>
        <v>－</v>
      </c>
      <c r="U103" s="23"/>
      <c r="V103" s="25" t="str">
        <f>"－"</f>
        <v>－</v>
      </c>
      <c r="W103" s="23"/>
      <c r="X103" s="26" t="str">
        <f>"－"</f>
        <v>－</v>
      </c>
      <c r="Y103" s="24"/>
      <c r="Z103" s="25" t="str">
        <f>"－"</f>
        <v>－</v>
      </c>
      <c r="AA103" s="23"/>
      <c r="AB103" s="25" t="str">
        <f>"－"</f>
        <v>－</v>
      </c>
      <c r="AC103" s="23"/>
      <c r="AD103" s="26" t="str">
        <f>"－"</f>
        <v>－</v>
      </c>
    </row>
    <row r="104">
      <c r="A104" s="30" t="s">
        <v>34</v>
      </c>
      <c r="B104" s="22" t="s">
        <v>64</v>
      </c>
      <c r="C104" s="22" t="s">
        <v>65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35</v>
      </c>
      <c r="B105" s="22" t="s">
        <v>64</v>
      </c>
      <c r="C105" s="22" t="s">
        <v>65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36</v>
      </c>
      <c r="B106" s="22" t="s">
        <v>64</v>
      </c>
      <c r="C106" s="22" t="s">
        <v>65</v>
      </c>
      <c r="D106" s="24"/>
      <c r="E106" s="25" t="str">
        <f>"－"</f>
        <v>－</v>
      </c>
      <c r="F106" s="23"/>
      <c r="G106" s="25" t="str">
        <f>"－"</f>
        <v>－</v>
      </c>
      <c r="H106" s="23"/>
      <c r="I106" s="26" t="str">
        <f>"－"</f>
        <v>－</v>
      </c>
      <c r="J106" s="24"/>
      <c r="K106" s="25" t="str">
        <f>"－"</f>
        <v>－</v>
      </c>
      <c r="L106" s="23"/>
      <c r="M106" s="25" t="str">
        <f>"－"</f>
        <v>－</v>
      </c>
      <c r="N106" s="23"/>
      <c r="O106" s="26" t="str">
        <f>"－"</f>
        <v>－</v>
      </c>
      <c r="P106" s="27" t="str">
        <f>"－"</f>
        <v>－</v>
      </c>
      <c r="Q106" s="28" t="str">
        <f>"－"</f>
        <v>－</v>
      </c>
      <c r="R106" s="29" t="str">
        <f>"－"</f>
        <v>－</v>
      </c>
      <c r="S106" s="24"/>
      <c r="T106" s="25" t="str">
        <f>"－"</f>
        <v>－</v>
      </c>
      <c r="U106" s="23"/>
      <c r="V106" s="25" t="str">
        <f>"－"</f>
        <v>－</v>
      </c>
      <c r="W106" s="23"/>
      <c r="X106" s="26" t="str">
        <f>"－"</f>
        <v>－</v>
      </c>
      <c r="Y106" s="24"/>
      <c r="Z106" s="25" t="str">
        <f>"－"</f>
        <v>－</v>
      </c>
      <c r="AA106" s="23"/>
      <c r="AB106" s="25" t="str">
        <f>"－"</f>
        <v>－</v>
      </c>
      <c r="AC106" s="23"/>
      <c r="AD106" s="26" t="str">
        <f>"－"</f>
        <v>－</v>
      </c>
    </row>
    <row r="107">
      <c r="A107" s="30" t="s">
        <v>37</v>
      </c>
      <c r="B107" s="22" t="s">
        <v>64</v>
      </c>
      <c r="C107" s="22" t="s">
        <v>65</v>
      </c>
      <c r="D107" s="24"/>
      <c r="E107" s="25" t="str">
        <f>"－"</f>
        <v>－</v>
      </c>
      <c r="F107" s="23"/>
      <c r="G107" s="25" t="str">
        <f>"－"</f>
        <v>－</v>
      </c>
      <c r="H107" s="23"/>
      <c r="I107" s="26" t="str">
        <f>"－"</f>
        <v>－</v>
      </c>
      <c r="J107" s="24"/>
      <c r="K107" s="25" t="str">
        <f>"－"</f>
        <v>－</v>
      </c>
      <c r="L107" s="23"/>
      <c r="M107" s="25" t="str">
        <f>"－"</f>
        <v>－</v>
      </c>
      <c r="N107" s="23"/>
      <c r="O107" s="26" t="str">
        <f>"－"</f>
        <v>－</v>
      </c>
      <c r="P107" s="27" t="str">
        <f>"－"</f>
        <v>－</v>
      </c>
      <c r="Q107" s="28" t="str">
        <f>"－"</f>
        <v>－</v>
      </c>
      <c r="R107" s="29" t="str">
        <f>"－"</f>
        <v>－</v>
      </c>
      <c r="S107" s="24"/>
      <c r="T107" s="25" t="str">
        <f>"－"</f>
        <v>－</v>
      </c>
      <c r="U107" s="23"/>
      <c r="V107" s="25" t="str">
        <f>"－"</f>
        <v>－</v>
      </c>
      <c r="W107" s="23"/>
      <c r="X107" s="26" t="str">
        <f>"－"</f>
        <v>－</v>
      </c>
      <c r="Y107" s="24"/>
      <c r="Z107" s="25" t="str">
        <f>"－"</f>
        <v>－</v>
      </c>
      <c r="AA107" s="23"/>
      <c r="AB107" s="25" t="str">
        <f>"－"</f>
        <v>－</v>
      </c>
      <c r="AC107" s="23"/>
      <c r="AD107" s="26" t="str">
        <f>"－"</f>
        <v>－</v>
      </c>
    </row>
    <row r="108">
      <c r="A108" s="30" t="s">
        <v>38</v>
      </c>
      <c r="B108" s="22" t="s">
        <v>64</v>
      </c>
      <c r="C108" s="22" t="s">
        <v>65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39</v>
      </c>
      <c r="B109" s="22" t="s">
        <v>64</v>
      </c>
      <c r="C109" s="22" t="s">
        <v>65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40</v>
      </c>
      <c r="B110" s="22" t="s">
        <v>64</v>
      </c>
      <c r="C110" s="22" t="s">
        <v>65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41</v>
      </c>
      <c r="B111" s="22" t="s">
        <v>64</v>
      </c>
      <c r="C111" s="22" t="s">
        <v>65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42</v>
      </c>
      <c r="B112" s="22" t="s">
        <v>64</v>
      </c>
      <c r="C112" s="22" t="s">
        <v>65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43</v>
      </c>
      <c r="B113" s="22" t="s">
        <v>64</v>
      </c>
      <c r="C113" s="22" t="s">
        <v>65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44</v>
      </c>
      <c r="B114" s="22" t="s">
        <v>64</v>
      </c>
      <c r="C114" s="22" t="s">
        <v>65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45</v>
      </c>
      <c r="B115" s="22" t="s">
        <v>64</v>
      </c>
      <c r="C115" s="22" t="s">
        <v>65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46</v>
      </c>
      <c r="B116" s="22" t="s">
        <v>64</v>
      </c>
      <c r="C116" s="22" t="s">
        <v>65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47</v>
      </c>
      <c r="B117" s="22" t="s">
        <v>64</v>
      </c>
      <c r="C117" s="22" t="s">
        <v>65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48</v>
      </c>
      <c r="B118" s="22" t="s">
        <v>64</v>
      </c>
      <c r="C118" s="22" t="s">
        <v>65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49</v>
      </c>
      <c r="B119" s="22" t="s">
        <v>64</v>
      </c>
      <c r="C119" s="22" t="s">
        <v>65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50</v>
      </c>
      <c r="B120" s="22" t="s">
        <v>64</v>
      </c>
      <c r="C120" s="22" t="s">
        <v>65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51</v>
      </c>
      <c r="B121" s="22" t="s">
        <v>64</v>
      </c>
      <c r="C121" s="22" t="s">
        <v>65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52</v>
      </c>
      <c r="B122" s="22" t="s">
        <v>64</v>
      </c>
      <c r="C122" s="22" t="s">
        <v>65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53</v>
      </c>
      <c r="B123" s="22" t="s">
        <v>64</v>
      </c>
      <c r="C123" s="22" t="s">
        <v>65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54</v>
      </c>
      <c r="B124" s="22" t="s">
        <v>64</v>
      </c>
      <c r="C124" s="22" t="s">
        <v>65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55</v>
      </c>
      <c r="B125" s="22" t="s">
        <v>64</v>
      </c>
      <c r="C125" s="22" t="s">
        <v>65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56</v>
      </c>
      <c r="B126" s="22" t="s">
        <v>64</v>
      </c>
      <c r="C126" s="22" t="s">
        <v>65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57</v>
      </c>
      <c r="B127" s="22" t="s">
        <v>64</v>
      </c>
      <c r="C127" s="22" t="s">
        <v>65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58</v>
      </c>
      <c r="B128" s="22" t="s">
        <v>64</v>
      </c>
      <c r="C128" s="22" t="s">
        <v>65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59</v>
      </c>
      <c r="B129" s="22" t="s">
        <v>64</v>
      </c>
      <c r="C129" s="22" t="s">
        <v>65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