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<sst xmlns="http://schemas.openxmlformats.org/spreadsheetml/2006/main" count="1309" uniqueCount="76">
  <si>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</si>
  <si>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</si>
  <si>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</si>
  <si>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</si>
  <si>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</si>
  <si>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</si>
  <si>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</si>
  <si>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</si>
  <si>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</si>
  <si>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</si>
  <si>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</si>
  <si>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</si>
  <si>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</si>
  <si>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</si>
  <si>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</si>
  <si>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</si>
  <si>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7.1</t>
  </si>
  <si>
    <t>金標準先物</t>
  </si>
  <si>
    <t>Gold Standard Futures</t>
  </si>
  <si>
    <t>◎</t>
  </si>
  <si>
    <t>2</t>
  </si>
  <si>
    <t>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</si>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</sst>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08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 t="n">
        <f>27752</f>
        <v>27752.0</v>
      </c>
      <c r="F6" s="10"/>
      <c r="G6" s="11" t="n">
        <f>174592679000</f>
        <v>1.74592679E11</v>
      </c>
      <c r="H6" s="10"/>
      <c r="I6" s="11" t="n">
        <f>14</f>
        <v>14.0</v>
      </c>
      <c r="J6" s="10" t="s">
        <v>19</v>
      </c>
      <c r="K6" s="11" t="n">
        <f>47812</f>
        <v>47812.0</v>
      </c>
    </row>
    <row r="7">
      <c r="A7" s="8" t="s">
        <v>20</v>
      </c>
      <c r="B7" s="9" t="s">
        <v>17</v>
      </c>
      <c r="C7" s="9" t="s">
        <v>18</v>
      </c>
      <c r="D7" s="10"/>
      <c r="E7" s="11" t="n">
        <f>22656</f>
        <v>22656.0</v>
      </c>
      <c r="F7" s="10"/>
      <c r="G7" s="11" t="n">
        <f>144213301000</f>
        <v>1.44213301E11</v>
      </c>
      <c r="H7" s="10" t="s">
        <v>21</v>
      </c>
      <c r="I7" s="11" t="str">
        <f>"－"</f>
        <v>－</v>
      </c>
      <c r="J7" s="10"/>
      <c r="K7" s="11" t="n">
        <f>46705</f>
        <v>46705.0</v>
      </c>
    </row>
    <row r="8">
      <c r="A8" s="8" t="s">
        <v>22</v>
      </c>
      <c r="B8" s="9" t="s">
        <v>17</v>
      </c>
      <c r="C8" s="9" t="s">
        <v>18</v>
      </c>
      <c r="D8" s="10"/>
      <c r="E8" s="11"/>
      <c r="F8" s="10"/>
      <c r="G8" s="11"/>
      <c r="H8" s="10"/>
      <c r="I8" s="11"/>
      <c r="J8" s="10"/>
      <c r="K8" s="11"/>
    </row>
    <row r="9">
      <c r="A9" s="8" t="s">
        <v>23</v>
      </c>
      <c r="B9" s="9" t="s">
        <v>17</v>
      </c>
      <c r="C9" s="9" t="s">
        <v>18</v>
      </c>
      <c r="D9" s="10"/>
      <c r="E9" s="11"/>
      <c r="F9" s="10"/>
      <c r="G9" s="11"/>
      <c r="H9" s="10"/>
      <c r="I9" s="11"/>
      <c r="J9" s="10"/>
      <c r="K9" s="11"/>
    </row>
    <row r="10">
      <c r="A10" s="8" t="s">
        <v>24</v>
      </c>
      <c r="B10" s="9" t="s">
        <v>17</v>
      </c>
      <c r="C10" s="9" t="s">
        <v>18</v>
      </c>
      <c r="D10" s="10"/>
      <c r="E10" s="11" t="n">
        <f>26223</f>
        <v>26223.0</v>
      </c>
      <c r="F10" s="10"/>
      <c r="G10" s="11" t="n">
        <f>167487705000</f>
        <v>1.67487705E11</v>
      </c>
      <c r="H10" s="10"/>
      <c r="I10" s="11" t="n">
        <f>7</f>
        <v>7.0</v>
      </c>
      <c r="J10" s="10"/>
      <c r="K10" s="11" t="n">
        <f>46141</f>
        <v>46141.0</v>
      </c>
    </row>
    <row r="11">
      <c r="A11" s="8" t="s">
        <v>25</v>
      </c>
      <c r="B11" s="9" t="s">
        <v>17</v>
      </c>
      <c r="C11" s="9" t="s">
        <v>18</v>
      </c>
      <c r="D11" s="10"/>
      <c r="E11" s="11" t="n">
        <f>16432</f>
        <v>16432.0</v>
      </c>
      <c r="F11" s="10"/>
      <c r="G11" s="11" t="n">
        <f>105150371000</f>
        <v>1.05150371E11</v>
      </c>
      <c r="H11" s="10"/>
      <c r="I11" s="11" t="str">
        <f>"－"</f>
        <v>－</v>
      </c>
      <c r="J11" s="10"/>
      <c r="K11" s="11" t="n">
        <f>46198</f>
        <v>46198.0</v>
      </c>
    </row>
    <row r="12">
      <c r="A12" s="8" t="s">
        <v>26</v>
      </c>
      <c r="B12" s="9" t="s">
        <v>17</v>
      </c>
      <c r="C12" s="9" t="s">
        <v>18</v>
      </c>
      <c r="D12" s="10"/>
      <c r="E12" s="11" t="n">
        <f>31306</f>
        <v>31306.0</v>
      </c>
      <c r="F12" s="10"/>
      <c r="G12" s="11" t="n">
        <f>200552315000</f>
        <v>2.00552315E11</v>
      </c>
      <c r="H12" s="10"/>
      <c r="I12" s="11" t="str">
        <f>"－"</f>
        <v>－</v>
      </c>
      <c r="J12" s="10"/>
      <c r="K12" s="11" t="n">
        <f>46169</f>
        <v>46169.0</v>
      </c>
    </row>
    <row r="13">
      <c r="A13" s="8" t="s">
        <v>27</v>
      </c>
      <c r="B13" s="9" t="s">
        <v>17</v>
      </c>
      <c r="C13" s="9" t="s">
        <v>18</v>
      </c>
      <c r="D13" s="10"/>
      <c r="E13" s="11" t="n">
        <f>23252</f>
        <v>23252.0</v>
      </c>
      <c r="F13" s="10"/>
      <c r="G13" s="11" t="n">
        <f>148951640000</f>
        <v>1.4895164E11</v>
      </c>
      <c r="H13" s="10"/>
      <c r="I13" s="11" t="str">
        <f>"－"</f>
        <v>－</v>
      </c>
      <c r="J13" s="10" t="s">
        <v>21</v>
      </c>
      <c r="K13" s="11" t="n">
        <f>45778</f>
        <v>45778.0</v>
      </c>
    </row>
    <row r="14">
      <c r="A14" s="8" t="s">
        <v>28</v>
      </c>
      <c r="B14" s="9" t="s">
        <v>17</v>
      </c>
      <c r="C14" s="9" t="s">
        <v>18</v>
      </c>
      <c r="D14" s="10" t="s">
        <v>19</v>
      </c>
      <c r="E14" s="11" t="n">
        <f>32835</f>
        <v>32835.0</v>
      </c>
      <c r="F14" s="10" t="s">
        <v>19</v>
      </c>
      <c r="G14" s="11" t="n">
        <f>209293929000</f>
        <v>2.09293929E11</v>
      </c>
      <c r="H14" s="10"/>
      <c r="I14" s="11" t="str">
        <f>"－"</f>
        <v>－</v>
      </c>
      <c r="J14" s="10"/>
      <c r="K14" s="11" t="n">
        <f>45871</f>
        <v>45871.0</v>
      </c>
    </row>
    <row r="15">
      <c r="A15" s="8" t="s">
        <v>29</v>
      </c>
      <c r="B15" s="9" t="s">
        <v>17</v>
      </c>
      <c r="C15" s="9" t="s">
        <v>18</v>
      </c>
      <c r="D15" s="10"/>
      <c r="E15" s="11"/>
      <c r="F15" s="10"/>
      <c r="G15" s="11"/>
      <c r="H15" s="10"/>
      <c r="I15" s="11"/>
      <c r="J15" s="10"/>
      <c r="K15" s="11"/>
    </row>
    <row r="16">
      <c r="A16" s="8" t="s">
        <v>30</v>
      </c>
      <c r="B16" s="9" t="s">
        <v>17</v>
      </c>
      <c r="C16" s="9" t="s">
        <v>18</v>
      </c>
      <c r="D16" s="10"/>
      <c r="E16" s="11"/>
      <c r="F16" s="10"/>
      <c r="G16" s="11"/>
      <c r="H16" s="10"/>
      <c r="I16" s="11"/>
      <c r="J16" s="10"/>
      <c r="K16" s="11"/>
    </row>
    <row r="17">
      <c r="A17" s="8" t="s">
        <v>31</v>
      </c>
      <c r="B17" s="9" t="s">
        <v>17</v>
      </c>
      <c r="C17" s="9" t="s">
        <v>18</v>
      </c>
      <c r="D17" s="10"/>
      <c r="E17" s="11" t="n">
        <f>19352</f>
        <v>19352.0</v>
      </c>
      <c r="F17" s="10"/>
      <c r="G17" s="11" t="n">
        <f>123621607000</f>
        <v>1.23621607E11</v>
      </c>
      <c r="H17" s="10"/>
      <c r="I17" s="11" t="str">
        <f>"－"</f>
        <v>－</v>
      </c>
      <c r="J17" s="10"/>
      <c r="K17" s="11" t="n">
        <f>46100</f>
        <v>46100.0</v>
      </c>
    </row>
    <row r="18">
      <c r="A18" s="8" t="s">
        <v>32</v>
      </c>
      <c r="B18" s="9" t="s">
        <v>17</v>
      </c>
      <c r="C18" s="9" t="s">
        <v>18</v>
      </c>
      <c r="D18" s="10"/>
      <c r="E18" s="11" t="n">
        <f>21468</f>
        <v>21468.0</v>
      </c>
      <c r="F18" s="10"/>
      <c r="G18" s="11" t="n">
        <f>137375027000</f>
        <v>1.37375027E11</v>
      </c>
      <c r="H18" s="10"/>
      <c r="I18" s="11" t="str">
        <f>"－"</f>
        <v>－</v>
      </c>
      <c r="J18" s="10"/>
      <c r="K18" s="11" t="n">
        <f>46555</f>
        <v>46555.0</v>
      </c>
    </row>
    <row r="19">
      <c r="A19" s="8" t="s">
        <v>33</v>
      </c>
      <c r="B19" s="9" t="s">
        <v>17</v>
      </c>
      <c r="C19" s="9" t="s">
        <v>18</v>
      </c>
      <c r="D19" s="10"/>
      <c r="E19" s="11" t="n">
        <f>23328</f>
        <v>23328.0</v>
      </c>
      <c r="F19" s="10"/>
      <c r="G19" s="11" t="n">
        <f>149825727000</f>
        <v>1.49825727E11</v>
      </c>
      <c r="H19" s="10" t="s">
        <v>19</v>
      </c>
      <c r="I19" s="11" t="n">
        <f>238</f>
        <v>238.0</v>
      </c>
      <c r="J19" s="10"/>
      <c r="K19" s="11" t="n">
        <f>46051</f>
        <v>46051.0</v>
      </c>
    </row>
    <row r="20">
      <c r="A20" s="8" t="s">
        <v>34</v>
      </c>
      <c r="B20" s="9" t="s">
        <v>17</v>
      </c>
      <c r="C20" s="9" t="s">
        <v>18</v>
      </c>
      <c r="D20" s="10"/>
      <c r="E20" s="11" t="n">
        <f>23903</f>
        <v>23903.0</v>
      </c>
      <c r="F20" s="10"/>
      <c r="G20" s="11" t="n">
        <f>154250700000</f>
        <v>1.542507E11</v>
      </c>
      <c r="H20" s="10"/>
      <c r="I20" s="11" t="n">
        <f>11</f>
        <v>11.0</v>
      </c>
      <c r="J20" s="10"/>
      <c r="K20" s="11" t="n">
        <f>45824</f>
        <v>45824.0</v>
      </c>
    </row>
    <row r="21">
      <c r="A21" s="8" t="s">
        <v>35</v>
      </c>
      <c r="B21" s="9" t="s">
        <v>17</v>
      </c>
      <c r="C21" s="9" t="s">
        <v>18</v>
      </c>
      <c r="D21" s="10"/>
      <c r="E21" s="11" t="n">
        <f>16922</f>
        <v>16922.0</v>
      </c>
      <c r="F21" s="10"/>
      <c r="G21" s="11" t="n">
        <f>109244719000</f>
        <v>1.09244719E11</v>
      </c>
      <c r="H21" s="10"/>
      <c r="I21" s="11" t="n">
        <f>10</f>
        <v>10.0</v>
      </c>
      <c r="J21" s="10"/>
      <c r="K21" s="11" t="n">
        <f>46142</f>
        <v>46142.0</v>
      </c>
    </row>
    <row r="22">
      <c r="A22" s="8" t="s">
        <v>36</v>
      </c>
      <c r="B22" s="9" t="s">
        <v>17</v>
      </c>
      <c r="C22" s="9" t="s">
        <v>18</v>
      </c>
      <c r="D22" s="10"/>
      <c r="E22" s="11"/>
      <c r="F22" s="10"/>
      <c r="G22" s="11"/>
      <c r="H22" s="10"/>
      <c r="I22" s="11"/>
      <c r="J22" s="10"/>
      <c r="K22" s="11"/>
    </row>
    <row r="23">
      <c r="A23" s="8" t="s">
        <v>37</v>
      </c>
      <c r="B23" s="9" t="s">
        <v>17</v>
      </c>
      <c r="C23" s="9" t="s">
        <v>18</v>
      </c>
      <c r="D23" s="10"/>
      <c r="E23" s="11"/>
      <c r="F23" s="10"/>
      <c r="G23" s="11"/>
      <c r="H23" s="10"/>
      <c r="I23" s="11"/>
      <c r="J23" s="10"/>
      <c r="K23" s="11"/>
    </row>
    <row r="24">
      <c r="A24" s="8" t="s">
        <v>38</v>
      </c>
      <c r="B24" s="9" t="s">
        <v>17</v>
      </c>
      <c r="C24" s="9" t="s">
        <v>18</v>
      </c>
      <c r="D24" s="10"/>
      <c r="E24" s="11" t="n">
        <f>23849</f>
        <v>23849.0</v>
      </c>
      <c r="F24" s="10"/>
      <c r="G24" s="11" t="n">
        <f>153346676000</f>
        <v>1.53346676E11</v>
      </c>
      <c r="H24" s="10"/>
      <c r="I24" s="11" t="n">
        <f>6</f>
        <v>6.0</v>
      </c>
      <c r="J24" s="10"/>
      <c r="K24" s="11" t="n">
        <f>46019</f>
        <v>46019.0</v>
      </c>
    </row>
    <row r="25">
      <c r="A25" s="8" t="s">
        <v>39</v>
      </c>
      <c r="B25" s="9" t="s">
        <v>17</v>
      </c>
      <c r="C25" s="9" t="s">
        <v>18</v>
      </c>
      <c r="D25" s="10"/>
      <c r="E25" s="11" t="n">
        <f>26185</f>
        <v>26185.0</v>
      </c>
      <c r="F25" s="10"/>
      <c r="G25" s="11" t="n">
        <f>166788471000</f>
        <v>1.66788471E11</v>
      </c>
      <c r="H25" s="10"/>
      <c r="I25" s="11" t="n">
        <f>9</f>
        <v>9.0</v>
      </c>
      <c r="J25" s="10"/>
      <c r="K25" s="11" t="n">
        <f>46392</f>
        <v>46392.0</v>
      </c>
    </row>
    <row r="26">
      <c r="A26" s="8" t="s">
        <v>40</v>
      </c>
      <c r="B26" s="9" t="s">
        <v>17</v>
      </c>
      <c r="C26" s="9" t="s">
        <v>18</v>
      </c>
      <c r="D26" s="10"/>
      <c r="E26" s="11" t="n">
        <f>17956</f>
        <v>17956.0</v>
      </c>
      <c r="F26" s="10"/>
      <c r="G26" s="11" t="n">
        <f>114879502000</f>
        <v>1.14879502E11</v>
      </c>
      <c r="H26" s="10"/>
      <c r="I26" s="11" t="str">
        <f>"－"</f>
        <v>－</v>
      </c>
      <c r="J26" s="10"/>
      <c r="K26" s="11" t="n">
        <f>46579</f>
        <v>46579.0</v>
      </c>
    </row>
    <row r="27">
      <c r="A27" s="8" t="s">
        <v>41</v>
      </c>
      <c r="B27" s="9" t="s">
        <v>17</v>
      </c>
      <c r="C27" s="9" t="s">
        <v>18</v>
      </c>
      <c r="D27" s="10"/>
      <c r="E27" s="11"/>
      <c r="F27" s="10"/>
      <c r="G27" s="11"/>
      <c r="H27" s="10"/>
      <c r="I27" s="11"/>
      <c r="J27" s="10"/>
      <c r="K27" s="11"/>
    </row>
    <row r="28">
      <c r="A28" s="8" t="s">
        <v>42</v>
      </c>
      <c r="B28" s="9" t="s">
        <v>17</v>
      </c>
      <c r="C28" s="9" t="s">
        <v>18</v>
      </c>
      <c r="D28" s="10"/>
      <c r="E28" s="11"/>
      <c r="F28" s="10"/>
      <c r="G28" s="11"/>
      <c r="H28" s="10"/>
      <c r="I28" s="11"/>
      <c r="J28" s="10"/>
      <c r="K28" s="11"/>
    </row>
    <row r="29">
      <c r="A29" s="8" t="s">
        <v>43</v>
      </c>
      <c r="B29" s="9" t="s">
        <v>17</v>
      </c>
      <c r="C29" s="9" t="s">
        <v>18</v>
      </c>
      <c r="D29" s="10"/>
      <c r="E29" s="11"/>
      <c r="F29" s="10"/>
      <c r="G29" s="11"/>
      <c r="H29" s="10"/>
      <c r="I29" s="11"/>
      <c r="J29" s="10"/>
      <c r="K29" s="11"/>
    </row>
    <row r="30">
      <c r="A30" s="8" t="s">
        <v>44</v>
      </c>
      <c r="B30" s="9" t="s">
        <v>17</v>
      </c>
      <c r="C30" s="9" t="s">
        <v>18</v>
      </c>
      <c r="D30" s="10"/>
      <c r="E30" s="11"/>
      <c r="F30" s="10"/>
      <c r="G30" s="11"/>
      <c r="H30" s="10"/>
      <c r="I30" s="11"/>
      <c r="J30" s="10"/>
      <c r="K30" s="11"/>
    </row>
    <row r="31">
      <c r="A31" s="8" t="s">
        <v>45</v>
      </c>
      <c r="B31" s="9" t="s">
        <v>17</v>
      </c>
      <c r="C31" s="9" t="s">
        <v>18</v>
      </c>
      <c r="D31" s="10"/>
      <c r="E31" s="11" t="n">
        <f>16687</f>
        <v>16687.0</v>
      </c>
      <c r="F31" s="10"/>
      <c r="G31" s="11" t="n">
        <f>106651085000</f>
        <v>1.06651085E11</v>
      </c>
      <c r="H31" s="10"/>
      <c r="I31" s="11" t="str">
        <f>"－"</f>
        <v>－</v>
      </c>
      <c r="J31" s="10"/>
      <c r="K31" s="11" t="n">
        <f>46413</f>
        <v>46413.0</v>
      </c>
    </row>
    <row r="32">
      <c r="A32" s="8" t="s">
        <v>46</v>
      </c>
      <c r="B32" s="9" t="s">
        <v>17</v>
      </c>
      <c r="C32" s="9" t="s">
        <v>18</v>
      </c>
      <c r="D32" s="10" t="s">
        <v>21</v>
      </c>
      <c r="E32" s="11" t="n">
        <f>13416</f>
        <v>13416.0</v>
      </c>
      <c r="F32" s="10" t="s">
        <v>21</v>
      </c>
      <c r="G32" s="11" t="n">
        <f>85581526000</f>
        <v>8.5581526E10</v>
      </c>
      <c r="H32" s="10"/>
      <c r="I32" s="11" t="n">
        <f>1</f>
        <v>1.0</v>
      </c>
      <c r="J32" s="10"/>
      <c r="K32" s="11" t="n">
        <f>46479</f>
        <v>46479.0</v>
      </c>
    </row>
    <row r="33">
      <c r="A33" s="8" t="s">
        <v>47</v>
      </c>
      <c r="B33" s="9" t="s">
        <v>17</v>
      </c>
      <c r="C33" s="9" t="s">
        <v>18</v>
      </c>
      <c r="D33" s="10"/>
      <c r="E33" s="11" t="n">
        <f>14588</f>
        <v>14588.0</v>
      </c>
      <c r="F33" s="10"/>
      <c r="G33" s="11" t="n">
        <f>92794719000</f>
        <v>9.2794719E10</v>
      </c>
      <c r="H33" s="10"/>
      <c r="I33" s="11" t="n">
        <f>5</f>
        <v>5.0</v>
      </c>
      <c r="J33" s="10"/>
      <c r="K33" s="11" t="n">
        <f>46625</f>
        <v>46625.0</v>
      </c>
    </row>
    <row r="34">
      <c r="A34" s="8" t="s">
        <v>48</v>
      </c>
      <c r="B34" s="9" t="s">
        <v>17</v>
      </c>
      <c r="C34" s="9" t="s">
        <v>18</v>
      </c>
      <c r="D34" s="10"/>
      <c r="E34" s="11" t="n">
        <f>18463</f>
        <v>18463.0</v>
      </c>
      <c r="F34" s="10"/>
      <c r="G34" s="11" t="n">
        <f>117876062000</f>
        <v>1.17876062E11</v>
      </c>
      <c r="H34" s="10"/>
      <c r="I34" s="11" t="str">
        <f>"－"</f>
        <v>－</v>
      </c>
      <c r="J34" s="10"/>
      <c r="K34" s="11" t="n">
        <f>46578</f>
        <v>46578.0</v>
      </c>
    </row>
    <row r="35">
      <c r="A35" s="8" t="s">
        <v>49</v>
      </c>
      <c r="B35" s="9" t="s">
        <v>17</v>
      </c>
      <c r="C35" s="9" t="s">
        <v>18</v>
      </c>
      <c r="D35" s="10"/>
      <c r="E35" s="11" t="n">
        <f>24173</f>
        <v>24173.0</v>
      </c>
      <c r="F35" s="10"/>
      <c r="G35" s="11" t="n">
        <f>155584474000</f>
        <v>1.55584474E11</v>
      </c>
      <c r="H35" s="10"/>
      <c r="I35" s="11" t="n">
        <f>9</f>
        <v>9.0</v>
      </c>
      <c r="J35" s="10"/>
      <c r="K35" s="11" t="n">
        <f>46576</f>
        <v>46576.0</v>
      </c>
    </row>
    <row r="36">
      <c r="A36" s="8" t="s">
        <v>50</v>
      </c>
      <c r="B36" s="9" t="s">
        <v>17</v>
      </c>
      <c r="C36" s="9" t="s">
        <v>18</v>
      </c>
      <c r="D36" s="10"/>
      <c r="E36" s="11"/>
      <c r="F36" s="10"/>
      <c r="G36" s="11"/>
      <c r="H36" s="10"/>
      <c r="I36" s="11"/>
      <c r="J36" s="10"/>
      <c r="K36" s="11"/>
    </row>
    <row r="37">
      <c r="A37" s="8" t="s">
        <v>16</v>
      </c>
      <c r="B37" s="9" t="s">
        <v>51</v>
      </c>
      <c r="C37" s="9" t="s">
        <v>52</v>
      </c>
      <c r="D37" s="10"/>
      <c r="E37" s="11" t="n">
        <f>8190</f>
        <v>8190.0</v>
      </c>
      <c r="F37" s="10"/>
      <c r="G37" s="11" t="n">
        <f>5145481100</f>
        <v>5.1454811E9</v>
      </c>
      <c r="H37" s="10" t="s">
        <v>53</v>
      </c>
      <c r="I37" s="11" t="str">
        <f>"－"</f>
        <v>－</v>
      </c>
      <c r="J37" s="10"/>
      <c r="K37" s="11" t="n">
        <f>15364</f>
        <v>15364.0</v>
      </c>
    </row>
    <row r="38">
      <c r="A38" s="8" t="s">
        <v>20</v>
      </c>
      <c r="B38" s="9" t="s">
        <v>51</v>
      </c>
      <c r="C38" s="9" t="s">
        <v>52</v>
      </c>
      <c r="D38" s="10"/>
      <c r="E38" s="11" t="n">
        <f>7565</f>
        <v>7565.0</v>
      </c>
      <c r="F38" s="10"/>
      <c r="G38" s="11" t="n">
        <f>4815160100</f>
        <v>4.8151601E9</v>
      </c>
      <c r="H38" s="10"/>
      <c r="I38" s="11" t="str">
        <f>"－"</f>
        <v>－</v>
      </c>
      <c r="J38" s="10"/>
      <c r="K38" s="11" t="n">
        <f>15341</f>
        <v>15341.0</v>
      </c>
    </row>
    <row r="39">
      <c r="A39" s="8" t="s">
        <v>22</v>
      </c>
      <c r="B39" s="9" t="s">
        <v>51</v>
      </c>
      <c r="C39" s="9" t="s">
        <v>52</v>
      </c>
      <c r="D39" s="10"/>
      <c r="E39" s="11"/>
      <c r="F39" s="10"/>
      <c r="G39" s="11"/>
      <c r="H39" s="10"/>
      <c r="I39" s="11"/>
      <c r="J39" s="10"/>
      <c r="K39" s="11"/>
    </row>
    <row r="40">
      <c r="A40" s="8" t="s">
        <v>23</v>
      </c>
      <c r="B40" s="9" t="s">
        <v>51</v>
      </c>
      <c r="C40" s="9" t="s">
        <v>52</v>
      </c>
      <c r="D40" s="10"/>
      <c r="E40" s="11"/>
      <c r="F40" s="10"/>
      <c r="G40" s="11"/>
      <c r="H40" s="10"/>
      <c r="I40" s="11"/>
      <c r="J40" s="10"/>
      <c r="K40" s="11"/>
    </row>
    <row r="41">
      <c r="A41" s="8" t="s">
        <v>24</v>
      </c>
      <c r="B41" s="9" t="s">
        <v>51</v>
      </c>
      <c r="C41" s="9" t="s">
        <v>52</v>
      </c>
      <c r="D41" s="10" t="s">
        <v>19</v>
      </c>
      <c r="E41" s="11" t="n">
        <f>10873</f>
        <v>10873.0</v>
      </c>
      <c r="F41" s="10" t="s">
        <v>19</v>
      </c>
      <c r="G41" s="11" t="n">
        <f>6947512100</f>
        <v>6.9475121E9</v>
      </c>
      <c r="H41" s="10"/>
      <c r="I41" s="11" t="str">
        <f>"－"</f>
        <v>－</v>
      </c>
      <c r="J41" s="10"/>
      <c r="K41" s="11" t="n">
        <f>15523</f>
        <v>15523.0</v>
      </c>
    </row>
    <row r="42">
      <c r="A42" s="8" t="s">
        <v>25</v>
      </c>
      <c r="B42" s="9" t="s">
        <v>51</v>
      </c>
      <c r="C42" s="9" t="s">
        <v>52</v>
      </c>
      <c r="D42" s="10" t="s">
        <v>21</v>
      </c>
      <c r="E42" s="11" t="n">
        <f>4214</f>
        <v>4214.0</v>
      </c>
      <c r="F42" s="10" t="s">
        <v>21</v>
      </c>
      <c r="G42" s="11" t="n">
        <f>2696509100</f>
        <v>2.6965091E9</v>
      </c>
      <c r="H42" s="10"/>
      <c r="I42" s="11" t="str">
        <f>"－"</f>
        <v>－</v>
      </c>
      <c r="J42" s="10"/>
      <c r="K42" s="11" t="n">
        <f>15593</f>
        <v>15593.0</v>
      </c>
    </row>
    <row r="43">
      <c r="A43" s="8" t="s">
        <v>26</v>
      </c>
      <c r="B43" s="9" t="s">
        <v>51</v>
      </c>
      <c r="C43" s="9" t="s">
        <v>52</v>
      </c>
      <c r="D43" s="10"/>
      <c r="E43" s="11" t="n">
        <f>8404</f>
        <v>8404.0</v>
      </c>
      <c r="F43" s="10"/>
      <c r="G43" s="11" t="n">
        <f>5387298700</f>
        <v>5.3872987E9</v>
      </c>
      <c r="H43" s="10"/>
      <c r="I43" s="11" t="str">
        <f>"－"</f>
        <v>－</v>
      </c>
      <c r="J43" s="10"/>
      <c r="K43" s="11" t="n">
        <f>15557</f>
        <v>15557.0</v>
      </c>
    </row>
    <row r="44">
      <c r="A44" s="8" t="s">
        <v>27</v>
      </c>
      <c r="B44" s="9" t="s">
        <v>51</v>
      </c>
      <c r="C44" s="9" t="s">
        <v>52</v>
      </c>
      <c r="D44" s="10"/>
      <c r="E44" s="11" t="n">
        <f>6411</f>
        <v>6411.0</v>
      </c>
      <c r="F44" s="10"/>
      <c r="G44" s="11" t="n">
        <f>4108306800</f>
        <v>4.1083068E9</v>
      </c>
      <c r="H44" s="10"/>
      <c r="I44" s="11" t="str">
        <f>"－"</f>
        <v>－</v>
      </c>
      <c r="J44" s="10" t="s">
        <v>19</v>
      </c>
      <c r="K44" s="11" t="n">
        <f>15657</f>
        <v>15657.0</v>
      </c>
    </row>
    <row r="45">
      <c r="A45" s="8" t="s">
        <v>28</v>
      </c>
      <c r="B45" s="9" t="s">
        <v>51</v>
      </c>
      <c r="C45" s="9" t="s">
        <v>52</v>
      </c>
      <c r="D45" s="10"/>
      <c r="E45" s="11" t="n">
        <f>9802</f>
        <v>9802.0</v>
      </c>
      <c r="F45" s="10"/>
      <c r="G45" s="11" t="n">
        <f>6248564500</f>
        <v>6.2485645E9</v>
      </c>
      <c r="H45" s="10"/>
      <c r="I45" s="11" t="str">
        <f>"－"</f>
        <v>－</v>
      </c>
      <c r="J45" s="10"/>
      <c r="K45" s="11" t="n">
        <f>15474</f>
        <v>15474.0</v>
      </c>
    </row>
    <row r="46">
      <c r="A46" s="8" t="s">
        <v>29</v>
      </c>
      <c r="B46" s="9" t="s">
        <v>51</v>
      </c>
      <c r="C46" s="9" t="s">
        <v>52</v>
      </c>
      <c r="D46" s="10"/>
      <c r="E46" s="11"/>
      <c r="F46" s="10"/>
      <c r="G46" s="11"/>
      <c r="H46" s="10"/>
      <c r="I46" s="11"/>
      <c r="J46" s="10"/>
      <c r="K46" s="11"/>
    </row>
    <row r="47">
      <c r="A47" s="8" t="s">
        <v>30</v>
      </c>
      <c r="B47" s="9" t="s">
        <v>51</v>
      </c>
      <c r="C47" s="9" t="s">
        <v>52</v>
      </c>
      <c r="D47" s="10"/>
      <c r="E47" s="11"/>
      <c r="F47" s="10"/>
      <c r="G47" s="11"/>
      <c r="H47" s="10"/>
      <c r="I47" s="11"/>
      <c r="J47" s="10"/>
      <c r="K47" s="11"/>
    </row>
    <row r="48">
      <c r="A48" s="8" t="s">
        <v>31</v>
      </c>
      <c r="B48" s="9" t="s">
        <v>51</v>
      </c>
      <c r="C48" s="9" t="s">
        <v>52</v>
      </c>
      <c r="D48" s="10"/>
      <c r="E48" s="11" t="n">
        <f>6166</f>
        <v>6166.0</v>
      </c>
      <c r="F48" s="10"/>
      <c r="G48" s="11" t="n">
        <f>3936997000</f>
        <v>3.936997E9</v>
      </c>
      <c r="H48" s="10"/>
      <c r="I48" s="11" t="str">
        <f>"－"</f>
        <v>－</v>
      </c>
      <c r="J48" s="10"/>
      <c r="K48" s="11" t="n">
        <f>15647</f>
        <v>15647.0</v>
      </c>
    </row>
    <row r="49">
      <c r="A49" s="8" t="s">
        <v>32</v>
      </c>
      <c r="B49" s="9" t="s">
        <v>51</v>
      </c>
      <c r="C49" s="9" t="s">
        <v>52</v>
      </c>
      <c r="D49" s="10"/>
      <c r="E49" s="11" t="n">
        <f>4894</f>
        <v>4894.0</v>
      </c>
      <c r="F49" s="10"/>
      <c r="G49" s="11" t="n">
        <f>3130120100</f>
        <v>3.1301201E9</v>
      </c>
      <c r="H49" s="10"/>
      <c r="I49" s="11" t="str">
        <f>"－"</f>
        <v>－</v>
      </c>
      <c r="J49" s="10"/>
      <c r="K49" s="11" t="n">
        <f>15626</f>
        <v>15626.0</v>
      </c>
    </row>
    <row r="50">
      <c r="A50" s="8" t="s">
        <v>33</v>
      </c>
      <c r="B50" s="9" t="s">
        <v>51</v>
      </c>
      <c r="C50" s="9" t="s">
        <v>52</v>
      </c>
      <c r="D50" s="10"/>
      <c r="E50" s="11" t="n">
        <f>6204</f>
        <v>6204.0</v>
      </c>
      <c r="F50" s="10"/>
      <c r="G50" s="11" t="n">
        <f>3983004000</f>
        <v>3.983004E9</v>
      </c>
      <c r="H50" s="10"/>
      <c r="I50" s="11" t="str">
        <f>"－"</f>
        <v>－</v>
      </c>
      <c r="J50" s="10"/>
      <c r="K50" s="11" t="n">
        <f>15495</f>
        <v>15495.0</v>
      </c>
    </row>
    <row r="51">
      <c r="A51" s="8" t="s">
        <v>34</v>
      </c>
      <c r="B51" s="9" t="s">
        <v>51</v>
      </c>
      <c r="C51" s="9" t="s">
        <v>52</v>
      </c>
      <c r="D51" s="10"/>
      <c r="E51" s="11" t="n">
        <f>6015</f>
        <v>6015.0</v>
      </c>
      <c r="F51" s="10"/>
      <c r="G51" s="11" t="n">
        <f>3881429500</f>
        <v>3.8814295E9</v>
      </c>
      <c r="H51" s="10"/>
      <c r="I51" s="11" t="str">
        <f>"－"</f>
        <v>－</v>
      </c>
      <c r="J51" s="10"/>
      <c r="K51" s="11" t="n">
        <f>15450</f>
        <v>15450.0</v>
      </c>
    </row>
    <row r="52">
      <c r="A52" s="8" t="s">
        <v>35</v>
      </c>
      <c r="B52" s="9" t="s">
        <v>51</v>
      </c>
      <c r="C52" s="9" t="s">
        <v>52</v>
      </c>
      <c r="D52" s="10"/>
      <c r="E52" s="11" t="n">
        <f>4259</f>
        <v>4259.0</v>
      </c>
      <c r="F52" s="10"/>
      <c r="G52" s="11" t="n">
        <f>2749593900</f>
        <v>2.7495939E9</v>
      </c>
      <c r="H52" s="10"/>
      <c r="I52" s="11" t="str">
        <f>"－"</f>
        <v>－</v>
      </c>
      <c r="J52" s="10"/>
      <c r="K52" s="11" t="n">
        <f>15524</f>
        <v>15524.0</v>
      </c>
    </row>
    <row r="53">
      <c r="A53" s="8" t="s">
        <v>36</v>
      </c>
      <c r="B53" s="9" t="s">
        <v>51</v>
      </c>
      <c r="C53" s="9" t="s">
        <v>52</v>
      </c>
      <c r="D53" s="10"/>
      <c r="E53" s="11"/>
      <c r="F53" s="10"/>
      <c r="G53" s="11"/>
      <c r="H53" s="10"/>
      <c r="I53" s="11"/>
      <c r="J53" s="10"/>
      <c r="K53" s="11"/>
    </row>
    <row r="54">
      <c r="A54" s="8" t="s">
        <v>37</v>
      </c>
      <c r="B54" s="9" t="s">
        <v>51</v>
      </c>
      <c r="C54" s="9" t="s">
        <v>52</v>
      </c>
      <c r="D54" s="10"/>
      <c r="E54" s="11"/>
      <c r="F54" s="10"/>
      <c r="G54" s="11"/>
      <c r="H54" s="10"/>
      <c r="I54" s="11"/>
      <c r="J54" s="10"/>
      <c r="K54" s="11"/>
    </row>
    <row r="55">
      <c r="A55" s="8" t="s">
        <v>38</v>
      </c>
      <c r="B55" s="9" t="s">
        <v>51</v>
      </c>
      <c r="C55" s="9" t="s">
        <v>52</v>
      </c>
      <c r="D55" s="10"/>
      <c r="E55" s="11" t="n">
        <f>7222</f>
        <v>7222.0</v>
      </c>
      <c r="F55" s="10"/>
      <c r="G55" s="11" t="n">
        <f>4642055500</f>
        <v>4.6420555E9</v>
      </c>
      <c r="H55" s="10"/>
      <c r="I55" s="11" t="str">
        <f>"－"</f>
        <v>－</v>
      </c>
      <c r="J55" s="10"/>
      <c r="K55" s="11" t="n">
        <f>15458</f>
        <v>15458.0</v>
      </c>
    </row>
    <row r="56">
      <c r="A56" s="8" t="s">
        <v>39</v>
      </c>
      <c r="B56" s="9" t="s">
        <v>51</v>
      </c>
      <c r="C56" s="9" t="s">
        <v>52</v>
      </c>
      <c r="D56" s="10"/>
      <c r="E56" s="11" t="n">
        <f>7822</f>
        <v>7822.0</v>
      </c>
      <c r="F56" s="10"/>
      <c r="G56" s="11" t="n">
        <f>4981748000</f>
        <v>4.981748E9</v>
      </c>
      <c r="H56" s="10"/>
      <c r="I56" s="11" t="str">
        <f>"－"</f>
        <v>－</v>
      </c>
      <c r="J56" s="10"/>
      <c r="K56" s="11" t="n">
        <f>15499</f>
        <v>15499.0</v>
      </c>
    </row>
    <row r="57">
      <c r="A57" s="8" t="s">
        <v>40</v>
      </c>
      <c r="B57" s="9" t="s">
        <v>51</v>
      </c>
      <c r="C57" s="9" t="s">
        <v>52</v>
      </c>
      <c r="D57" s="10"/>
      <c r="E57" s="11" t="n">
        <f>5167</f>
        <v>5167.0</v>
      </c>
      <c r="F57" s="10"/>
      <c r="G57" s="11" t="n">
        <f>3307304900</f>
        <v>3.3073049E9</v>
      </c>
      <c r="H57" s="10"/>
      <c r="I57" s="11" t="str">
        <f>"－"</f>
        <v>－</v>
      </c>
      <c r="J57" s="10"/>
      <c r="K57" s="11" t="n">
        <f>15442</f>
        <v>15442.0</v>
      </c>
    </row>
    <row r="58">
      <c r="A58" s="8" t="s">
        <v>41</v>
      </c>
      <c r="B58" s="9" t="s">
        <v>51</v>
      </c>
      <c r="C58" s="9" t="s">
        <v>52</v>
      </c>
      <c r="D58" s="10"/>
      <c r="E58" s="11"/>
      <c r="F58" s="10"/>
      <c r="G58" s="11"/>
      <c r="H58" s="10"/>
      <c r="I58" s="11"/>
      <c r="J58" s="10"/>
      <c r="K58" s="11"/>
    </row>
    <row r="59">
      <c r="A59" s="8" t="s">
        <v>42</v>
      </c>
      <c r="B59" s="9" t="s">
        <v>51</v>
      </c>
      <c r="C59" s="9" t="s">
        <v>52</v>
      </c>
      <c r="D59" s="10"/>
      <c r="E59" s="11"/>
      <c r="F59" s="10"/>
      <c r="G59" s="11"/>
      <c r="H59" s="10"/>
      <c r="I59" s="11"/>
      <c r="J59" s="10"/>
      <c r="K59" s="11"/>
    </row>
    <row r="60">
      <c r="A60" s="8" t="s">
        <v>43</v>
      </c>
      <c r="B60" s="9" t="s">
        <v>51</v>
      </c>
      <c r="C60" s="9" t="s">
        <v>52</v>
      </c>
      <c r="D60" s="10"/>
      <c r="E60" s="11"/>
      <c r="F60" s="10"/>
      <c r="G60" s="11"/>
      <c r="H60" s="10"/>
      <c r="I60" s="11"/>
      <c r="J60" s="10"/>
      <c r="K60" s="11"/>
    </row>
    <row r="61">
      <c r="A61" s="8" t="s">
        <v>44</v>
      </c>
      <c r="B61" s="9" t="s">
        <v>51</v>
      </c>
      <c r="C61" s="9" t="s">
        <v>52</v>
      </c>
      <c r="D61" s="10"/>
      <c r="E61" s="11"/>
      <c r="F61" s="10"/>
      <c r="G61" s="11"/>
      <c r="H61" s="10"/>
      <c r="I61" s="11"/>
      <c r="J61" s="10"/>
      <c r="K61" s="11"/>
    </row>
    <row r="62">
      <c r="A62" s="8" t="s">
        <v>45</v>
      </c>
      <c r="B62" s="9" t="s">
        <v>51</v>
      </c>
      <c r="C62" s="9" t="s">
        <v>52</v>
      </c>
      <c r="D62" s="10"/>
      <c r="E62" s="11" t="n">
        <f>5735</f>
        <v>5735.0</v>
      </c>
      <c r="F62" s="10"/>
      <c r="G62" s="11" t="n">
        <f>3664622400</f>
        <v>3.6646224E9</v>
      </c>
      <c r="H62" s="10"/>
      <c r="I62" s="11" t="str">
        <f>"－"</f>
        <v>－</v>
      </c>
      <c r="J62" s="10" t="s">
        <v>21</v>
      </c>
      <c r="K62" s="11" t="n">
        <f>15126</f>
        <v>15126.0</v>
      </c>
    </row>
    <row r="63">
      <c r="A63" s="8" t="s">
        <v>46</v>
      </c>
      <c r="B63" s="9" t="s">
        <v>51</v>
      </c>
      <c r="C63" s="9" t="s">
        <v>52</v>
      </c>
      <c r="D63" s="10"/>
      <c r="E63" s="11" t="n">
        <f>5285</f>
        <v>5285.0</v>
      </c>
      <c r="F63" s="10"/>
      <c r="G63" s="11" t="n">
        <f>3374006300</f>
        <v>3.3740063E9</v>
      </c>
      <c r="H63" s="10"/>
      <c r="I63" s="11" t="str">
        <f>"－"</f>
        <v>－</v>
      </c>
      <c r="J63" s="10"/>
      <c r="K63" s="11" t="n">
        <f>15385</f>
        <v>15385.0</v>
      </c>
    </row>
    <row r="64">
      <c r="A64" s="8" t="s">
        <v>47</v>
      </c>
      <c r="B64" s="9" t="s">
        <v>51</v>
      </c>
      <c r="C64" s="9" t="s">
        <v>52</v>
      </c>
      <c r="D64" s="10"/>
      <c r="E64" s="11" t="n">
        <f>4433</f>
        <v>4433.0</v>
      </c>
      <c r="F64" s="10"/>
      <c r="G64" s="11" t="n">
        <f>2820178100</f>
        <v>2.8201781E9</v>
      </c>
      <c r="H64" s="10"/>
      <c r="I64" s="11" t="str">
        <f>"－"</f>
        <v>－</v>
      </c>
      <c r="J64" s="10"/>
      <c r="K64" s="11" t="n">
        <f>15408</f>
        <v>15408.0</v>
      </c>
    </row>
    <row r="65">
      <c r="A65" s="8" t="s">
        <v>48</v>
      </c>
      <c r="B65" s="9" t="s">
        <v>51</v>
      </c>
      <c r="C65" s="9" t="s">
        <v>52</v>
      </c>
      <c r="D65" s="10"/>
      <c r="E65" s="11" t="n">
        <f>4537</f>
        <v>4537.0</v>
      </c>
      <c r="F65" s="10"/>
      <c r="G65" s="11" t="n">
        <f>2895198200</f>
        <v>2.8951982E9</v>
      </c>
      <c r="H65" s="10"/>
      <c r="I65" s="11" t="str">
        <f>"－"</f>
        <v>－</v>
      </c>
      <c r="J65" s="10"/>
      <c r="K65" s="11" t="n">
        <f>15404</f>
        <v>15404.0</v>
      </c>
    </row>
    <row r="66">
      <c r="A66" s="8" t="s">
        <v>49</v>
      </c>
      <c r="B66" s="9" t="s">
        <v>51</v>
      </c>
      <c r="C66" s="9" t="s">
        <v>52</v>
      </c>
      <c r="D66" s="10"/>
      <c r="E66" s="11" t="n">
        <f>6545</f>
        <v>6545.0</v>
      </c>
      <c r="F66" s="10"/>
      <c r="G66" s="11" t="n">
        <f>4211280400</f>
        <v>4.2112804E9</v>
      </c>
      <c r="H66" s="10"/>
      <c r="I66" s="11" t="str">
        <f>"－"</f>
        <v>－</v>
      </c>
      <c r="J66" s="10"/>
      <c r="K66" s="11" t="n">
        <f>15355</f>
        <v>15355.0</v>
      </c>
    </row>
    <row r="67">
      <c r="A67" s="8" t="s">
        <v>50</v>
      </c>
      <c r="B67" s="9" t="s">
        <v>51</v>
      </c>
      <c r="C67" s="9" t="s">
        <v>52</v>
      </c>
      <c r="D67" s="10"/>
      <c r="E67" s="11"/>
      <c r="F67" s="10"/>
      <c r="G67" s="11"/>
      <c r="H67" s="10"/>
      <c r="I67" s="11"/>
      <c r="J67" s="10"/>
      <c r="K67" s="11"/>
    </row>
    <row r="68">
      <c r="A68" s="8" t="s">
        <v>16</v>
      </c>
      <c r="B68" s="9" t="s">
        <v>54</v>
      </c>
      <c r="C68" s="9" t="s">
        <v>55</v>
      </c>
      <c r="D68" s="10"/>
      <c r="E68" s="11" t="n">
        <f>2840</f>
        <v>2840.0</v>
      </c>
      <c r="F68" s="10"/>
      <c r="G68" s="11" t="n">
        <f>1808895700</f>
        <v>1.8088957E9</v>
      </c>
      <c r="H68" s="10" t="s">
        <v>53</v>
      </c>
      <c r="I68" s="11" t="str">
        <f>"－"</f>
        <v>－</v>
      </c>
      <c r="J68" s="10"/>
      <c r="K68" s="11" t="n">
        <f>52111</f>
        <v>52111.0</v>
      </c>
    </row>
    <row r="69">
      <c r="A69" s="8" t="s">
        <v>20</v>
      </c>
      <c r="B69" s="9" t="s">
        <v>54</v>
      </c>
      <c r="C69" s="9" t="s">
        <v>55</v>
      </c>
      <c r="D69" s="10"/>
      <c r="E69" s="11" t="n">
        <f>2652</f>
        <v>2652.0</v>
      </c>
      <c r="F69" s="10"/>
      <c r="G69" s="11" t="n">
        <f>1706842300</f>
        <v>1.7068423E9</v>
      </c>
      <c r="H69" s="10"/>
      <c r="I69" s="11" t="str">
        <f>"－"</f>
        <v>－</v>
      </c>
      <c r="J69" s="10"/>
      <c r="K69" s="11" t="n">
        <f>52151</f>
        <v>52151.0</v>
      </c>
    </row>
    <row r="70">
      <c r="A70" s="8" t="s">
        <v>22</v>
      </c>
      <c r="B70" s="9" t="s">
        <v>54</v>
      </c>
      <c r="C70" s="9" t="s">
        <v>55</v>
      </c>
      <c r="D70" s="10"/>
      <c r="E70" s="11"/>
      <c r="F70" s="10"/>
      <c r="G70" s="11"/>
      <c r="H70" s="10"/>
      <c r="I70" s="11"/>
      <c r="J70" s="10"/>
      <c r="K70" s="11"/>
    </row>
    <row r="71">
      <c r="A71" s="8" t="s">
        <v>23</v>
      </c>
      <c r="B71" s="9" t="s">
        <v>54</v>
      </c>
      <c r="C71" s="9" t="s">
        <v>55</v>
      </c>
      <c r="D71" s="10"/>
      <c r="E71" s="11"/>
      <c r="F71" s="10"/>
      <c r="G71" s="11"/>
      <c r="H71" s="10"/>
      <c r="I71" s="11"/>
      <c r="J71" s="10"/>
      <c r="K71" s="11"/>
    </row>
    <row r="72">
      <c r="A72" s="8" t="s">
        <v>24</v>
      </c>
      <c r="B72" s="9" t="s">
        <v>54</v>
      </c>
      <c r="C72" s="9" t="s">
        <v>55</v>
      </c>
      <c r="D72" s="10"/>
      <c r="E72" s="11" t="n">
        <f>2243</f>
        <v>2243.0</v>
      </c>
      <c r="F72" s="10"/>
      <c r="G72" s="11" t="n">
        <f>1448087900</f>
        <v>1.4480879E9</v>
      </c>
      <c r="H72" s="10"/>
      <c r="I72" s="11" t="str">
        <f>"－"</f>
        <v>－</v>
      </c>
      <c r="J72" s="10"/>
      <c r="K72" s="11" t="n">
        <f>52005</f>
        <v>52005.0</v>
      </c>
    </row>
    <row r="73">
      <c r="A73" s="8" t="s">
        <v>25</v>
      </c>
      <c r="B73" s="9" t="s">
        <v>54</v>
      </c>
      <c r="C73" s="9" t="s">
        <v>55</v>
      </c>
      <c r="D73" s="10"/>
      <c r="E73" s="11" t="n">
        <f>1698</f>
        <v>1698.0</v>
      </c>
      <c r="F73" s="10"/>
      <c r="G73" s="11" t="n">
        <f>1098777800</f>
        <v>1.0987778E9</v>
      </c>
      <c r="H73" s="10"/>
      <c r="I73" s="11" t="str">
        <f>"－"</f>
        <v>－</v>
      </c>
      <c r="J73" s="10"/>
      <c r="K73" s="11" t="n">
        <f>52215</f>
        <v>52215.0</v>
      </c>
    </row>
    <row r="74">
      <c r="A74" s="8" t="s">
        <v>26</v>
      </c>
      <c r="B74" s="9" t="s">
        <v>54</v>
      </c>
      <c r="C74" s="9" t="s">
        <v>55</v>
      </c>
      <c r="D74" s="10"/>
      <c r="E74" s="11" t="n">
        <f>3030</f>
        <v>3030.0</v>
      </c>
      <c r="F74" s="10"/>
      <c r="G74" s="11" t="n">
        <f>1962981700</f>
        <v>1.9629817E9</v>
      </c>
      <c r="H74" s="10"/>
      <c r="I74" s="11" t="str">
        <f>"－"</f>
        <v>－</v>
      </c>
      <c r="J74" s="10"/>
      <c r="K74" s="11" t="n">
        <f>52112</f>
        <v>52112.0</v>
      </c>
    </row>
    <row r="75">
      <c r="A75" s="8" t="s">
        <v>27</v>
      </c>
      <c r="B75" s="9" t="s">
        <v>54</v>
      </c>
      <c r="C75" s="9" t="s">
        <v>55</v>
      </c>
      <c r="D75" s="10"/>
      <c r="E75" s="11" t="n">
        <f>2179</f>
        <v>2179.0</v>
      </c>
      <c r="F75" s="10"/>
      <c r="G75" s="11" t="n">
        <f>1411424700</f>
        <v>1.4114247E9</v>
      </c>
      <c r="H75" s="10"/>
      <c r="I75" s="11" t="str">
        <f>"－"</f>
        <v>－</v>
      </c>
      <c r="J75" s="10" t="s">
        <v>19</v>
      </c>
      <c r="K75" s="11" t="n">
        <f>52459</f>
        <v>52459.0</v>
      </c>
    </row>
    <row r="76">
      <c r="A76" s="8" t="s">
        <v>28</v>
      </c>
      <c r="B76" s="9" t="s">
        <v>54</v>
      </c>
      <c r="C76" s="9" t="s">
        <v>55</v>
      </c>
      <c r="D76" s="10"/>
      <c r="E76" s="11" t="n">
        <f>3195</f>
        <v>3195.0</v>
      </c>
      <c r="F76" s="10"/>
      <c r="G76" s="11" t="n">
        <f>2057383100</f>
        <v>2.0573831E9</v>
      </c>
      <c r="H76" s="10"/>
      <c r="I76" s="11" t="str">
        <f>"－"</f>
        <v>－</v>
      </c>
      <c r="J76" s="10"/>
      <c r="K76" s="11" t="n">
        <f>52210</f>
        <v>52210.0</v>
      </c>
    </row>
    <row r="77">
      <c r="A77" s="8" t="s">
        <v>29</v>
      </c>
      <c r="B77" s="9" t="s">
        <v>54</v>
      </c>
      <c r="C77" s="9" t="s">
        <v>55</v>
      </c>
      <c r="D77" s="10"/>
      <c r="E77" s="11"/>
      <c r="F77" s="10"/>
      <c r="G77" s="11"/>
      <c r="H77" s="10"/>
      <c r="I77" s="11"/>
      <c r="J77" s="10"/>
      <c r="K77" s="11"/>
    </row>
    <row r="78">
      <c r="A78" s="8" t="s">
        <v>30</v>
      </c>
      <c r="B78" s="9" t="s">
        <v>54</v>
      </c>
      <c r="C78" s="9" t="s">
        <v>55</v>
      </c>
      <c r="D78" s="10"/>
      <c r="E78" s="11"/>
      <c r="F78" s="10"/>
      <c r="G78" s="11"/>
      <c r="H78" s="10"/>
      <c r="I78" s="11"/>
      <c r="J78" s="10"/>
      <c r="K78" s="11"/>
    </row>
    <row r="79">
      <c r="A79" s="8" t="s">
        <v>31</v>
      </c>
      <c r="B79" s="9" t="s">
        <v>54</v>
      </c>
      <c r="C79" s="9" t="s">
        <v>55</v>
      </c>
      <c r="D79" s="10"/>
      <c r="E79" s="11" t="n">
        <f>1858</f>
        <v>1858.0</v>
      </c>
      <c r="F79" s="10"/>
      <c r="G79" s="11" t="n">
        <f>1200334700</f>
        <v>1.2003347E9</v>
      </c>
      <c r="H79" s="10"/>
      <c r="I79" s="11" t="str">
        <f>"－"</f>
        <v>－</v>
      </c>
      <c r="J79" s="10"/>
      <c r="K79" s="11" t="n">
        <f>52008</f>
        <v>52008.0</v>
      </c>
    </row>
    <row r="80">
      <c r="A80" s="8" t="s">
        <v>32</v>
      </c>
      <c r="B80" s="9" t="s">
        <v>54</v>
      </c>
      <c r="C80" s="9" t="s">
        <v>55</v>
      </c>
      <c r="D80" s="10" t="s">
        <v>21</v>
      </c>
      <c r="E80" s="11" t="n">
        <f>1299</f>
        <v>1299.0</v>
      </c>
      <c r="F80" s="10" t="s">
        <v>21</v>
      </c>
      <c r="G80" s="11" t="n">
        <f>840549300</f>
        <v>8.405493E8</v>
      </c>
      <c r="H80" s="10"/>
      <c r="I80" s="11" t="str">
        <f>"－"</f>
        <v>－</v>
      </c>
      <c r="J80" s="10"/>
      <c r="K80" s="11" t="n">
        <f>52023</f>
        <v>52023.0</v>
      </c>
    </row>
    <row r="81">
      <c r="A81" s="8" t="s">
        <v>33</v>
      </c>
      <c r="B81" s="9" t="s">
        <v>54</v>
      </c>
      <c r="C81" s="9" t="s">
        <v>55</v>
      </c>
      <c r="D81" s="10"/>
      <c r="E81" s="11" t="n">
        <f>1999</f>
        <v>1999.0</v>
      </c>
      <c r="F81" s="10"/>
      <c r="G81" s="11" t="n">
        <f>1298213400</f>
        <v>1.2982134E9</v>
      </c>
      <c r="H81" s="10"/>
      <c r="I81" s="11" t="str">
        <f>"－"</f>
        <v>－</v>
      </c>
      <c r="J81" s="10"/>
      <c r="K81" s="11" t="n">
        <f>51829</f>
        <v>51829.0</v>
      </c>
    </row>
    <row r="82">
      <c r="A82" s="8" t="s">
        <v>34</v>
      </c>
      <c r="B82" s="9" t="s">
        <v>54</v>
      </c>
      <c r="C82" s="9" t="s">
        <v>55</v>
      </c>
      <c r="D82" s="10"/>
      <c r="E82" s="11" t="n">
        <f>2422</f>
        <v>2422.0</v>
      </c>
      <c r="F82" s="10"/>
      <c r="G82" s="11" t="n">
        <f>1580053200</f>
        <v>1.5800532E9</v>
      </c>
      <c r="H82" s="10"/>
      <c r="I82" s="11" t="str">
        <f>"－"</f>
        <v>－</v>
      </c>
      <c r="J82" s="10"/>
      <c r="K82" s="11" t="n">
        <f>51953</f>
        <v>51953.0</v>
      </c>
    </row>
    <row r="83">
      <c r="A83" s="8" t="s">
        <v>35</v>
      </c>
      <c r="B83" s="9" t="s">
        <v>54</v>
      </c>
      <c r="C83" s="9" t="s">
        <v>55</v>
      </c>
      <c r="D83" s="10"/>
      <c r="E83" s="11" t="n">
        <f>1580</f>
        <v>1580.0</v>
      </c>
      <c r="F83" s="10"/>
      <c r="G83" s="11" t="n">
        <f>1030850500</f>
        <v>1.0308505E9</v>
      </c>
      <c r="H83" s="10"/>
      <c r="I83" s="11" t="str">
        <f>"－"</f>
        <v>－</v>
      </c>
      <c r="J83" s="10"/>
      <c r="K83" s="11" t="n">
        <f>51876</f>
        <v>51876.0</v>
      </c>
    </row>
    <row r="84">
      <c r="A84" s="8" t="s">
        <v>36</v>
      </c>
      <c r="B84" s="9" t="s">
        <v>54</v>
      </c>
      <c r="C84" s="9" t="s">
        <v>55</v>
      </c>
      <c r="D84" s="10"/>
      <c r="E84" s="11"/>
      <c r="F84" s="10"/>
      <c r="G84" s="11"/>
      <c r="H84" s="10"/>
      <c r="I84" s="11"/>
      <c r="J84" s="10"/>
      <c r="K84" s="11"/>
    </row>
    <row r="85">
      <c r="A85" s="8" t="s">
        <v>37</v>
      </c>
      <c r="B85" s="9" t="s">
        <v>54</v>
      </c>
      <c r="C85" s="9" t="s">
        <v>55</v>
      </c>
      <c r="D85" s="10"/>
      <c r="E85" s="11"/>
      <c r="F85" s="10"/>
      <c r="G85" s="11"/>
      <c r="H85" s="10"/>
      <c r="I85" s="11"/>
      <c r="J85" s="10"/>
      <c r="K85" s="11"/>
    </row>
    <row r="86">
      <c r="A86" s="8" t="s">
        <v>38</v>
      </c>
      <c r="B86" s="9" t="s">
        <v>54</v>
      </c>
      <c r="C86" s="9" t="s">
        <v>55</v>
      </c>
      <c r="D86" s="10"/>
      <c r="E86" s="11" t="n">
        <f>2555</f>
        <v>2555.0</v>
      </c>
      <c r="F86" s="10"/>
      <c r="G86" s="11" t="n">
        <f>1659728500</f>
        <v>1.6597285E9</v>
      </c>
      <c r="H86" s="10"/>
      <c r="I86" s="11" t="str">
        <f>"－"</f>
        <v>－</v>
      </c>
      <c r="J86" s="10"/>
      <c r="K86" s="11" t="n">
        <f>51763</f>
        <v>51763.0</v>
      </c>
    </row>
    <row r="87">
      <c r="A87" s="8" t="s">
        <v>39</v>
      </c>
      <c r="B87" s="9" t="s">
        <v>54</v>
      </c>
      <c r="C87" s="9" t="s">
        <v>55</v>
      </c>
      <c r="D87" s="10"/>
      <c r="E87" s="11" t="n">
        <f>2923</f>
        <v>2923.0</v>
      </c>
      <c r="F87" s="10"/>
      <c r="G87" s="11" t="n">
        <f>1882882500</f>
        <v>1.8828825E9</v>
      </c>
      <c r="H87" s="10"/>
      <c r="I87" s="11" t="str">
        <f>"－"</f>
        <v>－</v>
      </c>
      <c r="J87" s="10"/>
      <c r="K87" s="11" t="n">
        <f>51979</f>
        <v>51979.0</v>
      </c>
    </row>
    <row r="88">
      <c r="A88" s="8" t="s">
        <v>40</v>
      </c>
      <c r="B88" s="9" t="s">
        <v>54</v>
      </c>
      <c r="C88" s="9" t="s">
        <v>55</v>
      </c>
      <c r="D88" s="10"/>
      <c r="E88" s="11" t="n">
        <f>1396</f>
        <v>1396.0</v>
      </c>
      <c r="F88" s="10"/>
      <c r="G88" s="11" t="n">
        <f>903292800</f>
        <v>9.032928E8</v>
      </c>
      <c r="H88" s="10"/>
      <c r="I88" s="11" t="str">
        <f>"－"</f>
        <v>－</v>
      </c>
      <c r="J88" s="10"/>
      <c r="K88" s="11" t="n">
        <f>52135</f>
        <v>52135.0</v>
      </c>
    </row>
    <row r="89">
      <c r="A89" s="8" t="s">
        <v>41</v>
      </c>
      <c r="B89" s="9" t="s">
        <v>54</v>
      </c>
      <c r="C89" s="9" t="s">
        <v>55</v>
      </c>
      <c r="D89" s="10"/>
      <c r="E89" s="11"/>
      <c r="F89" s="10"/>
      <c r="G89" s="11"/>
      <c r="H89" s="10"/>
      <c r="I89" s="11"/>
      <c r="J89" s="10"/>
      <c r="K89" s="11"/>
    </row>
    <row r="90">
      <c r="A90" s="8" t="s">
        <v>42</v>
      </c>
      <c r="B90" s="9" t="s">
        <v>54</v>
      </c>
      <c r="C90" s="9" t="s">
        <v>55</v>
      </c>
      <c r="D90" s="10"/>
      <c r="E90" s="11"/>
      <c r="F90" s="10"/>
      <c r="G90" s="11"/>
      <c r="H90" s="10"/>
      <c r="I90" s="11"/>
      <c r="J90" s="10"/>
      <c r="K90" s="11"/>
    </row>
    <row r="91">
      <c r="A91" s="8" t="s">
        <v>43</v>
      </c>
      <c r="B91" s="9" t="s">
        <v>54</v>
      </c>
      <c r="C91" s="9" t="s">
        <v>55</v>
      </c>
      <c r="D91" s="10"/>
      <c r="E91" s="11"/>
      <c r="F91" s="10"/>
      <c r="G91" s="11"/>
      <c r="H91" s="10"/>
      <c r="I91" s="11"/>
      <c r="J91" s="10"/>
      <c r="K91" s="11"/>
    </row>
    <row r="92">
      <c r="A92" s="8" t="s">
        <v>44</v>
      </c>
      <c r="B92" s="9" t="s">
        <v>54</v>
      </c>
      <c r="C92" s="9" t="s">
        <v>55</v>
      </c>
      <c r="D92" s="10"/>
      <c r="E92" s="11"/>
      <c r="F92" s="10"/>
      <c r="G92" s="11"/>
      <c r="H92" s="10"/>
      <c r="I92" s="11"/>
      <c r="J92" s="10"/>
      <c r="K92" s="11"/>
    </row>
    <row r="93">
      <c r="A93" s="8" t="s">
        <v>45</v>
      </c>
      <c r="B93" s="9" t="s">
        <v>54</v>
      </c>
      <c r="C93" s="9" t="s">
        <v>55</v>
      </c>
      <c r="D93" s="10"/>
      <c r="E93" s="11" t="n">
        <f>1844</f>
        <v>1844.0</v>
      </c>
      <c r="F93" s="10"/>
      <c r="G93" s="11" t="n">
        <f>1192660500</f>
        <v>1.1926605E9</v>
      </c>
      <c r="H93" s="10"/>
      <c r="I93" s="11" t="str">
        <f>"－"</f>
        <v>－</v>
      </c>
      <c r="J93" s="10" t="s">
        <v>21</v>
      </c>
      <c r="K93" s="11" t="n">
        <f>51688</f>
        <v>51688.0</v>
      </c>
    </row>
    <row r="94">
      <c r="A94" s="8" t="s">
        <v>46</v>
      </c>
      <c r="B94" s="9" t="s">
        <v>54</v>
      </c>
      <c r="C94" s="9" t="s">
        <v>55</v>
      </c>
      <c r="D94" s="10"/>
      <c r="E94" s="11" t="n">
        <f>1783</f>
        <v>1783.0</v>
      </c>
      <c r="F94" s="10"/>
      <c r="G94" s="11" t="n">
        <f>1149812100</f>
        <v>1.1498121E9</v>
      </c>
      <c r="H94" s="10"/>
      <c r="I94" s="11" t="str">
        <f>"－"</f>
        <v>－</v>
      </c>
      <c r="J94" s="10"/>
      <c r="K94" s="11" t="n">
        <f>51987</f>
        <v>51987.0</v>
      </c>
    </row>
    <row r="95">
      <c r="A95" s="8" t="s">
        <v>47</v>
      </c>
      <c r="B95" s="9" t="s">
        <v>54</v>
      </c>
      <c r="C95" s="9" t="s">
        <v>55</v>
      </c>
      <c r="D95" s="10"/>
      <c r="E95" s="11" t="n">
        <f>1330</f>
        <v>1330.0</v>
      </c>
      <c r="F95" s="10"/>
      <c r="G95" s="11" t="n">
        <f>856037900</f>
        <v>8.560379E8</v>
      </c>
      <c r="H95" s="10"/>
      <c r="I95" s="11" t="str">
        <f>"－"</f>
        <v>－</v>
      </c>
      <c r="J95" s="10"/>
      <c r="K95" s="11" t="n">
        <f>51977</f>
        <v>51977.0</v>
      </c>
    </row>
    <row r="96">
      <c r="A96" s="8" t="s">
        <v>48</v>
      </c>
      <c r="B96" s="9" t="s">
        <v>54</v>
      </c>
      <c r="C96" s="9" t="s">
        <v>55</v>
      </c>
      <c r="D96" s="10"/>
      <c r="E96" s="11" t="n">
        <f>1469</f>
        <v>1469.0</v>
      </c>
      <c r="F96" s="10"/>
      <c r="G96" s="11" t="n">
        <f>949381200</f>
        <v>9.493812E8</v>
      </c>
      <c r="H96" s="10"/>
      <c r="I96" s="11" t="str">
        <f>"－"</f>
        <v>－</v>
      </c>
      <c r="J96" s="10"/>
      <c r="K96" s="11" t="n">
        <f>51992</f>
        <v>51992.0</v>
      </c>
    </row>
    <row r="97">
      <c r="A97" s="8" t="s">
        <v>49</v>
      </c>
      <c r="B97" s="9" t="s">
        <v>54</v>
      </c>
      <c r="C97" s="9" t="s">
        <v>55</v>
      </c>
      <c r="D97" s="10" t="s">
        <v>19</v>
      </c>
      <c r="E97" s="11" t="n">
        <f>3566</f>
        <v>3566.0</v>
      </c>
      <c r="F97" s="10" t="s">
        <v>19</v>
      </c>
      <c r="G97" s="11" t="n">
        <f>2318280300</f>
        <v>2.3182803E9</v>
      </c>
      <c r="H97" s="10"/>
      <c r="I97" s="11" t="str">
        <f>"－"</f>
        <v>－</v>
      </c>
      <c r="J97" s="10"/>
      <c r="K97" s="11" t="n">
        <f>52155</f>
        <v>52155.0</v>
      </c>
    </row>
    <row r="98">
      <c r="A98" s="8" t="s">
        <v>50</v>
      </c>
      <c r="B98" s="9" t="s">
        <v>54</v>
      </c>
      <c r="C98" s="9" t="s">
        <v>55</v>
      </c>
      <c r="D98" s="10"/>
      <c r="E98" s="11"/>
      <c r="F98" s="10"/>
      <c r="G98" s="11"/>
      <c r="H98" s="10"/>
      <c r="I98" s="11"/>
      <c r="J98" s="10"/>
      <c r="K98" s="11"/>
    </row>
    <row r="99">
      <c r="A99" s="8" t="s">
        <v>16</v>
      </c>
      <c r="B99" s="9" t="s">
        <v>56</v>
      </c>
      <c r="C99" s="9" t="s">
        <v>57</v>
      </c>
      <c r="D99" s="10"/>
      <c r="E99" s="11" t="n">
        <f>52</f>
        <v>52.0</v>
      </c>
      <c r="F99" s="10"/>
      <c r="G99" s="11" t="n">
        <f>48543000</f>
        <v>4.8543E7</v>
      </c>
      <c r="H99" s="10" t="s">
        <v>53</v>
      </c>
      <c r="I99" s="11" t="str">
        <f>"－"</f>
        <v>－</v>
      </c>
      <c r="J99" s="10"/>
      <c r="K99" s="11" t="n">
        <f>1412</f>
        <v>1412.0</v>
      </c>
    </row>
    <row r="100">
      <c r="A100" s="8" t="s">
        <v>20</v>
      </c>
      <c r="B100" s="9" t="s">
        <v>56</v>
      </c>
      <c r="C100" s="9" t="s">
        <v>57</v>
      </c>
      <c r="D100" s="10"/>
      <c r="E100" s="11" t="n">
        <f>86</f>
        <v>86.0</v>
      </c>
      <c r="F100" s="10"/>
      <c r="G100" s="11" t="n">
        <f>80670000</f>
        <v>8.067E7</v>
      </c>
      <c r="H100" s="10"/>
      <c r="I100" s="11" t="str">
        <f>"－"</f>
        <v>－</v>
      </c>
      <c r="J100" s="10"/>
      <c r="K100" s="11" t="n">
        <f>1386</f>
        <v>1386.0</v>
      </c>
    </row>
    <row r="101">
      <c r="A101" s="8" t="s">
        <v>22</v>
      </c>
      <c r="B101" s="9" t="s">
        <v>56</v>
      </c>
      <c r="C101" s="9" t="s">
        <v>57</v>
      </c>
      <c r="D101" s="10"/>
      <c r="E101" s="11"/>
      <c r="F101" s="10"/>
      <c r="G101" s="11"/>
      <c r="H101" s="10"/>
      <c r="I101" s="11"/>
      <c r="J101" s="10"/>
      <c r="K101" s="11"/>
    </row>
    <row r="102">
      <c r="A102" s="8" t="s">
        <v>23</v>
      </c>
      <c r="B102" s="9" t="s">
        <v>56</v>
      </c>
      <c r="C102" s="9" t="s">
        <v>57</v>
      </c>
      <c r="D102" s="10"/>
      <c r="E102" s="11"/>
      <c r="F102" s="10"/>
      <c r="G102" s="11"/>
      <c r="H102" s="10"/>
      <c r="I102" s="11"/>
      <c r="J102" s="10"/>
      <c r="K102" s="11"/>
    </row>
    <row r="103">
      <c r="A103" s="8" t="s">
        <v>24</v>
      </c>
      <c r="B103" s="9" t="s">
        <v>56</v>
      </c>
      <c r="C103" s="9" t="s">
        <v>57</v>
      </c>
      <c r="D103" s="10"/>
      <c r="E103" s="11" t="n">
        <f>65</f>
        <v>65.0</v>
      </c>
      <c r="F103" s="10"/>
      <c r="G103" s="11" t="n">
        <f>61615000</f>
        <v>6.1615E7</v>
      </c>
      <c r="H103" s="10"/>
      <c r="I103" s="11" t="str">
        <f>"－"</f>
        <v>－</v>
      </c>
      <c r="J103" s="10"/>
      <c r="K103" s="11" t="n">
        <f>1387</f>
        <v>1387.0</v>
      </c>
    </row>
    <row r="104">
      <c r="A104" s="8" t="s">
        <v>25</v>
      </c>
      <c r="B104" s="9" t="s">
        <v>56</v>
      </c>
      <c r="C104" s="9" t="s">
        <v>57</v>
      </c>
      <c r="D104" s="10"/>
      <c r="E104" s="11" t="n">
        <f>174</f>
        <v>174.0</v>
      </c>
      <c r="F104" s="10"/>
      <c r="G104" s="11" t="n">
        <f>165986000</f>
        <v>1.65986E8</v>
      </c>
      <c r="H104" s="10"/>
      <c r="I104" s="11" t="str">
        <f>"－"</f>
        <v>－</v>
      </c>
      <c r="J104" s="10" t="s">
        <v>21</v>
      </c>
      <c r="K104" s="11" t="n">
        <f>1383</f>
        <v>1383.0</v>
      </c>
    </row>
    <row r="105">
      <c r="A105" s="8" t="s">
        <v>26</v>
      </c>
      <c r="B105" s="9" t="s">
        <v>56</v>
      </c>
      <c r="C105" s="9" t="s">
        <v>57</v>
      </c>
      <c r="D105" s="10"/>
      <c r="E105" s="11" t="n">
        <f>161</f>
        <v>161.0</v>
      </c>
      <c r="F105" s="10"/>
      <c r="G105" s="11" t="n">
        <f>151791000</f>
        <v>1.51791E8</v>
      </c>
      <c r="H105" s="10"/>
      <c r="I105" s="11" t="str">
        <f>"－"</f>
        <v>－</v>
      </c>
      <c r="J105" s="10"/>
      <c r="K105" s="11" t="n">
        <f>1431</f>
        <v>1431.0</v>
      </c>
    </row>
    <row r="106">
      <c r="A106" s="8" t="s">
        <v>27</v>
      </c>
      <c r="B106" s="9" t="s">
        <v>56</v>
      </c>
      <c r="C106" s="9" t="s">
        <v>57</v>
      </c>
      <c r="D106" s="10"/>
      <c r="E106" s="11" t="n">
        <f>98</f>
        <v>98.0</v>
      </c>
      <c r="F106" s="10"/>
      <c r="G106" s="11" t="n">
        <f>91695000</f>
        <v>9.1695E7</v>
      </c>
      <c r="H106" s="10"/>
      <c r="I106" s="11" t="str">
        <f>"－"</f>
        <v>－</v>
      </c>
      <c r="J106" s="10"/>
      <c r="K106" s="11" t="n">
        <f>1440</f>
        <v>1440.0</v>
      </c>
    </row>
    <row r="107">
      <c r="A107" s="8" t="s">
        <v>28</v>
      </c>
      <c r="B107" s="9" t="s">
        <v>56</v>
      </c>
      <c r="C107" s="9" t="s">
        <v>57</v>
      </c>
      <c r="D107" s="10"/>
      <c r="E107" s="11" t="n">
        <f>56</f>
        <v>56.0</v>
      </c>
      <c r="F107" s="10"/>
      <c r="G107" s="11" t="n">
        <f>51672000</f>
        <v>5.1672E7</v>
      </c>
      <c r="H107" s="10"/>
      <c r="I107" s="11" t="str">
        <f>"－"</f>
        <v>－</v>
      </c>
      <c r="J107" s="10"/>
      <c r="K107" s="11" t="n">
        <f>1460</f>
        <v>1460.0</v>
      </c>
    </row>
    <row r="108">
      <c r="A108" s="8" t="s">
        <v>29</v>
      </c>
      <c r="B108" s="9" t="s">
        <v>56</v>
      </c>
      <c r="C108" s="9" t="s">
        <v>57</v>
      </c>
      <c r="D108" s="10"/>
      <c r="E108" s="11"/>
      <c r="F108" s="10"/>
      <c r="G108" s="11"/>
      <c r="H108" s="10"/>
      <c r="I108" s="11"/>
      <c r="J108" s="10"/>
      <c r="K108" s="11"/>
    </row>
    <row r="109">
      <c r="A109" s="8" t="s">
        <v>30</v>
      </c>
      <c r="B109" s="9" t="s">
        <v>56</v>
      </c>
      <c r="C109" s="9" t="s">
        <v>57</v>
      </c>
      <c r="D109" s="10"/>
      <c r="E109" s="11"/>
      <c r="F109" s="10"/>
      <c r="G109" s="11"/>
      <c r="H109" s="10"/>
      <c r="I109" s="11"/>
      <c r="J109" s="10"/>
      <c r="K109" s="11"/>
    </row>
    <row r="110">
      <c r="A110" s="8" t="s">
        <v>31</v>
      </c>
      <c r="B110" s="9" t="s">
        <v>56</v>
      </c>
      <c r="C110" s="9" t="s">
        <v>57</v>
      </c>
      <c r="D110" s="10"/>
      <c r="E110" s="11" t="n">
        <f>25</f>
        <v>25.0</v>
      </c>
      <c r="F110" s="10"/>
      <c r="G110" s="11" t="n">
        <f>23271000</f>
        <v>2.3271E7</v>
      </c>
      <c r="H110" s="10"/>
      <c r="I110" s="11" t="str">
        <f>"－"</f>
        <v>－</v>
      </c>
      <c r="J110" s="10"/>
      <c r="K110" s="11" t="n">
        <f>1462</f>
        <v>1462.0</v>
      </c>
    </row>
    <row r="111">
      <c r="A111" s="8" t="s">
        <v>32</v>
      </c>
      <c r="B111" s="9" t="s">
        <v>56</v>
      </c>
      <c r="C111" s="9" t="s">
        <v>57</v>
      </c>
      <c r="D111" s="10"/>
      <c r="E111" s="11" t="n">
        <f>57</f>
        <v>57.0</v>
      </c>
      <c r="F111" s="10"/>
      <c r="G111" s="11" t="n">
        <f>53240000</f>
        <v>5.324E7</v>
      </c>
      <c r="H111" s="10"/>
      <c r="I111" s="11" t="str">
        <f>"－"</f>
        <v>－</v>
      </c>
      <c r="J111" s="10"/>
      <c r="K111" s="11" t="n">
        <f>1473</f>
        <v>1473.0</v>
      </c>
    </row>
    <row r="112">
      <c r="A112" s="8" t="s">
        <v>33</v>
      </c>
      <c r="B112" s="9" t="s">
        <v>56</v>
      </c>
      <c r="C112" s="9" t="s">
        <v>57</v>
      </c>
      <c r="D112" s="10"/>
      <c r="E112" s="11" t="n">
        <f>46</f>
        <v>46.0</v>
      </c>
      <c r="F112" s="10"/>
      <c r="G112" s="11" t="n">
        <f>42959000</f>
        <v>4.2959E7</v>
      </c>
      <c r="H112" s="10"/>
      <c r="I112" s="11" t="str">
        <f>"－"</f>
        <v>－</v>
      </c>
      <c r="J112" s="10"/>
      <c r="K112" s="11" t="n">
        <f>1489</f>
        <v>1489.0</v>
      </c>
    </row>
    <row r="113">
      <c r="A113" s="8" t="s">
        <v>34</v>
      </c>
      <c r="B113" s="9" t="s">
        <v>56</v>
      </c>
      <c r="C113" s="9" t="s">
        <v>57</v>
      </c>
      <c r="D113" s="10"/>
      <c r="E113" s="11" t="n">
        <f>61</f>
        <v>61.0</v>
      </c>
      <c r="F113" s="10"/>
      <c r="G113" s="11" t="n">
        <f>56915000</f>
        <v>5.6915E7</v>
      </c>
      <c r="H113" s="10"/>
      <c r="I113" s="11" t="str">
        <f>"－"</f>
        <v>－</v>
      </c>
      <c r="J113" s="10"/>
      <c r="K113" s="11" t="n">
        <f>1514</f>
        <v>1514.0</v>
      </c>
    </row>
    <row r="114">
      <c r="A114" s="8" t="s">
        <v>35</v>
      </c>
      <c r="B114" s="9" t="s">
        <v>56</v>
      </c>
      <c r="C114" s="9" t="s">
        <v>57</v>
      </c>
      <c r="D114" s="10"/>
      <c r="E114" s="11" t="n">
        <f>57</f>
        <v>57.0</v>
      </c>
      <c r="F114" s="10"/>
      <c r="G114" s="11" t="n">
        <f>53213000</f>
        <v>5.3213E7</v>
      </c>
      <c r="H114" s="10"/>
      <c r="I114" s="11" t="str">
        <f>"－"</f>
        <v>－</v>
      </c>
      <c r="J114" s="10"/>
      <c r="K114" s="11" t="n">
        <f>1520</f>
        <v>1520.0</v>
      </c>
    </row>
    <row r="115">
      <c r="A115" s="8" t="s">
        <v>36</v>
      </c>
      <c r="B115" s="9" t="s">
        <v>56</v>
      </c>
      <c r="C115" s="9" t="s">
        <v>57</v>
      </c>
      <c r="D115" s="10"/>
      <c r="E115" s="11"/>
      <c r="F115" s="10"/>
      <c r="G115" s="11"/>
      <c r="H115" s="10"/>
      <c r="I115" s="11"/>
      <c r="J115" s="10"/>
      <c r="K115" s="11"/>
    </row>
    <row r="116">
      <c r="A116" s="8" t="s">
        <v>37</v>
      </c>
      <c r="B116" s="9" t="s">
        <v>56</v>
      </c>
      <c r="C116" s="9" t="s">
        <v>57</v>
      </c>
      <c r="D116" s="10"/>
      <c r="E116" s="11"/>
      <c r="F116" s="10"/>
      <c r="G116" s="11"/>
      <c r="H116" s="10"/>
      <c r="I116" s="11"/>
      <c r="J116" s="10"/>
      <c r="K116" s="11"/>
    </row>
    <row r="117">
      <c r="A117" s="8" t="s">
        <v>38</v>
      </c>
      <c r="B117" s="9" t="s">
        <v>56</v>
      </c>
      <c r="C117" s="9" t="s">
        <v>57</v>
      </c>
      <c r="D117" s="10"/>
      <c r="E117" s="11" t="n">
        <f>188</f>
        <v>188.0</v>
      </c>
      <c r="F117" s="10"/>
      <c r="G117" s="11" t="n">
        <f>171538000</f>
        <v>1.71538E8</v>
      </c>
      <c r="H117" s="10"/>
      <c r="I117" s="11" t="str">
        <f>"－"</f>
        <v>－</v>
      </c>
      <c r="J117" s="10"/>
      <c r="K117" s="11" t="n">
        <f>1553</f>
        <v>1553.0</v>
      </c>
    </row>
    <row r="118">
      <c r="A118" s="8" t="s">
        <v>39</v>
      </c>
      <c r="B118" s="9" t="s">
        <v>56</v>
      </c>
      <c r="C118" s="9" t="s">
        <v>57</v>
      </c>
      <c r="D118" s="10" t="s">
        <v>19</v>
      </c>
      <c r="E118" s="11" t="n">
        <f>209</f>
        <v>209.0</v>
      </c>
      <c r="F118" s="10" t="s">
        <v>19</v>
      </c>
      <c r="G118" s="11" t="n">
        <f>186748000</f>
        <v>1.86748E8</v>
      </c>
      <c r="H118" s="10"/>
      <c r="I118" s="11" t="str">
        <f>"－"</f>
        <v>－</v>
      </c>
      <c r="J118" s="10"/>
      <c r="K118" s="11" t="n">
        <f>1529</f>
        <v>1529.0</v>
      </c>
    </row>
    <row r="119">
      <c r="A119" s="8" t="s">
        <v>40</v>
      </c>
      <c r="B119" s="9" t="s">
        <v>56</v>
      </c>
      <c r="C119" s="9" t="s">
        <v>57</v>
      </c>
      <c r="D119" s="10"/>
      <c r="E119" s="11" t="n">
        <f>172</f>
        <v>172.0</v>
      </c>
      <c r="F119" s="10"/>
      <c r="G119" s="11" t="n">
        <f>153198000</f>
        <v>1.53198E8</v>
      </c>
      <c r="H119" s="10"/>
      <c r="I119" s="11" t="str">
        <f>"－"</f>
        <v>－</v>
      </c>
      <c r="J119" s="10"/>
      <c r="K119" s="11" t="n">
        <f>1558</f>
        <v>1558.0</v>
      </c>
    </row>
    <row r="120">
      <c r="A120" s="8" t="s">
        <v>41</v>
      </c>
      <c r="B120" s="9" t="s">
        <v>56</v>
      </c>
      <c r="C120" s="9" t="s">
        <v>57</v>
      </c>
      <c r="D120" s="10"/>
      <c r="E120" s="11"/>
      <c r="F120" s="10"/>
      <c r="G120" s="11"/>
      <c r="H120" s="10"/>
      <c r="I120" s="11"/>
      <c r="J120" s="10"/>
      <c r="K120" s="11"/>
    </row>
    <row r="121">
      <c r="A121" s="8" t="s">
        <v>42</v>
      </c>
      <c r="B121" s="9" t="s">
        <v>56</v>
      </c>
      <c r="C121" s="9" t="s">
        <v>57</v>
      </c>
      <c r="D121" s="10"/>
      <c r="E121" s="11"/>
      <c r="F121" s="10"/>
      <c r="G121" s="11"/>
      <c r="H121" s="10"/>
      <c r="I121" s="11"/>
      <c r="J121" s="10"/>
      <c r="K121" s="11"/>
    </row>
    <row r="122">
      <c r="A122" s="8" t="s">
        <v>43</v>
      </c>
      <c r="B122" s="9" t="s">
        <v>56</v>
      </c>
      <c r="C122" s="9" t="s">
        <v>57</v>
      </c>
      <c r="D122" s="10"/>
      <c r="E122" s="11"/>
      <c r="F122" s="10"/>
      <c r="G122" s="11"/>
      <c r="H122" s="10"/>
      <c r="I122" s="11"/>
      <c r="J122" s="10"/>
      <c r="K122" s="11"/>
    </row>
    <row r="123">
      <c r="A123" s="8" t="s">
        <v>44</v>
      </c>
      <c r="B123" s="9" t="s">
        <v>56</v>
      </c>
      <c r="C123" s="9" t="s">
        <v>57</v>
      </c>
      <c r="D123" s="10"/>
      <c r="E123" s="11"/>
      <c r="F123" s="10"/>
      <c r="G123" s="11"/>
      <c r="H123" s="10"/>
      <c r="I123" s="11"/>
      <c r="J123" s="10"/>
      <c r="K123" s="11"/>
    </row>
    <row r="124">
      <c r="A124" s="8" t="s">
        <v>45</v>
      </c>
      <c r="B124" s="9" t="s">
        <v>56</v>
      </c>
      <c r="C124" s="9" t="s">
        <v>57</v>
      </c>
      <c r="D124" s="10"/>
      <c r="E124" s="11" t="n">
        <f>85</f>
        <v>85.0</v>
      </c>
      <c r="F124" s="10"/>
      <c r="G124" s="11" t="n">
        <f>76041000</f>
        <v>7.6041E7</v>
      </c>
      <c r="H124" s="10"/>
      <c r="I124" s="11" t="str">
        <f>"－"</f>
        <v>－</v>
      </c>
      <c r="J124" s="10"/>
      <c r="K124" s="11" t="n">
        <f>1540</f>
        <v>1540.0</v>
      </c>
    </row>
    <row r="125">
      <c r="A125" s="8" t="s">
        <v>46</v>
      </c>
      <c r="B125" s="9" t="s">
        <v>56</v>
      </c>
      <c r="C125" s="9" t="s">
        <v>57</v>
      </c>
      <c r="D125" s="10" t="s">
        <v>21</v>
      </c>
      <c r="E125" s="11" t="n">
        <f>11</f>
        <v>11.0</v>
      </c>
      <c r="F125" s="10" t="s">
        <v>21</v>
      </c>
      <c r="G125" s="11" t="n">
        <f>9870000</f>
        <v>9870000.0</v>
      </c>
      <c r="H125" s="10"/>
      <c r="I125" s="11" t="str">
        <f>"－"</f>
        <v>－</v>
      </c>
      <c r="J125" s="10"/>
      <c r="K125" s="11" t="n">
        <f>1537</f>
        <v>1537.0</v>
      </c>
    </row>
    <row r="126">
      <c r="A126" s="8" t="s">
        <v>47</v>
      </c>
      <c r="B126" s="9" t="s">
        <v>56</v>
      </c>
      <c r="C126" s="9" t="s">
        <v>57</v>
      </c>
      <c r="D126" s="10"/>
      <c r="E126" s="11" t="n">
        <f>136</f>
        <v>136.0</v>
      </c>
      <c r="F126" s="10"/>
      <c r="G126" s="11" t="n">
        <f>119723000</f>
        <v>1.19723E8</v>
      </c>
      <c r="H126" s="10"/>
      <c r="I126" s="11" t="str">
        <f>"－"</f>
        <v>－</v>
      </c>
      <c r="J126" s="10"/>
      <c r="K126" s="11" t="n">
        <f>1564</f>
        <v>1564.0</v>
      </c>
    </row>
    <row r="127">
      <c r="A127" s="8" t="s">
        <v>48</v>
      </c>
      <c r="B127" s="9" t="s">
        <v>56</v>
      </c>
      <c r="C127" s="9" t="s">
        <v>57</v>
      </c>
      <c r="D127" s="10"/>
      <c r="E127" s="11" t="n">
        <f>70</f>
        <v>70.0</v>
      </c>
      <c r="F127" s="10"/>
      <c r="G127" s="11" t="n">
        <f>61949000</f>
        <v>6.1949E7</v>
      </c>
      <c r="H127" s="10"/>
      <c r="I127" s="11" t="str">
        <f>"－"</f>
        <v>－</v>
      </c>
      <c r="J127" s="10" t="s">
        <v>19</v>
      </c>
      <c r="K127" s="11" t="n">
        <f>1578</f>
        <v>1578.0</v>
      </c>
    </row>
    <row r="128">
      <c r="A128" s="8" t="s">
        <v>49</v>
      </c>
      <c r="B128" s="9" t="s">
        <v>56</v>
      </c>
      <c r="C128" s="9" t="s">
        <v>57</v>
      </c>
      <c r="D128" s="10"/>
      <c r="E128" s="11" t="n">
        <f>72</f>
        <v>72.0</v>
      </c>
      <c r="F128" s="10"/>
      <c r="G128" s="11" t="n">
        <f>64750000</f>
        <v>6.475E7</v>
      </c>
      <c r="H128" s="10"/>
      <c r="I128" s="11" t="str">
        <f>"－"</f>
        <v>－</v>
      </c>
      <c r="J128" s="10"/>
      <c r="K128" s="11" t="n">
        <f>1575</f>
        <v>1575.0</v>
      </c>
    </row>
    <row r="129">
      <c r="A129" s="8" t="s">
        <v>50</v>
      </c>
      <c r="B129" s="9" t="s">
        <v>56</v>
      </c>
      <c r="C129" s="9" t="s">
        <v>57</v>
      </c>
      <c r="D129" s="10"/>
      <c r="E129" s="11"/>
      <c r="F129" s="10"/>
      <c r="G129" s="11"/>
      <c r="H129" s="10"/>
      <c r="I129" s="11"/>
      <c r="J129" s="10"/>
      <c r="K129" s="11"/>
    </row>
    <row r="130">
      <c r="A130" s="8" t="s">
        <v>16</v>
      </c>
      <c r="B130" s="9" t="s">
        <v>58</v>
      </c>
      <c r="C130" s="9" t="s">
        <v>59</v>
      </c>
      <c r="D130" s="10"/>
      <c r="E130" s="11" t="n">
        <f>13144</f>
        <v>13144.0</v>
      </c>
      <c r="F130" s="10"/>
      <c r="G130" s="11" t="n">
        <f>24868607000</f>
        <v>2.4868607E10</v>
      </c>
      <c r="H130" s="10" t="s">
        <v>21</v>
      </c>
      <c r="I130" s="11" t="str">
        <f>"－"</f>
        <v>－</v>
      </c>
      <c r="J130" s="10" t="s">
        <v>21</v>
      </c>
      <c r="K130" s="11" t="n">
        <f>35707</f>
        <v>35707.0</v>
      </c>
    </row>
    <row r="131">
      <c r="A131" s="8" t="s">
        <v>20</v>
      </c>
      <c r="B131" s="9" t="s">
        <v>58</v>
      </c>
      <c r="C131" s="9" t="s">
        <v>59</v>
      </c>
      <c r="D131" s="10"/>
      <c r="E131" s="11" t="n">
        <f>9736</f>
        <v>9736.0</v>
      </c>
      <c r="F131" s="10"/>
      <c r="G131" s="11" t="n">
        <f>18920443000</f>
        <v>1.8920443E10</v>
      </c>
      <c r="H131" s="10"/>
      <c r="I131" s="11" t="str">
        <f>"－"</f>
        <v>－</v>
      </c>
      <c r="J131" s="10"/>
      <c r="K131" s="11" t="n">
        <f>35786</f>
        <v>35786.0</v>
      </c>
    </row>
    <row r="132">
      <c r="A132" s="8" t="s">
        <v>22</v>
      </c>
      <c r="B132" s="9" t="s">
        <v>58</v>
      </c>
      <c r="C132" s="9" t="s">
        <v>59</v>
      </c>
      <c r="D132" s="10"/>
      <c r="E132" s="11"/>
      <c r="F132" s="10"/>
      <c r="G132" s="11"/>
      <c r="H132" s="10"/>
      <c r="I132" s="11"/>
      <c r="J132" s="10"/>
      <c r="K132" s="11"/>
    </row>
    <row r="133">
      <c r="A133" s="8" t="s">
        <v>23</v>
      </c>
      <c r="B133" s="9" t="s">
        <v>58</v>
      </c>
      <c r="C133" s="9" t="s">
        <v>59</v>
      </c>
      <c r="D133" s="10"/>
      <c r="E133" s="11"/>
      <c r="F133" s="10"/>
      <c r="G133" s="11"/>
      <c r="H133" s="10"/>
      <c r="I133" s="11"/>
      <c r="J133" s="10"/>
      <c r="K133" s="11"/>
    </row>
    <row r="134">
      <c r="A134" s="8" t="s">
        <v>24</v>
      </c>
      <c r="B134" s="9" t="s">
        <v>58</v>
      </c>
      <c r="C134" s="9" t="s">
        <v>59</v>
      </c>
      <c r="D134" s="10" t="s">
        <v>21</v>
      </c>
      <c r="E134" s="11" t="n">
        <f>6526</f>
        <v>6526.0</v>
      </c>
      <c r="F134" s="10" t="s">
        <v>21</v>
      </c>
      <c r="G134" s="11" t="n">
        <f>12692463500</f>
        <v>1.26924635E10</v>
      </c>
      <c r="H134" s="10"/>
      <c r="I134" s="11" t="str">
        <f>"－"</f>
        <v>－</v>
      </c>
      <c r="J134" s="10"/>
      <c r="K134" s="11" t="n">
        <f>35763</f>
        <v>35763.0</v>
      </c>
    </row>
    <row r="135">
      <c r="A135" s="8" t="s">
        <v>25</v>
      </c>
      <c r="B135" s="9" t="s">
        <v>58</v>
      </c>
      <c r="C135" s="9" t="s">
        <v>59</v>
      </c>
      <c r="D135" s="10"/>
      <c r="E135" s="11" t="n">
        <f>7407</f>
        <v>7407.0</v>
      </c>
      <c r="F135" s="10"/>
      <c r="G135" s="11" t="n">
        <f>14573891000</f>
        <v>1.4573891E10</v>
      </c>
      <c r="H135" s="10" t="s">
        <v>19</v>
      </c>
      <c r="I135" s="11" t="n">
        <f>3</f>
        <v>3.0</v>
      </c>
      <c r="J135" s="10"/>
      <c r="K135" s="11" t="n">
        <f>35985</f>
        <v>35985.0</v>
      </c>
    </row>
    <row r="136">
      <c r="A136" s="8" t="s">
        <v>26</v>
      </c>
      <c r="B136" s="9" t="s">
        <v>58</v>
      </c>
      <c r="C136" s="9" t="s">
        <v>59</v>
      </c>
      <c r="D136" s="10"/>
      <c r="E136" s="11" t="n">
        <f>11319</f>
        <v>11319.0</v>
      </c>
      <c r="F136" s="10"/>
      <c r="G136" s="11" t="n">
        <f>21986813000</f>
        <v>2.1986813E10</v>
      </c>
      <c r="H136" s="10"/>
      <c r="I136" s="11" t="str">
        <f>"－"</f>
        <v>－</v>
      </c>
      <c r="J136" s="10"/>
      <c r="K136" s="11" t="n">
        <f>36365</f>
        <v>36365.0</v>
      </c>
    </row>
    <row r="137">
      <c r="A137" s="8" t="s">
        <v>27</v>
      </c>
      <c r="B137" s="9" t="s">
        <v>58</v>
      </c>
      <c r="C137" s="9" t="s">
        <v>59</v>
      </c>
      <c r="D137" s="10"/>
      <c r="E137" s="11" t="n">
        <f>11663</f>
        <v>11663.0</v>
      </c>
      <c r="F137" s="10"/>
      <c r="G137" s="11" t="n">
        <f>22358804500</f>
        <v>2.23588045E10</v>
      </c>
      <c r="H137" s="10"/>
      <c r="I137" s="11" t="str">
        <f>"－"</f>
        <v>－</v>
      </c>
      <c r="J137" s="10"/>
      <c r="K137" s="11" t="n">
        <f>37035</f>
        <v>37035.0</v>
      </c>
    </row>
    <row r="138">
      <c r="A138" s="8" t="s">
        <v>28</v>
      </c>
      <c r="B138" s="9" t="s">
        <v>58</v>
      </c>
      <c r="C138" s="9" t="s">
        <v>59</v>
      </c>
      <c r="D138" s="10"/>
      <c r="E138" s="11" t="n">
        <f>9678</f>
        <v>9678.0</v>
      </c>
      <c r="F138" s="10"/>
      <c r="G138" s="11" t="n">
        <f>18326821500</f>
        <v>1.83268215E10</v>
      </c>
      <c r="H138" s="10"/>
      <c r="I138" s="11" t="str">
        <f>"－"</f>
        <v>－</v>
      </c>
      <c r="J138" s="10"/>
      <c r="K138" s="11" t="n">
        <f>37259</f>
        <v>37259.0</v>
      </c>
    </row>
    <row r="139">
      <c r="A139" s="8" t="s">
        <v>29</v>
      </c>
      <c r="B139" s="9" t="s">
        <v>58</v>
      </c>
      <c r="C139" s="9" t="s">
        <v>59</v>
      </c>
      <c r="D139" s="10"/>
      <c r="E139" s="11"/>
      <c r="F139" s="10"/>
      <c r="G139" s="11"/>
      <c r="H139" s="10"/>
      <c r="I139" s="11"/>
      <c r="J139" s="10"/>
      <c r="K139" s="11"/>
    </row>
    <row r="140">
      <c r="A140" s="8" t="s">
        <v>30</v>
      </c>
      <c r="B140" s="9" t="s">
        <v>58</v>
      </c>
      <c r="C140" s="9" t="s">
        <v>59</v>
      </c>
      <c r="D140" s="10"/>
      <c r="E140" s="11"/>
      <c r="F140" s="10"/>
      <c r="G140" s="11"/>
      <c r="H140" s="10"/>
      <c r="I140" s="11"/>
      <c r="J140" s="10"/>
      <c r="K140" s="11"/>
    </row>
    <row r="141">
      <c r="A141" s="8" t="s">
        <v>31</v>
      </c>
      <c r="B141" s="9" t="s">
        <v>58</v>
      </c>
      <c r="C141" s="9" t="s">
        <v>59</v>
      </c>
      <c r="D141" s="10"/>
      <c r="E141" s="11" t="n">
        <f>8492</f>
        <v>8492.0</v>
      </c>
      <c r="F141" s="10"/>
      <c r="G141" s="11" t="n">
        <f>16373216000</f>
        <v>1.6373216E10</v>
      </c>
      <c r="H141" s="10"/>
      <c r="I141" s="11" t="str">
        <f>"－"</f>
        <v>－</v>
      </c>
      <c r="J141" s="10"/>
      <c r="K141" s="11" t="n">
        <f>37177</f>
        <v>37177.0</v>
      </c>
    </row>
    <row r="142">
      <c r="A142" s="8" t="s">
        <v>32</v>
      </c>
      <c r="B142" s="9" t="s">
        <v>58</v>
      </c>
      <c r="C142" s="9" t="s">
        <v>59</v>
      </c>
      <c r="D142" s="10"/>
      <c r="E142" s="11" t="n">
        <f>10661</f>
        <v>10661.0</v>
      </c>
      <c r="F142" s="10"/>
      <c r="G142" s="11" t="n">
        <f>20950949000</f>
        <v>2.0950949E10</v>
      </c>
      <c r="H142" s="10"/>
      <c r="I142" s="11" t="str">
        <f>"－"</f>
        <v>－</v>
      </c>
      <c r="J142" s="10"/>
      <c r="K142" s="11" t="n">
        <f>36725</f>
        <v>36725.0</v>
      </c>
    </row>
    <row r="143">
      <c r="A143" s="8" t="s">
        <v>33</v>
      </c>
      <c r="B143" s="9" t="s">
        <v>58</v>
      </c>
      <c r="C143" s="9" t="s">
        <v>59</v>
      </c>
      <c r="D143" s="10"/>
      <c r="E143" s="11" t="n">
        <f>7260</f>
        <v>7260.0</v>
      </c>
      <c r="F143" s="10"/>
      <c r="G143" s="11" t="n">
        <f>14229565500</f>
        <v>1.42295655E10</v>
      </c>
      <c r="H143" s="10"/>
      <c r="I143" s="11" t="n">
        <f>1</f>
        <v>1.0</v>
      </c>
      <c r="J143" s="10"/>
      <c r="K143" s="11" t="n">
        <f>37063</f>
        <v>37063.0</v>
      </c>
    </row>
    <row r="144">
      <c r="A144" s="8" t="s">
        <v>34</v>
      </c>
      <c r="B144" s="9" t="s">
        <v>58</v>
      </c>
      <c r="C144" s="9" t="s">
        <v>59</v>
      </c>
      <c r="D144" s="10"/>
      <c r="E144" s="11" t="n">
        <f>10418</f>
        <v>10418.0</v>
      </c>
      <c r="F144" s="10"/>
      <c r="G144" s="11" t="n">
        <f>20701688000</f>
        <v>2.0701688E10</v>
      </c>
      <c r="H144" s="10"/>
      <c r="I144" s="11" t="n">
        <f>1</f>
        <v>1.0</v>
      </c>
      <c r="J144" s="10"/>
      <c r="K144" s="11" t="n">
        <f>37416</f>
        <v>37416.0</v>
      </c>
    </row>
    <row r="145">
      <c r="A145" s="8" t="s">
        <v>35</v>
      </c>
      <c r="B145" s="9" t="s">
        <v>58</v>
      </c>
      <c r="C145" s="9" t="s">
        <v>59</v>
      </c>
      <c r="D145" s="10"/>
      <c r="E145" s="11" t="n">
        <f>8610</f>
        <v>8610.0</v>
      </c>
      <c r="F145" s="10"/>
      <c r="G145" s="11" t="n">
        <f>17257336000</f>
        <v>1.7257336E10</v>
      </c>
      <c r="H145" s="10"/>
      <c r="I145" s="11" t="str">
        <f>"－"</f>
        <v>－</v>
      </c>
      <c r="J145" s="10"/>
      <c r="K145" s="11" t="n">
        <f>37732</f>
        <v>37732.0</v>
      </c>
    </row>
    <row r="146">
      <c r="A146" s="8" t="s">
        <v>36</v>
      </c>
      <c r="B146" s="9" t="s">
        <v>58</v>
      </c>
      <c r="C146" s="9" t="s">
        <v>59</v>
      </c>
      <c r="D146" s="10"/>
      <c r="E146" s="11"/>
      <c r="F146" s="10"/>
      <c r="G146" s="11"/>
      <c r="H146" s="10"/>
      <c r="I146" s="11"/>
      <c r="J146" s="10"/>
      <c r="K146" s="11"/>
    </row>
    <row r="147">
      <c r="A147" s="8" t="s">
        <v>37</v>
      </c>
      <c r="B147" s="9" t="s">
        <v>58</v>
      </c>
      <c r="C147" s="9" t="s">
        <v>59</v>
      </c>
      <c r="D147" s="10"/>
      <c r="E147" s="11"/>
      <c r="F147" s="10"/>
      <c r="G147" s="11"/>
      <c r="H147" s="10"/>
      <c r="I147" s="11"/>
      <c r="J147" s="10"/>
      <c r="K147" s="11"/>
    </row>
    <row r="148">
      <c r="A148" s="8" t="s">
        <v>38</v>
      </c>
      <c r="B148" s="9" t="s">
        <v>58</v>
      </c>
      <c r="C148" s="9" t="s">
        <v>59</v>
      </c>
      <c r="D148" s="10"/>
      <c r="E148" s="11" t="n">
        <f>10238</f>
        <v>10238.0</v>
      </c>
      <c r="F148" s="10"/>
      <c r="G148" s="11" t="n">
        <f>20090356000</f>
        <v>2.0090356E10</v>
      </c>
      <c r="H148" s="10"/>
      <c r="I148" s="11" t="str">
        <f>"－"</f>
        <v>－</v>
      </c>
      <c r="J148" s="10"/>
      <c r="K148" s="11" t="n">
        <f>37858</f>
        <v>37858.0</v>
      </c>
    </row>
    <row r="149">
      <c r="A149" s="8" t="s">
        <v>39</v>
      </c>
      <c r="B149" s="9" t="s">
        <v>58</v>
      </c>
      <c r="C149" s="9" t="s">
        <v>59</v>
      </c>
      <c r="D149" s="10" t="s">
        <v>19</v>
      </c>
      <c r="E149" s="11" t="n">
        <f>14200</f>
        <v>14200.0</v>
      </c>
      <c r="F149" s="10" t="s">
        <v>19</v>
      </c>
      <c r="G149" s="11" t="n">
        <f>27029286000</f>
        <v>2.7029286E10</v>
      </c>
      <c r="H149" s="10"/>
      <c r="I149" s="11" t="n">
        <f>1</f>
        <v>1.0</v>
      </c>
      <c r="J149" s="10"/>
      <c r="K149" s="11" t="n">
        <f>38262</f>
        <v>38262.0</v>
      </c>
    </row>
    <row r="150">
      <c r="A150" s="8" t="s">
        <v>40</v>
      </c>
      <c r="B150" s="9" t="s">
        <v>58</v>
      </c>
      <c r="C150" s="9" t="s">
        <v>59</v>
      </c>
      <c r="D150" s="10"/>
      <c r="E150" s="11" t="n">
        <f>10385</f>
        <v>10385.0</v>
      </c>
      <c r="F150" s="10"/>
      <c r="G150" s="11" t="n">
        <f>19602136500</f>
        <v>1.96021365E10</v>
      </c>
      <c r="H150" s="10"/>
      <c r="I150" s="11" t="str">
        <f>"－"</f>
        <v>－</v>
      </c>
      <c r="J150" s="10"/>
      <c r="K150" s="11" t="n">
        <f>38881</f>
        <v>38881.0</v>
      </c>
    </row>
    <row r="151">
      <c r="A151" s="8" t="s">
        <v>41</v>
      </c>
      <c r="B151" s="9" t="s">
        <v>58</v>
      </c>
      <c r="C151" s="9" t="s">
        <v>59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42</v>
      </c>
      <c r="B152" s="9" t="s">
        <v>58</v>
      </c>
      <c r="C152" s="9" t="s">
        <v>59</v>
      </c>
      <c r="D152" s="10"/>
      <c r="E152" s="11"/>
      <c r="F152" s="10"/>
      <c r="G152" s="11"/>
      <c r="H152" s="10"/>
      <c r="I152" s="11"/>
      <c r="J152" s="10"/>
      <c r="K152" s="11"/>
    </row>
    <row r="153">
      <c r="A153" s="8" t="s">
        <v>43</v>
      </c>
      <c r="B153" s="9" t="s">
        <v>58</v>
      </c>
      <c r="C153" s="9" t="s">
        <v>59</v>
      </c>
      <c r="D153" s="10"/>
      <c r="E153" s="11"/>
      <c r="F153" s="10"/>
      <c r="G153" s="11"/>
      <c r="H153" s="10"/>
      <c r="I153" s="11"/>
      <c r="J153" s="10"/>
      <c r="K153" s="11"/>
    </row>
    <row r="154">
      <c r="A154" s="8" t="s">
        <v>44</v>
      </c>
      <c r="B154" s="9" t="s">
        <v>58</v>
      </c>
      <c r="C154" s="9" t="s">
        <v>59</v>
      </c>
      <c r="D154" s="10"/>
      <c r="E154" s="11"/>
      <c r="F154" s="10"/>
      <c r="G154" s="11"/>
      <c r="H154" s="10"/>
      <c r="I154" s="11"/>
      <c r="J154" s="10"/>
      <c r="K154" s="11"/>
    </row>
    <row r="155">
      <c r="A155" s="8" t="s">
        <v>45</v>
      </c>
      <c r="B155" s="9" t="s">
        <v>58</v>
      </c>
      <c r="C155" s="9" t="s">
        <v>59</v>
      </c>
      <c r="D155" s="10"/>
      <c r="E155" s="11" t="n">
        <f>7982</f>
        <v>7982.0</v>
      </c>
      <c r="F155" s="10"/>
      <c r="G155" s="11" t="n">
        <f>15167432500</f>
        <v>1.51674325E10</v>
      </c>
      <c r="H155" s="10"/>
      <c r="I155" s="11" t="str">
        <f>"－"</f>
        <v>－</v>
      </c>
      <c r="J155" s="10"/>
      <c r="K155" s="11" t="n">
        <f>39265</f>
        <v>39265.0</v>
      </c>
    </row>
    <row r="156">
      <c r="A156" s="8" t="s">
        <v>46</v>
      </c>
      <c r="B156" s="9" t="s">
        <v>58</v>
      </c>
      <c r="C156" s="9" t="s">
        <v>59</v>
      </c>
      <c r="D156" s="10"/>
      <c r="E156" s="11" t="n">
        <f>7299</f>
        <v>7299.0</v>
      </c>
      <c r="F156" s="10"/>
      <c r="G156" s="11" t="n">
        <f>13787044500</f>
        <v>1.37870445E10</v>
      </c>
      <c r="H156" s="10"/>
      <c r="I156" s="11" t="str">
        <f>"－"</f>
        <v>－</v>
      </c>
      <c r="J156" s="10"/>
      <c r="K156" s="11" t="n">
        <f>39155</f>
        <v>39155.0</v>
      </c>
    </row>
    <row r="157">
      <c r="A157" s="8" t="s">
        <v>47</v>
      </c>
      <c r="B157" s="9" t="s">
        <v>58</v>
      </c>
      <c r="C157" s="9" t="s">
        <v>59</v>
      </c>
      <c r="D157" s="10"/>
      <c r="E157" s="11" t="n">
        <f>10379</f>
        <v>10379.0</v>
      </c>
      <c r="F157" s="10"/>
      <c r="G157" s="11" t="n">
        <f>19422590500</f>
        <v>1.94225905E10</v>
      </c>
      <c r="H157" s="10"/>
      <c r="I157" s="11" t="str">
        <f>"－"</f>
        <v>－</v>
      </c>
      <c r="J157" s="10"/>
      <c r="K157" s="11" t="n">
        <f>39482</f>
        <v>39482.0</v>
      </c>
    </row>
    <row r="158">
      <c r="A158" s="8" t="s">
        <v>48</v>
      </c>
      <c r="B158" s="9" t="s">
        <v>58</v>
      </c>
      <c r="C158" s="9" t="s">
        <v>59</v>
      </c>
      <c r="D158" s="10"/>
      <c r="E158" s="11" t="n">
        <f>7387</f>
        <v>7387.0</v>
      </c>
      <c r="F158" s="10"/>
      <c r="G158" s="11" t="n">
        <f>13972595000</f>
        <v>1.3972595E10</v>
      </c>
      <c r="H158" s="10"/>
      <c r="I158" s="11" t="str">
        <f>"－"</f>
        <v>－</v>
      </c>
      <c r="J158" s="10"/>
      <c r="K158" s="11" t="n">
        <f>40034</f>
        <v>40034.0</v>
      </c>
    </row>
    <row r="159">
      <c r="A159" s="8" t="s">
        <v>49</v>
      </c>
      <c r="B159" s="9" t="s">
        <v>58</v>
      </c>
      <c r="C159" s="9" t="s">
        <v>59</v>
      </c>
      <c r="D159" s="10"/>
      <c r="E159" s="11" t="n">
        <f>9063</f>
        <v>9063.0</v>
      </c>
      <c r="F159" s="10"/>
      <c r="G159" s="11" t="n">
        <f>17059070000</f>
        <v>1.705907E10</v>
      </c>
      <c r="H159" s="10"/>
      <c r="I159" s="11" t="n">
        <f>2</f>
        <v>2.0</v>
      </c>
      <c r="J159" s="10" t="s">
        <v>19</v>
      </c>
      <c r="K159" s="11" t="n">
        <f>40738</f>
        <v>40738.0</v>
      </c>
    </row>
    <row r="160">
      <c r="A160" s="8" t="s">
        <v>50</v>
      </c>
      <c r="B160" s="9" t="s">
        <v>58</v>
      </c>
      <c r="C160" s="9" t="s">
        <v>59</v>
      </c>
      <c r="D160" s="10"/>
      <c r="E160" s="11"/>
      <c r="F160" s="10"/>
      <c r="G160" s="11"/>
      <c r="H160" s="10"/>
      <c r="I160" s="11"/>
      <c r="J160" s="10"/>
      <c r="K160" s="11"/>
    </row>
    <row r="161">
      <c r="A161" s="8" t="s">
        <v>16</v>
      </c>
      <c r="B161" s="9" t="s">
        <v>60</v>
      </c>
      <c r="C161" s="9" t="s">
        <v>61</v>
      </c>
      <c r="D161" s="10"/>
      <c r="E161" s="11" t="n">
        <f>1355</f>
        <v>1355.0</v>
      </c>
      <c r="F161" s="10"/>
      <c r="G161" s="11" t="n">
        <f>511614400</f>
        <v>5.116144E8</v>
      </c>
      <c r="H161" s="10" t="s">
        <v>53</v>
      </c>
      <c r="I161" s="11" t="str">
        <f>"－"</f>
        <v>－</v>
      </c>
      <c r="J161" s="10"/>
      <c r="K161" s="11" t="n">
        <f>3119</f>
        <v>3119.0</v>
      </c>
    </row>
    <row r="162">
      <c r="A162" s="8" t="s">
        <v>20</v>
      </c>
      <c r="B162" s="9" t="s">
        <v>60</v>
      </c>
      <c r="C162" s="9" t="s">
        <v>61</v>
      </c>
      <c r="D162" s="10"/>
      <c r="E162" s="11" t="n">
        <f>1026</f>
        <v>1026.0</v>
      </c>
      <c r="F162" s="10"/>
      <c r="G162" s="11" t="n">
        <f>398063500</f>
        <v>3.980635E8</v>
      </c>
      <c r="H162" s="10"/>
      <c r="I162" s="11" t="str">
        <f>"－"</f>
        <v>－</v>
      </c>
      <c r="J162" s="10"/>
      <c r="K162" s="11" t="n">
        <f>3139</f>
        <v>3139.0</v>
      </c>
    </row>
    <row r="163">
      <c r="A163" s="8" t="s">
        <v>22</v>
      </c>
      <c r="B163" s="9" t="s">
        <v>60</v>
      </c>
      <c r="C163" s="9" t="s">
        <v>61</v>
      </c>
      <c r="D163" s="10"/>
      <c r="E163" s="11"/>
      <c r="F163" s="10"/>
      <c r="G163" s="11"/>
      <c r="H163" s="10"/>
      <c r="I163" s="11"/>
      <c r="J163" s="10"/>
      <c r="K163" s="11"/>
    </row>
    <row r="164">
      <c r="A164" s="8" t="s">
        <v>23</v>
      </c>
      <c r="B164" s="9" t="s">
        <v>60</v>
      </c>
      <c r="C164" s="9" t="s">
        <v>61</v>
      </c>
      <c r="D164" s="10"/>
      <c r="E164" s="11"/>
      <c r="F164" s="10"/>
      <c r="G164" s="11"/>
      <c r="H164" s="10"/>
      <c r="I164" s="11"/>
      <c r="J164" s="10"/>
      <c r="K164" s="11"/>
    </row>
    <row r="165">
      <c r="A165" s="8" t="s">
        <v>24</v>
      </c>
      <c r="B165" s="9" t="s">
        <v>60</v>
      </c>
      <c r="C165" s="9" t="s">
        <v>61</v>
      </c>
      <c r="D165" s="10"/>
      <c r="E165" s="11" t="n">
        <f>968</f>
        <v>968.0</v>
      </c>
      <c r="F165" s="10"/>
      <c r="G165" s="11" t="n">
        <f>376622000</f>
        <v>3.76622E8</v>
      </c>
      <c r="H165" s="10"/>
      <c r="I165" s="11" t="str">
        <f>"－"</f>
        <v>－</v>
      </c>
      <c r="J165" s="10"/>
      <c r="K165" s="11" t="n">
        <f>3174</f>
        <v>3174.0</v>
      </c>
    </row>
    <row r="166">
      <c r="A166" s="8" t="s">
        <v>25</v>
      </c>
      <c r="B166" s="9" t="s">
        <v>60</v>
      </c>
      <c r="C166" s="9" t="s">
        <v>61</v>
      </c>
      <c r="D166" s="10"/>
      <c r="E166" s="11" t="n">
        <f>1030</f>
        <v>1030.0</v>
      </c>
      <c r="F166" s="10"/>
      <c r="G166" s="11" t="n">
        <f>404402100</f>
        <v>4.044021E8</v>
      </c>
      <c r="H166" s="10"/>
      <c r="I166" s="11" t="str">
        <f>"－"</f>
        <v>－</v>
      </c>
      <c r="J166" s="10"/>
      <c r="K166" s="11" t="n">
        <f>3192</f>
        <v>3192.0</v>
      </c>
    </row>
    <row r="167">
      <c r="A167" s="8" t="s">
        <v>26</v>
      </c>
      <c r="B167" s="9" t="s">
        <v>60</v>
      </c>
      <c r="C167" s="9" t="s">
        <v>61</v>
      </c>
      <c r="D167" s="10"/>
      <c r="E167" s="11" t="n">
        <f>1268</f>
        <v>1268.0</v>
      </c>
      <c r="F167" s="10"/>
      <c r="G167" s="11" t="n">
        <f>492758100</f>
        <v>4.927581E8</v>
      </c>
      <c r="H167" s="10"/>
      <c r="I167" s="11" t="str">
        <f>"－"</f>
        <v>－</v>
      </c>
      <c r="J167" s="10"/>
      <c r="K167" s="11" t="n">
        <f>3257</f>
        <v>3257.0</v>
      </c>
    </row>
    <row r="168">
      <c r="A168" s="8" t="s">
        <v>27</v>
      </c>
      <c r="B168" s="9" t="s">
        <v>60</v>
      </c>
      <c r="C168" s="9" t="s">
        <v>61</v>
      </c>
      <c r="D168" s="10"/>
      <c r="E168" s="11" t="n">
        <f>1252</f>
        <v>1252.0</v>
      </c>
      <c r="F168" s="10"/>
      <c r="G168" s="11" t="n">
        <f>481138900</f>
        <v>4.811389E8</v>
      </c>
      <c r="H168" s="10"/>
      <c r="I168" s="11" t="str">
        <f>"－"</f>
        <v>－</v>
      </c>
      <c r="J168" s="10"/>
      <c r="K168" s="11" t="n">
        <f>3215</f>
        <v>3215.0</v>
      </c>
    </row>
    <row r="169">
      <c r="A169" s="8" t="s">
        <v>28</v>
      </c>
      <c r="B169" s="9" t="s">
        <v>60</v>
      </c>
      <c r="C169" s="9" t="s">
        <v>61</v>
      </c>
      <c r="D169" s="10"/>
      <c r="E169" s="11" t="n">
        <f>1474</f>
        <v>1474.0</v>
      </c>
      <c r="F169" s="10"/>
      <c r="G169" s="11" t="n">
        <f>558076000</f>
        <v>5.58076E8</v>
      </c>
      <c r="H169" s="10"/>
      <c r="I169" s="11" t="str">
        <f>"－"</f>
        <v>－</v>
      </c>
      <c r="J169" s="10"/>
      <c r="K169" s="11" t="n">
        <f>3323</f>
        <v>3323.0</v>
      </c>
    </row>
    <row r="170">
      <c r="A170" s="8" t="s">
        <v>29</v>
      </c>
      <c r="B170" s="9" t="s">
        <v>60</v>
      </c>
      <c r="C170" s="9" t="s">
        <v>61</v>
      </c>
      <c r="D170" s="10"/>
      <c r="E170" s="11"/>
      <c r="F170" s="10"/>
      <c r="G170" s="11"/>
      <c r="H170" s="10"/>
      <c r="I170" s="11"/>
      <c r="J170" s="10"/>
      <c r="K170" s="11"/>
    </row>
    <row r="171">
      <c r="A171" s="8" t="s">
        <v>30</v>
      </c>
      <c r="B171" s="9" t="s">
        <v>60</v>
      </c>
      <c r="C171" s="9" t="s">
        <v>61</v>
      </c>
      <c r="D171" s="10"/>
      <c r="E171" s="11"/>
      <c r="F171" s="10"/>
      <c r="G171" s="11"/>
      <c r="H171" s="10"/>
      <c r="I171" s="11"/>
      <c r="J171" s="10"/>
      <c r="K171" s="11"/>
    </row>
    <row r="172">
      <c r="A172" s="8" t="s">
        <v>31</v>
      </c>
      <c r="B172" s="9" t="s">
        <v>60</v>
      </c>
      <c r="C172" s="9" t="s">
        <v>61</v>
      </c>
      <c r="D172" s="10"/>
      <c r="E172" s="11" t="n">
        <f>949</f>
        <v>949.0</v>
      </c>
      <c r="F172" s="10"/>
      <c r="G172" s="11" t="n">
        <f>365229000</f>
        <v>3.65229E8</v>
      </c>
      <c r="H172" s="10"/>
      <c r="I172" s="11" t="str">
        <f>"－"</f>
        <v>－</v>
      </c>
      <c r="J172" s="10"/>
      <c r="K172" s="11" t="n">
        <f>3317</f>
        <v>3317.0</v>
      </c>
    </row>
    <row r="173">
      <c r="A173" s="8" t="s">
        <v>32</v>
      </c>
      <c r="B173" s="9" t="s">
        <v>60</v>
      </c>
      <c r="C173" s="9" t="s">
        <v>61</v>
      </c>
      <c r="D173" s="10"/>
      <c r="E173" s="11" t="n">
        <f>1220</f>
        <v>1220.0</v>
      </c>
      <c r="F173" s="10"/>
      <c r="G173" s="11" t="n">
        <f>478793000</f>
        <v>4.78793E8</v>
      </c>
      <c r="H173" s="10"/>
      <c r="I173" s="11" t="str">
        <f>"－"</f>
        <v>－</v>
      </c>
      <c r="J173" s="10"/>
      <c r="K173" s="11" t="n">
        <f>3188</f>
        <v>3188.0</v>
      </c>
    </row>
    <row r="174">
      <c r="A174" s="8" t="s">
        <v>33</v>
      </c>
      <c r="B174" s="9" t="s">
        <v>60</v>
      </c>
      <c r="C174" s="9" t="s">
        <v>61</v>
      </c>
      <c r="D174" s="10"/>
      <c r="E174" s="11" t="n">
        <f>1093</f>
        <v>1093.0</v>
      </c>
      <c r="F174" s="10"/>
      <c r="G174" s="11" t="n">
        <f>428749600</f>
        <v>4.287496E8</v>
      </c>
      <c r="H174" s="10"/>
      <c r="I174" s="11" t="str">
        <f>"－"</f>
        <v>－</v>
      </c>
      <c r="J174" s="10"/>
      <c r="K174" s="11" t="n">
        <f>3218</f>
        <v>3218.0</v>
      </c>
    </row>
    <row r="175">
      <c r="A175" s="8" t="s">
        <v>34</v>
      </c>
      <c r="B175" s="9" t="s">
        <v>60</v>
      </c>
      <c r="C175" s="9" t="s">
        <v>61</v>
      </c>
      <c r="D175" s="10"/>
      <c r="E175" s="11" t="n">
        <f>1447</f>
        <v>1447.0</v>
      </c>
      <c r="F175" s="10"/>
      <c r="G175" s="11" t="n">
        <f>573935500</f>
        <v>5.739355E8</v>
      </c>
      <c r="H175" s="10"/>
      <c r="I175" s="11" t="str">
        <f>"－"</f>
        <v>－</v>
      </c>
      <c r="J175" s="10" t="s">
        <v>21</v>
      </c>
      <c r="K175" s="11" t="n">
        <f>3097</f>
        <v>3097.0</v>
      </c>
    </row>
    <row r="176">
      <c r="A176" s="8" t="s">
        <v>35</v>
      </c>
      <c r="B176" s="9" t="s">
        <v>60</v>
      </c>
      <c r="C176" s="9" t="s">
        <v>61</v>
      </c>
      <c r="D176" s="10"/>
      <c r="E176" s="11" t="n">
        <f>1129</f>
        <v>1129.0</v>
      </c>
      <c r="F176" s="10"/>
      <c r="G176" s="11" t="n">
        <f>452445400</f>
        <v>4.524454E8</v>
      </c>
      <c r="H176" s="10"/>
      <c r="I176" s="11" t="str">
        <f>"－"</f>
        <v>－</v>
      </c>
      <c r="J176" s="10"/>
      <c r="K176" s="11" t="n">
        <f>3132</f>
        <v>3132.0</v>
      </c>
    </row>
    <row r="177">
      <c r="A177" s="8" t="s">
        <v>36</v>
      </c>
      <c r="B177" s="9" t="s">
        <v>60</v>
      </c>
      <c r="C177" s="9" t="s">
        <v>61</v>
      </c>
      <c r="D177" s="10"/>
      <c r="E177" s="11"/>
      <c r="F177" s="10"/>
      <c r="G177" s="11"/>
      <c r="H177" s="10"/>
      <c r="I177" s="11"/>
      <c r="J177" s="10"/>
      <c r="K177" s="11"/>
    </row>
    <row r="178">
      <c r="A178" s="8" t="s">
        <v>37</v>
      </c>
      <c r="B178" s="9" t="s">
        <v>60</v>
      </c>
      <c r="C178" s="9" t="s">
        <v>61</v>
      </c>
      <c r="D178" s="10"/>
      <c r="E178" s="11"/>
      <c r="F178" s="10"/>
      <c r="G178" s="11"/>
      <c r="H178" s="10"/>
      <c r="I178" s="11"/>
      <c r="J178" s="10"/>
      <c r="K178" s="11"/>
    </row>
    <row r="179">
      <c r="A179" s="8" t="s">
        <v>38</v>
      </c>
      <c r="B179" s="9" t="s">
        <v>60</v>
      </c>
      <c r="C179" s="9" t="s">
        <v>61</v>
      </c>
      <c r="D179" s="10" t="s">
        <v>19</v>
      </c>
      <c r="E179" s="11" t="n">
        <f>1589</f>
        <v>1589.0</v>
      </c>
      <c r="F179" s="10" t="s">
        <v>19</v>
      </c>
      <c r="G179" s="11" t="n">
        <f>624698100</f>
        <v>6.246981E8</v>
      </c>
      <c r="H179" s="10"/>
      <c r="I179" s="11" t="str">
        <f>"－"</f>
        <v>－</v>
      </c>
      <c r="J179" s="10"/>
      <c r="K179" s="11" t="n">
        <f>3193</f>
        <v>3193.0</v>
      </c>
    </row>
    <row r="180">
      <c r="A180" s="8" t="s">
        <v>39</v>
      </c>
      <c r="B180" s="9" t="s">
        <v>60</v>
      </c>
      <c r="C180" s="9" t="s">
        <v>61</v>
      </c>
      <c r="D180" s="10"/>
      <c r="E180" s="11" t="n">
        <f>1339</f>
        <v>1339.0</v>
      </c>
      <c r="F180" s="10"/>
      <c r="G180" s="11" t="n">
        <f>510135200</f>
        <v>5.101352E8</v>
      </c>
      <c r="H180" s="10"/>
      <c r="I180" s="11" t="str">
        <f>"－"</f>
        <v>－</v>
      </c>
      <c r="J180" s="10"/>
      <c r="K180" s="11" t="n">
        <f>3169</f>
        <v>3169.0</v>
      </c>
    </row>
    <row r="181">
      <c r="A181" s="8" t="s">
        <v>40</v>
      </c>
      <c r="B181" s="9" t="s">
        <v>60</v>
      </c>
      <c r="C181" s="9" t="s">
        <v>61</v>
      </c>
      <c r="D181" s="10"/>
      <c r="E181" s="11" t="n">
        <f>1007</f>
        <v>1007.0</v>
      </c>
      <c r="F181" s="10"/>
      <c r="G181" s="11" t="n">
        <f>380574100</f>
        <v>3.805741E8</v>
      </c>
      <c r="H181" s="10"/>
      <c r="I181" s="11" t="str">
        <f>"－"</f>
        <v>－</v>
      </c>
      <c r="J181" s="10"/>
      <c r="K181" s="11" t="n">
        <f>3219</f>
        <v>3219.0</v>
      </c>
    </row>
    <row r="182">
      <c r="A182" s="8" t="s">
        <v>41</v>
      </c>
      <c r="B182" s="9" t="s">
        <v>60</v>
      </c>
      <c r="C182" s="9" t="s">
        <v>61</v>
      </c>
      <c r="D182" s="10"/>
      <c r="E182" s="11"/>
      <c r="F182" s="10"/>
      <c r="G182" s="11"/>
      <c r="H182" s="10"/>
      <c r="I182" s="11"/>
      <c r="J182" s="10"/>
      <c r="K182" s="11"/>
    </row>
    <row r="183">
      <c r="A183" s="8" t="s">
        <v>42</v>
      </c>
      <c r="B183" s="9" t="s">
        <v>60</v>
      </c>
      <c r="C183" s="9" t="s">
        <v>61</v>
      </c>
      <c r="D183" s="10"/>
      <c r="E183" s="11"/>
      <c r="F183" s="10"/>
      <c r="G183" s="11"/>
      <c r="H183" s="10"/>
      <c r="I183" s="11"/>
      <c r="J183" s="10"/>
      <c r="K183" s="11"/>
    </row>
    <row r="184">
      <c r="A184" s="8" t="s">
        <v>43</v>
      </c>
      <c r="B184" s="9" t="s">
        <v>60</v>
      </c>
      <c r="C184" s="9" t="s">
        <v>61</v>
      </c>
      <c r="D184" s="10"/>
      <c r="E184" s="11"/>
      <c r="F184" s="10"/>
      <c r="G184" s="11"/>
      <c r="H184" s="10"/>
      <c r="I184" s="11"/>
      <c r="J184" s="10"/>
      <c r="K184" s="11"/>
    </row>
    <row r="185">
      <c r="A185" s="8" t="s">
        <v>44</v>
      </c>
      <c r="B185" s="9" t="s">
        <v>60</v>
      </c>
      <c r="C185" s="9" t="s">
        <v>61</v>
      </c>
      <c r="D185" s="10"/>
      <c r="E185" s="11"/>
      <c r="F185" s="10"/>
      <c r="G185" s="11"/>
      <c r="H185" s="10"/>
      <c r="I185" s="11"/>
      <c r="J185" s="10"/>
      <c r="K185" s="11"/>
    </row>
    <row r="186">
      <c r="A186" s="8" t="s">
        <v>45</v>
      </c>
      <c r="B186" s="9" t="s">
        <v>60</v>
      </c>
      <c r="C186" s="9" t="s">
        <v>61</v>
      </c>
      <c r="D186" s="10"/>
      <c r="E186" s="11" t="n">
        <f>758</f>
        <v>758.0</v>
      </c>
      <c r="F186" s="10"/>
      <c r="G186" s="11" t="n">
        <f>288172000</f>
        <v>2.88172E8</v>
      </c>
      <c r="H186" s="10"/>
      <c r="I186" s="11" t="str">
        <f>"－"</f>
        <v>－</v>
      </c>
      <c r="J186" s="10"/>
      <c r="K186" s="11" t="n">
        <f>3246</f>
        <v>3246.0</v>
      </c>
    </row>
    <row r="187">
      <c r="A187" s="8" t="s">
        <v>46</v>
      </c>
      <c r="B187" s="9" t="s">
        <v>60</v>
      </c>
      <c r="C187" s="9" t="s">
        <v>61</v>
      </c>
      <c r="D187" s="10" t="s">
        <v>21</v>
      </c>
      <c r="E187" s="11" t="n">
        <f>681</f>
        <v>681.0</v>
      </c>
      <c r="F187" s="10" t="s">
        <v>21</v>
      </c>
      <c r="G187" s="11" t="n">
        <f>257581400</f>
        <v>2.575814E8</v>
      </c>
      <c r="H187" s="10"/>
      <c r="I187" s="11" t="str">
        <f>"－"</f>
        <v>－</v>
      </c>
      <c r="J187" s="10"/>
      <c r="K187" s="11" t="n">
        <f>3264</f>
        <v>3264.0</v>
      </c>
    </row>
    <row r="188">
      <c r="A188" s="8" t="s">
        <v>47</v>
      </c>
      <c r="B188" s="9" t="s">
        <v>60</v>
      </c>
      <c r="C188" s="9" t="s">
        <v>61</v>
      </c>
      <c r="D188" s="10"/>
      <c r="E188" s="11" t="n">
        <f>1002</f>
        <v>1002.0</v>
      </c>
      <c r="F188" s="10"/>
      <c r="G188" s="11" t="n">
        <f>374659800</f>
        <v>3.746598E8</v>
      </c>
      <c r="H188" s="10"/>
      <c r="I188" s="11" t="str">
        <f>"－"</f>
        <v>－</v>
      </c>
      <c r="J188" s="10"/>
      <c r="K188" s="11" t="n">
        <f>3305</f>
        <v>3305.0</v>
      </c>
    </row>
    <row r="189">
      <c r="A189" s="8" t="s">
        <v>48</v>
      </c>
      <c r="B189" s="9" t="s">
        <v>60</v>
      </c>
      <c r="C189" s="9" t="s">
        <v>61</v>
      </c>
      <c r="D189" s="10"/>
      <c r="E189" s="11" t="n">
        <f>870</f>
        <v>870.0</v>
      </c>
      <c r="F189" s="10"/>
      <c r="G189" s="11" t="n">
        <f>328655700</f>
        <v>3.286557E8</v>
      </c>
      <c r="H189" s="10"/>
      <c r="I189" s="11" t="str">
        <f>"－"</f>
        <v>－</v>
      </c>
      <c r="J189" s="10" t="s">
        <v>19</v>
      </c>
      <c r="K189" s="11" t="n">
        <f>3394</f>
        <v>3394.0</v>
      </c>
    </row>
    <row r="190">
      <c r="A190" s="8" t="s">
        <v>49</v>
      </c>
      <c r="B190" s="9" t="s">
        <v>60</v>
      </c>
      <c r="C190" s="9" t="s">
        <v>61</v>
      </c>
      <c r="D190" s="10"/>
      <c r="E190" s="11" t="n">
        <f>1160</f>
        <v>1160.0</v>
      </c>
      <c r="F190" s="10"/>
      <c r="G190" s="11" t="n">
        <f>438219400</f>
        <v>4.382194E8</v>
      </c>
      <c r="H190" s="10"/>
      <c r="I190" s="11" t="str">
        <f>"－"</f>
        <v>－</v>
      </c>
      <c r="J190" s="10"/>
      <c r="K190" s="11" t="n">
        <f>3325</f>
        <v>3325.0</v>
      </c>
    </row>
    <row r="191">
      <c r="A191" s="8" t="s">
        <v>50</v>
      </c>
      <c r="B191" s="9" t="s">
        <v>60</v>
      </c>
      <c r="C191" s="9" t="s">
        <v>61</v>
      </c>
      <c r="D191" s="10"/>
      <c r="E191" s="11"/>
      <c r="F191" s="10"/>
      <c r="G191" s="11"/>
      <c r="H191" s="10"/>
      <c r="I191" s="11"/>
      <c r="J191" s="10"/>
      <c r="K191" s="11"/>
    </row>
    <row r="192">
      <c r="A192" s="8" t="s">
        <v>16</v>
      </c>
      <c r="B192" s="9" t="s">
        <v>62</v>
      </c>
      <c r="C192" s="9" t="s">
        <v>63</v>
      </c>
      <c r="D192" s="10" t="s">
        <v>19</v>
      </c>
      <c r="E192" s="11" t="n">
        <f>824</f>
        <v>824.0</v>
      </c>
      <c r="F192" s="10" t="s">
        <v>19</v>
      </c>
      <c r="G192" s="11" t="n">
        <f>316348700</f>
        <v>3.163487E8</v>
      </c>
      <c r="H192" s="10" t="s">
        <v>53</v>
      </c>
      <c r="I192" s="11" t="str">
        <f>"－"</f>
        <v>－</v>
      </c>
      <c r="J192" s="10"/>
      <c r="K192" s="11" t="n">
        <f>13449</f>
        <v>13449.0</v>
      </c>
    </row>
    <row r="193">
      <c r="A193" s="8" t="s">
        <v>20</v>
      </c>
      <c r="B193" s="9" t="s">
        <v>62</v>
      </c>
      <c r="C193" s="9" t="s">
        <v>63</v>
      </c>
      <c r="D193" s="10"/>
      <c r="E193" s="11" t="n">
        <f>360</f>
        <v>360.0</v>
      </c>
      <c r="F193" s="10"/>
      <c r="G193" s="11" t="n">
        <f>142159000</f>
        <v>1.42159E8</v>
      </c>
      <c r="H193" s="10"/>
      <c r="I193" s="11" t="str">
        <f>"－"</f>
        <v>－</v>
      </c>
      <c r="J193" s="10"/>
      <c r="K193" s="11" t="n">
        <f>13416</f>
        <v>13416.0</v>
      </c>
    </row>
    <row r="194">
      <c r="A194" s="8" t="s">
        <v>22</v>
      </c>
      <c r="B194" s="9" t="s">
        <v>62</v>
      </c>
      <c r="C194" s="9" t="s">
        <v>63</v>
      </c>
      <c r="D194" s="10"/>
      <c r="E194" s="11"/>
      <c r="F194" s="10"/>
      <c r="G194" s="11"/>
      <c r="H194" s="10"/>
      <c r="I194" s="11"/>
      <c r="J194" s="10"/>
      <c r="K194" s="11"/>
    </row>
    <row r="195">
      <c r="A195" s="8" t="s">
        <v>23</v>
      </c>
      <c r="B195" s="9" t="s">
        <v>62</v>
      </c>
      <c r="C195" s="9" t="s">
        <v>63</v>
      </c>
      <c r="D195" s="10"/>
      <c r="E195" s="11"/>
      <c r="F195" s="10"/>
      <c r="G195" s="11"/>
      <c r="H195" s="10"/>
      <c r="I195" s="11"/>
      <c r="J195" s="10"/>
      <c r="K195" s="11"/>
    </row>
    <row r="196">
      <c r="A196" s="8" t="s">
        <v>24</v>
      </c>
      <c r="B196" s="9" t="s">
        <v>62</v>
      </c>
      <c r="C196" s="9" t="s">
        <v>63</v>
      </c>
      <c r="D196" s="10"/>
      <c r="E196" s="11" t="n">
        <f>194</f>
        <v>194.0</v>
      </c>
      <c r="F196" s="10"/>
      <c r="G196" s="11" t="n">
        <f>76873300</f>
        <v>7.68733E7</v>
      </c>
      <c r="H196" s="10"/>
      <c r="I196" s="11" t="str">
        <f>"－"</f>
        <v>－</v>
      </c>
      <c r="J196" s="10"/>
      <c r="K196" s="11" t="n">
        <f>13373</f>
        <v>13373.0</v>
      </c>
    </row>
    <row r="197">
      <c r="A197" s="8" t="s">
        <v>25</v>
      </c>
      <c r="B197" s="9" t="s">
        <v>62</v>
      </c>
      <c r="C197" s="9" t="s">
        <v>63</v>
      </c>
      <c r="D197" s="10"/>
      <c r="E197" s="11" t="n">
        <f>265</f>
        <v>265.0</v>
      </c>
      <c r="F197" s="10"/>
      <c r="G197" s="11" t="n">
        <f>106094500</f>
        <v>1.060945E8</v>
      </c>
      <c r="H197" s="10"/>
      <c r="I197" s="11" t="str">
        <f>"－"</f>
        <v>－</v>
      </c>
      <c r="J197" s="10"/>
      <c r="K197" s="11" t="n">
        <f>13368</f>
        <v>13368.0</v>
      </c>
    </row>
    <row r="198">
      <c r="A198" s="8" t="s">
        <v>26</v>
      </c>
      <c r="B198" s="9" t="s">
        <v>62</v>
      </c>
      <c r="C198" s="9" t="s">
        <v>63</v>
      </c>
      <c r="D198" s="10"/>
      <c r="E198" s="11" t="n">
        <f>310</f>
        <v>310.0</v>
      </c>
      <c r="F198" s="10"/>
      <c r="G198" s="11" t="n">
        <f>122751200</f>
        <v>1.227512E8</v>
      </c>
      <c r="H198" s="10"/>
      <c r="I198" s="11" t="str">
        <f>"－"</f>
        <v>－</v>
      </c>
      <c r="J198" s="10"/>
      <c r="K198" s="11" t="n">
        <f>13421</f>
        <v>13421.0</v>
      </c>
    </row>
    <row r="199">
      <c r="A199" s="8" t="s">
        <v>27</v>
      </c>
      <c r="B199" s="9" t="s">
        <v>62</v>
      </c>
      <c r="C199" s="9" t="s">
        <v>63</v>
      </c>
      <c r="D199" s="10"/>
      <c r="E199" s="11" t="n">
        <f>285</f>
        <v>285.0</v>
      </c>
      <c r="F199" s="10"/>
      <c r="G199" s="11" t="n">
        <f>111555800</f>
        <v>1.115558E8</v>
      </c>
      <c r="H199" s="10"/>
      <c r="I199" s="11" t="str">
        <f>"－"</f>
        <v>－</v>
      </c>
      <c r="J199" s="10" t="s">
        <v>19</v>
      </c>
      <c r="K199" s="11" t="n">
        <f>13460</f>
        <v>13460.0</v>
      </c>
    </row>
    <row r="200">
      <c r="A200" s="8" t="s">
        <v>28</v>
      </c>
      <c r="B200" s="9" t="s">
        <v>62</v>
      </c>
      <c r="C200" s="9" t="s">
        <v>63</v>
      </c>
      <c r="D200" s="10"/>
      <c r="E200" s="11" t="n">
        <f>460</f>
        <v>460.0</v>
      </c>
      <c r="F200" s="10"/>
      <c r="G200" s="11" t="n">
        <f>177687600</f>
        <v>1.776876E8</v>
      </c>
      <c r="H200" s="10"/>
      <c r="I200" s="11" t="str">
        <f>"－"</f>
        <v>－</v>
      </c>
      <c r="J200" s="10"/>
      <c r="K200" s="11" t="n">
        <f>13418</f>
        <v>13418.0</v>
      </c>
    </row>
    <row r="201">
      <c r="A201" s="8" t="s">
        <v>29</v>
      </c>
      <c r="B201" s="9" t="s">
        <v>62</v>
      </c>
      <c r="C201" s="9" t="s">
        <v>63</v>
      </c>
      <c r="D201" s="10"/>
      <c r="E201" s="11"/>
      <c r="F201" s="10"/>
      <c r="G201" s="11"/>
      <c r="H201" s="10"/>
      <c r="I201" s="11"/>
      <c r="J201" s="10"/>
      <c r="K201" s="11"/>
    </row>
    <row r="202">
      <c r="A202" s="8" t="s">
        <v>30</v>
      </c>
      <c r="B202" s="9" t="s">
        <v>62</v>
      </c>
      <c r="C202" s="9" t="s">
        <v>63</v>
      </c>
      <c r="D202" s="10"/>
      <c r="E202" s="11"/>
      <c r="F202" s="10"/>
      <c r="G202" s="11"/>
      <c r="H202" s="10"/>
      <c r="I202" s="11"/>
      <c r="J202" s="10"/>
      <c r="K202" s="11"/>
    </row>
    <row r="203">
      <c r="A203" s="8" t="s">
        <v>31</v>
      </c>
      <c r="B203" s="9" t="s">
        <v>62</v>
      </c>
      <c r="C203" s="9" t="s">
        <v>63</v>
      </c>
      <c r="D203" s="10"/>
      <c r="E203" s="11" t="n">
        <f>304</f>
        <v>304.0</v>
      </c>
      <c r="F203" s="10"/>
      <c r="G203" s="11" t="n">
        <f>119563900</f>
        <v>1.195639E8</v>
      </c>
      <c r="H203" s="10"/>
      <c r="I203" s="11" t="str">
        <f>"－"</f>
        <v>－</v>
      </c>
      <c r="J203" s="10"/>
      <c r="K203" s="11" t="n">
        <f>13384</f>
        <v>13384.0</v>
      </c>
    </row>
    <row r="204">
      <c r="A204" s="8" t="s">
        <v>32</v>
      </c>
      <c r="B204" s="9" t="s">
        <v>62</v>
      </c>
      <c r="C204" s="9" t="s">
        <v>63</v>
      </c>
      <c r="D204" s="10"/>
      <c r="E204" s="11" t="n">
        <f>366</f>
        <v>366.0</v>
      </c>
      <c r="F204" s="10"/>
      <c r="G204" s="11" t="n">
        <f>145917200</f>
        <v>1.459172E8</v>
      </c>
      <c r="H204" s="10"/>
      <c r="I204" s="11" t="str">
        <f>"－"</f>
        <v>－</v>
      </c>
      <c r="J204" s="10"/>
      <c r="K204" s="11" t="n">
        <f>13368</f>
        <v>13368.0</v>
      </c>
    </row>
    <row r="205">
      <c r="A205" s="8" t="s">
        <v>33</v>
      </c>
      <c r="B205" s="9" t="s">
        <v>62</v>
      </c>
      <c r="C205" s="9" t="s">
        <v>63</v>
      </c>
      <c r="D205" s="10"/>
      <c r="E205" s="11" t="n">
        <f>293</f>
        <v>293.0</v>
      </c>
      <c r="F205" s="10"/>
      <c r="G205" s="11" t="n">
        <f>116500400</f>
        <v>1.165004E8</v>
      </c>
      <c r="H205" s="10"/>
      <c r="I205" s="11" t="str">
        <f>"－"</f>
        <v>－</v>
      </c>
      <c r="J205" s="10"/>
      <c r="K205" s="11" t="n">
        <f>13340</f>
        <v>13340.0</v>
      </c>
    </row>
    <row r="206">
      <c r="A206" s="8" t="s">
        <v>34</v>
      </c>
      <c r="B206" s="9" t="s">
        <v>62</v>
      </c>
      <c r="C206" s="9" t="s">
        <v>63</v>
      </c>
      <c r="D206" s="10"/>
      <c r="E206" s="11" t="n">
        <f>356</f>
        <v>356.0</v>
      </c>
      <c r="F206" s="10"/>
      <c r="G206" s="11" t="n">
        <f>143705700</f>
        <v>1.437057E8</v>
      </c>
      <c r="H206" s="10"/>
      <c r="I206" s="11" t="str">
        <f>"－"</f>
        <v>－</v>
      </c>
      <c r="J206" s="10"/>
      <c r="K206" s="11" t="n">
        <f>13398</f>
        <v>13398.0</v>
      </c>
    </row>
    <row r="207">
      <c r="A207" s="8" t="s">
        <v>35</v>
      </c>
      <c r="B207" s="9" t="s">
        <v>62</v>
      </c>
      <c r="C207" s="9" t="s">
        <v>63</v>
      </c>
      <c r="D207" s="10"/>
      <c r="E207" s="11" t="n">
        <f>331</f>
        <v>331.0</v>
      </c>
      <c r="F207" s="10"/>
      <c r="G207" s="11" t="n">
        <f>134803500</f>
        <v>1.348035E8</v>
      </c>
      <c r="H207" s="10"/>
      <c r="I207" s="11" t="str">
        <f>"－"</f>
        <v>－</v>
      </c>
      <c r="J207" s="10"/>
      <c r="K207" s="11" t="n">
        <f>13330</f>
        <v>13330.0</v>
      </c>
    </row>
    <row r="208">
      <c r="A208" s="8" t="s">
        <v>36</v>
      </c>
      <c r="B208" s="9" t="s">
        <v>62</v>
      </c>
      <c r="C208" s="9" t="s">
        <v>63</v>
      </c>
      <c r="D208" s="10"/>
      <c r="E208" s="11"/>
      <c r="F208" s="10"/>
      <c r="G208" s="11"/>
      <c r="H208" s="10"/>
      <c r="I208" s="11"/>
      <c r="J208" s="10"/>
      <c r="K208" s="11"/>
    </row>
    <row r="209">
      <c r="A209" s="8" t="s">
        <v>37</v>
      </c>
      <c r="B209" s="9" t="s">
        <v>62</v>
      </c>
      <c r="C209" s="9" t="s">
        <v>63</v>
      </c>
      <c r="D209" s="10"/>
      <c r="E209" s="11"/>
      <c r="F209" s="10"/>
      <c r="G209" s="11"/>
      <c r="H209" s="10"/>
      <c r="I209" s="11"/>
      <c r="J209" s="10"/>
      <c r="K209" s="11"/>
    </row>
    <row r="210">
      <c r="A210" s="8" t="s">
        <v>38</v>
      </c>
      <c r="B210" s="9" t="s">
        <v>62</v>
      </c>
      <c r="C210" s="9" t="s">
        <v>63</v>
      </c>
      <c r="D210" s="10"/>
      <c r="E210" s="11" t="n">
        <f>478</f>
        <v>478.0</v>
      </c>
      <c r="F210" s="10"/>
      <c r="G210" s="11" t="n">
        <f>190926100</f>
        <v>1.909261E8</v>
      </c>
      <c r="H210" s="10"/>
      <c r="I210" s="11" t="str">
        <f>"－"</f>
        <v>－</v>
      </c>
      <c r="J210" s="10" t="s">
        <v>21</v>
      </c>
      <c r="K210" s="11" t="n">
        <f>13251</f>
        <v>13251.0</v>
      </c>
    </row>
    <row r="211">
      <c r="A211" s="8" t="s">
        <v>39</v>
      </c>
      <c r="B211" s="9" t="s">
        <v>62</v>
      </c>
      <c r="C211" s="9" t="s">
        <v>63</v>
      </c>
      <c r="D211" s="10"/>
      <c r="E211" s="11" t="n">
        <f>631</f>
        <v>631.0</v>
      </c>
      <c r="F211" s="10"/>
      <c r="G211" s="11" t="n">
        <f>245643600</f>
        <v>2.456436E8</v>
      </c>
      <c r="H211" s="10"/>
      <c r="I211" s="11" t="str">
        <f>"－"</f>
        <v>－</v>
      </c>
      <c r="J211" s="10"/>
      <c r="K211" s="11" t="n">
        <f>13332</f>
        <v>13332.0</v>
      </c>
    </row>
    <row r="212">
      <c r="A212" s="8" t="s">
        <v>40</v>
      </c>
      <c r="B212" s="9" t="s">
        <v>62</v>
      </c>
      <c r="C212" s="9" t="s">
        <v>63</v>
      </c>
      <c r="D212" s="10"/>
      <c r="E212" s="11" t="n">
        <f>255</f>
        <v>255.0</v>
      </c>
      <c r="F212" s="10"/>
      <c r="G212" s="11" t="n">
        <f>98294600</f>
        <v>9.82946E7</v>
      </c>
      <c r="H212" s="10"/>
      <c r="I212" s="11" t="str">
        <f>"－"</f>
        <v>－</v>
      </c>
      <c r="J212" s="10"/>
      <c r="K212" s="11" t="n">
        <f>13326</f>
        <v>13326.0</v>
      </c>
    </row>
    <row r="213">
      <c r="A213" s="8" t="s">
        <v>41</v>
      </c>
      <c r="B213" s="9" t="s">
        <v>62</v>
      </c>
      <c r="C213" s="9" t="s">
        <v>63</v>
      </c>
      <c r="D213" s="10"/>
      <c r="E213" s="11"/>
      <c r="F213" s="10"/>
      <c r="G213" s="11"/>
      <c r="H213" s="10"/>
      <c r="I213" s="11"/>
      <c r="J213" s="10"/>
      <c r="K213" s="11"/>
    </row>
    <row r="214">
      <c r="A214" s="8" t="s">
        <v>42</v>
      </c>
      <c r="B214" s="9" t="s">
        <v>62</v>
      </c>
      <c r="C214" s="9" t="s">
        <v>63</v>
      </c>
      <c r="D214" s="10"/>
      <c r="E214" s="11"/>
      <c r="F214" s="10"/>
      <c r="G214" s="11"/>
      <c r="H214" s="10"/>
      <c r="I214" s="11"/>
      <c r="J214" s="10"/>
      <c r="K214" s="11"/>
    </row>
    <row r="215">
      <c r="A215" s="8" t="s">
        <v>43</v>
      </c>
      <c r="B215" s="9" t="s">
        <v>62</v>
      </c>
      <c r="C215" s="9" t="s">
        <v>63</v>
      </c>
      <c r="D215" s="10"/>
      <c r="E215" s="11"/>
      <c r="F215" s="10"/>
      <c r="G215" s="11"/>
      <c r="H215" s="10"/>
      <c r="I215" s="11"/>
      <c r="J215" s="10"/>
      <c r="K215" s="11"/>
    </row>
    <row r="216">
      <c r="A216" s="8" t="s">
        <v>44</v>
      </c>
      <c r="B216" s="9" t="s">
        <v>62</v>
      </c>
      <c r="C216" s="9" t="s">
        <v>63</v>
      </c>
      <c r="D216" s="10"/>
      <c r="E216" s="11"/>
      <c r="F216" s="10"/>
      <c r="G216" s="11"/>
      <c r="H216" s="10"/>
      <c r="I216" s="11"/>
      <c r="J216" s="10"/>
      <c r="K216" s="11"/>
    </row>
    <row r="217">
      <c r="A217" s="8" t="s">
        <v>45</v>
      </c>
      <c r="B217" s="9" t="s">
        <v>62</v>
      </c>
      <c r="C217" s="9" t="s">
        <v>63</v>
      </c>
      <c r="D217" s="10"/>
      <c r="E217" s="11" t="n">
        <f>211</f>
        <v>211.0</v>
      </c>
      <c r="F217" s="10"/>
      <c r="G217" s="11" t="n">
        <f>81822300</f>
        <v>8.18223E7</v>
      </c>
      <c r="H217" s="10"/>
      <c r="I217" s="11" t="str">
        <f>"－"</f>
        <v>－</v>
      </c>
      <c r="J217" s="10"/>
      <c r="K217" s="11" t="n">
        <f>13330</f>
        <v>13330.0</v>
      </c>
    </row>
    <row r="218">
      <c r="A218" s="8" t="s">
        <v>46</v>
      </c>
      <c r="B218" s="9" t="s">
        <v>62</v>
      </c>
      <c r="C218" s="9" t="s">
        <v>63</v>
      </c>
      <c r="D218" s="10"/>
      <c r="E218" s="11" t="n">
        <f>312</f>
        <v>312.0</v>
      </c>
      <c r="F218" s="10"/>
      <c r="G218" s="11" t="n">
        <f>120260300</f>
        <v>1.202603E8</v>
      </c>
      <c r="H218" s="10"/>
      <c r="I218" s="11" t="str">
        <f>"－"</f>
        <v>－</v>
      </c>
      <c r="J218" s="10"/>
      <c r="K218" s="11" t="n">
        <f>13362</f>
        <v>13362.0</v>
      </c>
    </row>
    <row r="219">
      <c r="A219" s="8" t="s">
        <v>47</v>
      </c>
      <c r="B219" s="9" t="s">
        <v>62</v>
      </c>
      <c r="C219" s="9" t="s">
        <v>63</v>
      </c>
      <c r="D219" s="10"/>
      <c r="E219" s="11" t="n">
        <f>455</f>
        <v>455.0</v>
      </c>
      <c r="F219" s="10"/>
      <c r="G219" s="11" t="n">
        <f>173330500</f>
        <v>1.733305E8</v>
      </c>
      <c r="H219" s="10"/>
      <c r="I219" s="11" t="str">
        <f>"－"</f>
        <v>－</v>
      </c>
      <c r="J219" s="10"/>
      <c r="K219" s="11" t="n">
        <f>13353</f>
        <v>13353.0</v>
      </c>
    </row>
    <row r="220">
      <c r="A220" s="8" t="s">
        <v>48</v>
      </c>
      <c r="B220" s="9" t="s">
        <v>62</v>
      </c>
      <c r="C220" s="9" t="s">
        <v>63</v>
      </c>
      <c r="D220" s="10" t="s">
        <v>21</v>
      </c>
      <c r="E220" s="11" t="n">
        <f>174</f>
        <v>174.0</v>
      </c>
      <c r="F220" s="10" t="s">
        <v>21</v>
      </c>
      <c r="G220" s="11" t="n">
        <f>67082000</f>
        <v>6.7082E7</v>
      </c>
      <c r="H220" s="10"/>
      <c r="I220" s="11" t="str">
        <f>"－"</f>
        <v>－</v>
      </c>
      <c r="J220" s="10"/>
      <c r="K220" s="11" t="n">
        <f>13365</f>
        <v>13365.0</v>
      </c>
    </row>
    <row r="221">
      <c r="A221" s="8" t="s">
        <v>49</v>
      </c>
      <c r="B221" s="9" t="s">
        <v>62</v>
      </c>
      <c r="C221" s="9" t="s">
        <v>63</v>
      </c>
      <c r="D221" s="10"/>
      <c r="E221" s="11" t="n">
        <f>287</f>
        <v>287.0</v>
      </c>
      <c r="F221" s="10"/>
      <c r="G221" s="11" t="n">
        <f>110137300</f>
        <v>1.101373E8</v>
      </c>
      <c r="H221" s="10"/>
      <c r="I221" s="11" t="str">
        <f>"－"</f>
        <v>－</v>
      </c>
      <c r="J221" s="10"/>
      <c r="K221" s="11" t="n">
        <f>13367</f>
        <v>13367.0</v>
      </c>
    </row>
    <row r="222">
      <c r="A222" s="8" t="s">
        <v>50</v>
      </c>
      <c r="B222" s="9" t="s">
        <v>62</v>
      </c>
      <c r="C222" s="9" t="s">
        <v>63</v>
      </c>
      <c r="D222" s="10"/>
      <c r="E222" s="11"/>
      <c r="F222" s="10"/>
      <c r="G222" s="11"/>
      <c r="H222" s="10"/>
      <c r="I222" s="11"/>
      <c r="J222" s="10"/>
      <c r="K222" s="11"/>
    </row>
    <row r="223">
      <c r="A223" s="8" t="s">
        <v>16</v>
      </c>
      <c r="B223" s="9" t="s">
        <v>64</v>
      </c>
      <c r="C223" s="9" t="s">
        <v>65</v>
      </c>
      <c r="D223" s="10" t="s">
        <v>21</v>
      </c>
      <c r="E223" s="11" t="str">
        <f>"－"</f>
        <v>－</v>
      </c>
      <c r="F223" s="10" t="s">
        <v>21</v>
      </c>
      <c r="G223" s="11" t="str">
        <f>"－"</f>
        <v>－</v>
      </c>
      <c r="H223" s="10" t="s">
        <v>53</v>
      </c>
      <c r="I223" s="11" t="str">
        <f>"－"</f>
        <v>－</v>
      </c>
      <c r="J223" s="10"/>
      <c r="K223" s="11" t="n">
        <f>304</f>
        <v>304.0</v>
      </c>
    </row>
    <row r="224">
      <c r="A224" s="8" t="s">
        <v>20</v>
      </c>
      <c r="B224" s="9" t="s">
        <v>64</v>
      </c>
      <c r="C224" s="9" t="s">
        <v>65</v>
      </c>
      <c r="D224" s="10"/>
      <c r="E224" s="11" t="n">
        <f>2</f>
        <v>2.0</v>
      </c>
      <c r="F224" s="10"/>
      <c r="G224" s="11" t="n">
        <f>9905000</f>
        <v>9905000.0</v>
      </c>
      <c r="H224" s="10"/>
      <c r="I224" s="11" t="str">
        <f>"－"</f>
        <v>－</v>
      </c>
      <c r="J224" s="10"/>
      <c r="K224" s="11" t="n">
        <f>305</f>
        <v>305.0</v>
      </c>
    </row>
    <row r="225">
      <c r="A225" s="8" t="s">
        <v>22</v>
      </c>
      <c r="B225" s="9" t="s">
        <v>64</v>
      </c>
      <c r="C225" s="9" t="s">
        <v>65</v>
      </c>
      <c r="D225" s="10"/>
      <c r="E225" s="11"/>
      <c r="F225" s="10"/>
      <c r="G225" s="11"/>
      <c r="H225" s="10"/>
      <c r="I225" s="11"/>
      <c r="J225" s="10"/>
      <c r="K225" s="11"/>
    </row>
    <row r="226">
      <c r="A226" s="8" t="s">
        <v>23</v>
      </c>
      <c r="B226" s="9" t="s">
        <v>64</v>
      </c>
      <c r="C226" s="9" t="s">
        <v>65</v>
      </c>
      <c r="D226" s="10"/>
      <c r="E226" s="11"/>
      <c r="F226" s="10"/>
      <c r="G226" s="11"/>
      <c r="H226" s="10"/>
      <c r="I226" s="11"/>
      <c r="J226" s="10"/>
      <c r="K226" s="11"/>
    </row>
    <row r="227">
      <c r="A227" s="8" t="s">
        <v>24</v>
      </c>
      <c r="B227" s="9" t="s">
        <v>64</v>
      </c>
      <c r="C227" s="9" t="s">
        <v>65</v>
      </c>
      <c r="D227" s="10"/>
      <c r="E227" s="11" t="str">
        <f>"－"</f>
        <v>－</v>
      </c>
      <c r="F227" s="10"/>
      <c r="G227" s="11" t="str">
        <f>"－"</f>
        <v>－</v>
      </c>
      <c r="H227" s="10"/>
      <c r="I227" s="11" t="str">
        <f>"－"</f>
        <v>－</v>
      </c>
      <c r="J227" s="10"/>
      <c r="K227" s="11" t="n">
        <f>305</f>
        <v>305.0</v>
      </c>
    </row>
    <row r="228">
      <c r="A228" s="8" t="s">
        <v>25</v>
      </c>
      <c r="B228" s="9" t="s">
        <v>64</v>
      </c>
      <c r="C228" s="9" t="s">
        <v>65</v>
      </c>
      <c r="D228" s="10"/>
      <c r="E228" s="11" t="n">
        <f>4</f>
        <v>4.0</v>
      </c>
      <c r="F228" s="10"/>
      <c r="G228" s="11" t="n">
        <f>20145000</f>
        <v>2.0145E7</v>
      </c>
      <c r="H228" s="10"/>
      <c r="I228" s="11" t="str">
        <f>"－"</f>
        <v>－</v>
      </c>
      <c r="J228" s="10" t="s">
        <v>19</v>
      </c>
      <c r="K228" s="11" t="n">
        <f>306</f>
        <v>306.0</v>
      </c>
    </row>
    <row r="229">
      <c r="A229" s="8" t="s">
        <v>26</v>
      </c>
      <c r="B229" s="9" t="s">
        <v>64</v>
      </c>
      <c r="C229" s="9" t="s">
        <v>65</v>
      </c>
      <c r="D229" s="10"/>
      <c r="E229" s="11" t="n">
        <f>4</f>
        <v>4.0</v>
      </c>
      <c r="F229" s="10"/>
      <c r="G229" s="11" t="n">
        <f>19862500</f>
        <v>1.98625E7</v>
      </c>
      <c r="H229" s="10"/>
      <c r="I229" s="11" t="str">
        <f>"－"</f>
        <v>－</v>
      </c>
      <c r="J229" s="10"/>
      <c r="K229" s="11" t="n">
        <f>306</f>
        <v>306.0</v>
      </c>
    </row>
    <row r="230">
      <c r="A230" s="8" t="s">
        <v>27</v>
      </c>
      <c r="B230" s="9" t="s">
        <v>64</v>
      </c>
      <c r="C230" s="9" t="s">
        <v>65</v>
      </c>
      <c r="D230" s="10"/>
      <c r="E230" s="11" t="n">
        <f>3</f>
        <v>3.0</v>
      </c>
      <c r="F230" s="10"/>
      <c r="G230" s="11" t="n">
        <f>15166500</f>
        <v>1.51665E7</v>
      </c>
      <c r="H230" s="10"/>
      <c r="I230" s="11" t="str">
        <f>"－"</f>
        <v>－</v>
      </c>
      <c r="J230" s="10"/>
      <c r="K230" s="11" t="n">
        <f>305</f>
        <v>305.0</v>
      </c>
    </row>
    <row r="231">
      <c r="A231" s="8" t="s">
        <v>28</v>
      </c>
      <c r="B231" s="9" t="s">
        <v>64</v>
      </c>
      <c r="C231" s="9" t="s">
        <v>65</v>
      </c>
      <c r="D231" s="10"/>
      <c r="E231" s="11" t="n">
        <f>1</f>
        <v>1.0</v>
      </c>
      <c r="F231" s="10"/>
      <c r="G231" s="11" t="n">
        <f>5075500</f>
        <v>5075500.0</v>
      </c>
      <c r="H231" s="10"/>
      <c r="I231" s="11" t="str">
        <f>"－"</f>
        <v>－</v>
      </c>
      <c r="J231" s="10"/>
      <c r="K231" s="11" t="n">
        <f>304</f>
        <v>304.0</v>
      </c>
    </row>
    <row r="232">
      <c r="A232" s="8" t="s">
        <v>29</v>
      </c>
      <c r="B232" s="9" t="s">
        <v>64</v>
      </c>
      <c r="C232" s="9" t="s">
        <v>65</v>
      </c>
      <c r="D232" s="10"/>
      <c r="E232" s="11"/>
      <c r="F232" s="10"/>
      <c r="G232" s="11"/>
      <c r="H232" s="10"/>
      <c r="I232" s="11"/>
      <c r="J232" s="10"/>
      <c r="K232" s="11"/>
    </row>
    <row r="233">
      <c r="A233" s="8" t="s">
        <v>30</v>
      </c>
      <c r="B233" s="9" t="s">
        <v>64</v>
      </c>
      <c r="C233" s="9" t="s">
        <v>65</v>
      </c>
      <c r="D233" s="10"/>
      <c r="E233" s="11"/>
      <c r="F233" s="10"/>
      <c r="G233" s="11"/>
      <c r="H233" s="10"/>
      <c r="I233" s="11"/>
      <c r="J233" s="10"/>
      <c r="K233" s="11"/>
    </row>
    <row r="234">
      <c r="A234" s="8" t="s">
        <v>31</v>
      </c>
      <c r="B234" s="9" t="s">
        <v>64</v>
      </c>
      <c r="C234" s="9" t="s">
        <v>65</v>
      </c>
      <c r="D234" s="10"/>
      <c r="E234" s="11" t="n">
        <f>1</f>
        <v>1.0</v>
      </c>
      <c r="F234" s="10"/>
      <c r="G234" s="11" t="n">
        <f>5045000</f>
        <v>5045000.0</v>
      </c>
      <c r="H234" s="10"/>
      <c r="I234" s="11" t="str">
        <f>"－"</f>
        <v>－</v>
      </c>
      <c r="J234" s="10"/>
      <c r="K234" s="11" t="n">
        <f>303</f>
        <v>303.0</v>
      </c>
    </row>
    <row r="235">
      <c r="A235" s="8" t="s">
        <v>32</v>
      </c>
      <c r="B235" s="9" t="s">
        <v>64</v>
      </c>
      <c r="C235" s="9" t="s">
        <v>65</v>
      </c>
      <c r="D235" s="10"/>
      <c r="E235" s="11" t="str">
        <f>"－"</f>
        <v>－</v>
      </c>
      <c r="F235" s="10"/>
      <c r="G235" s="11" t="str">
        <f>"－"</f>
        <v>－</v>
      </c>
      <c r="H235" s="10"/>
      <c r="I235" s="11" t="str">
        <f>"－"</f>
        <v>－</v>
      </c>
      <c r="J235" s="10"/>
      <c r="K235" s="11" t="n">
        <f>303</f>
        <v>303.0</v>
      </c>
    </row>
    <row r="236">
      <c r="A236" s="8" t="s">
        <v>33</v>
      </c>
      <c r="B236" s="9" t="s">
        <v>64</v>
      </c>
      <c r="C236" s="9" t="s">
        <v>65</v>
      </c>
      <c r="D236" s="10"/>
      <c r="E236" s="11" t="str">
        <f>"－"</f>
        <v>－</v>
      </c>
      <c r="F236" s="10"/>
      <c r="G236" s="11" t="str">
        <f>"－"</f>
        <v>－</v>
      </c>
      <c r="H236" s="10"/>
      <c r="I236" s="11" t="str">
        <f>"－"</f>
        <v>－</v>
      </c>
      <c r="J236" s="10"/>
      <c r="K236" s="11" t="n">
        <f>303</f>
        <v>303.0</v>
      </c>
    </row>
    <row r="237">
      <c r="A237" s="8" t="s">
        <v>34</v>
      </c>
      <c r="B237" s="9" t="s">
        <v>64</v>
      </c>
      <c r="C237" s="9" t="s">
        <v>65</v>
      </c>
      <c r="D237" s="10"/>
      <c r="E237" s="11" t="n">
        <f>1</f>
        <v>1.0</v>
      </c>
      <c r="F237" s="10"/>
      <c r="G237" s="11" t="n">
        <f>5000000</f>
        <v>5000000.0</v>
      </c>
      <c r="H237" s="10"/>
      <c r="I237" s="11" t="str">
        <f>"－"</f>
        <v>－</v>
      </c>
      <c r="J237" s="10"/>
      <c r="K237" s="11" t="n">
        <f>304</f>
        <v>304.0</v>
      </c>
    </row>
    <row r="238">
      <c r="A238" s="8" t="s">
        <v>35</v>
      </c>
      <c r="B238" s="9" t="s">
        <v>64</v>
      </c>
      <c r="C238" s="9" t="s">
        <v>65</v>
      </c>
      <c r="D238" s="10"/>
      <c r="E238" s="11" t="n">
        <f>1</f>
        <v>1.0</v>
      </c>
      <c r="F238" s="10"/>
      <c r="G238" s="11" t="n">
        <f>4885000</f>
        <v>4885000.0</v>
      </c>
      <c r="H238" s="10"/>
      <c r="I238" s="11" t="str">
        <f>"－"</f>
        <v>－</v>
      </c>
      <c r="J238" s="10"/>
      <c r="K238" s="11" t="n">
        <f>304</f>
        <v>304.0</v>
      </c>
    </row>
    <row r="239">
      <c r="A239" s="8" t="s">
        <v>36</v>
      </c>
      <c r="B239" s="9" t="s">
        <v>64</v>
      </c>
      <c r="C239" s="9" t="s">
        <v>65</v>
      </c>
      <c r="D239" s="10"/>
      <c r="E239" s="11"/>
      <c r="F239" s="10"/>
      <c r="G239" s="11"/>
      <c r="H239" s="10"/>
      <c r="I239" s="11"/>
      <c r="J239" s="10"/>
      <c r="K239" s="11"/>
    </row>
    <row r="240">
      <c r="A240" s="8" t="s">
        <v>37</v>
      </c>
      <c r="B240" s="9" t="s">
        <v>64</v>
      </c>
      <c r="C240" s="9" t="s">
        <v>65</v>
      </c>
      <c r="D240" s="10"/>
      <c r="E240" s="11"/>
      <c r="F240" s="10"/>
      <c r="G240" s="11"/>
      <c r="H240" s="10"/>
      <c r="I240" s="11"/>
      <c r="J240" s="10"/>
      <c r="K240" s="11"/>
    </row>
    <row r="241">
      <c r="A241" s="8" t="s">
        <v>38</v>
      </c>
      <c r="B241" s="9" t="s">
        <v>64</v>
      </c>
      <c r="C241" s="9" t="s">
        <v>65</v>
      </c>
      <c r="D241" s="10"/>
      <c r="E241" s="11" t="str">
        <f>"－"</f>
        <v>－</v>
      </c>
      <c r="F241" s="10"/>
      <c r="G241" s="11" t="str">
        <f>"－"</f>
        <v>－</v>
      </c>
      <c r="H241" s="10"/>
      <c r="I241" s="11" t="str">
        <f>"－"</f>
        <v>－</v>
      </c>
      <c r="J241" s="10"/>
      <c r="K241" s="11" t="n">
        <f>304</f>
        <v>304.0</v>
      </c>
    </row>
    <row r="242">
      <c r="A242" s="8" t="s">
        <v>39</v>
      </c>
      <c r="B242" s="9" t="s">
        <v>64</v>
      </c>
      <c r="C242" s="9" t="s">
        <v>65</v>
      </c>
      <c r="D242" s="10"/>
      <c r="E242" s="11" t="n">
        <f>5</f>
        <v>5.0</v>
      </c>
      <c r="F242" s="10"/>
      <c r="G242" s="11" t="n">
        <f>22940000</f>
        <v>2.294E7</v>
      </c>
      <c r="H242" s="10"/>
      <c r="I242" s="11" t="str">
        <f>"－"</f>
        <v>－</v>
      </c>
      <c r="J242" s="10"/>
      <c r="K242" s="11" t="n">
        <f>302</f>
        <v>302.0</v>
      </c>
    </row>
    <row r="243">
      <c r="A243" s="8" t="s">
        <v>40</v>
      </c>
      <c r="B243" s="9" t="s">
        <v>64</v>
      </c>
      <c r="C243" s="9" t="s">
        <v>65</v>
      </c>
      <c r="D243" s="10"/>
      <c r="E243" s="11" t="n">
        <f>16</f>
        <v>16.0</v>
      </c>
      <c r="F243" s="10"/>
      <c r="G243" s="11" t="n">
        <f>74661500</f>
        <v>7.46615E7</v>
      </c>
      <c r="H243" s="10"/>
      <c r="I243" s="11" t="str">
        <f>"－"</f>
        <v>－</v>
      </c>
      <c r="J243" s="10"/>
      <c r="K243" s="11" t="n">
        <f>297</f>
        <v>297.0</v>
      </c>
    </row>
    <row r="244">
      <c r="A244" s="8" t="s">
        <v>41</v>
      </c>
      <c r="B244" s="9" t="s">
        <v>64</v>
      </c>
      <c r="C244" s="9" t="s">
        <v>65</v>
      </c>
      <c r="D244" s="10"/>
      <c r="E244" s="11"/>
      <c r="F244" s="10"/>
      <c r="G244" s="11"/>
      <c r="H244" s="10"/>
      <c r="I244" s="11"/>
      <c r="J244" s="10"/>
      <c r="K244" s="11"/>
    </row>
    <row r="245">
      <c r="A245" s="8" t="s">
        <v>42</v>
      </c>
      <c r="B245" s="9" t="s">
        <v>64</v>
      </c>
      <c r="C245" s="9" t="s">
        <v>65</v>
      </c>
      <c r="D245" s="10"/>
      <c r="E245" s="11"/>
      <c r="F245" s="10"/>
      <c r="G245" s="11"/>
      <c r="H245" s="10"/>
      <c r="I245" s="11"/>
      <c r="J245" s="10"/>
      <c r="K245" s="11"/>
    </row>
    <row r="246">
      <c r="A246" s="8" t="s">
        <v>43</v>
      </c>
      <c r="B246" s="9" t="s">
        <v>64</v>
      </c>
      <c r="C246" s="9" t="s">
        <v>65</v>
      </c>
      <c r="D246" s="10"/>
      <c r="E246" s="11"/>
      <c r="F246" s="10"/>
      <c r="G246" s="11"/>
      <c r="H246" s="10"/>
      <c r="I246" s="11"/>
      <c r="J246" s="10"/>
      <c r="K246" s="11"/>
    </row>
    <row r="247">
      <c r="A247" s="8" t="s">
        <v>44</v>
      </c>
      <c r="B247" s="9" t="s">
        <v>64</v>
      </c>
      <c r="C247" s="9" t="s">
        <v>65</v>
      </c>
      <c r="D247" s="10"/>
      <c r="E247" s="11"/>
      <c r="F247" s="10"/>
      <c r="G247" s="11"/>
      <c r="H247" s="10"/>
      <c r="I247" s="11"/>
      <c r="J247" s="10"/>
      <c r="K247" s="11"/>
    </row>
    <row r="248">
      <c r="A248" s="8" t="s">
        <v>45</v>
      </c>
      <c r="B248" s="9" t="s">
        <v>64</v>
      </c>
      <c r="C248" s="9" t="s">
        <v>65</v>
      </c>
      <c r="D248" s="10"/>
      <c r="E248" s="11" t="n">
        <f>12</f>
        <v>12.0</v>
      </c>
      <c r="F248" s="10"/>
      <c r="G248" s="11" t="n">
        <f>56936000</f>
        <v>5.6936E7</v>
      </c>
      <c r="H248" s="10"/>
      <c r="I248" s="11" t="str">
        <f>"－"</f>
        <v>－</v>
      </c>
      <c r="J248" s="10"/>
      <c r="K248" s="11" t="n">
        <f>292</f>
        <v>292.0</v>
      </c>
    </row>
    <row r="249">
      <c r="A249" s="8" t="s">
        <v>46</v>
      </c>
      <c r="B249" s="9" t="s">
        <v>64</v>
      </c>
      <c r="C249" s="9" t="s">
        <v>65</v>
      </c>
      <c r="D249" s="10"/>
      <c r="E249" s="11" t="n">
        <f>13</f>
        <v>13.0</v>
      </c>
      <c r="F249" s="10"/>
      <c r="G249" s="11" t="n">
        <f>61135000</f>
        <v>6.1135E7</v>
      </c>
      <c r="H249" s="10"/>
      <c r="I249" s="11" t="str">
        <f>"－"</f>
        <v>－</v>
      </c>
      <c r="J249" s="10"/>
      <c r="K249" s="11" t="n">
        <f>286</f>
        <v>286.0</v>
      </c>
    </row>
    <row r="250">
      <c r="A250" s="8" t="s">
        <v>47</v>
      </c>
      <c r="B250" s="9" t="s">
        <v>64</v>
      </c>
      <c r="C250" s="9" t="s">
        <v>65</v>
      </c>
      <c r="D250" s="10"/>
      <c r="E250" s="11" t="n">
        <f>16</f>
        <v>16.0</v>
      </c>
      <c r="F250" s="10"/>
      <c r="G250" s="11" t="n">
        <f>74499000</f>
        <v>7.4499E7</v>
      </c>
      <c r="H250" s="10"/>
      <c r="I250" s="11" t="str">
        <f>"－"</f>
        <v>－</v>
      </c>
      <c r="J250" s="10"/>
      <c r="K250" s="11" t="n">
        <f>286</f>
        <v>286.0</v>
      </c>
    </row>
    <row r="251">
      <c r="A251" s="8" t="s">
        <v>48</v>
      </c>
      <c r="B251" s="9" t="s">
        <v>64</v>
      </c>
      <c r="C251" s="9" t="s">
        <v>65</v>
      </c>
      <c r="D251" s="10"/>
      <c r="E251" s="11" t="n">
        <f>15</f>
        <v>15.0</v>
      </c>
      <c r="F251" s="10"/>
      <c r="G251" s="11" t="n">
        <f>69847000</f>
        <v>6.9847E7</v>
      </c>
      <c r="H251" s="10"/>
      <c r="I251" s="11" t="str">
        <f>"－"</f>
        <v>－</v>
      </c>
      <c r="J251" s="10" t="s">
        <v>21</v>
      </c>
      <c r="K251" s="11" t="n">
        <f>285</f>
        <v>285.0</v>
      </c>
    </row>
    <row r="252">
      <c r="A252" s="8" t="s">
        <v>49</v>
      </c>
      <c r="B252" s="9" t="s">
        <v>64</v>
      </c>
      <c r="C252" s="9" t="s">
        <v>65</v>
      </c>
      <c r="D252" s="10" t="s">
        <v>19</v>
      </c>
      <c r="E252" s="11" t="n">
        <f>18</f>
        <v>18.0</v>
      </c>
      <c r="F252" s="10" t="s">
        <v>19</v>
      </c>
      <c r="G252" s="11" t="n">
        <f>84780000</f>
        <v>8.478E7</v>
      </c>
      <c r="H252" s="10"/>
      <c r="I252" s="11" t="str">
        <f>"－"</f>
        <v>－</v>
      </c>
      <c r="J252" s="10"/>
      <c r="K252" s="11" t="n">
        <f>285</f>
        <v>285.0</v>
      </c>
    </row>
    <row r="253">
      <c r="A253" s="8" t="s">
        <v>50</v>
      </c>
      <c r="B253" s="9" t="s">
        <v>64</v>
      </c>
      <c r="C253" s="9" t="s">
        <v>65</v>
      </c>
      <c r="D253" s="10"/>
      <c r="E253" s="11"/>
      <c r="F253" s="10"/>
      <c r="G253" s="11"/>
      <c r="H253" s="10"/>
      <c r="I253" s="11"/>
      <c r="J253" s="10"/>
      <c r="K253" s="11"/>
    </row>
    <row r="254">
      <c r="A254" s="8" t="s">
        <v>16</v>
      </c>
      <c r="B254" s="9" t="s">
        <v>66</v>
      </c>
      <c r="C254" s="9" t="s">
        <v>67</v>
      </c>
      <c r="D254" s="10"/>
      <c r="E254" s="11" t="n">
        <f>5892</f>
        <v>5892.0</v>
      </c>
      <c r="F254" s="10" t="s">
        <v>19</v>
      </c>
      <c r="G254" s="11" t="n">
        <f>6547988000</f>
        <v>6.547988E9</v>
      </c>
      <c r="H254" s="10" t="s">
        <v>53</v>
      </c>
      <c r="I254" s="11" t="str">
        <f>"－"</f>
        <v>－</v>
      </c>
      <c r="J254" s="10" t="s">
        <v>21</v>
      </c>
      <c r="K254" s="11" t="n">
        <f>12294</f>
        <v>12294.0</v>
      </c>
    </row>
    <row r="255">
      <c r="A255" s="8" t="s">
        <v>20</v>
      </c>
      <c r="B255" s="9" t="s">
        <v>66</v>
      </c>
      <c r="C255" s="9" t="s">
        <v>67</v>
      </c>
      <c r="D255" s="10"/>
      <c r="E255" s="11" t="n">
        <f>4778</f>
        <v>4778.0</v>
      </c>
      <c r="F255" s="10"/>
      <c r="G255" s="11" t="n">
        <f>5219021000</f>
        <v>5.219021E9</v>
      </c>
      <c r="H255" s="10"/>
      <c r="I255" s="11" t="str">
        <f>"－"</f>
        <v>－</v>
      </c>
      <c r="J255" s="10"/>
      <c r="K255" s="11" t="n">
        <f>12576</f>
        <v>12576.0</v>
      </c>
    </row>
    <row r="256">
      <c r="A256" s="8" t="s">
        <v>22</v>
      </c>
      <c r="B256" s="9" t="s">
        <v>66</v>
      </c>
      <c r="C256" s="9" t="s">
        <v>67</v>
      </c>
      <c r="D256" s="10"/>
      <c r="E256" s="11"/>
      <c r="F256" s="10"/>
      <c r="G256" s="11"/>
      <c r="H256" s="10"/>
      <c r="I256" s="11"/>
      <c r="J256" s="10"/>
      <c r="K256" s="11"/>
    </row>
    <row r="257">
      <c r="A257" s="8" t="s">
        <v>23</v>
      </c>
      <c r="B257" s="9" t="s">
        <v>66</v>
      </c>
      <c r="C257" s="9" t="s">
        <v>67</v>
      </c>
      <c r="D257" s="10"/>
      <c r="E257" s="11"/>
      <c r="F257" s="10"/>
      <c r="G257" s="11"/>
      <c r="H257" s="10"/>
      <c r="I257" s="11"/>
      <c r="J257" s="10"/>
      <c r="K257" s="11"/>
    </row>
    <row r="258">
      <c r="A258" s="8" t="s">
        <v>24</v>
      </c>
      <c r="B258" s="9" t="s">
        <v>66</v>
      </c>
      <c r="C258" s="9" t="s">
        <v>67</v>
      </c>
      <c r="D258" s="10"/>
      <c r="E258" s="11" t="n">
        <f>3414</f>
        <v>3414.0</v>
      </c>
      <c r="F258" s="10"/>
      <c r="G258" s="11" t="n">
        <f>3777918500</f>
        <v>3.7779185E9</v>
      </c>
      <c r="H258" s="10"/>
      <c r="I258" s="11" t="str">
        <f>"－"</f>
        <v>－</v>
      </c>
      <c r="J258" s="10"/>
      <c r="K258" s="11" t="n">
        <f>12811</f>
        <v>12811.0</v>
      </c>
    </row>
    <row r="259">
      <c r="A259" s="8" t="s">
        <v>25</v>
      </c>
      <c r="B259" s="9" t="s">
        <v>66</v>
      </c>
      <c r="C259" s="9" t="s">
        <v>67</v>
      </c>
      <c r="D259" s="10"/>
      <c r="E259" s="11" t="n">
        <f>3253</f>
        <v>3253.0</v>
      </c>
      <c r="F259" s="10"/>
      <c r="G259" s="11" t="n">
        <f>3618324500</f>
        <v>3.6183245E9</v>
      </c>
      <c r="H259" s="10"/>
      <c r="I259" s="11" t="str">
        <f>"－"</f>
        <v>－</v>
      </c>
      <c r="J259" s="10"/>
      <c r="K259" s="11" t="n">
        <f>12928</f>
        <v>12928.0</v>
      </c>
    </row>
    <row r="260">
      <c r="A260" s="8" t="s">
        <v>26</v>
      </c>
      <c r="B260" s="9" t="s">
        <v>66</v>
      </c>
      <c r="C260" s="9" t="s">
        <v>67</v>
      </c>
      <c r="D260" s="10"/>
      <c r="E260" s="11" t="n">
        <f>2750</f>
        <v>2750.0</v>
      </c>
      <c r="F260" s="10"/>
      <c r="G260" s="11" t="n">
        <f>3033589500</f>
        <v>3.0335895E9</v>
      </c>
      <c r="H260" s="10"/>
      <c r="I260" s="11" t="str">
        <f>"－"</f>
        <v>－</v>
      </c>
      <c r="J260" s="10"/>
      <c r="K260" s="11" t="n">
        <f>12831</f>
        <v>12831.0</v>
      </c>
    </row>
    <row r="261">
      <c r="A261" s="8" t="s">
        <v>27</v>
      </c>
      <c r="B261" s="9" t="s">
        <v>66</v>
      </c>
      <c r="C261" s="9" t="s">
        <v>67</v>
      </c>
      <c r="D261" s="10"/>
      <c r="E261" s="11" t="n">
        <f>2531</f>
        <v>2531.0</v>
      </c>
      <c r="F261" s="10"/>
      <c r="G261" s="11" t="n">
        <f>2759373000</f>
        <v>2.759373E9</v>
      </c>
      <c r="H261" s="10"/>
      <c r="I261" s="11" t="str">
        <f>"－"</f>
        <v>－</v>
      </c>
      <c r="J261" s="10"/>
      <c r="K261" s="11" t="n">
        <f>12941</f>
        <v>12941.0</v>
      </c>
    </row>
    <row r="262">
      <c r="A262" s="8" t="s">
        <v>28</v>
      </c>
      <c r="B262" s="9" t="s">
        <v>66</v>
      </c>
      <c r="C262" s="9" t="s">
        <v>67</v>
      </c>
      <c r="D262" s="10"/>
      <c r="E262" s="11" t="n">
        <f>2875</f>
        <v>2875.0</v>
      </c>
      <c r="F262" s="10"/>
      <c r="G262" s="11" t="n">
        <f>3091258000</f>
        <v>3.091258E9</v>
      </c>
      <c r="H262" s="10"/>
      <c r="I262" s="11" t="str">
        <f>"－"</f>
        <v>－</v>
      </c>
      <c r="J262" s="10"/>
      <c r="K262" s="11" t="n">
        <f>12808</f>
        <v>12808.0</v>
      </c>
    </row>
    <row r="263">
      <c r="A263" s="8" t="s">
        <v>29</v>
      </c>
      <c r="B263" s="9" t="s">
        <v>66</v>
      </c>
      <c r="C263" s="9" t="s">
        <v>67</v>
      </c>
      <c r="D263" s="10"/>
      <c r="E263" s="11"/>
      <c r="F263" s="10"/>
      <c r="G263" s="11"/>
      <c r="H263" s="10"/>
      <c r="I263" s="11"/>
      <c r="J263" s="10"/>
      <c r="K263" s="11"/>
    </row>
    <row r="264">
      <c r="A264" s="8" t="s">
        <v>30</v>
      </c>
      <c r="B264" s="9" t="s">
        <v>66</v>
      </c>
      <c r="C264" s="9" t="s">
        <v>67</v>
      </c>
      <c r="D264" s="10"/>
      <c r="E264" s="11"/>
      <c r="F264" s="10"/>
      <c r="G264" s="11"/>
      <c r="H264" s="10"/>
      <c r="I264" s="11"/>
      <c r="J264" s="10"/>
      <c r="K264" s="11"/>
    </row>
    <row r="265">
      <c r="A265" s="8" t="s">
        <v>31</v>
      </c>
      <c r="B265" s="9" t="s">
        <v>66</v>
      </c>
      <c r="C265" s="9" t="s">
        <v>67</v>
      </c>
      <c r="D265" s="10"/>
      <c r="E265" s="11" t="n">
        <f>2240</f>
        <v>2240.0</v>
      </c>
      <c r="F265" s="10"/>
      <c r="G265" s="11" t="n">
        <f>2440812000</f>
        <v>2.440812E9</v>
      </c>
      <c r="H265" s="10"/>
      <c r="I265" s="11" t="str">
        <f>"－"</f>
        <v>－</v>
      </c>
      <c r="J265" s="10"/>
      <c r="K265" s="11" t="n">
        <f>12836</f>
        <v>12836.0</v>
      </c>
    </row>
    <row r="266">
      <c r="A266" s="8" t="s">
        <v>32</v>
      </c>
      <c r="B266" s="9" t="s">
        <v>66</v>
      </c>
      <c r="C266" s="9" t="s">
        <v>67</v>
      </c>
      <c r="D266" s="10"/>
      <c r="E266" s="11" t="n">
        <f>2094</f>
        <v>2094.0</v>
      </c>
      <c r="F266" s="10"/>
      <c r="G266" s="11" t="n">
        <f>2238926500</f>
        <v>2.2389265E9</v>
      </c>
      <c r="H266" s="10"/>
      <c r="I266" s="11" t="str">
        <f>"－"</f>
        <v>－</v>
      </c>
      <c r="J266" s="10"/>
      <c r="K266" s="11" t="n">
        <f>12924</f>
        <v>12924.0</v>
      </c>
    </row>
    <row r="267">
      <c r="A267" s="8" t="s">
        <v>33</v>
      </c>
      <c r="B267" s="9" t="s">
        <v>66</v>
      </c>
      <c r="C267" s="9" t="s">
        <v>67</v>
      </c>
      <c r="D267" s="10"/>
      <c r="E267" s="11" t="n">
        <f>3138</f>
        <v>3138.0</v>
      </c>
      <c r="F267" s="10"/>
      <c r="G267" s="11" t="n">
        <f>3306487500</f>
        <v>3.3064875E9</v>
      </c>
      <c r="H267" s="10"/>
      <c r="I267" s="11" t="str">
        <f>"－"</f>
        <v>－</v>
      </c>
      <c r="J267" s="10"/>
      <c r="K267" s="11" t="n">
        <f>12707</f>
        <v>12707.0</v>
      </c>
    </row>
    <row r="268">
      <c r="A268" s="8" t="s">
        <v>34</v>
      </c>
      <c r="B268" s="9" t="s">
        <v>66</v>
      </c>
      <c r="C268" s="9" t="s">
        <v>67</v>
      </c>
      <c r="D268" s="10"/>
      <c r="E268" s="11" t="n">
        <f>3161</f>
        <v>3161.0</v>
      </c>
      <c r="F268" s="10"/>
      <c r="G268" s="11" t="n">
        <f>3324067500</f>
        <v>3.3240675E9</v>
      </c>
      <c r="H268" s="10"/>
      <c r="I268" s="11" t="str">
        <f>"－"</f>
        <v>－</v>
      </c>
      <c r="J268" s="10"/>
      <c r="K268" s="11" t="n">
        <f>12683</f>
        <v>12683.0</v>
      </c>
    </row>
    <row r="269">
      <c r="A269" s="8" t="s">
        <v>35</v>
      </c>
      <c r="B269" s="9" t="s">
        <v>66</v>
      </c>
      <c r="C269" s="9" t="s">
        <v>67</v>
      </c>
      <c r="D269" s="10"/>
      <c r="E269" s="11" t="n">
        <f>2673</f>
        <v>2673.0</v>
      </c>
      <c r="F269" s="10"/>
      <c r="G269" s="11" t="n">
        <f>2878831500</f>
        <v>2.8788315E9</v>
      </c>
      <c r="H269" s="10"/>
      <c r="I269" s="11" t="str">
        <f>"－"</f>
        <v>－</v>
      </c>
      <c r="J269" s="10"/>
      <c r="K269" s="11" t="n">
        <f>12619</f>
        <v>12619.0</v>
      </c>
    </row>
    <row r="270">
      <c r="A270" s="8" t="s">
        <v>36</v>
      </c>
      <c r="B270" s="9" t="s">
        <v>66</v>
      </c>
      <c r="C270" s="9" t="s">
        <v>67</v>
      </c>
      <c r="D270" s="10"/>
      <c r="E270" s="11"/>
      <c r="F270" s="10"/>
      <c r="G270" s="11"/>
      <c r="H270" s="10"/>
      <c r="I270" s="11"/>
      <c r="J270" s="10"/>
      <c r="K270" s="11"/>
    </row>
    <row r="271">
      <c r="A271" s="8" t="s">
        <v>37</v>
      </c>
      <c r="B271" s="9" t="s">
        <v>66</v>
      </c>
      <c r="C271" s="9" t="s">
        <v>67</v>
      </c>
      <c r="D271" s="10"/>
      <c r="E271" s="11"/>
      <c r="F271" s="10"/>
      <c r="G271" s="11"/>
      <c r="H271" s="10"/>
      <c r="I271" s="11"/>
      <c r="J271" s="10"/>
      <c r="K271" s="11"/>
    </row>
    <row r="272">
      <c r="A272" s="8" t="s">
        <v>38</v>
      </c>
      <c r="B272" s="9" t="s">
        <v>66</v>
      </c>
      <c r="C272" s="9" t="s">
        <v>67</v>
      </c>
      <c r="D272" s="10" t="s">
        <v>21</v>
      </c>
      <c r="E272" s="11" t="n">
        <f>1892</f>
        <v>1892.0</v>
      </c>
      <c r="F272" s="10"/>
      <c r="G272" s="11" t="n">
        <f>2032787000</f>
        <v>2.032787E9</v>
      </c>
      <c r="H272" s="10"/>
      <c r="I272" s="11" t="str">
        <f>"－"</f>
        <v>－</v>
      </c>
      <c r="J272" s="10"/>
      <c r="K272" s="11" t="n">
        <f>12709</f>
        <v>12709.0</v>
      </c>
    </row>
    <row r="273">
      <c r="A273" s="8" t="s">
        <v>39</v>
      </c>
      <c r="B273" s="9" t="s">
        <v>66</v>
      </c>
      <c r="C273" s="9" t="s">
        <v>67</v>
      </c>
      <c r="D273" s="10"/>
      <c r="E273" s="11" t="n">
        <f>1911</f>
        <v>1911.0</v>
      </c>
      <c r="F273" s="10" t="s">
        <v>21</v>
      </c>
      <c r="G273" s="11" t="n">
        <f>1992702500</f>
        <v>1.9927025E9</v>
      </c>
      <c r="H273" s="10"/>
      <c r="I273" s="11" t="str">
        <f>"－"</f>
        <v>－</v>
      </c>
      <c r="J273" s="10"/>
      <c r="K273" s="11" t="n">
        <f>12725</f>
        <v>12725.0</v>
      </c>
    </row>
    <row r="274">
      <c r="A274" s="8" t="s">
        <v>40</v>
      </c>
      <c r="B274" s="9" t="s">
        <v>66</v>
      </c>
      <c r="C274" s="9" t="s">
        <v>67</v>
      </c>
      <c r="D274" s="10"/>
      <c r="E274" s="11" t="n">
        <f>2168</f>
        <v>2168.0</v>
      </c>
      <c r="F274" s="10"/>
      <c r="G274" s="11" t="n">
        <f>2266957000</f>
        <v>2.266957E9</v>
      </c>
      <c r="H274" s="10"/>
      <c r="I274" s="11" t="str">
        <f>"－"</f>
        <v>－</v>
      </c>
      <c r="J274" s="10"/>
      <c r="K274" s="11" t="n">
        <f>12824</f>
        <v>12824.0</v>
      </c>
    </row>
    <row r="275">
      <c r="A275" s="8" t="s">
        <v>41</v>
      </c>
      <c r="B275" s="9" t="s">
        <v>66</v>
      </c>
      <c r="C275" s="9" t="s">
        <v>67</v>
      </c>
      <c r="D275" s="10"/>
      <c r="E275" s="11"/>
      <c r="F275" s="10"/>
      <c r="G275" s="11"/>
      <c r="H275" s="10"/>
      <c r="I275" s="11"/>
      <c r="J275" s="10"/>
      <c r="K275" s="11"/>
    </row>
    <row r="276">
      <c r="A276" s="8" t="s">
        <v>42</v>
      </c>
      <c r="B276" s="9" t="s">
        <v>66</v>
      </c>
      <c r="C276" s="9" t="s">
        <v>67</v>
      </c>
      <c r="D276" s="10"/>
      <c r="E276" s="11"/>
      <c r="F276" s="10"/>
      <c r="G276" s="11"/>
      <c r="H276" s="10"/>
      <c r="I276" s="11"/>
      <c r="J276" s="10"/>
      <c r="K276" s="11"/>
    </row>
    <row r="277">
      <c r="A277" s="8" t="s">
        <v>43</v>
      </c>
      <c r="B277" s="9" t="s">
        <v>66</v>
      </c>
      <c r="C277" s="9" t="s">
        <v>67</v>
      </c>
      <c r="D277" s="10"/>
      <c r="E277" s="11"/>
      <c r="F277" s="10"/>
      <c r="G277" s="11"/>
      <c r="H277" s="10"/>
      <c r="I277" s="11"/>
      <c r="J277" s="10"/>
      <c r="K277" s="11"/>
    </row>
    <row r="278">
      <c r="A278" s="8" t="s">
        <v>44</v>
      </c>
      <c r="B278" s="9" t="s">
        <v>66</v>
      </c>
      <c r="C278" s="9" t="s">
        <v>67</v>
      </c>
      <c r="D278" s="10"/>
      <c r="E278" s="11"/>
      <c r="F278" s="10"/>
      <c r="G278" s="11"/>
      <c r="H278" s="10"/>
      <c r="I278" s="11"/>
      <c r="J278" s="10"/>
      <c r="K278" s="11"/>
    </row>
    <row r="279">
      <c r="A279" s="8" t="s">
        <v>45</v>
      </c>
      <c r="B279" s="9" t="s">
        <v>66</v>
      </c>
      <c r="C279" s="9" t="s">
        <v>67</v>
      </c>
      <c r="D279" s="10"/>
      <c r="E279" s="11" t="n">
        <f>2931</f>
        <v>2931.0</v>
      </c>
      <c r="F279" s="10"/>
      <c r="G279" s="11" t="n">
        <f>3131356000</f>
        <v>3.131356E9</v>
      </c>
      <c r="H279" s="10"/>
      <c r="I279" s="11" t="str">
        <f>"－"</f>
        <v>－</v>
      </c>
      <c r="J279" s="10"/>
      <c r="K279" s="11" t="n">
        <f>12665</f>
        <v>12665.0</v>
      </c>
    </row>
    <row r="280">
      <c r="A280" s="8" t="s">
        <v>46</v>
      </c>
      <c r="B280" s="9" t="s">
        <v>66</v>
      </c>
      <c r="C280" s="9" t="s">
        <v>67</v>
      </c>
      <c r="D280" s="10"/>
      <c r="E280" s="11" t="n">
        <f>3627</f>
        <v>3627.0</v>
      </c>
      <c r="F280" s="10"/>
      <c r="G280" s="11" t="n">
        <f>3896262500</f>
        <v>3.8962625E9</v>
      </c>
      <c r="H280" s="10"/>
      <c r="I280" s="11" t="str">
        <f>"－"</f>
        <v>－</v>
      </c>
      <c r="J280" s="10"/>
      <c r="K280" s="11" t="n">
        <f>12558</f>
        <v>12558.0</v>
      </c>
    </row>
    <row r="281">
      <c r="A281" s="8" t="s">
        <v>47</v>
      </c>
      <c r="B281" s="9" t="s">
        <v>66</v>
      </c>
      <c r="C281" s="9" t="s">
        <v>67</v>
      </c>
      <c r="D281" s="10"/>
      <c r="E281" s="11" t="n">
        <f>2675</f>
        <v>2675.0</v>
      </c>
      <c r="F281" s="10"/>
      <c r="G281" s="11" t="n">
        <f>2859984000</f>
        <v>2.859984E9</v>
      </c>
      <c r="H281" s="10"/>
      <c r="I281" s="11" t="str">
        <f>"－"</f>
        <v>－</v>
      </c>
      <c r="J281" s="10"/>
      <c r="K281" s="11" t="n">
        <f>12727</f>
        <v>12727.0</v>
      </c>
    </row>
    <row r="282">
      <c r="A282" s="8" t="s">
        <v>48</v>
      </c>
      <c r="B282" s="9" t="s">
        <v>66</v>
      </c>
      <c r="C282" s="9" t="s">
        <v>67</v>
      </c>
      <c r="D282" s="10"/>
      <c r="E282" s="11" t="n">
        <f>2562</f>
        <v>2562.0</v>
      </c>
      <c r="F282" s="10"/>
      <c r="G282" s="11" t="n">
        <f>2748128000</f>
        <v>2.748128E9</v>
      </c>
      <c r="H282" s="10"/>
      <c r="I282" s="11" t="str">
        <f>"－"</f>
        <v>－</v>
      </c>
      <c r="J282" s="10"/>
      <c r="K282" s="11" t="n">
        <f>12753</f>
        <v>12753.0</v>
      </c>
    </row>
    <row r="283">
      <c r="A283" s="8" t="s">
        <v>49</v>
      </c>
      <c r="B283" s="9" t="s">
        <v>66</v>
      </c>
      <c r="C283" s="9" t="s">
        <v>67</v>
      </c>
      <c r="D283" s="10" t="s">
        <v>19</v>
      </c>
      <c r="E283" s="11" t="n">
        <f>5944</f>
        <v>5944.0</v>
      </c>
      <c r="F283" s="10"/>
      <c r="G283" s="11" t="n">
        <f>6461479500</f>
        <v>6.4614795E9</v>
      </c>
      <c r="H283" s="10"/>
      <c r="I283" s="11" t="str">
        <f>"－"</f>
        <v>－</v>
      </c>
      <c r="J283" s="10" t="s">
        <v>19</v>
      </c>
      <c r="K283" s="11" t="n">
        <f>13002</f>
        <v>13002.0</v>
      </c>
    </row>
    <row r="284">
      <c r="A284" s="8" t="s">
        <v>50</v>
      </c>
      <c r="B284" s="9" t="s">
        <v>66</v>
      </c>
      <c r="C284" s="9" t="s">
        <v>67</v>
      </c>
      <c r="D284" s="10"/>
      <c r="E284" s="11"/>
      <c r="F284" s="10"/>
      <c r="G284" s="11"/>
      <c r="H284" s="10"/>
      <c r="I284" s="11"/>
      <c r="J284" s="10"/>
      <c r="K284" s="11"/>
    </row>
    <row r="285">
      <c r="A285" s="8" t="s">
        <v>16</v>
      </c>
      <c r="B285" s="9" t="s">
        <v>68</v>
      </c>
      <c r="C285" s="9" t="s">
        <v>69</v>
      </c>
      <c r="D285" s="10" t="s">
        <v>53</v>
      </c>
      <c r="E285" s="11" t="str">
        <f>"－"</f>
        <v>－</v>
      </c>
      <c r="F285" s="10" t="s">
        <v>53</v>
      </c>
      <c r="G285" s="11" t="str">
        <f>"－"</f>
        <v>－</v>
      </c>
      <c r="H285" s="10" t="s">
        <v>53</v>
      </c>
      <c r="I285" s="11" t="str">
        <f>"－"</f>
        <v>－</v>
      </c>
      <c r="J285" s="10" t="s">
        <v>53</v>
      </c>
      <c r="K285" s="11" t="str">
        <f>"－"</f>
        <v>－</v>
      </c>
    </row>
    <row r="286">
      <c r="A286" s="8" t="s">
        <v>20</v>
      </c>
      <c r="B286" s="9" t="s">
        <v>68</v>
      </c>
      <c r="C286" s="9" t="s">
        <v>69</v>
      </c>
      <c r="D286" s="10"/>
      <c r="E286" s="11" t="str">
        <f>"－"</f>
        <v>－</v>
      </c>
      <c r="F286" s="10"/>
      <c r="G286" s="11" t="str">
        <f>"－"</f>
        <v>－</v>
      </c>
      <c r="H286" s="10"/>
      <c r="I286" s="11" t="str">
        <f>"－"</f>
        <v>－</v>
      </c>
      <c r="J286" s="10"/>
      <c r="K286" s="11" t="str">
        <f>"－"</f>
        <v>－</v>
      </c>
    </row>
    <row r="287">
      <c r="A287" s="8" t="s">
        <v>22</v>
      </c>
      <c r="B287" s="9" t="s">
        <v>68</v>
      </c>
      <c r="C287" s="9" t="s">
        <v>69</v>
      </c>
      <c r="D287" s="10"/>
      <c r="E287" s="11"/>
      <c r="F287" s="10"/>
      <c r="G287" s="11"/>
      <c r="H287" s="10"/>
      <c r="I287" s="11"/>
      <c r="J287" s="10"/>
      <c r="K287" s="11"/>
    </row>
    <row r="288">
      <c r="A288" s="8" t="s">
        <v>23</v>
      </c>
      <c r="B288" s="9" t="s">
        <v>68</v>
      </c>
      <c r="C288" s="9" t="s">
        <v>69</v>
      </c>
      <c r="D288" s="10"/>
      <c r="E288" s="11"/>
      <c r="F288" s="10"/>
      <c r="G288" s="11"/>
      <c r="H288" s="10"/>
      <c r="I288" s="11"/>
      <c r="J288" s="10"/>
      <c r="K288" s="11"/>
    </row>
    <row r="289">
      <c r="A289" s="8" t="s">
        <v>24</v>
      </c>
      <c r="B289" s="9" t="s">
        <v>68</v>
      </c>
      <c r="C289" s="9" t="s">
        <v>69</v>
      </c>
      <c r="D289" s="10"/>
      <c r="E289" s="11" t="str">
        <f>"－"</f>
        <v>－</v>
      </c>
      <c r="F289" s="10"/>
      <c r="G289" s="11" t="str">
        <f>"－"</f>
        <v>－</v>
      </c>
      <c r="H289" s="10"/>
      <c r="I289" s="11" t="str">
        <f>"－"</f>
        <v>－</v>
      </c>
      <c r="J289" s="10"/>
      <c r="K289" s="11" t="str">
        <f>"－"</f>
        <v>－</v>
      </c>
    </row>
    <row r="290">
      <c r="A290" s="8" t="s">
        <v>25</v>
      </c>
      <c r="B290" s="9" t="s">
        <v>68</v>
      </c>
      <c r="C290" s="9" t="s">
        <v>69</v>
      </c>
      <c r="D290" s="10"/>
      <c r="E290" s="11" t="str">
        <f>"－"</f>
        <v>－</v>
      </c>
      <c r="F290" s="10"/>
      <c r="G290" s="11" t="str">
        <f>"－"</f>
        <v>－</v>
      </c>
      <c r="H290" s="10"/>
      <c r="I290" s="11" t="str">
        <f>"－"</f>
        <v>－</v>
      </c>
      <c r="J290" s="10"/>
      <c r="K290" s="11" t="str">
        <f>"－"</f>
        <v>－</v>
      </c>
    </row>
    <row r="291">
      <c r="A291" s="8" t="s">
        <v>26</v>
      </c>
      <c r="B291" s="9" t="s">
        <v>68</v>
      </c>
      <c r="C291" s="9" t="s">
        <v>69</v>
      </c>
      <c r="D291" s="10"/>
      <c r="E291" s="11" t="str">
        <f>"－"</f>
        <v>－</v>
      </c>
      <c r="F291" s="10"/>
      <c r="G291" s="11" t="str">
        <f>"－"</f>
        <v>－</v>
      </c>
      <c r="H291" s="10"/>
      <c r="I291" s="11" t="str">
        <f>"－"</f>
        <v>－</v>
      </c>
      <c r="J291" s="10"/>
      <c r="K291" s="11" t="str">
        <f>"－"</f>
        <v>－</v>
      </c>
    </row>
    <row r="292">
      <c r="A292" s="8" t="s">
        <v>27</v>
      </c>
      <c r="B292" s="9" t="s">
        <v>68</v>
      </c>
      <c r="C292" s="9" t="s">
        <v>69</v>
      </c>
      <c r="D292" s="10"/>
      <c r="E292" s="11" t="str">
        <f>"－"</f>
        <v>－</v>
      </c>
      <c r="F292" s="10"/>
      <c r="G292" s="11" t="str">
        <f>"－"</f>
        <v>－</v>
      </c>
      <c r="H292" s="10"/>
      <c r="I292" s="11" t="str">
        <f>"－"</f>
        <v>－</v>
      </c>
      <c r="J292" s="10"/>
      <c r="K292" s="11" t="str">
        <f>"－"</f>
        <v>－</v>
      </c>
    </row>
    <row r="293">
      <c r="A293" s="8" t="s">
        <v>28</v>
      </c>
      <c r="B293" s="9" t="s">
        <v>68</v>
      </c>
      <c r="C293" s="9" t="s">
        <v>69</v>
      </c>
      <c r="D293" s="10"/>
      <c r="E293" s="11" t="str">
        <f>"－"</f>
        <v>－</v>
      </c>
      <c r="F293" s="10"/>
      <c r="G293" s="11" t="str">
        <f>"－"</f>
        <v>－</v>
      </c>
      <c r="H293" s="10"/>
      <c r="I293" s="11" t="str">
        <f>"－"</f>
        <v>－</v>
      </c>
      <c r="J293" s="10"/>
      <c r="K293" s="11" t="str">
        <f>"－"</f>
        <v>－</v>
      </c>
    </row>
    <row r="294">
      <c r="A294" s="8" t="s">
        <v>29</v>
      </c>
      <c r="B294" s="9" t="s">
        <v>68</v>
      </c>
      <c r="C294" s="9" t="s">
        <v>69</v>
      </c>
      <c r="D294" s="10"/>
      <c r="E294" s="11"/>
      <c r="F294" s="10"/>
      <c r="G294" s="11"/>
      <c r="H294" s="10"/>
      <c r="I294" s="11"/>
      <c r="J294" s="10"/>
      <c r="K294" s="11"/>
    </row>
    <row r="295">
      <c r="A295" s="8" t="s">
        <v>30</v>
      </c>
      <c r="B295" s="9" t="s">
        <v>68</v>
      </c>
      <c r="C295" s="9" t="s">
        <v>69</v>
      </c>
      <c r="D295" s="10"/>
      <c r="E295" s="11"/>
      <c r="F295" s="10"/>
      <c r="G295" s="11"/>
      <c r="H295" s="10"/>
      <c r="I295" s="11"/>
      <c r="J295" s="10"/>
      <c r="K295" s="11"/>
    </row>
    <row r="296">
      <c r="A296" s="8" t="s">
        <v>31</v>
      </c>
      <c r="B296" s="9" t="s">
        <v>68</v>
      </c>
      <c r="C296" s="9" t="s">
        <v>69</v>
      </c>
      <c r="D296" s="10"/>
      <c r="E296" s="11" t="str">
        <f>"－"</f>
        <v>－</v>
      </c>
      <c r="F296" s="10"/>
      <c r="G296" s="11" t="str">
        <f>"－"</f>
        <v>－</v>
      </c>
      <c r="H296" s="10"/>
      <c r="I296" s="11" t="str">
        <f>"－"</f>
        <v>－</v>
      </c>
      <c r="J296" s="10"/>
      <c r="K296" s="11" t="str">
        <f>"－"</f>
        <v>－</v>
      </c>
    </row>
    <row r="297">
      <c r="A297" s="8" t="s">
        <v>32</v>
      </c>
      <c r="B297" s="9" t="s">
        <v>68</v>
      </c>
      <c r="C297" s="9" t="s">
        <v>69</v>
      </c>
      <c r="D297" s="10"/>
      <c r="E297" s="11" t="str">
        <f>"－"</f>
        <v>－</v>
      </c>
      <c r="F297" s="10"/>
      <c r="G297" s="11" t="str">
        <f>"－"</f>
        <v>－</v>
      </c>
      <c r="H297" s="10"/>
      <c r="I297" s="11" t="str">
        <f>"－"</f>
        <v>－</v>
      </c>
      <c r="J297" s="10"/>
      <c r="K297" s="11" t="str">
        <f>"－"</f>
        <v>－</v>
      </c>
    </row>
    <row r="298">
      <c r="A298" s="8" t="s">
        <v>33</v>
      </c>
      <c r="B298" s="9" t="s">
        <v>68</v>
      </c>
      <c r="C298" s="9" t="s">
        <v>69</v>
      </c>
      <c r="D298" s="10"/>
      <c r="E298" s="11" t="str">
        <f>"－"</f>
        <v>－</v>
      </c>
      <c r="F298" s="10"/>
      <c r="G298" s="11" t="str">
        <f>"－"</f>
        <v>－</v>
      </c>
      <c r="H298" s="10"/>
      <c r="I298" s="11" t="str">
        <f>"－"</f>
        <v>－</v>
      </c>
      <c r="J298" s="10"/>
      <c r="K298" s="11" t="str">
        <f>"－"</f>
        <v>－</v>
      </c>
    </row>
    <row r="299">
      <c r="A299" s="8" t="s">
        <v>34</v>
      </c>
      <c r="B299" s="9" t="s">
        <v>68</v>
      </c>
      <c r="C299" s="9" t="s">
        <v>69</v>
      </c>
      <c r="D299" s="10"/>
      <c r="E299" s="11" t="str">
        <f>"－"</f>
        <v>－</v>
      </c>
      <c r="F299" s="10"/>
      <c r="G299" s="11" t="str">
        <f>"－"</f>
        <v>－</v>
      </c>
      <c r="H299" s="10"/>
      <c r="I299" s="11" t="str">
        <f>"－"</f>
        <v>－</v>
      </c>
      <c r="J299" s="10"/>
      <c r="K299" s="11" t="str">
        <f>"－"</f>
        <v>－</v>
      </c>
    </row>
    <row r="300">
      <c r="A300" s="8" t="s">
        <v>35</v>
      </c>
      <c r="B300" s="9" t="s">
        <v>68</v>
      </c>
      <c r="C300" s="9" t="s">
        <v>69</v>
      </c>
      <c r="D300" s="10"/>
      <c r="E300" s="11" t="str">
        <f>"－"</f>
        <v>－</v>
      </c>
      <c r="F300" s="10"/>
      <c r="G300" s="11" t="str">
        <f>"－"</f>
        <v>－</v>
      </c>
      <c r="H300" s="10"/>
      <c r="I300" s="11" t="str">
        <f>"－"</f>
        <v>－</v>
      </c>
      <c r="J300" s="10"/>
      <c r="K300" s="11" t="str">
        <f>"－"</f>
        <v>－</v>
      </c>
    </row>
    <row r="301">
      <c r="A301" s="8" t="s">
        <v>36</v>
      </c>
      <c r="B301" s="9" t="s">
        <v>68</v>
      </c>
      <c r="C301" s="9" t="s">
        <v>69</v>
      </c>
      <c r="D301" s="10"/>
      <c r="E301" s="11"/>
      <c r="F301" s="10"/>
      <c r="G301" s="11"/>
      <c r="H301" s="10"/>
      <c r="I301" s="11"/>
      <c r="J301" s="10"/>
      <c r="K301" s="11"/>
    </row>
    <row r="302">
      <c r="A302" s="8" t="s">
        <v>37</v>
      </c>
      <c r="B302" s="9" t="s">
        <v>68</v>
      </c>
      <c r="C302" s="9" t="s">
        <v>69</v>
      </c>
      <c r="D302" s="10"/>
      <c r="E302" s="11"/>
      <c r="F302" s="10"/>
      <c r="G302" s="11"/>
      <c r="H302" s="10"/>
      <c r="I302" s="11"/>
      <c r="J302" s="10"/>
      <c r="K302" s="11"/>
    </row>
    <row r="303">
      <c r="A303" s="8" t="s">
        <v>38</v>
      </c>
      <c r="B303" s="9" t="s">
        <v>68</v>
      </c>
      <c r="C303" s="9" t="s">
        <v>69</v>
      </c>
      <c r="D303" s="10"/>
      <c r="E303" s="11" t="str">
        <f>"－"</f>
        <v>－</v>
      </c>
      <c r="F303" s="10"/>
      <c r="G303" s="11" t="str">
        <f>"－"</f>
        <v>－</v>
      </c>
      <c r="H303" s="10"/>
      <c r="I303" s="11" t="str">
        <f>"－"</f>
        <v>－</v>
      </c>
      <c r="J303" s="10"/>
      <c r="K303" s="11" t="str">
        <f>"－"</f>
        <v>－</v>
      </c>
    </row>
    <row r="304">
      <c r="A304" s="8" t="s">
        <v>39</v>
      </c>
      <c r="B304" s="9" t="s">
        <v>68</v>
      </c>
      <c r="C304" s="9" t="s">
        <v>69</v>
      </c>
      <c r="D304" s="10"/>
      <c r="E304" s="11" t="str">
        <f>"－"</f>
        <v>－</v>
      </c>
      <c r="F304" s="10"/>
      <c r="G304" s="11" t="str">
        <f>"－"</f>
        <v>－</v>
      </c>
      <c r="H304" s="10"/>
      <c r="I304" s="11" t="str">
        <f>"－"</f>
        <v>－</v>
      </c>
      <c r="J304" s="10"/>
      <c r="K304" s="11" t="str">
        <f>"－"</f>
        <v>－</v>
      </c>
    </row>
    <row r="305">
      <c r="A305" s="8" t="s">
        <v>40</v>
      </c>
      <c r="B305" s="9" t="s">
        <v>68</v>
      </c>
      <c r="C305" s="9" t="s">
        <v>69</v>
      </c>
      <c r="D305" s="10"/>
      <c r="E305" s="11" t="str">
        <f>"－"</f>
        <v>－</v>
      </c>
      <c r="F305" s="10"/>
      <c r="G305" s="11" t="str">
        <f>"－"</f>
        <v>－</v>
      </c>
      <c r="H305" s="10"/>
      <c r="I305" s="11" t="str">
        <f>"－"</f>
        <v>－</v>
      </c>
      <c r="J305" s="10"/>
      <c r="K305" s="11" t="str">
        <f>"－"</f>
        <v>－</v>
      </c>
    </row>
    <row r="306">
      <c r="A306" s="8" t="s">
        <v>41</v>
      </c>
      <c r="B306" s="9" t="s">
        <v>68</v>
      </c>
      <c r="C306" s="9" t="s">
        <v>69</v>
      </c>
      <c r="D306" s="10"/>
      <c r="E306" s="11"/>
      <c r="F306" s="10"/>
      <c r="G306" s="11"/>
      <c r="H306" s="10"/>
      <c r="I306" s="11"/>
      <c r="J306" s="10"/>
      <c r="K306" s="11"/>
    </row>
    <row r="307">
      <c r="A307" s="8" t="s">
        <v>42</v>
      </c>
      <c r="B307" s="9" t="s">
        <v>68</v>
      </c>
      <c r="C307" s="9" t="s">
        <v>69</v>
      </c>
      <c r="D307" s="10"/>
      <c r="E307" s="11"/>
      <c r="F307" s="10"/>
      <c r="G307" s="11"/>
      <c r="H307" s="10"/>
      <c r="I307" s="11"/>
      <c r="J307" s="10"/>
      <c r="K307" s="11"/>
    </row>
    <row r="308">
      <c r="A308" s="8" t="s">
        <v>43</v>
      </c>
      <c r="B308" s="9" t="s">
        <v>68</v>
      </c>
      <c r="C308" s="9" t="s">
        <v>69</v>
      </c>
      <c r="D308" s="10"/>
      <c r="E308" s="11"/>
      <c r="F308" s="10"/>
      <c r="G308" s="11"/>
      <c r="H308" s="10"/>
      <c r="I308" s="11"/>
      <c r="J308" s="10"/>
      <c r="K308" s="11"/>
    </row>
    <row r="309">
      <c r="A309" s="8" t="s">
        <v>44</v>
      </c>
      <c r="B309" s="9" t="s">
        <v>68</v>
      </c>
      <c r="C309" s="9" t="s">
        <v>69</v>
      </c>
      <c r="D309" s="10"/>
      <c r="E309" s="11"/>
      <c r="F309" s="10"/>
      <c r="G309" s="11"/>
      <c r="H309" s="10"/>
      <c r="I309" s="11"/>
      <c r="J309" s="10"/>
      <c r="K309" s="11"/>
    </row>
    <row r="310">
      <c r="A310" s="8" t="s">
        <v>45</v>
      </c>
      <c r="B310" s="9" t="s">
        <v>68</v>
      </c>
      <c r="C310" s="9" t="s">
        <v>69</v>
      </c>
      <c r="D310" s="10"/>
      <c r="E310" s="11" t="str">
        <f>"－"</f>
        <v>－</v>
      </c>
      <c r="F310" s="10"/>
      <c r="G310" s="11" t="str">
        <f>"－"</f>
        <v>－</v>
      </c>
      <c r="H310" s="10"/>
      <c r="I310" s="11" t="str">
        <f>"－"</f>
        <v>－</v>
      </c>
      <c r="J310" s="10"/>
      <c r="K310" s="11" t="str">
        <f>"－"</f>
        <v>－</v>
      </c>
    </row>
    <row r="311">
      <c r="A311" s="8" t="s">
        <v>46</v>
      </c>
      <c r="B311" s="9" t="s">
        <v>68</v>
      </c>
      <c r="C311" s="9" t="s">
        <v>69</v>
      </c>
      <c r="D311" s="10"/>
      <c r="E311" s="11" t="str">
        <f>"－"</f>
        <v>－</v>
      </c>
      <c r="F311" s="10"/>
      <c r="G311" s="11" t="str">
        <f>"－"</f>
        <v>－</v>
      </c>
      <c r="H311" s="10"/>
      <c r="I311" s="11" t="str">
        <f>"－"</f>
        <v>－</v>
      </c>
      <c r="J311" s="10"/>
      <c r="K311" s="11" t="str">
        <f>"－"</f>
        <v>－</v>
      </c>
    </row>
    <row r="312">
      <c r="A312" s="8" t="s">
        <v>47</v>
      </c>
      <c r="B312" s="9" t="s">
        <v>68</v>
      </c>
      <c r="C312" s="9" t="s">
        <v>69</v>
      </c>
      <c r="D312" s="10"/>
      <c r="E312" s="11" t="str">
        <f>"－"</f>
        <v>－</v>
      </c>
      <c r="F312" s="10"/>
      <c r="G312" s="11" t="str">
        <f>"－"</f>
        <v>－</v>
      </c>
      <c r="H312" s="10"/>
      <c r="I312" s="11" t="str">
        <f>"－"</f>
        <v>－</v>
      </c>
      <c r="J312" s="10"/>
      <c r="K312" s="11" t="str">
        <f>"－"</f>
        <v>－</v>
      </c>
    </row>
    <row r="313">
      <c r="A313" s="8" t="s">
        <v>48</v>
      </c>
      <c r="B313" s="9" t="s">
        <v>68</v>
      </c>
      <c r="C313" s="9" t="s">
        <v>69</v>
      </c>
      <c r="D313" s="10"/>
      <c r="E313" s="11" t="str">
        <f>"－"</f>
        <v>－</v>
      </c>
      <c r="F313" s="10"/>
      <c r="G313" s="11" t="str">
        <f>"－"</f>
        <v>－</v>
      </c>
      <c r="H313" s="10"/>
      <c r="I313" s="11" t="str">
        <f>"－"</f>
        <v>－</v>
      </c>
      <c r="J313" s="10"/>
      <c r="K313" s="11" t="str">
        <f>"－"</f>
        <v>－</v>
      </c>
    </row>
    <row r="314">
      <c r="A314" s="8" t="s">
        <v>49</v>
      </c>
      <c r="B314" s="9" t="s">
        <v>68</v>
      </c>
      <c r="C314" s="9" t="s">
        <v>69</v>
      </c>
      <c r="D314" s="10"/>
      <c r="E314" s="11" t="str">
        <f>"－"</f>
        <v>－</v>
      </c>
      <c r="F314" s="10"/>
      <c r="G314" s="11" t="str">
        <f>"－"</f>
        <v>－</v>
      </c>
      <c r="H314" s="10"/>
      <c r="I314" s="11" t="str">
        <f>"－"</f>
        <v>－</v>
      </c>
      <c r="J314" s="10"/>
      <c r="K314" s="11" t="str">
        <f>"－"</f>
        <v>－</v>
      </c>
    </row>
    <row r="315">
      <c r="A315" s="8" t="s">
        <v>50</v>
      </c>
      <c r="B315" s="9" t="s">
        <v>68</v>
      </c>
      <c r="C315" s="9" t="s">
        <v>69</v>
      </c>
      <c r="D315" s="10"/>
      <c r="E315" s="11"/>
      <c r="F315" s="10"/>
      <c r="G315" s="11"/>
      <c r="H315" s="10"/>
      <c r="I315" s="11"/>
      <c r="J315" s="10"/>
      <c r="K315" s="11"/>
    </row>
    <row r="316">
      <c r="A316" s="8" t="s">
        <v>16</v>
      </c>
      <c r="B316" s="9" t="s">
        <v>70</v>
      </c>
      <c r="C316" s="9" t="s">
        <v>71</v>
      </c>
      <c r="D316" s="10" t="s">
        <v>19</v>
      </c>
      <c r="E316" s="11" t="n">
        <f>1095</f>
        <v>1095.0</v>
      </c>
      <c r="F316" s="10" t="s">
        <v>19</v>
      </c>
      <c r="G316" s="11" t="n">
        <f>1941720000</f>
        <v>1.94172E9</v>
      </c>
      <c r="H316" s="10" t="s">
        <v>53</v>
      </c>
      <c r="I316" s="11" t="str">
        <f>"－"</f>
        <v>－</v>
      </c>
      <c r="J316" s="10"/>
      <c r="K316" s="11" t="n">
        <f>2137</f>
        <v>2137.0</v>
      </c>
    </row>
    <row r="317">
      <c r="A317" s="8" t="s">
        <v>20</v>
      </c>
      <c r="B317" s="9" t="s">
        <v>70</v>
      </c>
      <c r="C317" s="9" t="s">
        <v>71</v>
      </c>
      <c r="D317" s="10"/>
      <c r="E317" s="11" t="n">
        <f>553</f>
        <v>553.0</v>
      </c>
      <c r="F317" s="10"/>
      <c r="G317" s="11" t="n">
        <f>1009828500</f>
        <v>1.0098285E9</v>
      </c>
      <c r="H317" s="10"/>
      <c r="I317" s="11" t="str">
        <f>"－"</f>
        <v>－</v>
      </c>
      <c r="J317" s="10"/>
      <c r="K317" s="11" t="n">
        <f>2155</f>
        <v>2155.0</v>
      </c>
    </row>
    <row r="318">
      <c r="A318" s="8" t="s">
        <v>22</v>
      </c>
      <c r="B318" s="9" t="s">
        <v>70</v>
      </c>
      <c r="C318" s="9" t="s">
        <v>71</v>
      </c>
      <c r="D318" s="10"/>
      <c r="E318" s="11"/>
      <c r="F318" s="10"/>
      <c r="G318" s="11"/>
      <c r="H318" s="10"/>
      <c r="I318" s="11"/>
      <c r="J318" s="10"/>
      <c r="K318" s="11"/>
    </row>
    <row r="319">
      <c r="A319" s="8" t="s">
        <v>23</v>
      </c>
      <c r="B319" s="9" t="s">
        <v>70</v>
      </c>
      <c r="C319" s="9" t="s">
        <v>71</v>
      </c>
      <c r="D319" s="10"/>
      <c r="E319" s="11"/>
      <c r="F319" s="10"/>
      <c r="G319" s="11"/>
      <c r="H319" s="10"/>
      <c r="I319" s="11"/>
      <c r="J319" s="10"/>
      <c r="K319" s="11"/>
    </row>
    <row r="320">
      <c r="A320" s="8" t="s">
        <v>24</v>
      </c>
      <c r="B320" s="9" t="s">
        <v>70</v>
      </c>
      <c r="C320" s="9" t="s">
        <v>71</v>
      </c>
      <c r="D320" s="10"/>
      <c r="E320" s="11" t="n">
        <f>537</f>
        <v>537.0</v>
      </c>
      <c r="F320" s="10"/>
      <c r="G320" s="11" t="n">
        <f>964501000</f>
        <v>9.64501E8</v>
      </c>
      <c r="H320" s="10"/>
      <c r="I320" s="11" t="str">
        <f>"－"</f>
        <v>－</v>
      </c>
      <c r="J320" s="10"/>
      <c r="K320" s="11" t="n">
        <f>2162</f>
        <v>2162.0</v>
      </c>
    </row>
    <row r="321">
      <c r="A321" s="8" t="s">
        <v>25</v>
      </c>
      <c r="B321" s="9" t="s">
        <v>70</v>
      </c>
      <c r="C321" s="9" t="s">
        <v>71</v>
      </c>
      <c r="D321" s="10"/>
      <c r="E321" s="11" t="n">
        <f>169</f>
        <v>169.0</v>
      </c>
      <c r="F321" s="10"/>
      <c r="G321" s="11" t="n">
        <f>304025500</f>
        <v>3.040255E8</v>
      </c>
      <c r="H321" s="10"/>
      <c r="I321" s="11" t="str">
        <f>"－"</f>
        <v>－</v>
      </c>
      <c r="J321" s="10" t="s">
        <v>19</v>
      </c>
      <c r="K321" s="11" t="n">
        <f>2191</f>
        <v>2191.0</v>
      </c>
    </row>
    <row r="322">
      <c r="A322" s="8" t="s">
        <v>26</v>
      </c>
      <c r="B322" s="9" t="s">
        <v>70</v>
      </c>
      <c r="C322" s="9" t="s">
        <v>71</v>
      </c>
      <c r="D322" s="10"/>
      <c r="E322" s="11" t="n">
        <f>817</f>
        <v>817.0</v>
      </c>
      <c r="F322" s="10"/>
      <c r="G322" s="11" t="n">
        <f>1413155500</f>
        <v>1.4131555E9</v>
      </c>
      <c r="H322" s="10"/>
      <c r="I322" s="11" t="str">
        <f>"－"</f>
        <v>－</v>
      </c>
      <c r="J322" s="10"/>
      <c r="K322" s="11" t="n">
        <f>2148</f>
        <v>2148.0</v>
      </c>
    </row>
    <row r="323">
      <c r="A323" s="8" t="s">
        <v>27</v>
      </c>
      <c r="B323" s="9" t="s">
        <v>70</v>
      </c>
      <c r="C323" s="9" t="s">
        <v>71</v>
      </c>
      <c r="D323" s="10"/>
      <c r="E323" s="11" t="n">
        <f>501</f>
        <v>501.0</v>
      </c>
      <c r="F323" s="10"/>
      <c r="G323" s="11" t="n">
        <f>849366000</f>
        <v>8.49366E8</v>
      </c>
      <c r="H323" s="10"/>
      <c r="I323" s="11" t="str">
        <f>"－"</f>
        <v>－</v>
      </c>
      <c r="J323" s="10"/>
      <c r="K323" s="11" t="n">
        <f>2115</f>
        <v>2115.0</v>
      </c>
    </row>
    <row r="324">
      <c r="A324" s="8" t="s">
        <v>28</v>
      </c>
      <c r="B324" s="9" t="s">
        <v>70</v>
      </c>
      <c r="C324" s="9" t="s">
        <v>71</v>
      </c>
      <c r="D324" s="10"/>
      <c r="E324" s="11" t="n">
        <f>387</f>
        <v>387.0</v>
      </c>
      <c r="F324" s="10"/>
      <c r="G324" s="11" t="n">
        <f>650256500</f>
        <v>6.502565E8</v>
      </c>
      <c r="H324" s="10"/>
      <c r="I324" s="11" t="str">
        <f>"－"</f>
        <v>－</v>
      </c>
      <c r="J324" s="10"/>
      <c r="K324" s="11" t="n">
        <f>2098</f>
        <v>2098.0</v>
      </c>
    </row>
    <row r="325">
      <c r="A325" s="8" t="s">
        <v>29</v>
      </c>
      <c r="B325" s="9" t="s">
        <v>70</v>
      </c>
      <c r="C325" s="9" t="s">
        <v>71</v>
      </c>
      <c r="D325" s="10"/>
      <c r="E325" s="11"/>
      <c r="F325" s="10"/>
      <c r="G325" s="11"/>
      <c r="H325" s="10"/>
      <c r="I325" s="11"/>
      <c r="J325" s="10"/>
      <c r="K325" s="11"/>
    </row>
    <row r="326">
      <c r="A326" s="8" t="s">
        <v>30</v>
      </c>
      <c r="B326" s="9" t="s">
        <v>70</v>
      </c>
      <c r="C326" s="9" t="s">
        <v>71</v>
      </c>
      <c r="D326" s="10"/>
      <c r="E326" s="11"/>
      <c r="F326" s="10"/>
      <c r="G326" s="11"/>
      <c r="H326" s="10"/>
      <c r="I326" s="11"/>
      <c r="J326" s="10"/>
      <c r="K326" s="11"/>
    </row>
    <row r="327">
      <c r="A327" s="8" t="s">
        <v>31</v>
      </c>
      <c r="B327" s="9" t="s">
        <v>70</v>
      </c>
      <c r="C327" s="9" t="s">
        <v>71</v>
      </c>
      <c r="D327" s="10"/>
      <c r="E327" s="11" t="n">
        <f>273</f>
        <v>273.0</v>
      </c>
      <c r="F327" s="10"/>
      <c r="G327" s="11" t="n">
        <f>460512000</f>
        <v>4.60512E8</v>
      </c>
      <c r="H327" s="10"/>
      <c r="I327" s="11" t="str">
        <f>"－"</f>
        <v>－</v>
      </c>
      <c r="J327" s="10"/>
      <c r="K327" s="11" t="n">
        <f>2090</f>
        <v>2090.0</v>
      </c>
    </row>
    <row r="328">
      <c r="A328" s="8" t="s">
        <v>32</v>
      </c>
      <c r="B328" s="9" t="s">
        <v>70</v>
      </c>
      <c r="C328" s="9" t="s">
        <v>71</v>
      </c>
      <c r="D328" s="10"/>
      <c r="E328" s="11" t="n">
        <f>315</f>
        <v>315.0</v>
      </c>
      <c r="F328" s="10"/>
      <c r="G328" s="11" t="n">
        <f>542329500</f>
        <v>5.423295E8</v>
      </c>
      <c r="H328" s="10"/>
      <c r="I328" s="11" t="str">
        <f>"－"</f>
        <v>－</v>
      </c>
      <c r="J328" s="10"/>
      <c r="K328" s="11" t="n">
        <f>2102</f>
        <v>2102.0</v>
      </c>
    </row>
    <row r="329">
      <c r="A329" s="8" t="s">
        <v>33</v>
      </c>
      <c r="B329" s="9" t="s">
        <v>70</v>
      </c>
      <c r="C329" s="9" t="s">
        <v>71</v>
      </c>
      <c r="D329" s="10"/>
      <c r="E329" s="11" t="n">
        <f>177</f>
        <v>177.0</v>
      </c>
      <c r="F329" s="10"/>
      <c r="G329" s="11" t="n">
        <f>307674500</f>
        <v>3.076745E8</v>
      </c>
      <c r="H329" s="10"/>
      <c r="I329" s="11" t="str">
        <f>"－"</f>
        <v>－</v>
      </c>
      <c r="J329" s="10"/>
      <c r="K329" s="11" t="n">
        <f>2093</f>
        <v>2093.0</v>
      </c>
    </row>
    <row r="330">
      <c r="A330" s="8" t="s">
        <v>34</v>
      </c>
      <c r="B330" s="9" t="s">
        <v>70</v>
      </c>
      <c r="C330" s="9" t="s">
        <v>71</v>
      </c>
      <c r="D330" s="10"/>
      <c r="E330" s="11" t="n">
        <f>247</f>
        <v>247.0</v>
      </c>
      <c r="F330" s="10"/>
      <c r="G330" s="11" t="n">
        <f>434562000</f>
        <v>4.34562E8</v>
      </c>
      <c r="H330" s="10"/>
      <c r="I330" s="11" t="str">
        <f>"－"</f>
        <v>－</v>
      </c>
      <c r="J330" s="10"/>
      <c r="K330" s="11" t="n">
        <f>2115</f>
        <v>2115.0</v>
      </c>
    </row>
    <row r="331">
      <c r="A331" s="8" t="s">
        <v>35</v>
      </c>
      <c r="B331" s="9" t="s">
        <v>70</v>
      </c>
      <c r="C331" s="9" t="s">
        <v>71</v>
      </c>
      <c r="D331" s="10"/>
      <c r="E331" s="11" t="n">
        <f>267</f>
        <v>267.0</v>
      </c>
      <c r="F331" s="10"/>
      <c r="G331" s="11" t="n">
        <f>467280500</f>
        <v>4.672805E8</v>
      </c>
      <c r="H331" s="10"/>
      <c r="I331" s="11" t="str">
        <f>"－"</f>
        <v>－</v>
      </c>
      <c r="J331" s="10"/>
      <c r="K331" s="11" t="n">
        <f>2110</f>
        <v>2110.0</v>
      </c>
    </row>
    <row r="332">
      <c r="A332" s="8" t="s">
        <v>36</v>
      </c>
      <c r="B332" s="9" t="s">
        <v>70</v>
      </c>
      <c r="C332" s="9" t="s">
        <v>71</v>
      </c>
      <c r="D332" s="10"/>
      <c r="E332" s="11"/>
      <c r="F332" s="10"/>
      <c r="G332" s="11"/>
      <c r="H332" s="10"/>
      <c r="I332" s="11"/>
      <c r="J332" s="10"/>
      <c r="K332" s="11"/>
    </row>
    <row r="333">
      <c r="A333" s="8" t="s">
        <v>37</v>
      </c>
      <c r="B333" s="9" t="s">
        <v>70</v>
      </c>
      <c r="C333" s="9" t="s">
        <v>71</v>
      </c>
      <c r="D333" s="10"/>
      <c r="E333" s="11"/>
      <c r="F333" s="10"/>
      <c r="G333" s="11"/>
      <c r="H333" s="10"/>
      <c r="I333" s="11"/>
      <c r="J333" s="10"/>
      <c r="K333" s="11"/>
    </row>
    <row r="334">
      <c r="A334" s="8" t="s">
        <v>38</v>
      </c>
      <c r="B334" s="9" t="s">
        <v>70</v>
      </c>
      <c r="C334" s="9" t="s">
        <v>71</v>
      </c>
      <c r="D334" s="10"/>
      <c r="E334" s="11" t="n">
        <f>384</f>
        <v>384.0</v>
      </c>
      <c r="F334" s="10"/>
      <c r="G334" s="11" t="n">
        <f>665757000</f>
        <v>6.65757E8</v>
      </c>
      <c r="H334" s="10"/>
      <c r="I334" s="11" t="str">
        <f>"－"</f>
        <v>－</v>
      </c>
      <c r="J334" s="10"/>
      <c r="K334" s="11" t="n">
        <f>2095</f>
        <v>2095.0</v>
      </c>
    </row>
    <row r="335">
      <c r="A335" s="8" t="s">
        <v>39</v>
      </c>
      <c r="B335" s="9" t="s">
        <v>70</v>
      </c>
      <c r="C335" s="9" t="s">
        <v>71</v>
      </c>
      <c r="D335" s="10"/>
      <c r="E335" s="11" t="n">
        <f>295</f>
        <v>295.0</v>
      </c>
      <c r="F335" s="10"/>
      <c r="G335" s="11" t="n">
        <f>510787500</f>
        <v>5.107875E8</v>
      </c>
      <c r="H335" s="10"/>
      <c r="I335" s="11" t="str">
        <f>"－"</f>
        <v>－</v>
      </c>
      <c r="J335" s="10"/>
      <c r="K335" s="11" t="n">
        <f>2097</f>
        <v>2097.0</v>
      </c>
    </row>
    <row r="336">
      <c r="A336" s="8" t="s">
        <v>40</v>
      </c>
      <c r="B336" s="9" t="s">
        <v>70</v>
      </c>
      <c r="C336" s="9" t="s">
        <v>71</v>
      </c>
      <c r="D336" s="10"/>
      <c r="E336" s="11" t="n">
        <f>211</f>
        <v>211.0</v>
      </c>
      <c r="F336" s="10"/>
      <c r="G336" s="11" t="n">
        <f>367594000</f>
        <v>3.67594E8</v>
      </c>
      <c r="H336" s="10"/>
      <c r="I336" s="11" t="str">
        <f>"－"</f>
        <v>－</v>
      </c>
      <c r="J336" s="10"/>
      <c r="K336" s="11" t="n">
        <f>2115</f>
        <v>2115.0</v>
      </c>
    </row>
    <row r="337">
      <c r="A337" s="8" t="s">
        <v>41</v>
      </c>
      <c r="B337" s="9" t="s">
        <v>70</v>
      </c>
      <c r="C337" s="9" t="s">
        <v>71</v>
      </c>
      <c r="D337" s="10"/>
      <c r="E337" s="11"/>
      <c r="F337" s="10"/>
      <c r="G337" s="11"/>
      <c r="H337" s="10"/>
      <c r="I337" s="11"/>
      <c r="J337" s="10"/>
      <c r="K337" s="11"/>
    </row>
    <row r="338">
      <c r="A338" s="8" t="s">
        <v>42</v>
      </c>
      <c r="B338" s="9" t="s">
        <v>70</v>
      </c>
      <c r="C338" s="9" t="s">
        <v>71</v>
      </c>
      <c r="D338" s="10"/>
      <c r="E338" s="11"/>
      <c r="F338" s="10"/>
      <c r="G338" s="11"/>
      <c r="H338" s="10"/>
      <c r="I338" s="11"/>
      <c r="J338" s="10"/>
      <c r="K338" s="11"/>
    </row>
    <row r="339">
      <c r="A339" s="8" t="s">
        <v>43</v>
      </c>
      <c r="B339" s="9" t="s">
        <v>70</v>
      </c>
      <c r="C339" s="9" t="s">
        <v>71</v>
      </c>
      <c r="D339" s="10"/>
      <c r="E339" s="11"/>
      <c r="F339" s="10"/>
      <c r="G339" s="11"/>
      <c r="H339" s="10"/>
      <c r="I339" s="11"/>
      <c r="J339" s="10"/>
      <c r="K339" s="11"/>
    </row>
    <row r="340">
      <c r="A340" s="8" t="s">
        <v>44</v>
      </c>
      <c r="B340" s="9" t="s">
        <v>70</v>
      </c>
      <c r="C340" s="9" t="s">
        <v>71</v>
      </c>
      <c r="D340" s="10"/>
      <c r="E340" s="11"/>
      <c r="F340" s="10"/>
      <c r="G340" s="11"/>
      <c r="H340" s="10"/>
      <c r="I340" s="11"/>
      <c r="J340" s="10"/>
      <c r="K340" s="11"/>
    </row>
    <row r="341">
      <c r="A341" s="8" t="s">
        <v>45</v>
      </c>
      <c r="B341" s="9" t="s">
        <v>70</v>
      </c>
      <c r="C341" s="9" t="s">
        <v>71</v>
      </c>
      <c r="D341" s="10"/>
      <c r="E341" s="11" t="n">
        <f>261</f>
        <v>261.0</v>
      </c>
      <c r="F341" s="10"/>
      <c r="G341" s="11" t="n">
        <f>448292000</f>
        <v>4.48292E8</v>
      </c>
      <c r="H341" s="10"/>
      <c r="I341" s="11" t="str">
        <f>"－"</f>
        <v>－</v>
      </c>
      <c r="J341" s="10"/>
      <c r="K341" s="11" t="n">
        <f>2072</f>
        <v>2072.0</v>
      </c>
    </row>
    <row r="342">
      <c r="A342" s="8" t="s">
        <v>46</v>
      </c>
      <c r="B342" s="9" t="s">
        <v>70</v>
      </c>
      <c r="C342" s="9" t="s">
        <v>71</v>
      </c>
      <c r="D342" s="10"/>
      <c r="E342" s="11" t="n">
        <f>280</f>
        <v>280.0</v>
      </c>
      <c r="F342" s="10"/>
      <c r="G342" s="11" t="n">
        <f>478478000</f>
        <v>4.78478E8</v>
      </c>
      <c r="H342" s="10"/>
      <c r="I342" s="11" t="str">
        <f>"－"</f>
        <v>－</v>
      </c>
      <c r="J342" s="10"/>
      <c r="K342" s="11" t="n">
        <f>2066</f>
        <v>2066.0</v>
      </c>
    </row>
    <row r="343">
      <c r="A343" s="8" t="s">
        <v>47</v>
      </c>
      <c r="B343" s="9" t="s">
        <v>70</v>
      </c>
      <c r="C343" s="9" t="s">
        <v>71</v>
      </c>
      <c r="D343" s="10"/>
      <c r="E343" s="11" t="n">
        <f>171</f>
        <v>171.0</v>
      </c>
      <c r="F343" s="10"/>
      <c r="G343" s="11" t="n">
        <f>293779500</f>
        <v>2.937795E8</v>
      </c>
      <c r="H343" s="10"/>
      <c r="I343" s="11" t="str">
        <f>"－"</f>
        <v>－</v>
      </c>
      <c r="J343" s="10"/>
      <c r="K343" s="11" t="n">
        <f>2065</f>
        <v>2065.0</v>
      </c>
    </row>
    <row r="344">
      <c r="A344" s="8" t="s">
        <v>48</v>
      </c>
      <c r="B344" s="9" t="s">
        <v>70</v>
      </c>
      <c r="C344" s="9" t="s">
        <v>71</v>
      </c>
      <c r="D344" s="10"/>
      <c r="E344" s="11" t="n">
        <f>94</f>
        <v>94.0</v>
      </c>
      <c r="F344" s="10"/>
      <c r="G344" s="11" t="n">
        <f>160232000</f>
        <v>1.60232E8</v>
      </c>
      <c r="H344" s="10"/>
      <c r="I344" s="11" t="str">
        <f>"－"</f>
        <v>－</v>
      </c>
      <c r="J344" s="10"/>
      <c r="K344" s="11" t="n">
        <f>2060</f>
        <v>2060.0</v>
      </c>
    </row>
    <row r="345">
      <c r="A345" s="8" t="s">
        <v>49</v>
      </c>
      <c r="B345" s="9" t="s">
        <v>70</v>
      </c>
      <c r="C345" s="9" t="s">
        <v>71</v>
      </c>
      <c r="D345" s="10" t="s">
        <v>21</v>
      </c>
      <c r="E345" s="11" t="n">
        <f>91</f>
        <v>91.0</v>
      </c>
      <c r="F345" s="10" t="s">
        <v>21</v>
      </c>
      <c r="G345" s="11" t="n">
        <f>155835500</f>
        <v>1.558355E8</v>
      </c>
      <c r="H345" s="10"/>
      <c r="I345" s="11" t="str">
        <f>"－"</f>
        <v>－</v>
      </c>
      <c r="J345" s="10" t="s">
        <v>21</v>
      </c>
      <c r="K345" s="11" t="n">
        <f>2057</f>
        <v>2057.0</v>
      </c>
    </row>
    <row r="346">
      <c r="A346" s="8" t="s">
        <v>50</v>
      </c>
      <c r="B346" s="9" t="s">
        <v>70</v>
      </c>
      <c r="C346" s="9" t="s">
        <v>71</v>
      </c>
      <c r="D346" s="10"/>
      <c r="E346" s="11"/>
      <c r="F346" s="10"/>
      <c r="G346" s="11"/>
      <c r="H346" s="10"/>
      <c r="I346" s="11"/>
      <c r="J346" s="10"/>
      <c r="K346" s="11"/>
    </row>
    <row r="347">
      <c r="A347" s="8" t="s">
        <v>16</v>
      </c>
      <c r="B347" s="9" t="s">
        <v>72</v>
      </c>
      <c r="C347" s="9" t="s">
        <v>73</v>
      </c>
      <c r="D347" s="10" t="s">
        <v>53</v>
      </c>
      <c r="E347" s="11" t="str">
        <f>"－"</f>
        <v>－</v>
      </c>
      <c r="F347" s="10" t="s">
        <v>53</v>
      </c>
      <c r="G347" s="11" t="str">
        <f>"－"</f>
        <v>－</v>
      </c>
      <c r="H347" s="10" t="s">
        <v>53</v>
      </c>
      <c r="I347" s="11" t="str">
        <f>"－"</f>
        <v>－</v>
      </c>
      <c r="J347" s="10" t="s">
        <v>53</v>
      </c>
      <c r="K347" s="11" t="str">
        <f>"－"</f>
        <v>－</v>
      </c>
    </row>
    <row r="348">
      <c r="A348" s="8" t="s">
        <v>20</v>
      </c>
      <c r="B348" s="9" t="s">
        <v>72</v>
      </c>
      <c r="C348" s="9" t="s">
        <v>73</v>
      </c>
      <c r="D348" s="10"/>
      <c r="E348" s="11" t="str">
        <f>"－"</f>
        <v>－</v>
      </c>
      <c r="F348" s="10"/>
      <c r="G348" s="11" t="str">
        <f>"－"</f>
        <v>－</v>
      </c>
      <c r="H348" s="10"/>
      <c r="I348" s="11" t="str">
        <f>"－"</f>
        <v>－</v>
      </c>
      <c r="J348" s="10"/>
      <c r="K348" s="11" t="str">
        <f>"－"</f>
        <v>－</v>
      </c>
    </row>
    <row r="349">
      <c r="A349" s="8" t="s">
        <v>22</v>
      </c>
      <c r="B349" s="9" t="s">
        <v>72</v>
      </c>
      <c r="C349" s="9" t="s">
        <v>73</v>
      </c>
      <c r="D349" s="10"/>
      <c r="E349" s="11"/>
      <c r="F349" s="10"/>
      <c r="G349" s="11"/>
      <c r="H349" s="10"/>
      <c r="I349" s="11"/>
      <c r="J349" s="10"/>
      <c r="K349" s="11"/>
    </row>
    <row r="350">
      <c r="A350" s="8" t="s">
        <v>23</v>
      </c>
      <c r="B350" s="9" t="s">
        <v>72</v>
      </c>
      <c r="C350" s="9" t="s">
        <v>73</v>
      </c>
      <c r="D350" s="10"/>
      <c r="E350" s="11"/>
      <c r="F350" s="10"/>
      <c r="G350" s="11"/>
      <c r="H350" s="10"/>
      <c r="I350" s="11"/>
      <c r="J350" s="10"/>
      <c r="K350" s="11"/>
    </row>
    <row r="351">
      <c r="A351" s="8" t="s">
        <v>24</v>
      </c>
      <c r="B351" s="9" t="s">
        <v>72</v>
      </c>
      <c r="C351" s="9" t="s">
        <v>73</v>
      </c>
      <c r="D351" s="10"/>
      <c r="E351" s="11" t="str">
        <f>"－"</f>
        <v>－</v>
      </c>
      <c r="F351" s="10"/>
      <c r="G351" s="11" t="str">
        <f>"－"</f>
        <v>－</v>
      </c>
      <c r="H351" s="10"/>
      <c r="I351" s="11" t="str">
        <f>"－"</f>
        <v>－</v>
      </c>
      <c r="J351" s="10"/>
      <c r="K351" s="11" t="str">
        <f>"－"</f>
        <v>－</v>
      </c>
    </row>
    <row r="352">
      <c r="A352" s="8" t="s">
        <v>25</v>
      </c>
      <c r="B352" s="9" t="s">
        <v>72</v>
      </c>
      <c r="C352" s="9" t="s">
        <v>73</v>
      </c>
      <c r="D352" s="10"/>
      <c r="E352" s="11" t="str">
        <f>"－"</f>
        <v>－</v>
      </c>
      <c r="F352" s="10"/>
      <c r="G352" s="11" t="str">
        <f>"－"</f>
        <v>－</v>
      </c>
      <c r="H352" s="10"/>
      <c r="I352" s="11" t="str">
        <f>"－"</f>
        <v>－</v>
      </c>
      <c r="J352" s="10"/>
      <c r="K352" s="11" t="str">
        <f>"－"</f>
        <v>－</v>
      </c>
    </row>
    <row r="353">
      <c r="A353" s="8" t="s">
        <v>26</v>
      </c>
      <c r="B353" s="9" t="s">
        <v>72</v>
      </c>
      <c r="C353" s="9" t="s">
        <v>73</v>
      </c>
      <c r="D353" s="10"/>
      <c r="E353" s="11" t="str">
        <f>"－"</f>
        <v>－</v>
      </c>
      <c r="F353" s="10"/>
      <c r="G353" s="11" t="str">
        <f>"－"</f>
        <v>－</v>
      </c>
      <c r="H353" s="10"/>
      <c r="I353" s="11" t="str">
        <f>"－"</f>
        <v>－</v>
      </c>
      <c r="J353" s="10"/>
      <c r="K353" s="11" t="str">
        <f>"－"</f>
        <v>－</v>
      </c>
    </row>
    <row r="354">
      <c r="A354" s="8" t="s">
        <v>27</v>
      </c>
      <c r="B354" s="9" t="s">
        <v>72</v>
      </c>
      <c r="C354" s="9" t="s">
        <v>73</v>
      </c>
      <c r="D354" s="10"/>
      <c r="E354" s="11" t="str">
        <f>"－"</f>
        <v>－</v>
      </c>
      <c r="F354" s="10"/>
      <c r="G354" s="11" t="str">
        <f>"－"</f>
        <v>－</v>
      </c>
      <c r="H354" s="10"/>
      <c r="I354" s="11" t="str">
        <f>"－"</f>
        <v>－</v>
      </c>
      <c r="J354" s="10"/>
      <c r="K354" s="11" t="str">
        <f>"－"</f>
        <v>－</v>
      </c>
    </row>
    <row r="355">
      <c r="A355" s="8" t="s">
        <v>28</v>
      </c>
      <c r="B355" s="9" t="s">
        <v>72</v>
      </c>
      <c r="C355" s="9" t="s">
        <v>73</v>
      </c>
      <c r="D355" s="10"/>
      <c r="E355" s="11" t="str">
        <f>"－"</f>
        <v>－</v>
      </c>
      <c r="F355" s="10"/>
      <c r="G355" s="11" t="str">
        <f>"－"</f>
        <v>－</v>
      </c>
      <c r="H355" s="10"/>
      <c r="I355" s="11" t="str">
        <f>"－"</f>
        <v>－</v>
      </c>
      <c r="J355" s="10"/>
      <c r="K355" s="11" t="str">
        <f>"－"</f>
        <v>－</v>
      </c>
    </row>
    <row r="356">
      <c r="A356" s="8" t="s">
        <v>29</v>
      </c>
      <c r="B356" s="9" t="s">
        <v>72</v>
      </c>
      <c r="C356" s="9" t="s">
        <v>73</v>
      </c>
      <c r="D356" s="10"/>
      <c r="E356" s="11"/>
      <c r="F356" s="10"/>
      <c r="G356" s="11"/>
      <c r="H356" s="10"/>
      <c r="I356" s="11"/>
      <c r="J356" s="10"/>
      <c r="K356" s="11"/>
    </row>
    <row r="357">
      <c r="A357" s="8" t="s">
        <v>30</v>
      </c>
      <c r="B357" s="9" t="s">
        <v>72</v>
      </c>
      <c r="C357" s="9" t="s">
        <v>73</v>
      </c>
      <c r="D357" s="10"/>
      <c r="E357" s="11"/>
      <c r="F357" s="10"/>
      <c r="G357" s="11"/>
      <c r="H357" s="10"/>
      <c r="I357" s="11"/>
      <c r="J357" s="10"/>
      <c r="K357" s="11"/>
    </row>
    <row r="358">
      <c r="A358" s="8" t="s">
        <v>31</v>
      </c>
      <c r="B358" s="9" t="s">
        <v>72</v>
      </c>
      <c r="C358" s="9" t="s">
        <v>73</v>
      </c>
      <c r="D358" s="10"/>
      <c r="E358" s="11" t="str">
        <f>"－"</f>
        <v>－</v>
      </c>
      <c r="F358" s="10"/>
      <c r="G358" s="11" t="str">
        <f>"－"</f>
        <v>－</v>
      </c>
      <c r="H358" s="10"/>
      <c r="I358" s="11" t="str">
        <f>"－"</f>
        <v>－</v>
      </c>
      <c r="J358" s="10"/>
      <c r="K358" s="11" t="str">
        <f>"－"</f>
        <v>－</v>
      </c>
    </row>
    <row r="359">
      <c r="A359" s="8" t="s">
        <v>32</v>
      </c>
      <c r="B359" s="9" t="s">
        <v>72</v>
      </c>
      <c r="C359" s="9" t="s">
        <v>73</v>
      </c>
      <c r="D359" s="10"/>
      <c r="E359" s="11" t="str">
        <f>"－"</f>
        <v>－</v>
      </c>
      <c r="F359" s="10"/>
      <c r="G359" s="11" t="str">
        <f>"－"</f>
        <v>－</v>
      </c>
      <c r="H359" s="10"/>
      <c r="I359" s="11" t="str">
        <f>"－"</f>
        <v>－</v>
      </c>
      <c r="J359" s="10"/>
      <c r="K359" s="11" t="str">
        <f>"－"</f>
        <v>－</v>
      </c>
    </row>
    <row r="360">
      <c r="A360" s="8" t="s">
        <v>33</v>
      </c>
      <c r="B360" s="9" t="s">
        <v>72</v>
      </c>
      <c r="C360" s="9" t="s">
        <v>73</v>
      </c>
      <c r="D360" s="10"/>
      <c r="E360" s="11" t="str">
        <f>"－"</f>
        <v>－</v>
      </c>
      <c r="F360" s="10"/>
      <c r="G360" s="11" t="str">
        <f>"－"</f>
        <v>－</v>
      </c>
      <c r="H360" s="10"/>
      <c r="I360" s="11" t="str">
        <f>"－"</f>
        <v>－</v>
      </c>
      <c r="J360" s="10"/>
      <c r="K360" s="11" t="str">
        <f>"－"</f>
        <v>－</v>
      </c>
    </row>
    <row r="361">
      <c r="A361" s="8" t="s">
        <v>34</v>
      </c>
      <c r="B361" s="9" t="s">
        <v>72</v>
      </c>
      <c r="C361" s="9" t="s">
        <v>73</v>
      </c>
      <c r="D361" s="10"/>
      <c r="E361" s="11" t="str">
        <f>"－"</f>
        <v>－</v>
      </c>
      <c r="F361" s="10"/>
      <c r="G361" s="11" t="str">
        <f>"－"</f>
        <v>－</v>
      </c>
      <c r="H361" s="10"/>
      <c r="I361" s="11" t="str">
        <f>"－"</f>
        <v>－</v>
      </c>
      <c r="J361" s="10"/>
      <c r="K361" s="11" t="str">
        <f>"－"</f>
        <v>－</v>
      </c>
    </row>
    <row r="362">
      <c r="A362" s="8" t="s">
        <v>35</v>
      </c>
      <c r="B362" s="9" t="s">
        <v>72</v>
      </c>
      <c r="C362" s="9" t="s">
        <v>73</v>
      </c>
      <c r="D362" s="10"/>
      <c r="E362" s="11" t="str">
        <f>"－"</f>
        <v>－</v>
      </c>
      <c r="F362" s="10"/>
      <c r="G362" s="11" t="str">
        <f>"－"</f>
        <v>－</v>
      </c>
      <c r="H362" s="10"/>
      <c r="I362" s="11" t="str">
        <f>"－"</f>
        <v>－</v>
      </c>
      <c r="J362" s="10"/>
      <c r="K362" s="11" t="str">
        <f>"－"</f>
        <v>－</v>
      </c>
    </row>
    <row r="363">
      <c r="A363" s="8" t="s">
        <v>36</v>
      </c>
      <c r="B363" s="9" t="s">
        <v>72</v>
      </c>
      <c r="C363" s="9" t="s">
        <v>73</v>
      </c>
      <c r="D363" s="10"/>
      <c r="E363" s="11"/>
      <c r="F363" s="10"/>
      <c r="G363" s="11"/>
      <c r="H363" s="10"/>
      <c r="I363" s="11"/>
      <c r="J363" s="10"/>
      <c r="K363" s="11"/>
    </row>
    <row r="364">
      <c r="A364" s="8" t="s">
        <v>37</v>
      </c>
      <c r="B364" s="9" t="s">
        <v>72</v>
      </c>
      <c r="C364" s="9" t="s">
        <v>73</v>
      </c>
      <c r="D364" s="10"/>
      <c r="E364" s="11"/>
      <c r="F364" s="10"/>
      <c r="G364" s="11"/>
      <c r="H364" s="10"/>
      <c r="I364" s="11"/>
      <c r="J364" s="10"/>
      <c r="K364" s="11"/>
    </row>
    <row r="365">
      <c r="A365" s="8" t="s">
        <v>38</v>
      </c>
      <c r="B365" s="9" t="s">
        <v>72</v>
      </c>
      <c r="C365" s="9" t="s">
        <v>73</v>
      </c>
      <c r="D365" s="10"/>
      <c r="E365" s="11" t="str">
        <f>"－"</f>
        <v>－</v>
      </c>
      <c r="F365" s="10"/>
      <c r="G365" s="11" t="str">
        <f>"－"</f>
        <v>－</v>
      </c>
      <c r="H365" s="10"/>
      <c r="I365" s="11" t="str">
        <f>"－"</f>
        <v>－</v>
      </c>
      <c r="J365" s="10"/>
      <c r="K365" s="11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11" t="str">
        <f>"－"</f>
        <v>－</v>
      </c>
      <c r="F366" s="10"/>
      <c r="G366" s="11" t="str">
        <f>"－"</f>
        <v>－</v>
      </c>
      <c r="H366" s="10"/>
      <c r="I366" s="11" t="str">
        <f>"－"</f>
        <v>－</v>
      </c>
      <c r="J366" s="10"/>
      <c r="K366" s="11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11" t="str">
        <f>"－"</f>
        <v>－</v>
      </c>
      <c r="F367" s="10"/>
      <c r="G367" s="11" t="str">
        <f>"－"</f>
        <v>－</v>
      </c>
      <c r="H367" s="10"/>
      <c r="I367" s="11" t="str">
        <f>"－"</f>
        <v>－</v>
      </c>
      <c r="J367" s="10"/>
      <c r="K367" s="11" t="str">
        <f>"－"</f>
        <v>－</v>
      </c>
    </row>
    <row r="368">
      <c r="A368" s="8" t="s">
        <v>41</v>
      </c>
      <c r="B368" s="9" t="s">
        <v>72</v>
      </c>
      <c r="C368" s="9" t="s">
        <v>73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42</v>
      </c>
      <c r="B369" s="9" t="s">
        <v>72</v>
      </c>
      <c r="C369" s="9" t="s">
        <v>73</v>
      </c>
      <c r="D369" s="10"/>
      <c r="E369" s="11"/>
      <c r="F369" s="10"/>
      <c r="G369" s="11"/>
      <c r="H369" s="10"/>
      <c r="I369" s="11"/>
      <c r="J369" s="10"/>
      <c r="K369" s="11"/>
    </row>
    <row r="370">
      <c r="A370" s="8" t="s">
        <v>43</v>
      </c>
      <c r="B370" s="9" t="s">
        <v>72</v>
      </c>
      <c r="C370" s="9" t="s">
        <v>73</v>
      </c>
      <c r="D370" s="10"/>
      <c r="E370" s="11"/>
      <c r="F370" s="10"/>
      <c r="G370" s="11"/>
      <c r="H370" s="10"/>
      <c r="I370" s="11"/>
      <c r="J370" s="10"/>
      <c r="K370" s="11"/>
    </row>
    <row r="371">
      <c r="A371" s="8" t="s">
        <v>44</v>
      </c>
      <c r="B371" s="9" t="s">
        <v>72</v>
      </c>
      <c r="C371" s="9" t="s">
        <v>73</v>
      </c>
      <c r="D371" s="10"/>
      <c r="E371" s="11"/>
      <c r="F371" s="10"/>
      <c r="G371" s="11"/>
      <c r="H371" s="10"/>
      <c r="I371" s="11"/>
      <c r="J371" s="10"/>
      <c r="K371" s="11"/>
    </row>
    <row r="372">
      <c r="A372" s="8" t="s">
        <v>45</v>
      </c>
      <c r="B372" s="9" t="s">
        <v>72</v>
      </c>
      <c r="C372" s="9" t="s">
        <v>73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11" t="str">
        <f>"－"</f>
        <v>－</v>
      </c>
      <c r="F374" s="10"/>
      <c r="G374" s="11" t="str">
        <f>"－"</f>
        <v>－</v>
      </c>
      <c r="H374" s="10"/>
      <c r="I374" s="11" t="str">
        <f>"－"</f>
        <v>－</v>
      </c>
      <c r="J374" s="10"/>
      <c r="K374" s="11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11" t="str">
        <f>"－"</f>
        <v>－</v>
      </c>
      <c r="F375" s="10"/>
      <c r="G375" s="11" t="str">
        <f>"－"</f>
        <v>－</v>
      </c>
      <c r="H375" s="10"/>
      <c r="I375" s="11" t="str">
        <f>"－"</f>
        <v>－</v>
      </c>
      <c r="J375" s="10"/>
      <c r="K375" s="11" t="str">
        <f>"－"</f>
        <v>－</v>
      </c>
    </row>
    <row r="376">
      <c r="A376" s="8" t="s">
        <v>49</v>
      </c>
      <c r="B376" s="9" t="s">
        <v>72</v>
      </c>
      <c r="C376" s="9" t="s">
        <v>73</v>
      </c>
      <c r="D376" s="10"/>
      <c r="E376" s="11" t="str">
        <f>"－"</f>
        <v>－</v>
      </c>
      <c r="F376" s="10"/>
      <c r="G376" s="11" t="str">
        <f>"－"</f>
        <v>－</v>
      </c>
      <c r="H376" s="10"/>
      <c r="I376" s="11" t="str">
        <f>"－"</f>
        <v>－</v>
      </c>
      <c r="J376" s="10"/>
      <c r="K376" s="11" t="str">
        <f>"－"</f>
        <v>－</v>
      </c>
    </row>
    <row r="377">
      <c r="A377" s="8" t="s">
        <v>50</v>
      </c>
      <c r="B377" s="9" t="s">
        <v>72</v>
      </c>
      <c r="C377" s="9" t="s">
        <v>73</v>
      </c>
      <c r="D377" s="10"/>
      <c r="E377" s="11"/>
      <c r="F377" s="10"/>
      <c r="G377" s="11"/>
      <c r="H377" s="10"/>
      <c r="I377" s="11"/>
      <c r="J377" s="10"/>
      <c r="K377" s="11"/>
    </row>
    <row r="378">
      <c r="A378" s="8" t="s">
        <v>16</v>
      </c>
      <c r="B378" s="9" t="s">
        <v>74</v>
      </c>
      <c r="C378" s="9" t="s">
        <v>75</v>
      </c>
      <c r="D378" s="10" t="s">
        <v>53</v>
      </c>
      <c r="E378" s="11" t="str">
        <f>"－"</f>
        <v>－</v>
      </c>
      <c r="F378" s="10" t="s">
        <v>53</v>
      </c>
      <c r="G378" s="11" t="str">
        <f>"－"</f>
        <v>－</v>
      </c>
      <c r="H378" s="10" t="s">
        <v>53</v>
      </c>
      <c r="I378" s="11" t="str">
        <f>"－"</f>
        <v>－</v>
      </c>
      <c r="J378" s="10" t="s">
        <v>53</v>
      </c>
      <c r="K378" s="11" t="str">
        <f>"－"</f>
        <v>－</v>
      </c>
    </row>
    <row r="379">
      <c r="A379" s="8" t="s">
        <v>20</v>
      </c>
      <c r="B379" s="9" t="s">
        <v>74</v>
      </c>
      <c r="C379" s="9" t="s">
        <v>75</v>
      </c>
      <c r="D379" s="10"/>
      <c r="E379" s="11" t="str">
        <f>"－"</f>
        <v>－</v>
      </c>
      <c r="F379" s="10"/>
      <c r="G379" s="11" t="str">
        <f>"－"</f>
        <v>－</v>
      </c>
      <c r="H379" s="10"/>
      <c r="I379" s="11" t="str">
        <f>"－"</f>
        <v>－</v>
      </c>
      <c r="J379" s="10"/>
      <c r="K379" s="11" t="str">
        <f>"－"</f>
        <v>－</v>
      </c>
    </row>
    <row r="380">
      <c r="A380" s="8" t="s">
        <v>22</v>
      </c>
      <c r="B380" s="9" t="s">
        <v>74</v>
      </c>
      <c r="C380" s="9" t="s">
        <v>75</v>
      </c>
      <c r="D380" s="10"/>
      <c r="E380" s="11"/>
      <c r="F380" s="10"/>
      <c r="G380" s="11"/>
      <c r="H380" s="10"/>
      <c r="I380" s="11"/>
      <c r="J380" s="10"/>
      <c r="K380" s="11"/>
    </row>
    <row r="381">
      <c r="A381" s="8" t="s">
        <v>23</v>
      </c>
      <c r="B381" s="9" t="s">
        <v>74</v>
      </c>
      <c r="C381" s="9" t="s">
        <v>75</v>
      </c>
      <c r="D381" s="10"/>
      <c r="E381" s="11"/>
      <c r="F381" s="10"/>
      <c r="G381" s="11"/>
      <c r="H381" s="10"/>
      <c r="I381" s="11"/>
      <c r="J381" s="10"/>
      <c r="K381" s="11"/>
    </row>
    <row r="382">
      <c r="A382" s="8" t="s">
        <v>24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25</v>
      </c>
      <c r="B383" s="9" t="s">
        <v>74</v>
      </c>
      <c r="C383" s="9" t="s">
        <v>75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26</v>
      </c>
      <c r="B384" s="9" t="s">
        <v>74</v>
      </c>
      <c r="C384" s="9" t="s">
        <v>75</v>
      </c>
      <c r="D384" s="10"/>
      <c r="E384" s="11" t="str">
        <f>"－"</f>
        <v>－</v>
      </c>
      <c r="F384" s="10"/>
      <c r="G384" s="11" t="str">
        <f>"－"</f>
        <v>－</v>
      </c>
      <c r="H384" s="10"/>
      <c r="I384" s="11" t="str">
        <f>"－"</f>
        <v>－</v>
      </c>
      <c r="J384" s="10"/>
      <c r="K384" s="11" t="str">
        <f>"－"</f>
        <v>－</v>
      </c>
    </row>
    <row r="385">
      <c r="A385" s="8" t="s">
        <v>27</v>
      </c>
      <c r="B385" s="9" t="s">
        <v>74</v>
      </c>
      <c r="C385" s="9" t="s">
        <v>75</v>
      </c>
      <c r="D385" s="10"/>
      <c r="E385" s="11" t="str">
        <f>"－"</f>
        <v>－</v>
      </c>
      <c r="F385" s="10"/>
      <c r="G385" s="11" t="str">
        <f>"－"</f>
        <v>－</v>
      </c>
      <c r="H385" s="10"/>
      <c r="I385" s="11" t="str">
        <f>"－"</f>
        <v>－</v>
      </c>
      <c r="J385" s="10"/>
      <c r="K385" s="11" t="str">
        <f>"－"</f>
        <v>－</v>
      </c>
    </row>
    <row r="386">
      <c r="A386" s="8" t="s">
        <v>28</v>
      </c>
      <c r="B386" s="9" t="s">
        <v>74</v>
      </c>
      <c r="C386" s="9" t="s">
        <v>75</v>
      </c>
      <c r="D386" s="10"/>
      <c r="E386" s="11" t="str">
        <f>"－"</f>
        <v>－</v>
      </c>
      <c r="F386" s="10"/>
      <c r="G386" s="11" t="str">
        <f>"－"</f>
        <v>－</v>
      </c>
      <c r="H386" s="10"/>
      <c r="I386" s="11" t="str">
        <f>"－"</f>
        <v>－</v>
      </c>
      <c r="J386" s="10"/>
      <c r="K386" s="11" t="str">
        <f>"－"</f>
        <v>－</v>
      </c>
    </row>
    <row r="387">
      <c r="A387" s="8" t="s">
        <v>29</v>
      </c>
      <c r="B387" s="9" t="s">
        <v>74</v>
      </c>
      <c r="C387" s="9" t="s">
        <v>75</v>
      </c>
      <c r="D387" s="10"/>
      <c r="E387" s="11"/>
      <c r="F387" s="10"/>
      <c r="G387" s="11"/>
      <c r="H387" s="10"/>
      <c r="I387" s="11"/>
      <c r="J387" s="10"/>
      <c r="K387" s="11"/>
    </row>
    <row r="388">
      <c r="A388" s="8" t="s">
        <v>30</v>
      </c>
      <c r="B388" s="9" t="s">
        <v>74</v>
      </c>
      <c r="C388" s="9" t="s">
        <v>75</v>
      </c>
      <c r="D388" s="10"/>
      <c r="E388" s="11"/>
      <c r="F388" s="10"/>
      <c r="G388" s="11"/>
      <c r="H388" s="10"/>
      <c r="I388" s="11"/>
      <c r="J388" s="10"/>
      <c r="K388" s="11"/>
    </row>
    <row r="389">
      <c r="A389" s="8" t="s">
        <v>31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11" t="str">
        <f>"－"</f>
        <v>－</v>
      </c>
      <c r="F391" s="10"/>
      <c r="G391" s="11" t="str">
        <f>"－"</f>
        <v>－</v>
      </c>
      <c r="H391" s="10"/>
      <c r="I391" s="11" t="str">
        <f>"－"</f>
        <v>－</v>
      </c>
      <c r="J391" s="10"/>
      <c r="K391" s="11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11" t="str">
        <f>"－"</f>
        <v>－</v>
      </c>
      <c r="F392" s="10"/>
      <c r="G392" s="11" t="str">
        <f>"－"</f>
        <v>－</v>
      </c>
      <c r="H392" s="10"/>
      <c r="I392" s="11" t="str">
        <f>"－"</f>
        <v>－</v>
      </c>
      <c r="J392" s="10"/>
      <c r="K392" s="11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36</v>
      </c>
      <c r="B394" s="9" t="s">
        <v>74</v>
      </c>
      <c r="C394" s="9" t="s">
        <v>75</v>
      </c>
      <c r="D394" s="10"/>
      <c r="E394" s="11"/>
      <c r="F394" s="10"/>
      <c r="G394" s="11"/>
      <c r="H394" s="10"/>
      <c r="I394" s="11"/>
      <c r="J394" s="10"/>
      <c r="K394" s="11"/>
    </row>
    <row r="395">
      <c r="A395" s="8" t="s">
        <v>37</v>
      </c>
      <c r="B395" s="9" t="s">
        <v>74</v>
      </c>
      <c r="C395" s="9" t="s">
        <v>75</v>
      </c>
      <c r="D395" s="10"/>
      <c r="E395" s="11"/>
      <c r="F395" s="10"/>
      <c r="G395" s="11"/>
      <c r="H395" s="10"/>
      <c r="I395" s="11"/>
      <c r="J395" s="10"/>
      <c r="K395" s="11"/>
    </row>
    <row r="396">
      <c r="A396" s="8" t="s">
        <v>38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11" t="str">
        <f>"－"</f>
        <v>－</v>
      </c>
      <c r="F398" s="10"/>
      <c r="G398" s="11" t="str">
        <f>"－"</f>
        <v>－</v>
      </c>
      <c r="H398" s="10"/>
      <c r="I398" s="11" t="str">
        <f>"－"</f>
        <v>－</v>
      </c>
      <c r="J398" s="10"/>
      <c r="K398" s="11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11"/>
      <c r="F399" s="10"/>
      <c r="G399" s="11"/>
      <c r="H399" s="10"/>
      <c r="I399" s="11"/>
      <c r="J399" s="10"/>
      <c r="K399" s="11"/>
    </row>
    <row r="400">
      <c r="A400" s="8" t="s">
        <v>42</v>
      </c>
      <c r="B400" s="9" t="s">
        <v>74</v>
      </c>
      <c r="C400" s="9" t="s">
        <v>75</v>
      </c>
      <c r="D400" s="10"/>
      <c r="E400" s="11"/>
      <c r="F400" s="10"/>
      <c r="G400" s="11"/>
      <c r="H400" s="10"/>
      <c r="I400" s="11"/>
      <c r="J400" s="10"/>
      <c r="K400" s="11"/>
    </row>
    <row r="401">
      <c r="A401" s="8" t="s">
        <v>43</v>
      </c>
      <c r="B401" s="9" t="s">
        <v>74</v>
      </c>
      <c r="C401" s="9" t="s">
        <v>75</v>
      </c>
      <c r="D401" s="10"/>
      <c r="E401" s="11"/>
      <c r="F401" s="10"/>
      <c r="G401" s="11"/>
      <c r="H401" s="10"/>
      <c r="I401" s="11"/>
      <c r="J401" s="10"/>
      <c r="K401" s="11"/>
    </row>
    <row r="402">
      <c r="A402" s="8" t="s">
        <v>44</v>
      </c>
      <c r="B402" s="9" t="s">
        <v>74</v>
      </c>
      <c r="C402" s="9" t="s">
        <v>75</v>
      </c>
      <c r="D402" s="10"/>
      <c r="E402" s="11"/>
      <c r="F402" s="10"/>
      <c r="G402" s="11"/>
      <c r="H402" s="10"/>
      <c r="I402" s="11"/>
      <c r="J402" s="10"/>
      <c r="K402" s="11"/>
    </row>
    <row r="403">
      <c r="A403" s="8" t="s">
        <v>45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11" t="str">
        <f>"－"</f>
        <v>－</v>
      </c>
      <c r="F405" s="10"/>
      <c r="G405" s="11" t="str">
        <f>"－"</f>
        <v>－</v>
      </c>
      <c r="H405" s="10"/>
      <c r="I405" s="11" t="str">
        <f>"－"</f>
        <v>－</v>
      </c>
      <c r="J405" s="10"/>
      <c r="K405" s="11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11" t="str">
        <f>"－"</f>
        <v>－</v>
      </c>
      <c r="F406" s="10"/>
      <c r="G406" s="11" t="str">
        <f>"－"</f>
        <v>－</v>
      </c>
      <c r="H406" s="10"/>
      <c r="I406" s="11" t="str">
        <f>"－"</f>
        <v>－</v>
      </c>
      <c r="J406" s="10"/>
      <c r="K406" s="11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11" t="str">
        <f>"－"</f>
        <v>－</v>
      </c>
      <c r="F407" s="10"/>
      <c r="G407" s="11" t="str">
        <f>"－"</f>
        <v>－</v>
      </c>
      <c r="H407" s="10"/>
      <c r="I407" s="11" t="str">
        <f>"－"</f>
        <v>－</v>
      </c>
      <c r="J407" s="10"/>
      <c r="K407" s="11" t="str">
        <f>"－"</f>
        <v>－</v>
      </c>
    </row>
    <row r="408">
      <c r="A408" s="8" t="s">
        <v>50</v>
      </c>
      <c r="B408" s="9" t="s">
        <v>74</v>
      </c>
      <c r="C408" s="9" t="s">
        <v>75</v>
      </c>
      <c r="D408" s="10"/>
      <c r="E408" s="11"/>
      <c r="F408" s="10"/>
      <c r="G408" s="11"/>
      <c r="H408" s="10"/>
      <c r="I408" s="11"/>
      <c r="J408" s="10"/>
      <c r="K408" s="11"/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