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<sst xmlns="http://schemas.openxmlformats.org/spreadsheetml/2006/main" count="1710" uniqueCount="84">
  <si>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</si>
  <si>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</si>
  <si>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</si>
  <si>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</si>
  <si>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</si>
  <si>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</si>
  <si>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</si>
  <si>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</si>
  <si>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</si>
  <si>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</si>
  <si>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</si>
  <si>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</si>
  <si>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</si>
  <si>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</si>
  <si>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</si>
  <si>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</si>
  <si>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7.1</t>
  </si>
  <si>
    <t>日経225先物</t>
  </si>
  <si>
    <t>Nikkei 225 Futures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</si>
  <si>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</si>
  <si>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</si>
  <si>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</si>
  <si>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</si>
  <si>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</si>
  <si>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</si>
  <si>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</si>
  <si>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</si>
  <si>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</si>
  <si>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◎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</si>
  <si>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</si>
  <si>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</si>
  <si>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</si>
  <si>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</si>
  <si>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</si>
  <si>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</si>
  <si>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</si>
  <si>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</si>
  <si>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</si>
  <si>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</si>
  <si>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</si>
  <si>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</si>
  <si>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</si>
  <si>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</si>
  <si>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</si>
  <si>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</si>
  <si>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</si>
  <si>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</si>
  <si>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</si>
  <si>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</si>
  <si>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</si>
  <si>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</si>
  <si>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</si>
  <si>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</si>
  <si>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</si>
  <si>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</si>
  <si>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</si>
  <si>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</si>
  <si>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</si>
  <si>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</si>
  <si>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</si>
  <si>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</si>
  <si>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◎●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</si>
  <si>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</si>
  <si>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</si>
  <si>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</si>
  <si>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</si>
  <si>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</si>
  <si>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</si>
  <si>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東証マザーズ指数先物</t>
  </si>
  <si>
    <t>TSE Mothers Index Futures</t>
  </si>
  <si>
    <t>NYダウ先物</t>
  </si>
  <si>
    <t>DJIA Futures</t>
  </si>
  <si>
    <t>台湾加権指数先物</t>
  </si>
  <si>
    <t>TAIEX Futures</t>
  </si>
  <si>
    <t>FTSE中国50指数先物</t>
  </si>
  <si>
    <t>FTSE China Index 50 Futures</t>
  </si>
  <si>
    <t>日経平均・配当指数先物</t>
  </si>
  <si>
    <t>Nikkei 225 Dividend Index Futures</t>
  </si>
  <si>
    <t>TOPIX配当指数先物</t>
  </si>
  <si>
    <t>TOPIX Dividend Index Futures</t>
  </si>
  <si>
    <t>TOPIX Core30配当指数先物</t>
  </si>
  <si>
    <t>TOPIX Core30 Dividend Index Futures</t>
  </si>
  <si>
    <t>日経平均VI先物</t>
  </si>
  <si>
    <t>Nikkei 225 VI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</si>
</sst>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532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44379</f>
        <v>44379.0</v>
      </c>
      <c r="F6" s="10"/>
      <c r="G6" s="2" t="n">
        <f>1271917618320</f>
        <v>1.27191761832E12</v>
      </c>
      <c r="H6" s="10"/>
      <c r="I6" s="2" t="n">
        <f>6350</f>
        <v>6350.0</v>
      </c>
      <c r="J6" s="10"/>
      <c r="K6" s="2" t="n">
        <f>276298</f>
        <v>276298.0</v>
      </c>
    </row>
    <row r="7">
      <c r="A7" s="8" t="s">
        <v>19</v>
      </c>
      <c r="B7" s="9" t="s">
        <v>17</v>
      </c>
      <c r="C7" s="9" t="s">
        <v>18</v>
      </c>
      <c r="D7" s="10"/>
      <c r="E7" s="2" t="n">
        <f>34239</f>
        <v>34239.0</v>
      </c>
      <c r="F7" s="10"/>
      <c r="G7" s="2" t="n">
        <f>983695401590</f>
        <v>9.8369540159E11</v>
      </c>
      <c r="H7" s="10"/>
      <c r="I7" s="2" t="n">
        <f>4262</f>
        <v>4262.0</v>
      </c>
      <c r="J7" s="10" t="s">
        <v>20</v>
      </c>
      <c r="K7" s="2" t="n">
        <f>275730</f>
        <v>275730.0</v>
      </c>
    </row>
    <row r="8">
      <c r="A8" s="8" t="s">
        <v>21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22</v>
      </c>
      <c r="B9" s="9" t="s">
        <v>17</v>
      </c>
      <c r="C9" s="9" t="s">
        <v>18</v>
      </c>
      <c r="D9" s="10"/>
      <c r="E9" s="2"/>
      <c r="F9" s="10"/>
      <c r="G9" s="2"/>
      <c r="H9" s="10"/>
      <c r="I9" s="2"/>
      <c r="J9" s="10"/>
      <c r="K9" s="2"/>
    </row>
    <row r="10">
      <c r="A10" s="8" t="s">
        <v>23</v>
      </c>
      <c r="B10" s="9" t="s">
        <v>17</v>
      </c>
      <c r="C10" s="9" t="s">
        <v>18</v>
      </c>
      <c r="D10" s="10"/>
      <c r="E10" s="2" t="n">
        <f>37550</f>
        <v>37550.0</v>
      </c>
      <c r="F10" s="10"/>
      <c r="G10" s="2" t="n">
        <f>1074886802758</f>
        <v>1.074886802758E12</v>
      </c>
      <c r="H10" s="10" t="s">
        <v>20</v>
      </c>
      <c r="I10" s="2" t="n">
        <f>3736</f>
        <v>3736.0</v>
      </c>
      <c r="J10" s="10"/>
      <c r="K10" s="2" t="n">
        <f>276219</f>
        <v>276219.0</v>
      </c>
    </row>
    <row r="11">
      <c r="A11" s="8" t="s">
        <v>24</v>
      </c>
      <c r="B11" s="9" t="s">
        <v>17</v>
      </c>
      <c r="C11" s="9" t="s">
        <v>18</v>
      </c>
      <c r="D11" s="10" t="s">
        <v>20</v>
      </c>
      <c r="E11" s="2" t="n">
        <f>28097</f>
        <v>28097.0</v>
      </c>
      <c r="F11" s="10" t="s">
        <v>20</v>
      </c>
      <c r="G11" s="2" t="n">
        <f>804684681650</f>
        <v>8.0468468165E11</v>
      </c>
      <c r="H11" s="10"/>
      <c r="I11" s="2" t="n">
        <f>4705</f>
        <v>4705.0</v>
      </c>
      <c r="J11" s="10"/>
      <c r="K11" s="2" t="n">
        <f>276531</f>
        <v>276531.0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60992</f>
        <v>60992.0</v>
      </c>
      <c r="F12" s="10"/>
      <c r="G12" s="2" t="n">
        <f>1728006131522</f>
        <v>1.728006131522E12</v>
      </c>
      <c r="H12" s="10"/>
      <c r="I12" s="2" t="n">
        <f>7341</f>
        <v>7341.0</v>
      </c>
      <c r="J12" s="10"/>
      <c r="K12" s="2" t="n">
        <f>280331</f>
        <v>280331.0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66706</f>
        <v>66706.0</v>
      </c>
      <c r="F13" s="10"/>
      <c r="G13" s="2" t="n">
        <f>1880466173880</f>
        <v>1.88046617388E12</v>
      </c>
      <c r="H13" s="10"/>
      <c r="I13" s="2" t="n">
        <f>6520</f>
        <v>6520.0</v>
      </c>
      <c r="J13" s="10"/>
      <c r="K13" s="2" t="n">
        <f>279759</f>
        <v>279759.0</v>
      </c>
    </row>
    <row r="14">
      <c r="A14" s="8" t="s">
        <v>27</v>
      </c>
      <c r="B14" s="9" t="s">
        <v>17</v>
      </c>
      <c r="C14" s="9" t="s">
        <v>18</v>
      </c>
      <c r="D14" s="10" t="s">
        <v>28</v>
      </c>
      <c r="E14" s="2" t="n">
        <f>132568</f>
        <v>132568.0</v>
      </c>
      <c r="F14" s="10" t="s">
        <v>28</v>
      </c>
      <c r="G14" s="2" t="n">
        <f>3676120846096</f>
        <v>3.676120846096E12</v>
      </c>
      <c r="H14" s="10" t="s">
        <v>28</v>
      </c>
      <c r="I14" s="2" t="n">
        <f>15704</f>
        <v>15704.0</v>
      </c>
      <c r="J14" s="10"/>
      <c r="K14" s="2" t="n">
        <f>283511</f>
        <v>283511.0</v>
      </c>
    </row>
    <row r="15">
      <c r="A15" s="8" t="s">
        <v>29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30</v>
      </c>
      <c r="B16" s="9" t="s">
        <v>17</v>
      </c>
      <c r="C16" s="9" t="s">
        <v>18</v>
      </c>
      <c r="D16" s="10"/>
      <c r="E16" s="2"/>
      <c r="F16" s="10"/>
      <c r="G16" s="2"/>
      <c r="H16" s="10"/>
      <c r="I16" s="2"/>
      <c r="J16" s="10"/>
      <c r="K16" s="2"/>
    </row>
    <row r="17">
      <c r="A17" s="8" t="s">
        <v>31</v>
      </c>
      <c r="B17" s="9" t="s">
        <v>17</v>
      </c>
      <c r="C17" s="9" t="s">
        <v>18</v>
      </c>
      <c r="D17" s="10"/>
      <c r="E17" s="2" t="n">
        <f>69626</f>
        <v>69626.0</v>
      </c>
      <c r="F17" s="10"/>
      <c r="G17" s="2" t="n">
        <f>1979896956910</f>
        <v>1.97989695691E12</v>
      </c>
      <c r="H17" s="10"/>
      <c r="I17" s="2" t="n">
        <f>10483</f>
        <v>10483.0</v>
      </c>
      <c r="J17" s="10"/>
      <c r="K17" s="2" t="n">
        <f>283224</f>
        <v>283224.0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50338</f>
        <v>50338.0</v>
      </c>
      <c r="F18" s="10"/>
      <c r="G18" s="2" t="n">
        <f>1441634291140</f>
        <v>1.44163429114E12</v>
      </c>
      <c r="H18" s="10"/>
      <c r="I18" s="2" t="n">
        <f>9496</f>
        <v>9496.0</v>
      </c>
      <c r="J18" s="10"/>
      <c r="K18" s="2" t="n">
        <f>279742</f>
        <v>279742.0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41342</f>
        <v>41342.0</v>
      </c>
      <c r="F19" s="10"/>
      <c r="G19" s="2" t="n">
        <f>1181672750630</f>
        <v>1.18167275063E12</v>
      </c>
      <c r="H19" s="10"/>
      <c r="I19" s="2" t="n">
        <f>5549</f>
        <v>5549.0</v>
      </c>
      <c r="J19" s="10"/>
      <c r="K19" s="2" t="n">
        <f>281045</f>
        <v>281045.0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45276</f>
        <v>45276.0</v>
      </c>
      <c r="F20" s="10"/>
      <c r="G20" s="2" t="n">
        <f>1285197646936</f>
        <v>1.285197646936E12</v>
      </c>
      <c r="H20" s="10"/>
      <c r="I20" s="2" t="n">
        <f>7424</f>
        <v>7424.0</v>
      </c>
      <c r="J20" s="10"/>
      <c r="K20" s="2" t="n">
        <f>284676</f>
        <v>284676.0</v>
      </c>
    </row>
    <row r="21">
      <c r="A21" s="8" t="s">
        <v>35</v>
      </c>
      <c r="B21" s="9" t="s">
        <v>17</v>
      </c>
      <c r="C21" s="9" t="s">
        <v>18</v>
      </c>
      <c r="D21" s="10"/>
      <c r="E21" s="2" t="n">
        <f>62739</f>
        <v>62739.0</v>
      </c>
      <c r="F21" s="10"/>
      <c r="G21" s="2" t="n">
        <f>1759208304580</f>
        <v>1.75920830458E12</v>
      </c>
      <c r="H21" s="10"/>
      <c r="I21" s="2" t="n">
        <f>10850</f>
        <v>10850.0</v>
      </c>
      <c r="J21" s="10"/>
      <c r="K21" s="2" t="n">
        <f>286305</f>
        <v>286305.0</v>
      </c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/>
      <c r="E23" s="2"/>
      <c r="F23" s="10"/>
      <c r="G23" s="2"/>
      <c r="H23" s="10"/>
      <c r="I23" s="2"/>
      <c r="J23" s="10"/>
      <c r="K23" s="2"/>
    </row>
    <row r="24">
      <c r="A24" s="8" t="s">
        <v>38</v>
      </c>
      <c r="B24" s="9" t="s">
        <v>17</v>
      </c>
      <c r="C24" s="9" t="s">
        <v>18</v>
      </c>
      <c r="D24" s="10"/>
      <c r="E24" s="2" t="n">
        <f>63410</f>
        <v>63410.0</v>
      </c>
      <c r="F24" s="10"/>
      <c r="G24" s="2" t="n">
        <f>1756527327170</f>
        <v>1.75652732717E12</v>
      </c>
      <c r="H24" s="10"/>
      <c r="I24" s="2" t="n">
        <f>9574</f>
        <v>9574.0</v>
      </c>
      <c r="J24" s="10" t="s">
        <v>28</v>
      </c>
      <c r="K24" s="2" t="n">
        <f>318398</f>
        <v>318398.0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87647</f>
        <v>87647.0</v>
      </c>
      <c r="F25" s="10"/>
      <c r="G25" s="2" t="n">
        <f>2399321922960</f>
        <v>2.39932192296E12</v>
      </c>
      <c r="H25" s="10"/>
      <c r="I25" s="2" t="n">
        <f>13236</f>
        <v>13236.0</v>
      </c>
      <c r="J25" s="10"/>
      <c r="K25" s="2" t="n">
        <f>288955</f>
        <v>288955.0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74611</f>
        <v>74611.0</v>
      </c>
      <c r="F26" s="10"/>
      <c r="G26" s="2" t="n">
        <f>2056693774720</f>
        <v>2.05669377472E12</v>
      </c>
      <c r="H26" s="10"/>
      <c r="I26" s="2" t="n">
        <f>10242</f>
        <v>10242.0</v>
      </c>
      <c r="J26" s="10"/>
      <c r="K26" s="2" t="n">
        <f>287799</f>
        <v>287799.0</v>
      </c>
    </row>
    <row r="27">
      <c r="A27" s="8" t="s">
        <v>41</v>
      </c>
      <c r="B27" s="9" t="s">
        <v>17</v>
      </c>
      <c r="C27" s="9" t="s">
        <v>18</v>
      </c>
      <c r="D27" s="10"/>
      <c r="E27" s="2"/>
      <c r="F27" s="10"/>
      <c r="G27" s="2"/>
      <c r="H27" s="10"/>
      <c r="I27" s="2"/>
      <c r="J27" s="10"/>
      <c r="K27" s="2"/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/>
      <c r="F30" s="10"/>
      <c r="G30" s="2"/>
      <c r="H30" s="10"/>
      <c r="I30" s="2"/>
      <c r="J30" s="10"/>
      <c r="K30" s="2"/>
    </row>
    <row r="31">
      <c r="A31" s="8" t="s">
        <v>45</v>
      </c>
      <c r="B31" s="9" t="s">
        <v>17</v>
      </c>
      <c r="C31" s="9" t="s">
        <v>18</v>
      </c>
      <c r="D31" s="10"/>
      <c r="E31" s="2" t="n">
        <f>52116</f>
        <v>52116.0</v>
      </c>
      <c r="F31" s="10"/>
      <c r="G31" s="2" t="n">
        <f>1450731538950</f>
        <v>1.45073153895E12</v>
      </c>
      <c r="H31" s="10"/>
      <c r="I31" s="2" t="n">
        <f>8247</f>
        <v>8247.0</v>
      </c>
      <c r="J31" s="10"/>
      <c r="K31" s="2" t="n">
        <f>286204</f>
        <v>286204.0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40915</f>
        <v>40915.0</v>
      </c>
      <c r="F32" s="10"/>
      <c r="G32" s="2" t="n">
        <f>1140594160590</f>
        <v>1.14059416059E12</v>
      </c>
      <c r="H32" s="10"/>
      <c r="I32" s="2" t="n">
        <f>4408</f>
        <v>4408.0</v>
      </c>
      <c r="J32" s="10"/>
      <c r="K32" s="2" t="n">
        <f>286890</f>
        <v>286890.0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70819</f>
        <v>70819.0</v>
      </c>
      <c r="F33" s="10"/>
      <c r="G33" s="2" t="n">
        <f>1955253690610</f>
        <v>1.95525369061E12</v>
      </c>
      <c r="H33" s="10"/>
      <c r="I33" s="2" t="n">
        <f>8068</f>
        <v>8068.0</v>
      </c>
      <c r="J33" s="10"/>
      <c r="K33" s="2" t="n">
        <f>288979</f>
        <v>288979.0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44028</f>
        <v>44028.0</v>
      </c>
      <c r="F34" s="10"/>
      <c r="G34" s="2" t="n">
        <f>1221321348170</f>
        <v>1.22132134817E12</v>
      </c>
      <c r="H34" s="10"/>
      <c r="I34" s="2" t="n">
        <f>6900</f>
        <v>6900.0</v>
      </c>
      <c r="J34" s="10"/>
      <c r="K34" s="2" t="n">
        <f>288246</f>
        <v>288246.0</v>
      </c>
    </row>
    <row r="35">
      <c r="A35" s="8" t="s">
        <v>49</v>
      </c>
      <c r="B35" s="9" t="s">
        <v>17</v>
      </c>
      <c r="C35" s="9" t="s">
        <v>18</v>
      </c>
      <c r="D35" s="10"/>
      <c r="E35" s="2" t="n">
        <f>66614</f>
        <v>66614.0</v>
      </c>
      <c r="F35" s="10"/>
      <c r="G35" s="2" t="n">
        <f>1828744138630</f>
        <v>1.82874413863E12</v>
      </c>
      <c r="H35" s="10"/>
      <c r="I35" s="2" t="n">
        <f>13812</f>
        <v>13812.0</v>
      </c>
      <c r="J35" s="10"/>
      <c r="K35" s="2" t="n">
        <f>292144</f>
        <v>292144.0</v>
      </c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/>
      <c r="E37" s="2" t="n">
        <f>755918</f>
        <v>755918.0</v>
      </c>
      <c r="F37" s="10"/>
      <c r="G37" s="2" t="n">
        <f>2167345709808</f>
        <v>2.167345709808E12</v>
      </c>
      <c r="H37" s="10"/>
      <c r="I37" s="2" t="n">
        <f>105524</f>
        <v>105524.0</v>
      </c>
      <c r="J37" s="10"/>
      <c r="K37" s="2" t="n">
        <f>265026</f>
        <v>265026.0</v>
      </c>
    </row>
    <row r="38">
      <c r="A38" s="8" t="s">
        <v>19</v>
      </c>
      <c r="B38" s="9" t="s">
        <v>51</v>
      </c>
      <c r="C38" s="9" t="s">
        <v>52</v>
      </c>
      <c r="D38" s="10"/>
      <c r="E38" s="2" t="n">
        <f>662968</f>
        <v>662968.0</v>
      </c>
      <c r="F38" s="10"/>
      <c r="G38" s="2" t="n">
        <f>1903940536650</f>
        <v>1.90394053665E12</v>
      </c>
      <c r="H38" s="10"/>
      <c r="I38" s="2" t="n">
        <f>97372</f>
        <v>97372.0</v>
      </c>
      <c r="J38" s="10"/>
      <c r="K38" s="2" t="n">
        <f>263032</f>
        <v>263032.0</v>
      </c>
    </row>
    <row r="39">
      <c r="A39" s="8" t="s">
        <v>21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22</v>
      </c>
      <c r="B40" s="9" t="s">
        <v>51</v>
      </c>
      <c r="C40" s="9" t="s">
        <v>52</v>
      </c>
      <c r="D40" s="10"/>
      <c r="E40" s="2"/>
      <c r="F40" s="10"/>
      <c r="G40" s="2"/>
      <c r="H40" s="10"/>
      <c r="I40" s="2"/>
      <c r="J40" s="10"/>
      <c r="K40" s="2"/>
    </row>
    <row r="41">
      <c r="A41" s="8" t="s">
        <v>23</v>
      </c>
      <c r="B41" s="9" t="s">
        <v>51</v>
      </c>
      <c r="C41" s="9" t="s">
        <v>52</v>
      </c>
      <c r="D41" s="10"/>
      <c r="E41" s="2" t="n">
        <f>586657</f>
        <v>586657.0</v>
      </c>
      <c r="F41" s="10"/>
      <c r="G41" s="2" t="n">
        <f>1681854797294</f>
        <v>1.681854797294E12</v>
      </c>
      <c r="H41" s="10"/>
      <c r="I41" s="2" t="n">
        <f>76586</f>
        <v>76586.0</v>
      </c>
      <c r="J41" s="10" t="s">
        <v>20</v>
      </c>
      <c r="K41" s="2" t="n">
        <f>259563</f>
        <v>259563.0</v>
      </c>
    </row>
    <row r="42">
      <c r="A42" s="8" t="s">
        <v>24</v>
      </c>
      <c r="B42" s="9" t="s">
        <v>51</v>
      </c>
      <c r="C42" s="9" t="s">
        <v>52</v>
      </c>
      <c r="D42" s="10" t="s">
        <v>20</v>
      </c>
      <c r="E42" s="2" t="n">
        <f>497407</f>
        <v>497407.0</v>
      </c>
      <c r="F42" s="10" t="s">
        <v>20</v>
      </c>
      <c r="G42" s="2" t="n">
        <f>1424331940335</f>
        <v>1.424331940335E12</v>
      </c>
      <c r="H42" s="10" t="s">
        <v>20</v>
      </c>
      <c r="I42" s="2" t="n">
        <f>67727</f>
        <v>67727.0</v>
      </c>
      <c r="J42" s="10"/>
      <c r="K42" s="2" t="n">
        <f>267927</f>
        <v>267927.0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1084958</f>
        <v>1084958.0</v>
      </c>
      <c r="F43" s="10"/>
      <c r="G43" s="2" t="n">
        <f>3075499426284</f>
        <v>3.075499426284E12</v>
      </c>
      <c r="H43" s="10"/>
      <c r="I43" s="2" t="n">
        <f>164529</f>
        <v>164529.0</v>
      </c>
      <c r="J43" s="10"/>
      <c r="K43" s="2" t="n">
        <f>289498</f>
        <v>289498.0</v>
      </c>
    </row>
    <row r="44">
      <c r="A44" s="8" t="s">
        <v>26</v>
      </c>
      <c r="B44" s="9" t="s">
        <v>51</v>
      </c>
      <c r="C44" s="9" t="s">
        <v>52</v>
      </c>
      <c r="D44" s="10"/>
      <c r="E44" s="2" t="n">
        <f>940021</f>
        <v>940021.0</v>
      </c>
      <c r="F44" s="10"/>
      <c r="G44" s="2" t="n">
        <f>2656550497164</f>
        <v>2.656550497164E12</v>
      </c>
      <c r="H44" s="10"/>
      <c r="I44" s="2" t="n">
        <f>124274</f>
        <v>124274.0</v>
      </c>
      <c r="J44" s="10"/>
      <c r="K44" s="2" t="n">
        <f>301102</f>
        <v>301102.0</v>
      </c>
    </row>
    <row r="45">
      <c r="A45" s="8" t="s">
        <v>27</v>
      </c>
      <c r="B45" s="9" t="s">
        <v>51</v>
      </c>
      <c r="C45" s="9" t="s">
        <v>52</v>
      </c>
      <c r="D45" s="10" t="s">
        <v>28</v>
      </c>
      <c r="E45" s="2" t="n">
        <f>1811257</f>
        <v>1811257.0</v>
      </c>
      <c r="F45" s="10" t="s">
        <v>28</v>
      </c>
      <c r="G45" s="2" t="n">
        <f>5014286602054</f>
        <v>5.014286602054E12</v>
      </c>
      <c r="H45" s="10" t="s">
        <v>28</v>
      </c>
      <c r="I45" s="2" t="n">
        <f>255706</f>
        <v>255706.0</v>
      </c>
      <c r="J45" s="10"/>
      <c r="K45" s="2" t="n">
        <f>318520</f>
        <v>318520.0</v>
      </c>
    </row>
    <row r="46">
      <c r="A46" s="8" t="s">
        <v>29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30</v>
      </c>
      <c r="B47" s="9" t="s">
        <v>51</v>
      </c>
      <c r="C47" s="9" t="s">
        <v>52</v>
      </c>
      <c r="D47" s="10"/>
      <c r="E47" s="2"/>
      <c r="F47" s="10"/>
      <c r="G47" s="2"/>
      <c r="H47" s="10"/>
      <c r="I47" s="2"/>
      <c r="J47" s="10"/>
      <c r="K47" s="2"/>
    </row>
    <row r="48">
      <c r="A48" s="8" t="s">
        <v>31</v>
      </c>
      <c r="B48" s="9" t="s">
        <v>51</v>
      </c>
      <c r="C48" s="9" t="s">
        <v>52</v>
      </c>
      <c r="D48" s="10"/>
      <c r="E48" s="2" t="n">
        <f>891730</f>
        <v>891730.0</v>
      </c>
      <c r="F48" s="10"/>
      <c r="G48" s="2" t="n">
        <f>2535708927648</f>
        <v>2.535708927648E12</v>
      </c>
      <c r="H48" s="10"/>
      <c r="I48" s="2" t="n">
        <f>125030</f>
        <v>125030.0</v>
      </c>
      <c r="J48" s="10"/>
      <c r="K48" s="2" t="n">
        <f>261205</f>
        <v>261205.0</v>
      </c>
    </row>
    <row r="49">
      <c r="A49" s="8" t="s">
        <v>32</v>
      </c>
      <c r="B49" s="9" t="s">
        <v>51</v>
      </c>
      <c r="C49" s="9" t="s">
        <v>52</v>
      </c>
      <c r="D49" s="10"/>
      <c r="E49" s="2" t="n">
        <f>662144</f>
        <v>662144.0</v>
      </c>
      <c r="F49" s="10"/>
      <c r="G49" s="2" t="n">
        <f>1896556146108</f>
        <v>1.896556146108E12</v>
      </c>
      <c r="H49" s="10"/>
      <c r="I49" s="2" t="n">
        <f>93141</f>
        <v>93141.0</v>
      </c>
      <c r="J49" s="10"/>
      <c r="K49" s="2" t="n">
        <f>266990</f>
        <v>266990.0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668662</f>
        <v>668662.0</v>
      </c>
      <c r="F50" s="10"/>
      <c r="G50" s="2" t="n">
        <f>1912301309850</f>
        <v>1.91230130985E12</v>
      </c>
      <c r="H50" s="10"/>
      <c r="I50" s="2" t="n">
        <f>80354</f>
        <v>80354.0</v>
      </c>
      <c r="J50" s="10"/>
      <c r="K50" s="2" t="n">
        <f>275574</f>
        <v>275574.0</v>
      </c>
    </row>
    <row r="51">
      <c r="A51" s="8" t="s">
        <v>34</v>
      </c>
      <c r="B51" s="9" t="s">
        <v>51</v>
      </c>
      <c r="C51" s="9" t="s">
        <v>52</v>
      </c>
      <c r="D51" s="10"/>
      <c r="E51" s="2" t="n">
        <f>802633</f>
        <v>802633.0</v>
      </c>
      <c r="F51" s="10"/>
      <c r="G51" s="2" t="n">
        <f>2281838593590</f>
        <v>2.28183859359E12</v>
      </c>
      <c r="H51" s="10"/>
      <c r="I51" s="2" t="n">
        <f>95122</f>
        <v>95122.0</v>
      </c>
      <c r="J51" s="10"/>
      <c r="K51" s="2" t="n">
        <f>290758</f>
        <v>290758.0</v>
      </c>
    </row>
    <row r="52">
      <c r="A52" s="8" t="s">
        <v>35</v>
      </c>
      <c r="B52" s="9" t="s">
        <v>51</v>
      </c>
      <c r="C52" s="9" t="s">
        <v>52</v>
      </c>
      <c r="D52" s="10"/>
      <c r="E52" s="2" t="n">
        <f>1123243</f>
        <v>1123243.0</v>
      </c>
      <c r="F52" s="10"/>
      <c r="G52" s="2" t="n">
        <f>3151679427800</f>
        <v>3.1516794278E12</v>
      </c>
      <c r="H52" s="10"/>
      <c r="I52" s="2" t="n">
        <f>154131</f>
        <v>154131.0</v>
      </c>
      <c r="J52" s="10"/>
      <c r="K52" s="2" t="n">
        <f>288580</f>
        <v>288580.0</v>
      </c>
    </row>
    <row r="53">
      <c r="A53" s="8" t="s">
        <v>36</v>
      </c>
      <c r="B53" s="9" t="s">
        <v>51</v>
      </c>
      <c r="C53" s="9" t="s">
        <v>52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37</v>
      </c>
      <c r="B54" s="9" t="s">
        <v>51</v>
      </c>
      <c r="C54" s="9" t="s">
        <v>52</v>
      </c>
      <c r="D54" s="10"/>
      <c r="E54" s="2"/>
      <c r="F54" s="10"/>
      <c r="G54" s="2"/>
      <c r="H54" s="10"/>
      <c r="I54" s="2"/>
      <c r="J54" s="10"/>
      <c r="K54" s="2"/>
    </row>
    <row r="55">
      <c r="A55" s="8" t="s">
        <v>38</v>
      </c>
      <c r="B55" s="9" t="s">
        <v>51</v>
      </c>
      <c r="C55" s="9" t="s">
        <v>52</v>
      </c>
      <c r="D55" s="10"/>
      <c r="E55" s="2" t="n">
        <f>1094223</f>
        <v>1094223.0</v>
      </c>
      <c r="F55" s="10"/>
      <c r="G55" s="2" t="n">
        <f>3036552583657</f>
        <v>3.036552583657E12</v>
      </c>
      <c r="H55" s="10"/>
      <c r="I55" s="2" t="n">
        <f>153755</f>
        <v>153755.0</v>
      </c>
      <c r="J55" s="10" t="s">
        <v>28</v>
      </c>
      <c r="K55" s="2" t="n">
        <f>844460</f>
        <v>844460.0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1534972</f>
        <v>1534972.0</v>
      </c>
      <c r="F56" s="10"/>
      <c r="G56" s="2" t="n">
        <f>4199346502489</f>
        <v>4.199346502489E12</v>
      </c>
      <c r="H56" s="10"/>
      <c r="I56" s="2" t="n">
        <f>192522</f>
        <v>192522.0</v>
      </c>
      <c r="J56" s="10"/>
      <c r="K56" s="2" t="n">
        <f>298825</f>
        <v>298825.0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1181472</f>
        <v>1181472.0</v>
      </c>
      <c r="F57" s="10"/>
      <c r="G57" s="2" t="n">
        <f>3258244943798</f>
        <v>3.258244943798E12</v>
      </c>
      <c r="H57" s="10"/>
      <c r="I57" s="2" t="n">
        <f>156547</f>
        <v>156547.0</v>
      </c>
      <c r="J57" s="10"/>
      <c r="K57" s="2" t="n">
        <f>308001</f>
        <v>308001.0</v>
      </c>
    </row>
    <row r="58">
      <c r="A58" s="8" t="s">
        <v>41</v>
      </c>
      <c r="B58" s="9" t="s">
        <v>51</v>
      </c>
      <c r="C58" s="9" t="s">
        <v>52</v>
      </c>
      <c r="D58" s="10"/>
      <c r="E58" s="2"/>
      <c r="F58" s="10"/>
      <c r="G58" s="2"/>
      <c r="H58" s="10"/>
      <c r="I58" s="2"/>
      <c r="J58" s="10"/>
      <c r="K58" s="2"/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44</v>
      </c>
      <c r="B61" s="9" t="s">
        <v>51</v>
      </c>
      <c r="C61" s="9" t="s">
        <v>52</v>
      </c>
      <c r="D61" s="10"/>
      <c r="E61" s="2"/>
      <c r="F61" s="10"/>
      <c r="G61" s="2"/>
      <c r="H61" s="10"/>
      <c r="I61" s="2"/>
      <c r="J61" s="10"/>
      <c r="K61" s="2"/>
    </row>
    <row r="62">
      <c r="A62" s="8" t="s">
        <v>45</v>
      </c>
      <c r="B62" s="9" t="s">
        <v>51</v>
      </c>
      <c r="C62" s="9" t="s">
        <v>52</v>
      </c>
      <c r="D62" s="10"/>
      <c r="E62" s="2" t="n">
        <f>864309</f>
        <v>864309.0</v>
      </c>
      <c r="F62" s="10"/>
      <c r="G62" s="2" t="n">
        <f>2406485969151</f>
        <v>2.406485969151E12</v>
      </c>
      <c r="H62" s="10"/>
      <c r="I62" s="2" t="n">
        <f>99107</f>
        <v>99107.0</v>
      </c>
      <c r="J62" s="10"/>
      <c r="K62" s="2" t="n">
        <f>305248</f>
        <v>305248.0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688796</f>
        <v>688796.0</v>
      </c>
      <c r="F63" s="10"/>
      <c r="G63" s="2" t="n">
        <f>1920435716385</f>
        <v>1.920435716385E12</v>
      </c>
      <c r="H63" s="10"/>
      <c r="I63" s="2" t="n">
        <f>93094</f>
        <v>93094.0</v>
      </c>
      <c r="J63" s="10"/>
      <c r="K63" s="2" t="n">
        <f>312856</f>
        <v>312856.0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1142297</f>
        <v>1142297.0</v>
      </c>
      <c r="F64" s="10"/>
      <c r="G64" s="2" t="n">
        <f>3155052527320</f>
        <v>3.15505252732E12</v>
      </c>
      <c r="H64" s="10"/>
      <c r="I64" s="2" t="n">
        <f>148213</f>
        <v>148213.0</v>
      </c>
      <c r="J64" s="10"/>
      <c r="K64" s="2" t="n">
        <f>333207</f>
        <v>333207.0</v>
      </c>
    </row>
    <row r="65">
      <c r="A65" s="8" t="s">
        <v>48</v>
      </c>
      <c r="B65" s="9" t="s">
        <v>51</v>
      </c>
      <c r="C65" s="9" t="s">
        <v>52</v>
      </c>
      <c r="D65" s="10"/>
      <c r="E65" s="2" t="n">
        <f>783022</f>
        <v>783022.0</v>
      </c>
      <c r="F65" s="10"/>
      <c r="G65" s="2" t="n">
        <f>2171750411674</f>
        <v>2.171750411674E12</v>
      </c>
      <c r="H65" s="10"/>
      <c r="I65" s="2" t="n">
        <f>108062</f>
        <v>108062.0</v>
      </c>
      <c r="J65" s="10"/>
      <c r="K65" s="2" t="n">
        <f>319277</f>
        <v>319277.0</v>
      </c>
    </row>
    <row r="66">
      <c r="A66" s="8" t="s">
        <v>49</v>
      </c>
      <c r="B66" s="9" t="s">
        <v>51</v>
      </c>
      <c r="C66" s="9" t="s">
        <v>52</v>
      </c>
      <c r="D66" s="10"/>
      <c r="E66" s="2" t="n">
        <f>1026348</f>
        <v>1026348.0</v>
      </c>
      <c r="F66" s="10"/>
      <c r="G66" s="2" t="n">
        <f>2823509462870</f>
        <v>2.82350946287E12</v>
      </c>
      <c r="H66" s="10"/>
      <c r="I66" s="2" t="n">
        <f>133584</f>
        <v>133584.0</v>
      </c>
      <c r="J66" s="10"/>
      <c r="K66" s="2" t="n">
        <f>347285</f>
        <v>347285.0</v>
      </c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/>
      <c r="E68" s="2" t="n">
        <f>53867</f>
        <v>53867.0</v>
      </c>
      <c r="F68" s="10"/>
      <c r="G68" s="2" t="n">
        <f>1043629374050</f>
        <v>1.04362937405E12</v>
      </c>
      <c r="H68" s="10"/>
      <c r="I68" s="2" t="n">
        <f>13035</f>
        <v>13035.0</v>
      </c>
      <c r="J68" s="10"/>
      <c r="K68" s="2" t="n">
        <f>455842</f>
        <v>455842.0</v>
      </c>
    </row>
    <row r="69">
      <c r="A69" s="8" t="s">
        <v>19</v>
      </c>
      <c r="B69" s="9" t="s">
        <v>53</v>
      </c>
      <c r="C69" s="9" t="s">
        <v>54</v>
      </c>
      <c r="D69" s="10"/>
      <c r="E69" s="2" t="n">
        <f>53496</f>
        <v>53496.0</v>
      </c>
      <c r="F69" s="10"/>
      <c r="G69" s="2" t="n">
        <f>1043350608500</f>
        <v>1.0433506085E12</v>
      </c>
      <c r="H69" s="10"/>
      <c r="I69" s="2" t="n">
        <f>15627</f>
        <v>15627.0</v>
      </c>
      <c r="J69" s="10"/>
      <c r="K69" s="2" t="n">
        <f>457789</f>
        <v>457789.0</v>
      </c>
    </row>
    <row r="70">
      <c r="A70" s="8" t="s">
        <v>21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22</v>
      </c>
      <c r="B71" s="9" t="s">
        <v>53</v>
      </c>
      <c r="C71" s="9" t="s">
        <v>54</v>
      </c>
      <c r="D71" s="10"/>
      <c r="E71" s="2"/>
      <c r="F71" s="10"/>
      <c r="G71" s="2"/>
      <c r="H71" s="10"/>
      <c r="I71" s="2"/>
      <c r="J71" s="10"/>
      <c r="K71" s="2"/>
    </row>
    <row r="72">
      <c r="A72" s="8" t="s">
        <v>23</v>
      </c>
      <c r="B72" s="9" t="s">
        <v>53</v>
      </c>
      <c r="C72" s="9" t="s">
        <v>54</v>
      </c>
      <c r="D72" s="10"/>
      <c r="E72" s="2" t="n">
        <f>42642</f>
        <v>42642.0</v>
      </c>
      <c r="F72" s="10"/>
      <c r="G72" s="2" t="n">
        <f>830794464212</f>
        <v>8.30794464212E11</v>
      </c>
      <c r="H72" s="10"/>
      <c r="I72" s="2" t="n">
        <f>9231</f>
        <v>9231.0</v>
      </c>
      <c r="J72" s="10"/>
      <c r="K72" s="2" t="n">
        <f>458765</f>
        <v>458765.0</v>
      </c>
    </row>
    <row r="73">
      <c r="A73" s="8" t="s">
        <v>24</v>
      </c>
      <c r="B73" s="9" t="s">
        <v>53</v>
      </c>
      <c r="C73" s="9" t="s">
        <v>54</v>
      </c>
      <c r="D73" s="10" t="s">
        <v>20</v>
      </c>
      <c r="E73" s="2" t="n">
        <f>30189</f>
        <v>30189.0</v>
      </c>
      <c r="F73" s="10" t="s">
        <v>20</v>
      </c>
      <c r="G73" s="2" t="n">
        <f>589505992360</f>
        <v>5.8950599236E11</v>
      </c>
      <c r="H73" s="10" t="s">
        <v>20</v>
      </c>
      <c r="I73" s="2" t="n">
        <f>7531</f>
        <v>7531.0</v>
      </c>
      <c r="J73" s="10"/>
      <c r="K73" s="2" t="n">
        <f>461142</f>
        <v>461142.0</v>
      </c>
    </row>
    <row r="74">
      <c r="A74" s="8" t="s">
        <v>25</v>
      </c>
      <c r="B74" s="9" t="s">
        <v>53</v>
      </c>
      <c r="C74" s="9" t="s">
        <v>54</v>
      </c>
      <c r="D74" s="10"/>
      <c r="E74" s="2" t="n">
        <f>64433</f>
        <v>64433.0</v>
      </c>
      <c r="F74" s="10"/>
      <c r="G74" s="2" t="n">
        <f>1247339013050</f>
        <v>1.24733901305E12</v>
      </c>
      <c r="H74" s="10"/>
      <c r="I74" s="2" t="n">
        <f>16515</f>
        <v>16515.0</v>
      </c>
      <c r="J74" s="10"/>
      <c r="K74" s="2" t="n">
        <f>461780</f>
        <v>461780.0</v>
      </c>
    </row>
    <row r="75">
      <c r="A75" s="8" t="s">
        <v>26</v>
      </c>
      <c r="B75" s="9" t="s">
        <v>53</v>
      </c>
      <c r="C75" s="9" t="s">
        <v>54</v>
      </c>
      <c r="D75" s="10"/>
      <c r="E75" s="2" t="n">
        <f>63926</f>
        <v>63926.0</v>
      </c>
      <c r="F75" s="10"/>
      <c r="G75" s="2" t="n">
        <f>1231652575801</f>
        <v>1.231652575801E12</v>
      </c>
      <c r="H75" s="10"/>
      <c r="I75" s="2" t="n">
        <f>12615</f>
        <v>12615.0</v>
      </c>
      <c r="J75" s="10"/>
      <c r="K75" s="2" t="n">
        <f>462455</f>
        <v>462455.0</v>
      </c>
    </row>
    <row r="76">
      <c r="A76" s="8" t="s">
        <v>27</v>
      </c>
      <c r="B76" s="9" t="s">
        <v>53</v>
      </c>
      <c r="C76" s="9" t="s">
        <v>54</v>
      </c>
      <c r="D76" s="10" t="s">
        <v>28</v>
      </c>
      <c r="E76" s="2" t="n">
        <f>149284</f>
        <v>149284.0</v>
      </c>
      <c r="F76" s="10" t="s">
        <v>28</v>
      </c>
      <c r="G76" s="2" t="n">
        <f>2831149811198</f>
        <v>2.831149811198E12</v>
      </c>
      <c r="H76" s="10" t="s">
        <v>28</v>
      </c>
      <c r="I76" s="2" t="n">
        <f>25929</f>
        <v>25929.0</v>
      </c>
      <c r="J76" s="10"/>
      <c r="K76" s="2" t="n">
        <f>458079</f>
        <v>458079.0</v>
      </c>
    </row>
    <row r="77">
      <c r="A77" s="8" t="s">
        <v>29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30</v>
      </c>
      <c r="B78" s="9" t="s">
        <v>53</v>
      </c>
      <c r="C78" s="9" t="s">
        <v>54</v>
      </c>
      <c r="D78" s="10"/>
      <c r="E78" s="2"/>
      <c r="F78" s="10"/>
      <c r="G78" s="2"/>
      <c r="H78" s="10"/>
      <c r="I78" s="2"/>
      <c r="J78" s="10"/>
      <c r="K78" s="2"/>
    </row>
    <row r="79">
      <c r="A79" s="8" t="s">
        <v>31</v>
      </c>
      <c r="B79" s="9" t="s">
        <v>53</v>
      </c>
      <c r="C79" s="9" t="s">
        <v>54</v>
      </c>
      <c r="D79" s="10"/>
      <c r="E79" s="2" t="n">
        <f>72967</f>
        <v>72967.0</v>
      </c>
      <c r="F79" s="10"/>
      <c r="G79" s="2" t="n">
        <f>1421114580240</f>
        <v>1.42111458024E12</v>
      </c>
      <c r="H79" s="10"/>
      <c r="I79" s="2" t="n">
        <f>13345</f>
        <v>13345.0</v>
      </c>
      <c r="J79" s="10"/>
      <c r="K79" s="2" t="n">
        <f>451857</f>
        <v>451857.0</v>
      </c>
    </row>
    <row r="80">
      <c r="A80" s="8" t="s">
        <v>32</v>
      </c>
      <c r="B80" s="9" t="s">
        <v>53</v>
      </c>
      <c r="C80" s="9" t="s">
        <v>54</v>
      </c>
      <c r="D80" s="10"/>
      <c r="E80" s="2" t="n">
        <f>48880</f>
        <v>48880.0</v>
      </c>
      <c r="F80" s="10"/>
      <c r="G80" s="2" t="n">
        <f>959866081666</f>
        <v>9.59866081666E11</v>
      </c>
      <c r="H80" s="10"/>
      <c r="I80" s="2" t="n">
        <f>10770</f>
        <v>10770.0</v>
      </c>
      <c r="J80" s="10"/>
      <c r="K80" s="2" t="n">
        <f>447425</f>
        <v>447425.0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45268</f>
        <v>45268.0</v>
      </c>
      <c r="F81" s="10"/>
      <c r="G81" s="2" t="n">
        <f>888714572750</f>
        <v>8.8871457275E11</v>
      </c>
      <c r="H81" s="10"/>
      <c r="I81" s="2" t="n">
        <f>10471</f>
        <v>10471.0</v>
      </c>
      <c r="J81" s="10"/>
      <c r="K81" s="2" t="n">
        <f>448787</f>
        <v>448787.0</v>
      </c>
    </row>
    <row r="82">
      <c r="A82" s="8" t="s">
        <v>34</v>
      </c>
      <c r="B82" s="9" t="s">
        <v>53</v>
      </c>
      <c r="C82" s="9" t="s">
        <v>54</v>
      </c>
      <c r="D82" s="10"/>
      <c r="E82" s="2" t="n">
        <f>55079</f>
        <v>55079.0</v>
      </c>
      <c r="F82" s="10"/>
      <c r="G82" s="2" t="n">
        <f>1072002655680</f>
        <v>1.07200265568E12</v>
      </c>
      <c r="H82" s="10"/>
      <c r="I82" s="2" t="n">
        <f>12151</f>
        <v>12151.0</v>
      </c>
      <c r="J82" s="10"/>
      <c r="K82" s="2" t="n">
        <f>451505</f>
        <v>451505.0</v>
      </c>
    </row>
    <row r="83">
      <c r="A83" s="8" t="s">
        <v>35</v>
      </c>
      <c r="B83" s="9" t="s">
        <v>53</v>
      </c>
      <c r="C83" s="9" t="s">
        <v>54</v>
      </c>
      <c r="D83" s="10"/>
      <c r="E83" s="2" t="n">
        <f>55221</f>
        <v>55221.0</v>
      </c>
      <c r="F83" s="10"/>
      <c r="G83" s="2" t="n">
        <f>1067814644802</f>
        <v>1.067814644802E12</v>
      </c>
      <c r="H83" s="10"/>
      <c r="I83" s="2" t="n">
        <f>14573</f>
        <v>14573.0</v>
      </c>
      <c r="J83" s="10"/>
      <c r="K83" s="2" t="n">
        <f>454559</f>
        <v>454559.0</v>
      </c>
    </row>
    <row r="84">
      <c r="A84" s="8" t="s">
        <v>36</v>
      </c>
      <c r="B84" s="9" t="s">
        <v>53</v>
      </c>
      <c r="C84" s="9" t="s">
        <v>54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37</v>
      </c>
      <c r="B85" s="9" t="s">
        <v>53</v>
      </c>
      <c r="C85" s="9" t="s">
        <v>54</v>
      </c>
      <c r="D85" s="10"/>
      <c r="E85" s="2"/>
      <c r="F85" s="10"/>
      <c r="G85" s="2"/>
      <c r="H85" s="10"/>
      <c r="I85" s="2"/>
      <c r="J85" s="10"/>
      <c r="K85" s="2"/>
    </row>
    <row r="86">
      <c r="A86" s="8" t="s">
        <v>38</v>
      </c>
      <c r="B86" s="9" t="s">
        <v>53</v>
      </c>
      <c r="C86" s="9" t="s">
        <v>54</v>
      </c>
      <c r="D86" s="10"/>
      <c r="E86" s="2" t="n">
        <f>58877</f>
        <v>58877.0</v>
      </c>
      <c r="F86" s="10"/>
      <c r="G86" s="2" t="n">
        <f>1124917192050</f>
        <v>1.12491719205E12</v>
      </c>
      <c r="H86" s="10"/>
      <c r="I86" s="2" t="n">
        <f>12490</f>
        <v>12490.0</v>
      </c>
      <c r="J86" s="10" t="s">
        <v>28</v>
      </c>
      <c r="K86" s="2" t="n">
        <f>480504</f>
        <v>480504.0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73843</f>
        <v>73843.0</v>
      </c>
      <c r="F87" s="10"/>
      <c r="G87" s="2" t="n">
        <f>1393992095659</f>
        <v>1.393992095659E12</v>
      </c>
      <c r="H87" s="10"/>
      <c r="I87" s="2" t="n">
        <f>15857</f>
        <v>15857.0</v>
      </c>
      <c r="J87" s="10"/>
      <c r="K87" s="2" t="n">
        <f>457165</f>
        <v>457165.0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64775</f>
        <v>64775.0</v>
      </c>
      <c r="F88" s="10"/>
      <c r="G88" s="2" t="n">
        <f>1235041549900</f>
        <v>1.2350415499E12</v>
      </c>
      <c r="H88" s="10"/>
      <c r="I88" s="2" t="n">
        <f>15373</f>
        <v>15373.0</v>
      </c>
      <c r="J88" s="10"/>
      <c r="K88" s="2" t="n">
        <f>454579</f>
        <v>454579.0</v>
      </c>
    </row>
    <row r="89">
      <c r="A89" s="8" t="s">
        <v>41</v>
      </c>
      <c r="B89" s="9" t="s">
        <v>53</v>
      </c>
      <c r="C89" s="9" t="s">
        <v>54</v>
      </c>
      <c r="D89" s="10"/>
      <c r="E89" s="2"/>
      <c r="F89" s="10"/>
      <c r="G89" s="2"/>
      <c r="H89" s="10"/>
      <c r="I89" s="2"/>
      <c r="J89" s="10"/>
      <c r="K89" s="2"/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44</v>
      </c>
      <c r="B92" s="9" t="s">
        <v>53</v>
      </c>
      <c r="C92" s="9" t="s">
        <v>54</v>
      </c>
      <c r="D92" s="10"/>
      <c r="E92" s="2"/>
      <c r="F92" s="10"/>
      <c r="G92" s="2"/>
      <c r="H92" s="10"/>
      <c r="I92" s="2"/>
      <c r="J92" s="10"/>
      <c r="K92" s="2"/>
    </row>
    <row r="93">
      <c r="A93" s="8" t="s">
        <v>45</v>
      </c>
      <c r="B93" s="9" t="s">
        <v>53</v>
      </c>
      <c r="C93" s="9" t="s">
        <v>54</v>
      </c>
      <c r="D93" s="10"/>
      <c r="E93" s="2" t="n">
        <f>50868</f>
        <v>50868.0</v>
      </c>
      <c r="F93" s="10"/>
      <c r="G93" s="2" t="n">
        <f>980482769690</f>
        <v>9.8048276969E11</v>
      </c>
      <c r="H93" s="10"/>
      <c r="I93" s="2" t="n">
        <f>12754</f>
        <v>12754.0</v>
      </c>
      <c r="J93" s="10"/>
      <c r="K93" s="2" t="n">
        <f>452898</f>
        <v>452898.0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49729</f>
        <v>49729.0</v>
      </c>
      <c r="F94" s="10"/>
      <c r="G94" s="2" t="n">
        <f>961915415950</f>
        <v>9.6191541595E11</v>
      </c>
      <c r="H94" s="10"/>
      <c r="I94" s="2" t="n">
        <f>11520</f>
        <v>11520.0</v>
      </c>
      <c r="J94" s="10"/>
      <c r="K94" s="2" t="n">
        <f>448270</f>
        <v>448270.0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58633</f>
        <v>58633.0</v>
      </c>
      <c r="F95" s="10"/>
      <c r="G95" s="2" t="n">
        <f>1125800885110</f>
        <v>1.12580088511E12</v>
      </c>
      <c r="H95" s="10"/>
      <c r="I95" s="2" t="n">
        <f>11301</f>
        <v>11301.0</v>
      </c>
      <c r="J95" s="10"/>
      <c r="K95" s="2" t="n">
        <f>444705</f>
        <v>444705.0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46443</f>
        <v>46443.0</v>
      </c>
      <c r="F96" s="10"/>
      <c r="G96" s="2" t="n">
        <f>894177772600</f>
        <v>8.941777726E11</v>
      </c>
      <c r="H96" s="10"/>
      <c r="I96" s="2" t="n">
        <f>8994</f>
        <v>8994.0</v>
      </c>
      <c r="J96" s="10" t="s">
        <v>20</v>
      </c>
      <c r="K96" s="2" t="n">
        <f>443377</f>
        <v>443377.0</v>
      </c>
    </row>
    <row r="97">
      <c r="A97" s="8" t="s">
        <v>49</v>
      </c>
      <c r="B97" s="9" t="s">
        <v>53</v>
      </c>
      <c r="C97" s="9" t="s">
        <v>54</v>
      </c>
      <c r="D97" s="10"/>
      <c r="E97" s="2" t="n">
        <f>61734</f>
        <v>61734.0</v>
      </c>
      <c r="F97" s="10"/>
      <c r="G97" s="2" t="n">
        <f>1179435222400</f>
        <v>1.1794352224E12</v>
      </c>
      <c r="H97" s="10"/>
      <c r="I97" s="2" t="n">
        <f>13442</f>
        <v>13442.0</v>
      </c>
      <c r="J97" s="10"/>
      <c r="K97" s="2" t="n">
        <f>446760</f>
        <v>446760.0</v>
      </c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55</v>
      </c>
      <c r="C99" s="9" t="s">
        <v>56</v>
      </c>
      <c r="D99" s="10"/>
      <c r="E99" s="2" t="n">
        <f>32102</f>
        <v>32102.0</v>
      </c>
      <c r="F99" s="10"/>
      <c r="G99" s="2" t="n">
        <f>62185233900</f>
        <v>6.21852339E10</v>
      </c>
      <c r="H99" s="10"/>
      <c r="I99" s="2" t="n">
        <f>5936</f>
        <v>5936.0</v>
      </c>
      <c r="J99" s="10"/>
      <c r="K99" s="2" t="n">
        <f>44349</f>
        <v>44349.0</v>
      </c>
    </row>
    <row r="100">
      <c r="A100" s="8" t="s">
        <v>19</v>
      </c>
      <c r="B100" s="9" t="s">
        <v>55</v>
      </c>
      <c r="C100" s="9" t="s">
        <v>56</v>
      </c>
      <c r="D100" s="10"/>
      <c r="E100" s="2" t="n">
        <f>30775</f>
        <v>30775.0</v>
      </c>
      <c r="F100" s="10"/>
      <c r="G100" s="2" t="n">
        <f>59994490790</f>
        <v>5.999449079E10</v>
      </c>
      <c r="H100" s="10"/>
      <c r="I100" s="2" t="n">
        <f>4616</f>
        <v>4616.0</v>
      </c>
      <c r="J100" s="10" t="s">
        <v>20</v>
      </c>
      <c r="K100" s="2" t="n">
        <f>41678</f>
        <v>41678.0</v>
      </c>
    </row>
    <row r="101">
      <c r="A101" s="8" t="s">
        <v>21</v>
      </c>
      <c r="B101" s="9" t="s">
        <v>55</v>
      </c>
      <c r="C101" s="9" t="s">
        <v>56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22</v>
      </c>
      <c r="B102" s="9" t="s">
        <v>55</v>
      </c>
      <c r="C102" s="9" t="s">
        <v>56</v>
      </c>
      <c r="D102" s="10"/>
      <c r="E102" s="2"/>
      <c r="F102" s="10"/>
      <c r="G102" s="2"/>
      <c r="H102" s="10"/>
      <c r="I102" s="2"/>
      <c r="J102" s="10"/>
      <c r="K102" s="2"/>
    </row>
    <row r="103">
      <c r="A103" s="8" t="s">
        <v>23</v>
      </c>
      <c r="B103" s="9" t="s">
        <v>55</v>
      </c>
      <c r="C103" s="9" t="s">
        <v>56</v>
      </c>
      <c r="D103" s="10"/>
      <c r="E103" s="2" t="n">
        <f>25265</f>
        <v>25265.0</v>
      </c>
      <c r="F103" s="10"/>
      <c r="G103" s="2" t="n">
        <f>49229909990</f>
        <v>4.922990999E10</v>
      </c>
      <c r="H103" s="10"/>
      <c r="I103" s="2" t="n">
        <f>2771</f>
        <v>2771.0</v>
      </c>
      <c r="J103" s="10"/>
      <c r="K103" s="2" t="n">
        <f>43097</f>
        <v>43097.0</v>
      </c>
    </row>
    <row r="104">
      <c r="A104" s="8" t="s">
        <v>24</v>
      </c>
      <c r="B104" s="9" t="s">
        <v>55</v>
      </c>
      <c r="C104" s="9" t="s">
        <v>56</v>
      </c>
      <c r="D104" s="10" t="s">
        <v>20</v>
      </c>
      <c r="E104" s="2" t="n">
        <f>24487</f>
        <v>24487.0</v>
      </c>
      <c r="F104" s="10" t="s">
        <v>20</v>
      </c>
      <c r="G104" s="2" t="n">
        <f>47815480150</f>
        <v>4.781548015E10</v>
      </c>
      <c r="H104" s="10"/>
      <c r="I104" s="2" t="n">
        <f>3004</f>
        <v>3004.0</v>
      </c>
      <c r="J104" s="10"/>
      <c r="K104" s="2" t="n">
        <f>44704</f>
        <v>44704.0</v>
      </c>
    </row>
    <row r="105">
      <c r="A105" s="8" t="s">
        <v>25</v>
      </c>
      <c r="B105" s="9" t="s">
        <v>55</v>
      </c>
      <c r="C105" s="9" t="s">
        <v>56</v>
      </c>
      <c r="D105" s="10"/>
      <c r="E105" s="2" t="n">
        <f>40095</f>
        <v>40095.0</v>
      </c>
      <c r="F105" s="10"/>
      <c r="G105" s="2" t="n">
        <f>77647959250</f>
        <v>7.764795925E10</v>
      </c>
      <c r="H105" s="10"/>
      <c r="I105" s="2" t="n">
        <f>5334</f>
        <v>5334.0</v>
      </c>
      <c r="J105" s="10"/>
      <c r="K105" s="2" t="n">
        <f>47292</f>
        <v>47292.0</v>
      </c>
    </row>
    <row r="106">
      <c r="A106" s="8" t="s">
        <v>26</v>
      </c>
      <c r="B106" s="9" t="s">
        <v>55</v>
      </c>
      <c r="C106" s="9" t="s">
        <v>56</v>
      </c>
      <c r="D106" s="10"/>
      <c r="E106" s="2" t="n">
        <f>41815</f>
        <v>41815.0</v>
      </c>
      <c r="F106" s="10"/>
      <c r="G106" s="2" t="n">
        <f>80671641510</f>
        <v>8.067164151E10</v>
      </c>
      <c r="H106" s="10"/>
      <c r="I106" s="2" t="n">
        <f>4699</f>
        <v>4699.0</v>
      </c>
      <c r="J106" s="10"/>
      <c r="K106" s="2" t="n">
        <f>50967</f>
        <v>50967.0</v>
      </c>
    </row>
    <row r="107">
      <c r="A107" s="8" t="s">
        <v>27</v>
      </c>
      <c r="B107" s="9" t="s">
        <v>55</v>
      </c>
      <c r="C107" s="9" t="s">
        <v>56</v>
      </c>
      <c r="D107" s="10" t="s">
        <v>28</v>
      </c>
      <c r="E107" s="2" t="n">
        <f>78262</f>
        <v>78262.0</v>
      </c>
      <c r="F107" s="10" t="s">
        <v>28</v>
      </c>
      <c r="G107" s="2" t="n">
        <f>148121805000</f>
        <v>1.48121805E11</v>
      </c>
      <c r="H107" s="10" t="s">
        <v>28</v>
      </c>
      <c r="I107" s="2" t="n">
        <f>11019</f>
        <v>11019.0</v>
      </c>
      <c r="J107" s="10"/>
      <c r="K107" s="2" t="n">
        <f>56853</f>
        <v>56853.0</v>
      </c>
    </row>
    <row r="108">
      <c r="A108" s="8" t="s">
        <v>29</v>
      </c>
      <c r="B108" s="9" t="s">
        <v>55</v>
      </c>
      <c r="C108" s="9" t="s">
        <v>56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30</v>
      </c>
      <c r="B109" s="9" t="s">
        <v>55</v>
      </c>
      <c r="C109" s="9" t="s">
        <v>56</v>
      </c>
      <c r="D109" s="10"/>
      <c r="E109" s="2"/>
      <c r="F109" s="10"/>
      <c r="G109" s="2"/>
      <c r="H109" s="10"/>
      <c r="I109" s="2"/>
      <c r="J109" s="10"/>
      <c r="K109" s="2"/>
    </row>
    <row r="110">
      <c r="A110" s="8" t="s">
        <v>31</v>
      </c>
      <c r="B110" s="9" t="s">
        <v>55</v>
      </c>
      <c r="C110" s="9" t="s">
        <v>56</v>
      </c>
      <c r="D110" s="10"/>
      <c r="E110" s="2" t="n">
        <f>43903</f>
        <v>43903.0</v>
      </c>
      <c r="F110" s="10"/>
      <c r="G110" s="2" t="n">
        <f>85439273460</f>
        <v>8.543927346E10</v>
      </c>
      <c r="H110" s="10"/>
      <c r="I110" s="2" t="n">
        <f>5541</f>
        <v>5541.0</v>
      </c>
      <c r="J110" s="10"/>
      <c r="K110" s="2" t="n">
        <f>51540</f>
        <v>51540.0</v>
      </c>
    </row>
    <row r="111">
      <c r="A111" s="8" t="s">
        <v>32</v>
      </c>
      <c r="B111" s="9" t="s">
        <v>55</v>
      </c>
      <c r="C111" s="9" t="s">
        <v>56</v>
      </c>
      <c r="D111" s="10"/>
      <c r="E111" s="2" t="n">
        <f>30437</f>
        <v>30437.0</v>
      </c>
      <c r="F111" s="10"/>
      <c r="G111" s="2" t="n">
        <f>59730845800</f>
        <v>5.97308458E10</v>
      </c>
      <c r="H111" s="10"/>
      <c r="I111" s="2" t="n">
        <f>4209</f>
        <v>4209.0</v>
      </c>
      <c r="J111" s="10"/>
      <c r="K111" s="2" t="n">
        <f>50661</f>
        <v>50661.0</v>
      </c>
    </row>
    <row r="112">
      <c r="A112" s="8" t="s">
        <v>33</v>
      </c>
      <c r="B112" s="9" t="s">
        <v>55</v>
      </c>
      <c r="C112" s="9" t="s">
        <v>56</v>
      </c>
      <c r="D112" s="10"/>
      <c r="E112" s="2" t="n">
        <f>31155</f>
        <v>31155.0</v>
      </c>
      <c r="F112" s="10"/>
      <c r="G112" s="2" t="n">
        <f>61158012250</f>
        <v>6.115801225E10</v>
      </c>
      <c r="H112" s="10"/>
      <c r="I112" s="2" t="n">
        <f>4372</f>
        <v>4372.0</v>
      </c>
      <c r="J112" s="10"/>
      <c r="K112" s="2" t="n">
        <f>50631</f>
        <v>50631.0</v>
      </c>
    </row>
    <row r="113">
      <c r="A113" s="8" t="s">
        <v>34</v>
      </c>
      <c r="B113" s="9" t="s">
        <v>55</v>
      </c>
      <c r="C113" s="9" t="s">
        <v>56</v>
      </c>
      <c r="D113" s="10"/>
      <c r="E113" s="2" t="n">
        <f>39823</f>
        <v>39823.0</v>
      </c>
      <c r="F113" s="10"/>
      <c r="G113" s="2" t="n">
        <f>77599241600</f>
        <v>7.75992416E10</v>
      </c>
      <c r="H113" s="10"/>
      <c r="I113" s="2" t="n">
        <f>4933</f>
        <v>4933.0</v>
      </c>
      <c r="J113" s="10"/>
      <c r="K113" s="2" t="n">
        <f>54402</f>
        <v>54402.0</v>
      </c>
    </row>
    <row r="114">
      <c r="A114" s="8" t="s">
        <v>35</v>
      </c>
      <c r="B114" s="9" t="s">
        <v>55</v>
      </c>
      <c r="C114" s="9" t="s">
        <v>56</v>
      </c>
      <c r="D114" s="10"/>
      <c r="E114" s="2" t="n">
        <f>43266</f>
        <v>43266.0</v>
      </c>
      <c r="F114" s="10"/>
      <c r="G114" s="2" t="n">
        <f>83686691860</f>
        <v>8.368669186E10</v>
      </c>
      <c r="H114" s="10"/>
      <c r="I114" s="2" t="n">
        <f>4628</f>
        <v>4628.0</v>
      </c>
      <c r="J114" s="10"/>
      <c r="K114" s="2" t="n">
        <f>55250</f>
        <v>55250.0</v>
      </c>
    </row>
    <row r="115">
      <c r="A115" s="8" t="s">
        <v>36</v>
      </c>
      <c r="B115" s="9" t="s">
        <v>55</v>
      </c>
      <c r="C115" s="9" t="s">
        <v>56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37</v>
      </c>
      <c r="B116" s="9" t="s">
        <v>55</v>
      </c>
      <c r="C116" s="9" t="s">
        <v>56</v>
      </c>
      <c r="D116" s="10"/>
      <c r="E116" s="2"/>
      <c r="F116" s="10"/>
      <c r="G116" s="2"/>
      <c r="H116" s="10"/>
      <c r="I116" s="2"/>
      <c r="J116" s="10"/>
      <c r="K116" s="2"/>
    </row>
    <row r="117">
      <c r="A117" s="8" t="s">
        <v>38</v>
      </c>
      <c r="B117" s="9" t="s">
        <v>55</v>
      </c>
      <c r="C117" s="9" t="s">
        <v>56</v>
      </c>
      <c r="D117" s="10"/>
      <c r="E117" s="2" t="n">
        <f>46175</f>
        <v>46175.0</v>
      </c>
      <c r="F117" s="10"/>
      <c r="G117" s="2" t="n">
        <f>88260244250</f>
        <v>8.826024425E10</v>
      </c>
      <c r="H117" s="10"/>
      <c r="I117" s="2" t="n">
        <f>4258</f>
        <v>4258.0</v>
      </c>
      <c r="J117" s="10" t="s">
        <v>28</v>
      </c>
      <c r="K117" s="2" t="n">
        <f>77327</f>
        <v>77327.0</v>
      </c>
    </row>
    <row r="118">
      <c r="A118" s="8" t="s">
        <v>39</v>
      </c>
      <c r="B118" s="9" t="s">
        <v>55</v>
      </c>
      <c r="C118" s="9" t="s">
        <v>56</v>
      </c>
      <c r="D118" s="10"/>
      <c r="E118" s="2" t="n">
        <f>51595</f>
        <v>51595.0</v>
      </c>
      <c r="F118" s="10"/>
      <c r="G118" s="2" t="n">
        <f>97407241900</f>
        <v>9.74072419E10</v>
      </c>
      <c r="H118" s="10"/>
      <c r="I118" s="2" t="n">
        <f>5856</f>
        <v>5856.0</v>
      </c>
      <c r="J118" s="10"/>
      <c r="K118" s="2" t="n">
        <f>57928</f>
        <v>57928.0</v>
      </c>
    </row>
    <row r="119">
      <c r="A119" s="8" t="s">
        <v>40</v>
      </c>
      <c r="B119" s="9" t="s">
        <v>55</v>
      </c>
      <c r="C119" s="9" t="s">
        <v>56</v>
      </c>
      <c r="D119" s="10"/>
      <c r="E119" s="2" t="n">
        <f>45638</f>
        <v>45638.0</v>
      </c>
      <c r="F119" s="10"/>
      <c r="G119" s="2" t="n">
        <f>86997042100</f>
        <v>8.69970421E10</v>
      </c>
      <c r="H119" s="10"/>
      <c r="I119" s="2" t="n">
        <f>5323</f>
        <v>5323.0</v>
      </c>
      <c r="J119" s="10"/>
      <c r="K119" s="2" t="n">
        <f>56075</f>
        <v>56075.0</v>
      </c>
    </row>
    <row r="120">
      <c r="A120" s="8" t="s">
        <v>41</v>
      </c>
      <c r="B120" s="9" t="s">
        <v>55</v>
      </c>
      <c r="C120" s="9" t="s">
        <v>56</v>
      </c>
      <c r="D120" s="10"/>
      <c r="E120" s="2"/>
      <c r="F120" s="10"/>
      <c r="G120" s="2"/>
      <c r="H120" s="10"/>
      <c r="I120" s="2"/>
      <c r="J120" s="10"/>
      <c r="K120" s="2"/>
    </row>
    <row r="121">
      <c r="A121" s="8" t="s">
        <v>42</v>
      </c>
      <c r="B121" s="9" t="s">
        <v>55</v>
      </c>
      <c r="C121" s="9" t="s">
        <v>56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55</v>
      </c>
      <c r="C122" s="9" t="s">
        <v>56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44</v>
      </c>
      <c r="B123" s="9" t="s">
        <v>55</v>
      </c>
      <c r="C123" s="9" t="s">
        <v>56</v>
      </c>
      <c r="D123" s="10"/>
      <c r="E123" s="2"/>
      <c r="F123" s="10"/>
      <c r="G123" s="2"/>
      <c r="H123" s="10"/>
      <c r="I123" s="2"/>
      <c r="J123" s="10"/>
      <c r="K123" s="2"/>
    </row>
    <row r="124">
      <c r="A124" s="8" t="s">
        <v>45</v>
      </c>
      <c r="B124" s="9" t="s">
        <v>55</v>
      </c>
      <c r="C124" s="9" t="s">
        <v>56</v>
      </c>
      <c r="D124" s="10"/>
      <c r="E124" s="2" t="n">
        <f>39615</f>
        <v>39615.0</v>
      </c>
      <c r="F124" s="10"/>
      <c r="G124" s="2" t="n">
        <f>76325318600</f>
        <v>7.63253186E10</v>
      </c>
      <c r="H124" s="10"/>
      <c r="I124" s="2" t="n">
        <f>3607</f>
        <v>3607.0</v>
      </c>
      <c r="J124" s="10"/>
      <c r="K124" s="2" t="n">
        <f>55295</f>
        <v>55295.0</v>
      </c>
    </row>
    <row r="125">
      <c r="A125" s="8" t="s">
        <v>46</v>
      </c>
      <c r="B125" s="9" t="s">
        <v>55</v>
      </c>
      <c r="C125" s="9" t="s">
        <v>56</v>
      </c>
      <c r="D125" s="10"/>
      <c r="E125" s="2" t="n">
        <f>29203</f>
        <v>29203.0</v>
      </c>
      <c r="F125" s="10"/>
      <c r="G125" s="2" t="n">
        <f>56455643550</f>
        <v>5.645564355E10</v>
      </c>
      <c r="H125" s="10" t="s">
        <v>20</v>
      </c>
      <c r="I125" s="2" t="n">
        <f>2469</f>
        <v>2469.0</v>
      </c>
      <c r="J125" s="10"/>
      <c r="K125" s="2" t="n">
        <f>49723</f>
        <v>49723.0</v>
      </c>
    </row>
    <row r="126">
      <c r="A126" s="8" t="s">
        <v>47</v>
      </c>
      <c r="B126" s="9" t="s">
        <v>55</v>
      </c>
      <c r="C126" s="9" t="s">
        <v>56</v>
      </c>
      <c r="D126" s="10"/>
      <c r="E126" s="2" t="n">
        <f>43732</f>
        <v>43732.0</v>
      </c>
      <c r="F126" s="10"/>
      <c r="G126" s="2" t="n">
        <f>83991882100</f>
        <v>8.39918821E10</v>
      </c>
      <c r="H126" s="10"/>
      <c r="I126" s="2" t="n">
        <f>4578</f>
        <v>4578.0</v>
      </c>
      <c r="J126" s="10"/>
      <c r="K126" s="2" t="n">
        <f>49265</f>
        <v>49265.0</v>
      </c>
    </row>
    <row r="127">
      <c r="A127" s="8" t="s">
        <v>48</v>
      </c>
      <c r="B127" s="9" t="s">
        <v>55</v>
      </c>
      <c r="C127" s="9" t="s">
        <v>56</v>
      </c>
      <c r="D127" s="10"/>
      <c r="E127" s="2" t="n">
        <f>29038</f>
        <v>29038.0</v>
      </c>
      <c r="F127" s="10"/>
      <c r="G127" s="2" t="n">
        <f>55910911680</f>
        <v>5.591091168E10</v>
      </c>
      <c r="H127" s="10"/>
      <c r="I127" s="2" t="n">
        <f>2483</f>
        <v>2483.0</v>
      </c>
      <c r="J127" s="10"/>
      <c r="K127" s="2" t="n">
        <f>48092</f>
        <v>48092.0</v>
      </c>
    </row>
    <row r="128">
      <c r="A128" s="8" t="s">
        <v>49</v>
      </c>
      <c r="B128" s="9" t="s">
        <v>55</v>
      </c>
      <c r="C128" s="9" t="s">
        <v>56</v>
      </c>
      <c r="D128" s="10"/>
      <c r="E128" s="2" t="n">
        <f>42857</f>
        <v>42857.0</v>
      </c>
      <c r="F128" s="10"/>
      <c r="G128" s="2" t="n">
        <f>81978416150</f>
        <v>8.197841615E10</v>
      </c>
      <c r="H128" s="10"/>
      <c r="I128" s="2" t="n">
        <f>3956</f>
        <v>3956.0</v>
      </c>
      <c r="J128" s="10"/>
      <c r="K128" s="2" t="n">
        <f>51478</f>
        <v>51478.0</v>
      </c>
    </row>
    <row r="129">
      <c r="A129" s="8" t="s">
        <v>50</v>
      </c>
      <c r="B129" s="9" t="s">
        <v>55</v>
      </c>
      <c r="C129" s="9" t="s">
        <v>56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57</v>
      </c>
      <c r="C130" s="9" t="s">
        <v>58</v>
      </c>
      <c r="D130" s="10"/>
      <c r="E130" s="2" t="n">
        <f>10673</f>
        <v>10673.0</v>
      </c>
      <c r="F130" s="10"/>
      <c r="G130" s="2" t="n">
        <f>18632588678</f>
        <v>1.8632588678E10</v>
      </c>
      <c r="H130" s="10"/>
      <c r="I130" s="2" t="n">
        <f>386</f>
        <v>386.0</v>
      </c>
      <c r="J130" s="10"/>
      <c r="K130" s="2" t="n">
        <f>78467</f>
        <v>78467.0</v>
      </c>
    </row>
    <row r="131">
      <c r="A131" s="8" t="s">
        <v>19</v>
      </c>
      <c r="B131" s="9" t="s">
        <v>57</v>
      </c>
      <c r="C131" s="9" t="s">
        <v>58</v>
      </c>
      <c r="D131" s="10"/>
      <c r="E131" s="2" t="n">
        <f>10070</f>
        <v>10070.0</v>
      </c>
      <c r="F131" s="10"/>
      <c r="G131" s="2" t="n">
        <f>17665342772</f>
        <v>1.7665342772E10</v>
      </c>
      <c r="H131" s="10"/>
      <c r="I131" s="2" t="n">
        <f>403</f>
        <v>403.0</v>
      </c>
      <c r="J131" s="10"/>
      <c r="K131" s="2" t="n">
        <f>77123</f>
        <v>77123.0</v>
      </c>
    </row>
    <row r="132">
      <c r="A132" s="8" t="s">
        <v>21</v>
      </c>
      <c r="B132" s="9" t="s">
        <v>57</v>
      </c>
      <c r="C132" s="9" t="s">
        <v>58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22</v>
      </c>
      <c r="B133" s="9" t="s">
        <v>57</v>
      </c>
      <c r="C133" s="9" t="s">
        <v>58</v>
      </c>
      <c r="D133" s="10"/>
      <c r="E133" s="2"/>
      <c r="F133" s="10"/>
      <c r="G133" s="2"/>
      <c r="H133" s="10"/>
      <c r="I133" s="2"/>
      <c r="J133" s="10"/>
      <c r="K133" s="2"/>
    </row>
    <row r="134">
      <c r="A134" s="8" t="s">
        <v>23</v>
      </c>
      <c r="B134" s="9" t="s">
        <v>57</v>
      </c>
      <c r="C134" s="9" t="s">
        <v>58</v>
      </c>
      <c r="D134" s="10"/>
      <c r="E134" s="2" t="n">
        <f>7905</f>
        <v>7905.0</v>
      </c>
      <c r="F134" s="10"/>
      <c r="G134" s="2" t="n">
        <f>13870631500</f>
        <v>1.38706315E10</v>
      </c>
      <c r="H134" s="10"/>
      <c r="I134" s="2" t="n">
        <f>348</f>
        <v>348.0</v>
      </c>
      <c r="J134" s="10"/>
      <c r="K134" s="2" t="n">
        <f>77192</f>
        <v>77192.0</v>
      </c>
    </row>
    <row r="135">
      <c r="A135" s="8" t="s">
        <v>24</v>
      </c>
      <c r="B135" s="9" t="s">
        <v>57</v>
      </c>
      <c r="C135" s="9" t="s">
        <v>58</v>
      </c>
      <c r="D135" s="10" t="s">
        <v>20</v>
      </c>
      <c r="E135" s="2" t="n">
        <f>6880</f>
        <v>6880.0</v>
      </c>
      <c r="F135" s="10" t="s">
        <v>20</v>
      </c>
      <c r="G135" s="2" t="n">
        <f>12094222000</f>
        <v>1.2094222E10</v>
      </c>
      <c r="H135" s="10"/>
      <c r="I135" s="2" t="n">
        <f>313</f>
        <v>313.0</v>
      </c>
      <c r="J135" s="10" t="s">
        <v>20</v>
      </c>
      <c r="K135" s="2" t="n">
        <f>76607</f>
        <v>76607.0</v>
      </c>
    </row>
    <row r="136">
      <c r="A136" s="8" t="s">
        <v>25</v>
      </c>
      <c r="B136" s="9" t="s">
        <v>57</v>
      </c>
      <c r="C136" s="9" t="s">
        <v>58</v>
      </c>
      <c r="D136" s="10"/>
      <c r="E136" s="2" t="n">
        <f>14376</f>
        <v>14376.0</v>
      </c>
      <c r="F136" s="10"/>
      <c r="G136" s="2" t="n">
        <f>25099572000</f>
        <v>2.5099572E10</v>
      </c>
      <c r="H136" s="10"/>
      <c r="I136" s="2" t="n">
        <f>965</f>
        <v>965.0</v>
      </c>
      <c r="J136" s="10"/>
      <c r="K136" s="2" t="n">
        <f>78336</f>
        <v>78336.0</v>
      </c>
    </row>
    <row r="137">
      <c r="A137" s="8" t="s">
        <v>26</v>
      </c>
      <c r="B137" s="9" t="s">
        <v>57</v>
      </c>
      <c r="C137" s="9" t="s">
        <v>58</v>
      </c>
      <c r="D137" s="10"/>
      <c r="E137" s="2" t="n">
        <f>14125</f>
        <v>14125.0</v>
      </c>
      <c r="F137" s="10"/>
      <c r="G137" s="2" t="n">
        <f>24537753964</f>
        <v>2.4537753964E10</v>
      </c>
      <c r="H137" s="10"/>
      <c r="I137" s="2" t="n">
        <f>824</f>
        <v>824.0</v>
      </c>
      <c r="J137" s="10"/>
      <c r="K137" s="2" t="n">
        <f>78898</f>
        <v>78898.0</v>
      </c>
    </row>
    <row r="138">
      <c r="A138" s="8" t="s">
        <v>27</v>
      </c>
      <c r="B138" s="9" t="s">
        <v>57</v>
      </c>
      <c r="C138" s="9" t="s">
        <v>58</v>
      </c>
      <c r="D138" s="10" t="s">
        <v>28</v>
      </c>
      <c r="E138" s="2" t="n">
        <f>24637</f>
        <v>24637.0</v>
      </c>
      <c r="F138" s="10" t="s">
        <v>28</v>
      </c>
      <c r="G138" s="2" t="n">
        <f>42027758500</f>
        <v>4.20277585E10</v>
      </c>
      <c r="H138" s="10"/>
      <c r="I138" s="2" t="n">
        <f>666</f>
        <v>666.0</v>
      </c>
      <c r="J138" s="10"/>
      <c r="K138" s="2" t="n">
        <f>77898</f>
        <v>77898.0</v>
      </c>
    </row>
    <row r="139">
      <c r="A139" s="8" t="s">
        <v>29</v>
      </c>
      <c r="B139" s="9" t="s">
        <v>57</v>
      </c>
      <c r="C139" s="9" t="s">
        <v>58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30</v>
      </c>
      <c r="B140" s="9" t="s">
        <v>57</v>
      </c>
      <c r="C140" s="9" t="s">
        <v>58</v>
      </c>
      <c r="D140" s="10"/>
      <c r="E140" s="2"/>
      <c r="F140" s="10"/>
      <c r="G140" s="2"/>
      <c r="H140" s="10"/>
      <c r="I140" s="2"/>
      <c r="J140" s="10"/>
      <c r="K140" s="2"/>
    </row>
    <row r="141">
      <c r="A141" s="8" t="s">
        <v>31</v>
      </c>
      <c r="B141" s="9" t="s">
        <v>57</v>
      </c>
      <c r="C141" s="9" t="s">
        <v>58</v>
      </c>
      <c r="D141" s="10"/>
      <c r="E141" s="2" t="n">
        <f>16137</f>
        <v>16137.0</v>
      </c>
      <c r="F141" s="10"/>
      <c r="G141" s="2" t="n">
        <f>28246484978</f>
        <v>2.8246484978E10</v>
      </c>
      <c r="H141" s="10"/>
      <c r="I141" s="2" t="n">
        <f>766</f>
        <v>766.0</v>
      </c>
      <c r="J141" s="10"/>
      <c r="K141" s="2" t="n">
        <f>77772</f>
        <v>77772.0</v>
      </c>
    </row>
    <row r="142">
      <c r="A142" s="8" t="s">
        <v>32</v>
      </c>
      <c r="B142" s="9" t="s">
        <v>57</v>
      </c>
      <c r="C142" s="9" t="s">
        <v>58</v>
      </c>
      <c r="D142" s="10"/>
      <c r="E142" s="2" t="n">
        <f>11869</f>
        <v>11869.0</v>
      </c>
      <c r="F142" s="10"/>
      <c r="G142" s="2" t="n">
        <f>20946900200</f>
        <v>2.09469002E10</v>
      </c>
      <c r="H142" s="10" t="s">
        <v>20</v>
      </c>
      <c r="I142" s="2" t="n">
        <f>199</f>
        <v>199.0</v>
      </c>
      <c r="J142" s="10"/>
      <c r="K142" s="2" t="n">
        <f>79311</f>
        <v>79311.0</v>
      </c>
    </row>
    <row r="143">
      <c r="A143" s="8" t="s">
        <v>33</v>
      </c>
      <c r="B143" s="9" t="s">
        <v>57</v>
      </c>
      <c r="C143" s="9" t="s">
        <v>58</v>
      </c>
      <c r="D143" s="10"/>
      <c r="E143" s="2" t="n">
        <f>10403</f>
        <v>10403.0</v>
      </c>
      <c r="F143" s="10"/>
      <c r="G143" s="2" t="n">
        <f>18366916522</f>
        <v>1.8366916522E10</v>
      </c>
      <c r="H143" s="10"/>
      <c r="I143" s="2" t="n">
        <f>255</f>
        <v>255.0</v>
      </c>
      <c r="J143" s="10"/>
      <c r="K143" s="2" t="n">
        <f>78958</f>
        <v>78958.0</v>
      </c>
    </row>
    <row r="144">
      <c r="A144" s="8" t="s">
        <v>34</v>
      </c>
      <c r="B144" s="9" t="s">
        <v>57</v>
      </c>
      <c r="C144" s="9" t="s">
        <v>58</v>
      </c>
      <c r="D144" s="10"/>
      <c r="E144" s="2" t="n">
        <f>9986</f>
        <v>9986.0</v>
      </c>
      <c r="F144" s="10"/>
      <c r="G144" s="2" t="n">
        <f>17503512700</f>
        <v>1.75035127E10</v>
      </c>
      <c r="H144" s="10"/>
      <c r="I144" s="2" t="n">
        <f>937</f>
        <v>937.0</v>
      </c>
      <c r="J144" s="10"/>
      <c r="K144" s="2" t="n">
        <f>79085</f>
        <v>79085.0</v>
      </c>
    </row>
    <row r="145">
      <c r="A145" s="8" t="s">
        <v>35</v>
      </c>
      <c r="B145" s="9" t="s">
        <v>57</v>
      </c>
      <c r="C145" s="9" t="s">
        <v>58</v>
      </c>
      <c r="D145" s="10"/>
      <c r="E145" s="2" t="n">
        <f>14044</f>
        <v>14044.0</v>
      </c>
      <c r="F145" s="10"/>
      <c r="G145" s="2" t="n">
        <f>24416424300</f>
        <v>2.44164243E10</v>
      </c>
      <c r="H145" s="10"/>
      <c r="I145" s="2" t="n">
        <f>255</f>
        <v>255.0</v>
      </c>
      <c r="J145" s="10"/>
      <c r="K145" s="2" t="n">
        <f>79165</f>
        <v>79165.0</v>
      </c>
    </row>
    <row r="146">
      <c r="A146" s="8" t="s">
        <v>36</v>
      </c>
      <c r="B146" s="9" t="s">
        <v>57</v>
      </c>
      <c r="C146" s="9" t="s">
        <v>58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37</v>
      </c>
      <c r="B147" s="9" t="s">
        <v>57</v>
      </c>
      <c r="C147" s="9" t="s">
        <v>58</v>
      </c>
      <c r="D147" s="10"/>
      <c r="E147" s="2"/>
      <c r="F147" s="10"/>
      <c r="G147" s="2"/>
      <c r="H147" s="10"/>
      <c r="I147" s="2"/>
      <c r="J147" s="10"/>
      <c r="K147" s="2"/>
    </row>
    <row r="148">
      <c r="A148" s="8" t="s">
        <v>38</v>
      </c>
      <c r="B148" s="9" t="s">
        <v>57</v>
      </c>
      <c r="C148" s="9" t="s">
        <v>58</v>
      </c>
      <c r="D148" s="10"/>
      <c r="E148" s="2" t="n">
        <f>11840</f>
        <v>11840.0</v>
      </c>
      <c r="F148" s="10"/>
      <c r="G148" s="2" t="n">
        <f>20380205200</f>
        <v>2.03802052E10</v>
      </c>
      <c r="H148" s="10"/>
      <c r="I148" s="2" t="n">
        <f>359</f>
        <v>359.0</v>
      </c>
      <c r="J148" s="10"/>
      <c r="K148" s="2" t="n">
        <f>79329</f>
        <v>79329.0</v>
      </c>
    </row>
    <row r="149">
      <c r="A149" s="8" t="s">
        <v>39</v>
      </c>
      <c r="B149" s="9" t="s">
        <v>57</v>
      </c>
      <c r="C149" s="9" t="s">
        <v>58</v>
      </c>
      <c r="D149" s="10"/>
      <c r="E149" s="2" t="n">
        <f>14795</f>
        <v>14795.0</v>
      </c>
      <c r="F149" s="10"/>
      <c r="G149" s="2" t="n">
        <f>25122349200</f>
        <v>2.51223492E10</v>
      </c>
      <c r="H149" s="10"/>
      <c r="I149" s="2" t="n">
        <f>514</f>
        <v>514.0</v>
      </c>
      <c r="J149" s="10" t="s">
        <v>28</v>
      </c>
      <c r="K149" s="2" t="n">
        <f>80085</f>
        <v>80085.0</v>
      </c>
    </row>
    <row r="150">
      <c r="A150" s="8" t="s">
        <v>40</v>
      </c>
      <c r="B150" s="9" t="s">
        <v>57</v>
      </c>
      <c r="C150" s="9" t="s">
        <v>58</v>
      </c>
      <c r="D150" s="10"/>
      <c r="E150" s="2" t="n">
        <f>12753</f>
        <v>12753.0</v>
      </c>
      <c r="F150" s="10"/>
      <c r="G150" s="2" t="n">
        <f>21858209000</f>
        <v>2.1858209E10</v>
      </c>
      <c r="H150" s="10"/>
      <c r="I150" s="2" t="n">
        <f>981</f>
        <v>981.0</v>
      </c>
      <c r="J150" s="10"/>
      <c r="K150" s="2" t="n">
        <f>79869</f>
        <v>79869.0</v>
      </c>
    </row>
    <row r="151">
      <c r="A151" s="8" t="s">
        <v>41</v>
      </c>
      <c r="B151" s="9" t="s">
        <v>57</v>
      </c>
      <c r="C151" s="9" t="s">
        <v>58</v>
      </c>
      <c r="D151" s="10"/>
      <c r="E151" s="2"/>
      <c r="F151" s="10"/>
      <c r="G151" s="2"/>
      <c r="H151" s="10"/>
      <c r="I151" s="2"/>
      <c r="J151" s="10"/>
      <c r="K151" s="2"/>
    </row>
    <row r="152">
      <c r="A152" s="8" t="s">
        <v>42</v>
      </c>
      <c r="B152" s="9" t="s">
        <v>57</v>
      </c>
      <c r="C152" s="9" t="s">
        <v>58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57</v>
      </c>
      <c r="C153" s="9" t="s">
        <v>58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44</v>
      </c>
      <c r="B154" s="9" t="s">
        <v>57</v>
      </c>
      <c r="C154" s="9" t="s">
        <v>58</v>
      </c>
      <c r="D154" s="10"/>
      <c r="E154" s="2"/>
      <c r="F154" s="10"/>
      <c r="G154" s="2"/>
      <c r="H154" s="10"/>
      <c r="I154" s="2"/>
      <c r="J154" s="10"/>
      <c r="K154" s="2"/>
    </row>
    <row r="155">
      <c r="A155" s="8" t="s">
        <v>45</v>
      </c>
      <c r="B155" s="9" t="s">
        <v>57</v>
      </c>
      <c r="C155" s="9" t="s">
        <v>58</v>
      </c>
      <c r="D155" s="10"/>
      <c r="E155" s="2" t="n">
        <f>9319</f>
        <v>9319.0</v>
      </c>
      <c r="F155" s="10"/>
      <c r="G155" s="2" t="n">
        <f>16141466500</f>
        <v>1.61414665E10</v>
      </c>
      <c r="H155" s="10"/>
      <c r="I155" s="2" t="n">
        <f>486</f>
        <v>486.0</v>
      </c>
      <c r="J155" s="10"/>
      <c r="K155" s="2" t="n">
        <f>79757</f>
        <v>79757.0</v>
      </c>
    </row>
    <row r="156">
      <c r="A156" s="8" t="s">
        <v>46</v>
      </c>
      <c r="B156" s="9" t="s">
        <v>57</v>
      </c>
      <c r="C156" s="9" t="s">
        <v>58</v>
      </c>
      <c r="D156" s="10"/>
      <c r="E156" s="2" t="n">
        <f>7885</f>
        <v>7885.0</v>
      </c>
      <c r="F156" s="10"/>
      <c r="G156" s="2" t="n">
        <f>13690449500</f>
        <v>1.36904495E10</v>
      </c>
      <c r="H156" s="10"/>
      <c r="I156" s="2" t="n">
        <f>276</f>
        <v>276.0</v>
      </c>
      <c r="J156" s="10"/>
      <c r="K156" s="2" t="n">
        <f>79338</f>
        <v>79338.0</v>
      </c>
    </row>
    <row r="157">
      <c r="A157" s="8" t="s">
        <v>47</v>
      </c>
      <c r="B157" s="9" t="s">
        <v>57</v>
      </c>
      <c r="C157" s="9" t="s">
        <v>58</v>
      </c>
      <c r="D157" s="10"/>
      <c r="E157" s="2" t="n">
        <f>12919</f>
        <v>12919.0</v>
      </c>
      <c r="F157" s="10"/>
      <c r="G157" s="2" t="n">
        <f>22297790000</f>
        <v>2.229779E10</v>
      </c>
      <c r="H157" s="10" t="s">
        <v>28</v>
      </c>
      <c r="I157" s="2" t="n">
        <f>1174</f>
        <v>1174.0</v>
      </c>
      <c r="J157" s="10"/>
      <c r="K157" s="2" t="n">
        <f>79860</f>
        <v>79860.0</v>
      </c>
    </row>
    <row r="158">
      <c r="A158" s="8" t="s">
        <v>48</v>
      </c>
      <c r="B158" s="9" t="s">
        <v>57</v>
      </c>
      <c r="C158" s="9" t="s">
        <v>58</v>
      </c>
      <c r="D158" s="10"/>
      <c r="E158" s="2" t="n">
        <f>8727</f>
        <v>8727.0</v>
      </c>
      <c r="F158" s="10"/>
      <c r="G158" s="2" t="n">
        <f>15104154676</f>
        <v>1.5104154676E10</v>
      </c>
      <c r="H158" s="10"/>
      <c r="I158" s="2" t="n">
        <f>218</f>
        <v>218.0</v>
      </c>
      <c r="J158" s="10"/>
      <c r="K158" s="2" t="n">
        <f>78804</f>
        <v>78804.0</v>
      </c>
    </row>
    <row r="159">
      <c r="A159" s="8" t="s">
        <v>49</v>
      </c>
      <c r="B159" s="9" t="s">
        <v>57</v>
      </c>
      <c r="C159" s="9" t="s">
        <v>58</v>
      </c>
      <c r="D159" s="10"/>
      <c r="E159" s="2" t="n">
        <f>12285</f>
        <v>12285.0</v>
      </c>
      <c r="F159" s="10"/>
      <c r="G159" s="2" t="n">
        <f>21125917322</f>
        <v>2.1125917322E10</v>
      </c>
      <c r="H159" s="10"/>
      <c r="I159" s="2" t="n">
        <f>326</f>
        <v>326.0</v>
      </c>
      <c r="J159" s="10"/>
      <c r="K159" s="2" t="n">
        <f>79057</f>
        <v>79057.0</v>
      </c>
    </row>
    <row r="160">
      <c r="A160" s="8" t="s">
        <v>50</v>
      </c>
      <c r="B160" s="9" t="s">
        <v>57</v>
      </c>
      <c r="C160" s="9" t="s">
        <v>58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59</v>
      </c>
      <c r="C161" s="9" t="s">
        <v>60</v>
      </c>
      <c r="D161" s="10" t="s">
        <v>20</v>
      </c>
      <c r="E161" s="2" t="str">
        <f>"－"</f>
        <v>－</v>
      </c>
      <c r="F161" s="10" t="s">
        <v>20</v>
      </c>
      <c r="G161" s="2" t="str">
        <f>"－"</f>
        <v>－</v>
      </c>
      <c r="H161" s="10" t="s">
        <v>61</v>
      </c>
      <c r="I161" s="2" t="str">
        <f>"－"</f>
        <v>－</v>
      </c>
      <c r="J161" s="10" t="s">
        <v>28</v>
      </c>
      <c r="K161" s="2" t="n">
        <f>64</f>
        <v>64.0</v>
      </c>
    </row>
    <row r="162">
      <c r="A162" s="8" t="s">
        <v>19</v>
      </c>
      <c r="B162" s="9" t="s">
        <v>59</v>
      </c>
      <c r="C162" s="9" t="s">
        <v>60</v>
      </c>
      <c r="D162" s="10"/>
      <c r="E162" s="2" t="str">
        <f>"－"</f>
        <v>－</v>
      </c>
      <c r="F162" s="10"/>
      <c r="G162" s="2" t="str">
        <f>"－"</f>
        <v>－</v>
      </c>
      <c r="H162" s="10"/>
      <c r="I162" s="2" t="str">
        <f>"－"</f>
        <v>－</v>
      </c>
      <c r="J162" s="10"/>
      <c r="K162" s="2" t="n">
        <f>64</f>
        <v>64.0</v>
      </c>
    </row>
    <row r="163">
      <c r="A163" s="8" t="s">
        <v>21</v>
      </c>
      <c r="B163" s="9" t="s">
        <v>59</v>
      </c>
      <c r="C163" s="9" t="s">
        <v>60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22</v>
      </c>
      <c r="B164" s="9" t="s">
        <v>59</v>
      </c>
      <c r="C164" s="9" t="s">
        <v>60</v>
      </c>
      <c r="D164" s="10"/>
      <c r="E164" s="2"/>
      <c r="F164" s="10"/>
      <c r="G164" s="2"/>
      <c r="H164" s="10"/>
      <c r="I164" s="2"/>
      <c r="J164" s="10"/>
      <c r="K164" s="2"/>
    </row>
    <row r="165">
      <c r="A165" s="8" t="s">
        <v>23</v>
      </c>
      <c r="B165" s="9" t="s">
        <v>59</v>
      </c>
      <c r="C165" s="9" t="s">
        <v>60</v>
      </c>
      <c r="D165" s="10"/>
      <c r="E165" s="2" t="str">
        <f>"－"</f>
        <v>－</v>
      </c>
      <c r="F165" s="10"/>
      <c r="G165" s="2" t="str">
        <f>"－"</f>
        <v>－</v>
      </c>
      <c r="H165" s="10"/>
      <c r="I165" s="2" t="str">
        <f>"－"</f>
        <v>－</v>
      </c>
      <c r="J165" s="10"/>
      <c r="K165" s="2" t="n">
        <f>64</f>
        <v>64.0</v>
      </c>
    </row>
    <row r="166">
      <c r="A166" s="8" t="s">
        <v>24</v>
      </c>
      <c r="B166" s="9" t="s">
        <v>59</v>
      </c>
      <c r="C166" s="9" t="s">
        <v>60</v>
      </c>
      <c r="D166" s="10"/>
      <c r="E166" s="2" t="str">
        <f>"－"</f>
        <v>－</v>
      </c>
      <c r="F166" s="10"/>
      <c r="G166" s="2" t="str">
        <f>"－"</f>
        <v>－</v>
      </c>
      <c r="H166" s="10"/>
      <c r="I166" s="2" t="str">
        <f>"－"</f>
        <v>－</v>
      </c>
      <c r="J166" s="10"/>
      <c r="K166" s="2" t="n">
        <f>64</f>
        <v>64.0</v>
      </c>
    </row>
    <row r="167">
      <c r="A167" s="8" t="s">
        <v>25</v>
      </c>
      <c r="B167" s="9" t="s">
        <v>59</v>
      </c>
      <c r="C167" s="9" t="s">
        <v>60</v>
      </c>
      <c r="D167" s="10"/>
      <c r="E167" s="2" t="str">
        <f>"－"</f>
        <v>－</v>
      </c>
      <c r="F167" s="10"/>
      <c r="G167" s="2" t="str">
        <f>"－"</f>
        <v>－</v>
      </c>
      <c r="H167" s="10"/>
      <c r="I167" s="2" t="str">
        <f>"－"</f>
        <v>－</v>
      </c>
      <c r="J167" s="10"/>
      <c r="K167" s="2" t="n">
        <f>64</f>
        <v>64.0</v>
      </c>
    </row>
    <row r="168">
      <c r="A168" s="8" t="s">
        <v>26</v>
      </c>
      <c r="B168" s="9" t="s">
        <v>59</v>
      </c>
      <c r="C168" s="9" t="s">
        <v>60</v>
      </c>
      <c r="D168" s="10"/>
      <c r="E168" s="2" t="str">
        <f>"－"</f>
        <v>－</v>
      </c>
      <c r="F168" s="10"/>
      <c r="G168" s="2" t="str">
        <f>"－"</f>
        <v>－</v>
      </c>
      <c r="H168" s="10"/>
      <c r="I168" s="2" t="str">
        <f>"－"</f>
        <v>－</v>
      </c>
      <c r="J168" s="10"/>
      <c r="K168" s="2" t="n">
        <f>64</f>
        <v>64.0</v>
      </c>
    </row>
    <row r="169">
      <c r="A169" s="8" t="s">
        <v>27</v>
      </c>
      <c r="B169" s="9" t="s">
        <v>59</v>
      </c>
      <c r="C169" s="9" t="s">
        <v>60</v>
      </c>
      <c r="D169" s="10"/>
      <c r="E169" s="2" t="str">
        <f>"－"</f>
        <v>－</v>
      </c>
      <c r="F169" s="10"/>
      <c r="G169" s="2" t="str">
        <f>"－"</f>
        <v>－</v>
      </c>
      <c r="H169" s="10"/>
      <c r="I169" s="2" t="str">
        <f>"－"</f>
        <v>－</v>
      </c>
      <c r="J169" s="10"/>
      <c r="K169" s="2" t="n">
        <f>64</f>
        <v>64.0</v>
      </c>
    </row>
    <row r="170">
      <c r="A170" s="8" t="s">
        <v>29</v>
      </c>
      <c r="B170" s="9" t="s">
        <v>59</v>
      </c>
      <c r="C170" s="9" t="s">
        <v>60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30</v>
      </c>
      <c r="B171" s="9" t="s">
        <v>59</v>
      </c>
      <c r="C171" s="9" t="s">
        <v>60</v>
      </c>
      <c r="D171" s="10"/>
      <c r="E171" s="2"/>
      <c r="F171" s="10"/>
      <c r="G171" s="2"/>
      <c r="H171" s="10"/>
      <c r="I171" s="2"/>
      <c r="J171" s="10"/>
      <c r="K171" s="2"/>
    </row>
    <row r="172">
      <c r="A172" s="8" t="s">
        <v>31</v>
      </c>
      <c r="B172" s="9" t="s">
        <v>59</v>
      </c>
      <c r="C172" s="9" t="s">
        <v>60</v>
      </c>
      <c r="D172" s="10"/>
      <c r="E172" s="2" t="str">
        <f>"－"</f>
        <v>－</v>
      </c>
      <c r="F172" s="10"/>
      <c r="G172" s="2" t="str">
        <f>"－"</f>
        <v>－</v>
      </c>
      <c r="H172" s="10"/>
      <c r="I172" s="2" t="str">
        <f>"－"</f>
        <v>－</v>
      </c>
      <c r="J172" s="10"/>
      <c r="K172" s="2" t="n">
        <f>64</f>
        <v>64.0</v>
      </c>
    </row>
    <row r="173">
      <c r="A173" s="8" t="s">
        <v>32</v>
      </c>
      <c r="B173" s="9" t="s">
        <v>59</v>
      </c>
      <c r="C173" s="9" t="s">
        <v>60</v>
      </c>
      <c r="D173" s="10"/>
      <c r="E173" s="2" t="str">
        <f>"－"</f>
        <v>－</v>
      </c>
      <c r="F173" s="10"/>
      <c r="G173" s="2" t="str">
        <f>"－"</f>
        <v>－</v>
      </c>
      <c r="H173" s="10"/>
      <c r="I173" s="2" t="str">
        <f>"－"</f>
        <v>－</v>
      </c>
      <c r="J173" s="10"/>
      <c r="K173" s="2" t="n">
        <f>64</f>
        <v>64.0</v>
      </c>
    </row>
    <row r="174">
      <c r="A174" s="8" t="s">
        <v>33</v>
      </c>
      <c r="B174" s="9" t="s">
        <v>59</v>
      </c>
      <c r="C174" s="9" t="s">
        <v>60</v>
      </c>
      <c r="D174" s="10"/>
      <c r="E174" s="2" t="str">
        <f>"－"</f>
        <v>－</v>
      </c>
      <c r="F174" s="10"/>
      <c r="G174" s="2" t="str">
        <f>"－"</f>
        <v>－</v>
      </c>
      <c r="H174" s="10"/>
      <c r="I174" s="2" t="str">
        <f>"－"</f>
        <v>－</v>
      </c>
      <c r="J174" s="10"/>
      <c r="K174" s="2" t="n">
        <f>64</f>
        <v>64.0</v>
      </c>
    </row>
    <row r="175">
      <c r="A175" s="8" t="s">
        <v>34</v>
      </c>
      <c r="B175" s="9" t="s">
        <v>59</v>
      </c>
      <c r="C175" s="9" t="s">
        <v>60</v>
      </c>
      <c r="D175" s="10" t="s">
        <v>28</v>
      </c>
      <c r="E175" s="2" t="n">
        <f>28</f>
        <v>28.0</v>
      </c>
      <c r="F175" s="10" t="s">
        <v>28</v>
      </c>
      <c r="G175" s="2" t="n">
        <f>25927720</f>
        <v>2.592772E7</v>
      </c>
      <c r="H175" s="10"/>
      <c r="I175" s="2" t="str">
        <f>"－"</f>
        <v>－</v>
      </c>
      <c r="J175" s="10" t="s">
        <v>20</v>
      </c>
      <c r="K175" s="2" t="n">
        <f>36</f>
        <v>36.0</v>
      </c>
    </row>
    <row r="176">
      <c r="A176" s="8" t="s">
        <v>35</v>
      </c>
      <c r="B176" s="9" t="s">
        <v>59</v>
      </c>
      <c r="C176" s="9" t="s">
        <v>60</v>
      </c>
      <c r="D176" s="10"/>
      <c r="E176" s="2" t="str">
        <f>"－"</f>
        <v>－</v>
      </c>
      <c r="F176" s="10"/>
      <c r="G176" s="2" t="str">
        <f>"－"</f>
        <v>－</v>
      </c>
      <c r="H176" s="10"/>
      <c r="I176" s="2" t="str">
        <f>"－"</f>
        <v>－</v>
      </c>
      <c r="J176" s="10"/>
      <c r="K176" s="2" t="n">
        <f>36</f>
        <v>36.0</v>
      </c>
    </row>
    <row r="177">
      <c r="A177" s="8" t="s">
        <v>36</v>
      </c>
      <c r="B177" s="9" t="s">
        <v>59</v>
      </c>
      <c r="C177" s="9" t="s">
        <v>60</v>
      </c>
      <c r="D177" s="10"/>
      <c r="E177" s="2"/>
      <c r="F177" s="10"/>
      <c r="G177" s="2"/>
      <c r="H177" s="10"/>
      <c r="I177" s="2"/>
      <c r="J177" s="10"/>
      <c r="K177" s="2"/>
    </row>
    <row r="178">
      <c r="A178" s="8" t="s">
        <v>37</v>
      </c>
      <c r="B178" s="9" t="s">
        <v>59</v>
      </c>
      <c r="C178" s="9" t="s">
        <v>60</v>
      </c>
      <c r="D178" s="10"/>
      <c r="E178" s="2"/>
      <c r="F178" s="10"/>
      <c r="G178" s="2"/>
      <c r="H178" s="10"/>
      <c r="I178" s="2"/>
      <c r="J178" s="10"/>
      <c r="K178" s="2"/>
    </row>
    <row r="179">
      <c r="A179" s="8" t="s">
        <v>38</v>
      </c>
      <c r="B179" s="9" t="s">
        <v>59</v>
      </c>
      <c r="C179" s="9" t="s">
        <v>60</v>
      </c>
      <c r="D179" s="10"/>
      <c r="E179" s="2" t="str">
        <f>"－"</f>
        <v>－</v>
      </c>
      <c r="F179" s="10"/>
      <c r="G179" s="2" t="str">
        <f>"－"</f>
        <v>－</v>
      </c>
      <c r="H179" s="10"/>
      <c r="I179" s="2" t="str">
        <f>"－"</f>
        <v>－</v>
      </c>
      <c r="J179" s="10"/>
      <c r="K179" s="2" t="n">
        <f>36</f>
        <v>36.0</v>
      </c>
    </row>
    <row r="180">
      <c r="A180" s="8" t="s">
        <v>39</v>
      </c>
      <c r="B180" s="9" t="s">
        <v>59</v>
      </c>
      <c r="C180" s="9" t="s">
        <v>60</v>
      </c>
      <c r="D180" s="10"/>
      <c r="E180" s="2" t="str">
        <f>"－"</f>
        <v>－</v>
      </c>
      <c r="F180" s="10"/>
      <c r="G180" s="2" t="str">
        <f>"－"</f>
        <v>－</v>
      </c>
      <c r="H180" s="10"/>
      <c r="I180" s="2" t="str">
        <f>"－"</f>
        <v>－</v>
      </c>
      <c r="J180" s="10"/>
      <c r="K180" s="2" t="n">
        <f>36</f>
        <v>36.0</v>
      </c>
    </row>
    <row r="181">
      <c r="A181" s="8" t="s">
        <v>40</v>
      </c>
      <c r="B181" s="9" t="s">
        <v>59</v>
      </c>
      <c r="C181" s="9" t="s">
        <v>60</v>
      </c>
      <c r="D181" s="10"/>
      <c r="E181" s="2" t="str">
        <f>"－"</f>
        <v>－</v>
      </c>
      <c r="F181" s="10"/>
      <c r="G181" s="2" t="str">
        <f>"－"</f>
        <v>－</v>
      </c>
      <c r="H181" s="10"/>
      <c r="I181" s="2" t="str">
        <f>"－"</f>
        <v>－</v>
      </c>
      <c r="J181" s="10"/>
      <c r="K181" s="2" t="n">
        <f>36</f>
        <v>36.0</v>
      </c>
    </row>
    <row r="182">
      <c r="A182" s="8" t="s">
        <v>41</v>
      </c>
      <c r="B182" s="9" t="s">
        <v>59</v>
      </c>
      <c r="C182" s="9" t="s">
        <v>60</v>
      </c>
      <c r="D182" s="10"/>
      <c r="E182" s="2"/>
      <c r="F182" s="10"/>
      <c r="G182" s="2"/>
      <c r="H182" s="10"/>
      <c r="I182" s="2"/>
      <c r="J182" s="10"/>
      <c r="K182" s="2"/>
    </row>
    <row r="183">
      <c r="A183" s="8" t="s">
        <v>42</v>
      </c>
      <c r="B183" s="9" t="s">
        <v>59</v>
      </c>
      <c r="C183" s="9" t="s">
        <v>60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59</v>
      </c>
      <c r="C184" s="9" t="s">
        <v>60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44</v>
      </c>
      <c r="B185" s="9" t="s">
        <v>59</v>
      </c>
      <c r="C185" s="9" t="s">
        <v>60</v>
      </c>
      <c r="D185" s="10"/>
      <c r="E185" s="2"/>
      <c r="F185" s="10"/>
      <c r="G185" s="2"/>
      <c r="H185" s="10"/>
      <c r="I185" s="2"/>
      <c r="J185" s="10"/>
      <c r="K185" s="2"/>
    </row>
    <row r="186">
      <c r="A186" s="8" t="s">
        <v>45</v>
      </c>
      <c r="B186" s="9" t="s">
        <v>59</v>
      </c>
      <c r="C186" s="9" t="s">
        <v>60</v>
      </c>
      <c r="D186" s="10"/>
      <c r="E186" s="2" t="str">
        <f>"－"</f>
        <v>－</v>
      </c>
      <c r="F186" s="10"/>
      <c r="G186" s="2" t="str">
        <f>"－"</f>
        <v>－</v>
      </c>
      <c r="H186" s="10"/>
      <c r="I186" s="2" t="str">
        <f>"－"</f>
        <v>－</v>
      </c>
      <c r="J186" s="10"/>
      <c r="K186" s="2" t="n">
        <f>36</f>
        <v>36.0</v>
      </c>
    </row>
    <row r="187">
      <c r="A187" s="8" t="s">
        <v>46</v>
      </c>
      <c r="B187" s="9" t="s">
        <v>59</v>
      </c>
      <c r="C187" s="9" t="s">
        <v>60</v>
      </c>
      <c r="D187" s="10"/>
      <c r="E187" s="2" t="str">
        <f>"－"</f>
        <v>－</v>
      </c>
      <c r="F187" s="10"/>
      <c r="G187" s="2" t="str">
        <f>"－"</f>
        <v>－</v>
      </c>
      <c r="H187" s="10"/>
      <c r="I187" s="2" t="str">
        <f>"－"</f>
        <v>－</v>
      </c>
      <c r="J187" s="10"/>
      <c r="K187" s="2" t="n">
        <f>36</f>
        <v>36.0</v>
      </c>
    </row>
    <row r="188">
      <c r="A188" s="8" t="s">
        <v>47</v>
      </c>
      <c r="B188" s="9" t="s">
        <v>59</v>
      </c>
      <c r="C188" s="9" t="s">
        <v>60</v>
      </c>
      <c r="D188" s="10"/>
      <c r="E188" s="2" t="str">
        <f>"－"</f>
        <v>－</v>
      </c>
      <c r="F188" s="10"/>
      <c r="G188" s="2" t="str">
        <f>"－"</f>
        <v>－</v>
      </c>
      <c r="H188" s="10"/>
      <c r="I188" s="2" t="str">
        <f>"－"</f>
        <v>－</v>
      </c>
      <c r="J188" s="10"/>
      <c r="K188" s="2" t="n">
        <f>36</f>
        <v>36.0</v>
      </c>
    </row>
    <row r="189">
      <c r="A189" s="8" t="s">
        <v>48</v>
      </c>
      <c r="B189" s="9" t="s">
        <v>59</v>
      </c>
      <c r="C189" s="9" t="s">
        <v>60</v>
      </c>
      <c r="D189" s="10"/>
      <c r="E189" s="2" t="str">
        <f>"－"</f>
        <v>－</v>
      </c>
      <c r="F189" s="10"/>
      <c r="G189" s="2" t="str">
        <f>"－"</f>
        <v>－</v>
      </c>
      <c r="H189" s="10"/>
      <c r="I189" s="2" t="str">
        <f>"－"</f>
        <v>－</v>
      </c>
      <c r="J189" s="10"/>
      <c r="K189" s="2" t="n">
        <f>36</f>
        <v>36.0</v>
      </c>
    </row>
    <row r="190">
      <c r="A190" s="8" t="s">
        <v>49</v>
      </c>
      <c r="B190" s="9" t="s">
        <v>59</v>
      </c>
      <c r="C190" s="9" t="s">
        <v>60</v>
      </c>
      <c r="D190" s="10"/>
      <c r="E190" s="2" t="str">
        <f>"－"</f>
        <v>－</v>
      </c>
      <c r="F190" s="10"/>
      <c r="G190" s="2" t="str">
        <f>"－"</f>
        <v>－</v>
      </c>
      <c r="H190" s="10"/>
      <c r="I190" s="2" t="str">
        <f>"－"</f>
        <v>－</v>
      </c>
      <c r="J190" s="10"/>
      <c r="K190" s="2" t="n">
        <f>36</f>
        <v>36.0</v>
      </c>
    </row>
    <row r="191">
      <c r="A191" s="8" t="s">
        <v>50</v>
      </c>
      <c r="B191" s="9" t="s">
        <v>59</v>
      </c>
      <c r="C191" s="9" t="s">
        <v>60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62</v>
      </c>
      <c r="C192" s="9" t="s">
        <v>63</v>
      </c>
      <c r="D192" s="10" t="s">
        <v>20</v>
      </c>
      <c r="E192" s="2" t="str">
        <f>"－"</f>
        <v>－</v>
      </c>
      <c r="F192" s="10" t="s">
        <v>20</v>
      </c>
      <c r="G192" s="2" t="str">
        <f>"－"</f>
        <v>－</v>
      </c>
      <c r="H192" s="10" t="s">
        <v>20</v>
      </c>
      <c r="I192" s="2" t="str">
        <f>"－"</f>
        <v>－</v>
      </c>
      <c r="J192" s="10" t="s">
        <v>28</v>
      </c>
      <c r="K192" s="2" t="n">
        <f>51487</f>
        <v>51487.0</v>
      </c>
    </row>
    <row r="193">
      <c r="A193" s="8" t="s">
        <v>19</v>
      </c>
      <c r="B193" s="9" t="s">
        <v>62</v>
      </c>
      <c r="C193" s="9" t="s">
        <v>63</v>
      </c>
      <c r="D193" s="10"/>
      <c r="E193" s="2" t="str">
        <f>"－"</f>
        <v>－</v>
      </c>
      <c r="F193" s="10"/>
      <c r="G193" s="2" t="str">
        <f>"－"</f>
        <v>－</v>
      </c>
      <c r="H193" s="10"/>
      <c r="I193" s="2" t="str">
        <f>"－"</f>
        <v>－</v>
      </c>
      <c r="J193" s="10"/>
      <c r="K193" s="2" t="n">
        <f>51487</f>
        <v>51487.0</v>
      </c>
    </row>
    <row r="194">
      <c r="A194" s="8" t="s">
        <v>21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22</v>
      </c>
      <c r="B195" s="9" t="s">
        <v>62</v>
      </c>
      <c r="C195" s="9" t="s">
        <v>63</v>
      </c>
      <c r="D195" s="10"/>
      <c r="E195" s="2"/>
      <c r="F195" s="10"/>
      <c r="G195" s="2"/>
      <c r="H195" s="10"/>
      <c r="I195" s="2"/>
      <c r="J195" s="10"/>
      <c r="K195" s="2"/>
    </row>
    <row r="196">
      <c r="A196" s="8" t="s">
        <v>23</v>
      </c>
      <c r="B196" s="9" t="s">
        <v>62</v>
      </c>
      <c r="C196" s="9" t="s">
        <v>63</v>
      </c>
      <c r="D196" s="10"/>
      <c r="E196" s="2" t="str">
        <f>"－"</f>
        <v>－</v>
      </c>
      <c r="F196" s="10"/>
      <c r="G196" s="2" t="str">
        <f>"－"</f>
        <v>－</v>
      </c>
      <c r="H196" s="10"/>
      <c r="I196" s="2" t="str">
        <f>"－"</f>
        <v>－</v>
      </c>
      <c r="J196" s="10"/>
      <c r="K196" s="2" t="n">
        <f>51487</f>
        <v>51487.0</v>
      </c>
    </row>
    <row r="197">
      <c r="A197" s="8" t="s">
        <v>24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51487</f>
        <v>51487.0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n">
        <f>793</f>
        <v>793.0</v>
      </c>
      <c r="F198" s="10" t="s">
        <v>28</v>
      </c>
      <c r="G198" s="2" t="n">
        <f>1110358600</f>
        <v>1.1103586E9</v>
      </c>
      <c r="H198" s="10"/>
      <c r="I198" s="2" t="n">
        <f>793</f>
        <v>793.0</v>
      </c>
      <c r="J198" s="10"/>
      <c r="K198" s="2" t="n">
        <f>51487</f>
        <v>51487.0</v>
      </c>
    </row>
    <row r="199">
      <c r="A199" s="8" t="s">
        <v>26</v>
      </c>
      <c r="B199" s="9" t="s">
        <v>62</v>
      </c>
      <c r="C199" s="9" t="s">
        <v>63</v>
      </c>
      <c r="D199" s="10" t="s">
        <v>28</v>
      </c>
      <c r="E199" s="2" t="n">
        <f>794</f>
        <v>794.0</v>
      </c>
      <c r="F199" s="10"/>
      <c r="G199" s="2" t="n">
        <f>1104930400</f>
        <v>1.1049304E9</v>
      </c>
      <c r="H199" s="10" t="s">
        <v>28</v>
      </c>
      <c r="I199" s="2" t="n">
        <f>794</f>
        <v>794.0</v>
      </c>
      <c r="J199" s="10"/>
      <c r="K199" s="2" t="n">
        <f>51487</f>
        <v>51487.0</v>
      </c>
    </row>
    <row r="200">
      <c r="A200" s="8" t="s">
        <v>27</v>
      </c>
      <c r="B200" s="9" t="s">
        <v>62</v>
      </c>
      <c r="C200" s="9" t="s">
        <v>63</v>
      </c>
      <c r="D200" s="10"/>
      <c r="E200" s="2" t="n">
        <f>28</f>
        <v>28.0</v>
      </c>
      <c r="F200" s="10"/>
      <c r="G200" s="2" t="n">
        <f>38192000</f>
        <v>3.8192E7</v>
      </c>
      <c r="H200" s="10"/>
      <c r="I200" s="2" t="n">
        <f>28</f>
        <v>28.0</v>
      </c>
      <c r="J200" s="10"/>
      <c r="K200" s="2" t="n">
        <f>51487</f>
        <v>51487.0</v>
      </c>
    </row>
    <row r="201">
      <c r="A201" s="8" t="s">
        <v>29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30</v>
      </c>
      <c r="B202" s="9" t="s">
        <v>62</v>
      </c>
      <c r="C202" s="9" t="s">
        <v>63</v>
      </c>
      <c r="D202" s="10"/>
      <c r="E202" s="2"/>
      <c r="F202" s="10"/>
      <c r="G202" s="2"/>
      <c r="H202" s="10"/>
      <c r="I202" s="2"/>
      <c r="J202" s="10"/>
      <c r="K202" s="2"/>
    </row>
    <row r="203">
      <c r="A203" s="8" t="s">
        <v>31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 t="s">
        <v>20</v>
      </c>
      <c r="K203" s="2" t="n">
        <f>48920</f>
        <v>48920.0</v>
      </c>
    </row>
    <row r="204">
      <c r="A204" s="8" t="s">
        <v>32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48920</f>
        <v>48920.0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48920</f>
        <v>48920.0</v>
      </c>
    </row>
    <row r="206">
      <c r="A206" s="8" t="s">
        <v>34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48920</f>
        <v>48920.0</v>
      </c>
    </row>
    <row r="207">
      <c r="A207" s="8" t="s">
        <v>35</v>
      </c>
      <c r="B207" s="9" t="s">
        <v>62</v>
      </c>
      <c r="C207" s="9" t="s">
        <v>63</v>
      </c>
      <c r="D207" s="10"/>
      <c r="E207" s="2" t="str">
        <f>"－"</f>
        <v>－</v>
      </c>
      <c r="F207" s="10"/>
      <c r="G207" s="2" t="str">
        <f>"－"</f>
        <v>－</v>
      </c>
      <c r="H207" s="10"/>
      <c r="I207" s="2" t="str">
        <f>"－"</f>
        <v>－</v>
      </c>
      <c r="J207" s="10"/>
      <c r="K207" s="2" t="n">
        <f>48920</f>
        <v>48920.0</v>
      </c>
    </row>
    <row r="208">
      <c r="A208" s="8" t="s">
        <v>36</v>
      </c>
      <c r="B208" s="9" t="s">
        <v>62</v>
      </c>
      <c r="C208" s="9" t="s">
        <v>63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37</v>
      </c>
      <c r="B209" s="9" t="s">
        <v>62</v>
      </c>
      <c r="C209" s="9" t="s">
        <v>63</v>
      </c>
      <c r="D209" s="10"/>
      <c r="E209" s="2"/>
      <c r="F209" s="10"/>
      <c r="G209" s="2"/>
      <c r="H209" s="10"/>
      <c r="I209" s="2"/>
      <c r="J209" s="10"/>
      <c r="K209" s="2"/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48920</f>
        <v>48920.0</v>
      </c>
    </row>
    <row r="211">
      <c r="A211" s="8" t="s">
        <v>39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48920</f>
        <v>48920.0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48920</f>
        <v>48920.0</v>
      </c>
    </row>
    <row r="213">
      <c r="A213" s="8" t="s">
        <v>41</v>
      </c>
      <c r="B213" s="9" t="s">
        <v>62</v>
      </c>
      <c r="C213" s="9" t="s">
        <v>63</v>
      </c>
      <c r="D213" s="10"/>
      <c r="E213" s="2"/>
      <c r="F213" s="10"/>
      <c r="G213" s="2"/>
      <c r="H213" s="10"/>
      <c r="I213" s="2"/>
      <c r="J213" s="10"/>
      <c r="K213" s="2"/>
    </row>
    <row r="214">
      <c r="A214" s="8" t="s">
        <v>42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62</v>
      </c>
      <c r="C215" s="9" t="s">
        <v>63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44</v>
      </c>
      <c r="B216" s="9" t="s">
        <v>62</v>
      </c>
      <c r="C216" s="9" t="s">
        <v>63</v>
      </c>
      <c r="D216" s="10"/>
      <c r="E216" s="2"/>
      <c r="F216" s="10"/>
      <c r="G216" s="2"/>
      <c r="H216" s="10"/>
      <c r="I216" s="2"/>
      <c r="J216" s="10"/>
      <c r="K216" s="2"/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48920</f>
        <v>48920.0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48920</f>
        <v>48920.0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48920</f>
        <v>48920.0</v>
      </c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48920</f>
        <v>48920.0</v>
      </c>
    </row>
    <row r="221">
      <c r="A221" s="8" t="s">
        <v>49</v>
      </c>
      <c r="B221" s="9" t="s">
        <v>62</v>
      </c>
      <c r="C221" s="9" t="s">
        <v>63</v>
      </c>
      <c r="D221" s="10"/>
      <c r="E221" s="2" t="str">
        <f>"－"</f>
        <v>－</v>
      </c>
      <c r="F221" s="10"/>
      <c r="G221" s="2" t="str">
        <f>"－"</f>
        <v>－</v>
      </c>
      <c r="H221" s="10"/>
      <c r="I221" s="2" t="str">
        <f>"－"</f>
        <v>－</v>
      </c>
      <c r="J221" s="10"/>
      <c r="K221" s="2" t="n">
        <f>48920</f>
        <v>48920.0</v>
      </c>
    </row>
    <row r="222">
      <c r="A222" s="8" t="s">
        <v>50</v>
      </c>
      <c r="B222" s="9" t="s">
        <v>62</v>
      </c>
      <c r="C222" s="9" t="s">
        <v>63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1424</f>
        <v>1424.0</v>
      </c>
      <c r="F223" s="10"/>
      <c r="G223" s="2" t="n">
        <f>3020669230</f>
        <v>3.02066923E9</v>
      </c>
      <c r="H223" s="10"/>
      <c r="I223" s="2" t="n">
        <f>106</f>
        <v>106.0</v>
      </c>
      <c r="J223" s="10"/>
      <c r="K223" s="2" t="n">
        <f>64772</f>
        <v>64772.0</v>
      </c>
    </row>
    <row r="224">
      <c r="A224" s="8" t="s">
        <v>19</v>
      </c>
      <c r="B224" s="9" t="s">
        <v>64</v>
      </c>
      <c r="C224" s="9" t="s">
        <v>65</v>
      </c>
      <c r="D224" s="10"/>
      <c r="E224" s="2" t="n">
        <f>727</f>
        <v>727.0</v>
      </c>
      <c r="F224" s="10"/>
      <c r="G224" s="2" t="n">
        <f>1553757320</f>
        <v>1.55375732E9</v>
      </c>
      <c r="H224" s="10"/>
      <c r="I224" s="2" t="n">
        <f>284</f>
        <v>284.0</v>
      </c>
      <c r="J224" s="10"/>
      <c r="K224" s="2" t="n">
        <f>64563</f>
        <v>64563.0</v>
      </c>
    </row>
    <row r="225">
      <c r="A225" s="8" t="s">
        <v>21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22</v>
      </c>
      <c r="B226" s="9" t="s">
        <v>64</v>
      </c>
      <c r="C226" s="9" t="s">
        <v>65</v>
      </c>
      <c r="D226" s="10"/>
      <c r="E226" s="2"/>
      <c r="F226" s="10"/>
      <c r="G226" s="2"/>
      <c r="H226" s="10"/>
      <c r="I226" s="2"/>
      <c r="J226" s="10"/>
      <c r="K226" s="2"/>
    </row>
    <row r="227">
      <c r="A227" s="8" t="s">
        <v>23</v>
      </c>
      <c r="B227" s="9" t="s">
        <v>64</v>
      </c>
      <c r="C227" s="9" t="s">
        <v>65</v>
      </c>
      <c r="D227" s="10"/>
      <c r="E227" s="2" t="n">
        <f>589</f>
        <v>589.0</v>
      </c>
      <c r="F227" s="10"/>
      <c r="G227" s="2" t="n">
        <f>1264862260</f>
        <v>1.26486226E9</v>
      </c>
      <c r="H227" s="10"/>
      <c r="I227" s="2" t="n">
        <f>75</f>
        <v>75.0</v>
      </c>
      <c r="J227" s="10"/>
      <c r="K227" s="2" t="n">
        <f>64610</f>
        <v>64610.0</v>
      </c>
    </row>
    <row r="228">
      <c r="A228" s="8" t="s">
        <v>24</v>
      </c>
      <c r="B228" s="9" t="s">
        <v>64</v>
      </c>
      <c r="C228" s="9" t="s">
        <v>65</v>
      </c>
      <c r="D228" s="10"/>
      <c r="E228" s="2" t="n">
        <f>2047</f>
        <v>2047.0</v>
      </c>
      <c r="F228" s="10"/>
      <c r="G228" s="2" t="n">
        <f>4433501480</f>
        <v>4.43350148E9</v>
      </c>
      <c r="H228" s="10"/>
      <c r="I228" s="2" t="n">
        <f>14</f>
        <v>14.0</v>
      </c>
      <c r="J228" s="10"/>
      <c r="K228" s="2" t="n">
        <f>65679</f>
        <v>65679.0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451</f>
        <v>451.0</v>
      </c>
      <c r="F229" s="10"/>
      <c r="G229" s="2" t="n">
        <f>978070010</f>
        <v>9.7807001E8</v>
      </c>
      <c r="H229" s="10"/>
      <c r="I229" s="2" t="n">
        <f>3</f>
        <v>3.0</v>
      </c>
      <c r="J229" s="10"/>
      <c r="K229" s="2" t="n">
        <f>65812</f>
        <v>65812.0</v>
      </c>
    </row>
    <row r="230">
      <c r="A230" s="8" t="s">
        <v>26</v>
      </c>
      <c r="B230" s="9" t="s">
        <v>64</v>
      </c>
      <c r="C230" s="9" t="s">
        <v>65</v>
      </c>
      <c r="D230" s="10"/>
      <c r="E230" s="2" t="n">
        <f>185</f>
        <v>185.0</v>
      </c>
      <c r="F230" s="10"/>
      <c r="G230" s="2" t="n">
        <f>400008400</f>
        <v>4.000084E8</v>
      </c>
      <c r="H230" s="10" t="s">
        <v>20</v>
      </c>
      <c r="I230" s="2" t="str">
        <f>"－"</f>
        <v>－</v>
      </c>
      <c r="J230" s="10"/>
      <c r="K230" s="2" t="n">
        <f>65687</f>
        <v>65687.0</v>
      </c>
    </row>
    <row r="231">
      <c r="A231" s="8" t="s">
        <v>27</v>
      </c>
      <c r="B231" s="9" t="s">
        <v>64</v>
      </c>
      <c r="C231" s="9" t="s">
        <v>65</v>
      </c>
      <c r="D231" s="10"/>
      <c r="E231" s="2" t="n">
        <f>461</f>
        <v>461.0</v>
      </c>
      <c r="F231" s="10"/>
      <c r="G231" s="2" t="n">
        <f>989111000</f>
        <v>9.89111E8</v>
      </c>
      <c r="H231" s="10"/>
      <c r="I231" s="2" t="str">
        <f>"－"</f>
        <v>－</v>
      </c>
      <c r="J231" s="10"/>
      <c r="K231" s="2" t="n">
        <f>65584</f>
        <v>65584.0</v>
      </c>
    </row>
    <row r="232">
      <c r="A232" s="8" t="s">
        <v>29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30</v>
      </c>
      <c r="B233" s="9" t="s">
        <v>64</v>
      </c>
      <c r="C233" s="9" t="s">
        <v>65</v>
      </c>
      <c r="D233" s="10"/>
      <c r="E233" s="2"/>
      <c r="F233" s="10"/>
      <c r="G233" s="2"/>
      <c r="H233" s="10"/>
      <c r="I233" s="2"/>
      <c r="J233" s="10"/>
      <c r="K233" s="2"/>
    </row>
    <row r="234">
      <c r="A234" s="8" t="s">
        <v>31</v>
      </c>
      <c r="B234" s="9" t="s">
        <v>64</v>
      </c>
      <c r="C234" s="9" t="s">
        <v>65</v>
      </c>
      <c r="D234" s="10"/>
      <c r="E234" s="2" t="n">
        <f>527</f>
        <v>527.0</v>
      </c>
      <c r="F234" s="10"/>
      <c r="G234" s="2" t="n">
        <f>1141838220</f>
        <v>1.14183822E9</v>
      </c>
      <c r="H234" s="10"/>
      <c r="I234" s="2" t="n">
        <f>21</f>
        <v>21.0</v>
      </c>
      <c r="J234" s="10"/>
      <c r="K234" s="2" t="n">
        <f>65802</f>
        <v>65802.0</v>
      </c>
    </row>
    <row r="235">
      <c r="A235" s="8" t="s">
        <v>32</v>
      </c>
      <c r="B235" s="9" t="s">
        <v>64</v>
      </c>
      <c r="C235" s="9" t="s">
        <v>65</v>
      </c>
      <c r="D235" s="10"/>
      <c r="E235" s="2" t="n">
        <f>496</f>
        <v>496.0</v>
      </c>
      <c r="F235" s="10"/>
      <c r="G235" s="2" t="n">
        <f>1074914180</f>
        <v>1.07491418E9</v>
      </c>
      <c r="H235" s="10"/>
      <c r="I235" s="2" t="n">
        <f>26</f>
        <v>26.0</v>
      </c>
      <c r="J235" s="10"/>
      <c r="K235" s="2" t="n">
        <f>65926</f>
        <v>65926.0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238</f>
        <v>238.0</v>
      </c>
      <c r="F236" s="10"/>
      <c r="G236" s="2" t="n">
        <f>514789840</f>
        <v>5.1478984E8</v>
      </c>
      <c r="H236" s="10"/>
      <c r="I236" s="2" t="n">
        <f>4</f>
        <v>4.0</v>
      </c>
      <c r="J236" s="10" t="s">
        <v>28</v>
      </c>
      <c r="K236" s="2" t="n">
        <f>65985</f>
        <v>65985.0</v>
      </c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926</f>
        <v>926.0</v>
      </c>
      <c r="F237" s="10"/>
      <c r="G237" s="2" t="n">
        <f>1991353200</f>
        <v>1.9913532E9</v>
      </c>
      <c r="H237" s="10"/>
      <c r="I237" s="2" t="n">
        <f>18</f>
        <v>18.0</v>
      </c>
      <c r="J237" s="10"/>
      <c r="K237" s="2" t="n">
        <f>65151</f>
        <v>65151.0</v>
      </c>
    </row>
    <row r="238">
      <c r="A238" s="8" t="s">
        <v>35</v>
      </c>
      <c r="B238" s="9" t="s">
        <v>64</v>
      </c>
      <c r="C238" s="9" t="s">
        <v>65</v>
      </c>
      <c r="D238" s="10"/>
      <c r="E238" s="2" t="n">
        <f>55</f>
        <v>55.0</v>
      </c>
      <c r="F238" s="10"/>
      <c r="G238" s="2" t="n">
        <f>118701500</f>
        <v>1.187015E8</v>
      </c>
      <c r="H238" s="10"/>
      <c r="I238" s="2" t="str">
        <f>"－"</f>
        <v>－</v>
      </c>
      <c r="J238" s="10"/>
      <c r="K238" s="2" t="n">
        <f>65137</f>
        <v>65137.0</v>
      </c>
    </row>
    <row r="239">
      <c r="A239" s="8" t="s">
        <v>36</v>
      </c>
      <c r="B239" s="9" t="s">
        <v>64</v>
      </c>
      <c r="C239" s="9" t="s">
        <v>65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37</v>
      </c>
      <c r="B240" s="9" t="s">
        <v>64</v>
      </c>
      <c r="C240" s="9" t="s">
        <v>65</v>
      </c>
      <c r="D240" s="10"/>
      <c r="E240" s="2"/>
      <c r="F240" s="10"/>
      <c r="G240" s="2"/>
      <c r="H240" s="10"/>
      <c r="I240" s="2"/>
      <c r="J240" s="10"/>
      <c r="K240" s="2"/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321</f>
        <v>321.0</v>
      </c>
      <c r="F241" s="10"/>
      <c r="G241" s="2" t="n">
        <f>690318200</f>
        <v>6.903182E8</v>
      </c>
      <c r="H241" s="10"/>
      <c r="I241" s="2" t="n">
        <f>6</f>
        <v>6.0</v>
      </c>
      <c r="J241" s="10"/>
      <c r="K241" s="2" t="n">
        <f>65109</f>
        <v>65109.0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526</f>
        <v>526.0</v>
      </c>
      <c r="F242" s="10"/>
      <c r="G242" s="2" t="n">
        <f>1119286010</f>
        <v>1.11928601E9</v>
      </c>
      <c r="H242" s="10"/>
      <c r="I242" s="2" t="n">
        <f>16</f>
        <v>16.0</v>
      </c>
      <c r="J242" s="10"/>
      <c r="K242" s="2" t="n">
        <f>65009</f>
        <v>65009.0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n">
        <f>191</f>
        <v>191.0</v>
      </c>
      <c r="F243" s="10"/>
      <c r="G243" s="2" t="n">
        <f>407578780</f>
        <v>4.0757878E8</v>
      </c>
      <c r="H243" s="10"/>
      <c r="I243" s="2" t="str">
        <f>"－"</f>
        <v>－</v>
      </c>
      <c r="J243" s="10"/>
      <c r="K243" s="2" t="n">
        <f>65000</f>
        <v>65000.0</v>
      </c>
    </row>
    <row r="244">
      <c r="A244" s="8" t="s">
        <v>41</v>
      </c>
      <c r="B244" s="9" t="s">
        <v>64</v>
      </c>
      <c r="C244" s="9" t="s">
        <v>65</v>
      </c>
      <c r="D244" s="10"/>
      <c r="E244" s="2"/>
      <c r="F244" s="10"/>
      <c r="G244" s="2"/>
      <c r="H244" s="10"/>
      <c r="I244" s="2"/>
      <c r="J244" s="10"/>
      <c r="K244" s="2"/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/>
      <c r="F246" s="10"/>
      <c r="G246" s="2"/>
      <c r="H246" s="10"/>
      <c r="I246" s="2"/>
      <c r="J246" s="10"/>
      <c r="K246" s="2"/>
    </row>
    <row r="247">
      <c r="A247" s="8" t="s">
        <v>44</v>
      </c>
      <c r="B247" s="9" t="s">
        <v>64</v>
      </c>
      <c r="C247" s="9" t="s">
        <v>65</v>
      </c>
      <c r="D247" s="10"/>
      <c r="E247" s="2"/>
      <c r="F247" s="10"/>
      <c r="G247" s="2"/>
      <c r="H247" s="10"/>
      <c r="I247" s="2"/>
      <c r="J247" s="10"/>
      <c r="K247" s="2"/>
    </row>
    <row r="248">
      <c r="A248" s="8" t="s">
        <v>45</v>
      </c>
      <c r="B248" s="9" t="s">
        <v>64</v>
      </c>
      <c r="C248" s="9" t="s">
        <v>65</v>
      </c>
      <c r="D248" s="10"/>
      <c r="E248" s="2" t="n">
        <f>639</f>
        <v>639.0</v>
      </c>
      <c r="F248" s="10"/>
      <c r="G248" s="2" t="n">
        <f>1355230160</f>
        <v>1.35523016E9</v>
      </c>
      <c r="H248" s="10"/>
      <c r="I248" s="2" t="n">
        <f>26</f>
        <v>26.0</v>
      </c>
      <c r="J248" s="10"/>
      <c r="K248" s="2" t="n">
        <f>64496</f>
        <v>64496.0</v>
      </c>
    </row>
    <row r="249">
      <c r="A249" s="8" t="s">
        <v>46</v>
      </c>
      <c r="B249" s="9" t="s">
        <v>64</v>
      </c>
      <c r="C249" s="9" t="s">
        <v>65</v>
      </c>
      <c r="D249" s="10" t="s">
        <v>20</v>
      </c>
      <c r="E249" s="2" t="n">
        <f>41</f>
        <v>41.0</v>
      </c>
      <c r="F249" s="10" t="s">
        <v>20</v>
      </c>
      <c r="G249" s="2" t="n">
        <f>87361840</f>
        <v>8.736184E7</v>
      </c>
      <c r="H249" s="10"/>
      <c r="I249" s="2" t="str">
        <f>"－"</f>
        <v>－</v>
      </c>
      <c r="J249" s="10" t="s">
        <v>20</v>
      </c>
      <c r="K249" s="2" t="n">
        <f>64493</f>
        <v>64493.0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875</f>
        <v>875.0</v>
      </c>
      <c r="F250" s="10"/>
      <c r="G250" s="2" t="n">
        <f>1891028180</f>
        <v>1.89102818E9</v>
      </c>
      <c r="H250" s="10" t="s">
        <v>28</v>
      </c>
      <c r="I250" s="2" t="n">
        <f>510</f>
        <v>510.0</v>
      </c>
      <c r="J250" s="10"/>
      <c r="K250" s="2" t="n">
        <f>64595</f>
        <v>64595.0</v>
      </c>
    </row>
    <row r="251">
      <c r="A251" s="8" t="s">
        <v>48</v>
      </c>
      <c r="B251" s="9" t="s">
        <v>64</v>
      </c>
      <c r="C251" s="9" t="s">
        <v>65</v>
      </c>
      <c r="D251" s="10" t="s">
        <v>28</v>
      </c>
      <c r="E251" s="2" t="n">
        <f>2882</f>
        <v>2882.0</v>
      </c>
      <c r="F251" s="10" t="s">
        <v>28</v>
      </c>
      <c r="G251" s="2" t="n">
        <f>6224470530</f>
        <v>6.22447053E9</v>
      </c>
      <c r="H251" s="10"/>
      <c r="I251" s="2" t="str">
        <f>"－"</f>
        <v>－</v>
      </c>
      <c r="J251" s="10"/>
      <c r="K251" s="2" t="n">
        <f>65406</f>
        <v>65406.0</v>
      </c>
    </row>
    <row r="252">
      <c r="A252" s="8" t="s">
        <v>49</v>
      </c>
      <c r="B252" s="9" t="s">
        <v>64</v>
      </c>
      <c r="C252" s="9" t="s">
        <v>65</v>
      </c>
      <c r="D252" s="10"/>
      <c r="E252" s="2" t="n">
        <f>325</f>
        <v>325.0</v>
      </c>
      <c r="F252" s="10"/>
      <c r="G252" s="2" t="n">
        <f>701104560</f>
        <v>7.0110456E8</v>
      </c>
      <c r="H252" s="10"/>
      <c r="I252" s="2" t="n">
        <f>22</f>
        <v>22.0</v>
      </c>
      <c r="J252" s="10"/>
      <c r="K252" s="2" t="n">
        <f>65491</f>
        <v>65491.0</v>
      </c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 t="s">
        <v>61</v>
      </c>
      <c r="E254" s="2" t="str">
        <f>"－"</f>
        <v>－</v>
      </c>
      <c r="F254" s="10" t="s">
        <v>61</v>
      </c>
      <c r="G254" s="2" t="str">
        <f>"－"</f>
        <v>－</v>
      </c>
      <c r="H254" s="10" t="s">
        <v>61</v>
      </c>
      <c r="I254" s="2" t="str">
        <f>"－"</f>
        <v>－</v>
      </c>
      <c r="J254" s="10" t="s">
        <v>61</v>
      </c>
      <c r="K254" s="2" t="str">
        <f>"－"</f>
        <v>－</v>
      </c>
    </row>
    <row r="255">
      <c r="A255" s="8" t="s">
        <v>19</v>
      </c>
      <c r="B255" s="9" t="s">
        <v>66</v>
      </c>
      <c r="C255" s="9" t="s">
        <v>67</v>
      </c>
      <c r="D255" s="10"/>
      <c r="E255" s="2" t="str">
        <f>"－"</f>
        <v>－</v>
      </c>
      <c r="F255" s="10"/>
      <c r="G255" s="2" t="str">
        <f>"－"</f>
        <v>－</v>
      </c>
      <c r="H255" s="10"/>
      <c r="I255" s="2" t="str">
        <f>"－"</f>
        <v>－</v>
      </c>
      <c r="J255" s="10"/>
      <c r="K255" s="2" t="str">
        <f>"－"</f>
        <v>－</v>
      </c>
    </row>
    <row r="256">
      <c r="A256" s="8" t="s">
        <v>21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22</v>
      </c>
      <c r="B257" s="9" t="s">
        <v>66</v>
      </c>
      <c r="C257" s="9" t="s">
        <v>67</v>
      </c>
      <c r="D257" s="10"/>
      <c r="E257" s="2"/>
      <c r="F257" s="10"/>
      <c r="G257" s="2"/>
      <c r="H257" s="10"/>
      <c r="I257" s="2"/>
      <c r="J257" s="10"/>
      <c r="K257" s="2"/>
    </row>
    <row r="258">
      <c r="A258" s="8" t="s">
        <v>23</v>
      </c>
      <c r="B258" s="9" t="s">
        <v>66</v>
      </c>
      <c r="C258" s="9" t="s">
        <v>67</v>
      </c>
      <c r="D258" s="10"/>
      <c r="E258" s="2" t="str">
        <f>"－"</f>
        <v>－</v>
      </c>
      <c r="F258" s="10"/>
      <c r="G258" s="2" t="str">
        <f>"－"</f>
        <v>－</v>
      </c>
      <c r="H258" s="10"/>
      <c r="I258" s="2" t="str">
        <f>"－"</f>
        <v>－</v>
      </c>
      <c r="J258" s="10"/>
      <c r="K258" s="2" t="str">
        <f>"－"</f>
        <v>－</v>
      </c>
    </row>
    <row r="259">
      <c r="A259" s="8" t="s">
        <v>24</v>
      </c>
      <c r="B259" s="9" t="s">
        <v>66</v>
      </c>
      <c r="C259" s="9" t="s">
        <v>67</v>
      </c>
      <c r="D259" s="10"/>
      <c r="E259" s="2" t="str">
        <f>"－"</f>
        <v>－</v>
      </c>
      <c r="F259" s="10"/>
      <c r="G259" s="2" t="str">
        <f>"－"</f>
        <v>－</v>
      </c>
      <c r="H259" s="10"/>
      <c r="I259" s="2" t="str">
        <f>"－"</f>
        <v>－</v>
      </c>
      <c r="J259" s="10"/>
      <c r="K259" s="2" t="str">
        <f>"－"</f>
        <v>－</v>
      </c>
    </row>
    <row r="260">
      <c r="A260" s="8" t="s">
        <v>25</v>
      </c>
      <c r="B260" s="9" t="s">
        <v>66</v>
      </c>
      <c r="C260" s="9" t="s">
        <v>67</v>
      </c>
      <c r="D260" s="10"/>
      <c r="E260" s="2" t="str">
        <f>"－"</f>
        <v>－</v>
      </c>
      <c r="F260" s="10"/>
      <c r="G260" s="2" t="str">
        <f>"－"</f>
        <v>－</v>
      </c>
      <c r="H260" s="10"/>
      <c r="I260" s="2" t="str">
        <f>"－"</f>
        <v>－</v>
      </c>
      <c r="J260" s="10"/>
      <c r="K260" s="2" t="str">
        <f>"－"</f>
        <v>－</v>
      </c>
    </row>
    <row r="261">
      <c r="A261" s="8" t="s">
        <v>26</v>
      </c>
      <c r="B261" s="9" t="s">
        <v>66</v>
      </c>
      <c r="C261" s="9" t="s">
        <v>67</v>
      </c>
      <c r="D261" s="10"/>
      <c r="E261" s="2" t="str">
        <f>"－"</f>
        <v>－</v>
      </c>
      <c r="F261" s="10"/>
      <c r="G261" s="2" t="str">
        <f>"－"</f>
        <v>－</v>
      </c>
      <c r="H261" s="10"/>
      <c r="I261" s="2" t="str">
        <f>"－"</f>
        <v>－</v>
      </c>
      <c r="J261" s="10"/>
      <c r="K261" s="2" t="str">
        <f>"－"</f>
        <v>－</v>
      </c>
    </row>
    <row r="262">
      <c r="A262" s="8" t="s">
        <v>27</v>
      </c>
      <c r="B262" s="9" t="s">
        <v>66</v>
      </c>
      <c r="C262" s="9" t="s">
        <v>67</v>
      </c>
      <c r="D262" s="10"/>
      <c r="E262" s="2" t="str">
        <f>"－"</f>
        <v>－</v>
      </c>
      <c r="F262" s="10"/>
      <c r="G262" s="2" t="str">
        <f>"－"</f>
        <v>－</v>
      </c>
      <c r="H262" s="10"/>
      <c r="I262" s="2" t="str">
        <f>"－"</f>
        <v>－</v>
      </c>
      <c r="J262" s="10"/>
      <c r="K262" s="2" t="str">
        <f>"－"</f>
        <v>－</v>
      </c>
    </row>
    <row r="263">
      <c r="A263" s="8" t="s">
        <v>29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30</v>
      </c>
      <c r="B264" s="9" t="s">
        <v>66</v>
      </c>
      <c r="C264" s="9" t="s">
        <v>67</v>
      </c>
      <c r="D264" s="10"/>
      <c r="E264" s="2"/>
      <c r="F264" s="10"/>
      <c r="G264" s="2"/>
      <c r="H264" s="10"/>
      <c r="I264" s="2"/>
      <c r="J264" s="10"/>
      <c r="K264" s="2"/>
    </row>
    <row r="265">
      <c r="A265" s="8" t="s">
        <v>31</v>
      </c>
      <c r="B265" s="9" t="s">
        <v>66</v>
      </c>
      <c r="C265" s="9" t="s">
        <v>67</v>
      </c>
      <c r="D265" s="10"/>
      <c r="E265" s="2" t="str">
        <f>"－"</f>
        <v>－</v>
      </c>
      <c r="F265" s="10"/>
      <c r="G265" s="2" t="str">
        <f>"－"</f>
        <v>－</v>
      </c>
      <c r="H265" s="10"/>
      <c r="I265" s="2" t="str">
        <f>"－"</f>
        <v>－</v>
      </c>
      <c r="J265" s="10"/>
      <c r="K265" s="2" t="str">
        <f>"－"</f>
        <v>－</v>
      </c>
    </row>
    <row r="266">
      <c r="A266" s="8" t="s">
        <v>32</v>
      </c>
      <c r="B266" s="9" t="s">
        <v>66</v>
      </c>
      <c r="C266" s="9" t="s">
        <v>67</v>
      </c>
      <c r="D266" s="10"/>
      <c r="E266" s="2" t="str">
        <f>"－"</f>
        <v>－</v>
      </c>
      <c r="F266" s="10"/>
      <c r="G266" s="2" t="str">
        <f>"－"</f>
        <v>－</v>
      </c>
      <c r="H266" s="10"/>
      <c r="I266" s="2" t="str">
        <f>"－"</f>
        <v>－</v>
      </c>
      <c r="J266" s="10"/>
      <c r="K266" s="2" t="str">
        <f>"－"</f>
        <v>－</v>
      </c>
    </row>
    <row r="267">
      <c r="A267" s="8" t="s">
        <v>33</v>
      </c>
      <c r="B267" s="9" t="s">
        <v>66</v>
      </c>
      <c r="C267" s="9" t="s">
        <v>67</v>
      </c>
      <c r="D267" s="10"/>
      <c r="E267" s="2" t="str">
        <f>"－"</f>
        <v>－</v>
      </c>
      <c r="F267" s="10"/>
      <c r="G267" s="2" t="str">
        <f>"－"</f>
        <v>－</v>
      </c>
      <c r="H267" s="10"/>
      <c r="I267" s="2" t="str">
        <f>"－"</f>
        <v>－</v>
      </c>
      <c r="J267" s="10"/>
      <c r="K267" s="2" t="str">
        <f>"－"</f>
        <v>－</v>
      </c>
    </row>
    <row r="268">
      <c r="A268" s="8" t="s">
        <v>34</v>
      </c>
      <c r="B268" s="9" t="s">
        <v>66</v>
      </c>
      <c r="C268" s="9" t="s">
        <v>67</v>
      </c>
      <c r="D268" s="10"/>
      <c r="E268" s="2" t="str">
        <f>"－"</f>
        <v>－</v>
      </c>
      <c r="F268" s="10"/>
      <c r="G268" s="2" t="str">
        <f>"－"</f>
        <v>－</v>
      </c>
      <c r="H268" s="10"/>
      <c r="I268" s="2" t="str">
        <f>"－"</f>
        <v>－</v>
      </c>
      <c r="J268" s="10"/>
      <c r="K268" s="2" t="str">
        <f>"－"</f>
        <v>－</v>
      </c>
    </row>
    <row r="269">
      <c r="A269" s="8" t="s">
        <v>35</v>
      </c>
      <c r="B269" s="9" t="s">
        <v>66</v>
      </c>
      <c r="C269" s="9" t="s">
        <v>67</v>
      </c>
      <c r="D269" s="10"/>
      <c r="E269" s="2" t="str">
        <f>"－"</f>
        <v>－</v>
      </c>
      <c r="F269" s="10"/>
      <c r="G269" s="2" t="str">
        <f>"－"</f>
        <v>－</v>
      </c>
      <c r="H269" s="10"/>
      <c r="I269" s="2" t="str">
        <f>"－"</f>
        <v>－</v>
      </c>
      <c r="J269" s="10"/>
      <c r="K269" s="2" t="str">
        <f>"－"</f>
        <v>－</v>
      </c>
    </row>
    <row r="270">
      <c r="A270" s="8" t="s">
        <v>36</v>
      </c>
      <c r="B270" s="9" t="s">
        <v>66</v>
      </c>
      <c r="C270" s="9" t="s">
        <v>67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37</v>
      </c>
      <c r="B271" s="9" t="s">
        <v>66</v>
      </c>
      <c r="C271" s="9" t="s">
        <v>67</v>
      </c>
      <c r="D271" s="10"/>
      <c r="E271" s="2"/>
      <c r="F271" s="10"/>
      <c r="G271" s="2"/>
      <c r="H271" s="10"/>
      <c r="I271" s="2"/>
      <c r="J271" s="10"/>
      <c r="K271" s="2"/>
    </row>
    <row r="272">
      <c r="A272" s="8" t="s">
        <v>38</v>
      </c>
      <c r="B272" s="9" t="s">
        <v>66</v>
      </c>
      <c r="C272" s="9" t="s">
        <v>67</v>
      </c>
      <c r="D272" s="10"/>
      <c r="E272" s="2" t="str">
        <f>"－"</f>
        <v>－</v>
      </c>
      <c r="F272" s="10"/>
      <c r="G272" s="2" t="str">
        <f>"－"</f>
        <v>－</v>
      </c>
      <c r="H272" s="10"/>
      <c r="I272" s="2" t="str">
        <f>"－"</f>
        <v>－</v>
      </c>
      <c r="J272" s="10"/>
      <c r="K272" s="2" t="str">
        <f>"－"</f>
        <v>－</v>
      </c>
    </row>
    <row r="273">
      <c r="A273" s="8" t="s">
        <v>39</v>
      </c>
      <c r="B273" s="9" t="s">
        <v>66</v>
      </c>
      <c r="C273" s="9" t="s">
        <v>67</v>
      </c>
      <c r="D273" s="10"/>
      <c r="E273" s="2" t="str">
        <f>"－"</f>
        <v>－</v>
      </c>
      <c r="F273" s="10"/>
      <c r="G273" s="2" t="str">
        <f>"－"</f>
        <v>－</v>
      </c>
      <c r="H273" s="10"/>
      <c r="I273" s="2" t="str">
        <f>"－"</f>
        <v>－</v>
      </c>
      <c r="J273" s="10"/>
      <c r="K273" s="2" t="str">
        <f>"－"</f>
        <v>－</v>
      </c>
    </row>
    <row r="274">
      <c r="A274" s="8" t="s">
        <v>40</v>
      </c>
      <c r="B274" s="9" t="s">
        <v>66</v>
      </c>
      <c r="C274" s="9" t="s">
        <v>67</v>
      </c>
      <c r="D274" s="10"/>
      <c r="E274" s="2" t="str">
        <f>"－"</f>
        <v>－</v>
      </c>
      <c r="F274" s="10"/>
      <c r="G274" s="2" t="str">
        <f>"－"</f>
        <v>－</v>
      </c>
      <c r="H274" s="10"/>
      <c r="I274" s="2" t="str">
        <f>"－"</f>
        <v>－</v>
      </c>
      <c r="J274" s="10"/>
      <c r="K274" s="2" t="str">
        <f>"－"</f>
        <v>－</v>
      </c>
    </row>
    <row r="275">
      <c r="A275" s="8" t="s">
        <v>41</v>
      </c>
      <c r="B275" s="9" t="s">
        <v>66</v>
      </c>
      <c r="C275" s="9" t="s">
        <v>67</v>
      </c>
      <c r="D275" s="10"/>
      <c r="E275" s="2"/>
      <c r="F275" s="10"/>
      <c r="G275" s="2"/>
      <c r="H275" s="10"/>
      <c r="I275" s="2"/>
      <c r="J275" s="10"/>
      <c r="K275" s="2"/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44</v>
      </c>
      <c r="B278" s="9" t="s">
        <v>66</v>
      </c>
      <c r="C278" s="9" t="s">
        <v>67</v>
      </c>
      <c r="D278" s="10"/>
      <c r="E278" s="2"/>
      <c r="F278" s="10"/>
      <c r="G278" s="2"/>
      <c r="H278" s="10"/>
      <c r="I278" s="2"/>
      <c r="J278" s="10"/>
      <c r="K278" s="2"/>
    </row>
    <row r="279">
      <c r="A279" s="8" t="s">
        <v>45</v>
      </c>
      <c r="B279" s="9" t="s">
        <v>66</v>
      </c>
      <c r="C279" s="9" t="s">
        <v>67</v>
      </c>
      <c r="D279" s="10"/>
      <c r="E279" s="2" t="str">
        <f>"－"</f>
        <v>－</v>
      </c>
      <c r="F279" s="10"/>
      <c r="G279" s="2" t="str">
        <f>"－"</f>
        <v>－</v>
      </c>
      <c r="H279" s="10"/>
      <c r="I279" s="2" t="str">
        <f>"－"</f>
        <v>－</v>
      </c>
      <c r="J279" s="10"/>
      <c r="K279" s="2" t="str">
        <f>"－"</f>
        <v>－</v>
      </c>
    </row>
    <row r="280">
      <c r="A280" s="8" t="s">
        <v>46</v>
      </c>
      <c r="B280" s="9" t="s">
        <v>66</v>
      </c>
      <c r="C280" s="9" t="s">
        <v>67</v>
      </c>
      <c r="D280" s="10"/>
      <c r="E280" s="2" t="str">
        <f>"－"</f>
        <v>－</v>
      </c>
      <c r="F280" s="10"/>
      <c r="G280" s="2" t="str">
        <f>"－"</f>
        <v>－</v>
      </c>
      <c r="H280" s="10"/>
      <c r="I280" s="2" t="str">
        <f>"－"</f>
        <v>－</v>
      </c>
      <c r="J280" s="10"/>
      <c r="K280" s="2" t="str">
        <f>"－"</f>
        <v>－</v>
      </c>
    </row>
    <row r="281">
      <c r="A281" s="8" t="s">
        <v>47</v>
      </c>
      <c r="B281" s="9" t="s">
        <v>66</v>
      </c>
      <c r="C281" s="9" t="s">
        <v>67</v>
      </c>
      <c r="D281" s="10"/>
      <c r="E281" s="2" t="str">
        <f>"－"</f>
        <v>－</v>
      </c>
      <c r="F281" s="10"/>
      <c r="G281" s="2" t="str">
        <f>"－"</f>
        <v>－</v>
      </c>
      <c r="H281" s="10"/>
      <c r="I281" s="2" t="str">
        <f>"－"</f>
        <v>－</v>
      </c>
      <c r="J281" s="10"/>
      <c r="K281" s="2" t="str">
        <f>"－"</f>
        <v>－</v>
      </c>
    </row>
    <row r="282">
      <c r="A282" s="8" t="s">
        <v>48</v>
      </c>
      <c r="B282" s="9" t="s">
        <v>66</v>
      </c>
      <c r="C282" s="9" t="s">
        <v>67</v>
      </c>
      <c r="D282" s="10"/>
      <c r="E282" s="2" t="str">
        <f>"－"</f>
        <v>－</v>
      </c>
      <c r="F282" s="10"/>
      <c r="G282" s="2" t="str">
        <f>"－"</f>
        <v>－</v>
      </c>
      <c r="H282" s="10"/>
      <c r="I282" s="2" t="str">
        <f>"－"</f>
        <v>－</v>
      </c>
      <c r="J282" s="10"/>
      <c r="K282" s="2" t="str">
        <f>"－"</f>
        <v>－</v>
      </c>
    </row>
    <row r="283">
      <c r="A283" s="8" t="s">
        <v>49</v>
      </c>
      <c r="B283" s="9" t="s">
        <v>66</v>
      </c>
      <c r="C283" s="9" t="s">
        <v>67</v>
      </c>
      <c r="D283" s="10"/>
      <c r="E283" s="2" t="str">
        <f>"－"</f>
        <v>－</v>
      </c>
      <c r="F283" s="10"/>
      <c r="G283" s="2" t="str">
        <f>"－"</f>
        <v>－</v>
      </c>
      <c r="H283" s="10"/>
      <c r="I283" s="2" t="str">
        <f>"－"</f>
        <v>－</v>
      </c>
      <c r="J283" s="10"/>
      <c r="K283" s="2" t="str">
        <f>"－"</f>
        <v>－</v>
      </c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/>
      <c r="E285" s="2" t="n">
        <f>2328</f>
        <v>2328.0</v>
      </c>
      <c r="F285" s="10"/>
      <c r="G285" s="2" t="n">
        <f>2761220000</f>
        <v>2.76122E9</v>
      </c>
      <c r="H285" s="10"/>
      <c r="I285" s="2" t="n">
        <f>149</f>
        <v>149.0</v>
      </c>
      <c r="J285" s="10" t="s">
        <v>20</v>
      </c>
      <c r="K285" s="2" t="n">
        <f>21623</f>
        <v>21623.0</v>
      </c>
    </row>
    <row r="286">
      <c r="A286" s="8" t="s">
        <v>19</v>
      </c>
      <c r="B286" s="9" t="s">
        <v>68</v>
      </c>
      <c r="C286" s="9" t="s">
        <v>69</v>
      </c>
      <c r="D286" s="10"/>
      <c r="E286" s="2" t="n">
        <f>2069</f>
        <v>2069.0</v>
      </c>
      <c r="F286" s="10"/>
      <c r="G286" s="2" t="n">
        <f>2447832000</f>
        <v>2.447832E9</v>
      </c>
      <c r="H286" s="10" t="s">
        <v>20</v>
      </c>
      <c r="I286" s="2" t="n">
        <f>56</f>
        <v>56.0</v>
      </c>
      <c r="J286" s="10"/>
      <c r="K286" s="2" t="n">
        <f>21771</f>
        <v>21771.0</v>
      </c>
    </row>
    <row r="287">
      <c r="A287" s="8" t="s">
        <v>21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22</v>
      </c>
      <c r="B288" s="9" t="s">
        <v>68</v>
      </c>
      <c r="C288" s="9" t="s">
        <v>69</v>
      </c>
      <c r="D288" s="10"/>
      <c r="E288" s="2"/>
      <c r="F288" s="10"/>
      <c r="G288" s="2"/>
      <c r="H288" s="10"/>
      <c r="I288" s="2"/>
      <c r="J288" s="10"/>
      <c r="K288" s="2"/>
    </row>
    <row r="289">
      <c r="A289" s="8" t="s">
        <v>23</v>
      </c>
      <c r="B289" s="9" t="s">
        <v>68</v>
      </c>
      <c r="C289" s="9" t="s">
        <v>69</v>
      </c>
      <c r="D289" s="10"/>
      <c r="E289" s="2" t="n">
        <f>2347</f>
        <v>2347.0</v>
      </c>
      <c r="F289" s="10"/>
      <c r="G289" s="2" t="n">
        <f>2756840260</f>
        <v>2.75684026E9</v>
      </c>
      <c r="H289" s="10"/>
      <c r="I289" s="2" t="n">
        <f>127</f>
        <v>127.0</v>
      </c>
      <c r="J289" s="10"/>
      <c r="K289" s="2" t="n">
        <f>22191</f>
        <v>22191.0</v>
      </c>
    </row>
    <row r="290">
      <c r="A290" s="8" t="s">
        <v>24</v>
      </c>
      <c r="B290" s="9" t="s">
        <v>68</v>
      </c>
      <c r="C290" s="9" t="s">
        <v>69</v>
      </c>
      <c r="D290" s="10"/>
      <c r="E290" s="2" t="n">
        <f>1567</f>
        <v>1567.0</v>
      </c>
      <c r="F290" s="10"/>
      <c r="G290" s="2" t="n">
        <f>1826125440</f>
        <v>1.82612544E9</v>
      </c>
      <c r="H290" s="10"/>
      <c r="I290" s="2" t="n">
        <f>77</f>
        <v>77.0</v>
      </c>
      <c r="J290" s="10"/>
      <c r="K290" s="2" t="n">
        <f>22367</f>
        <v>22367.0</v>
      </c>
    </row>
    <row r="291">
      <c r="A291" s="8" t="s">
        <v>25</v>
      </c>
      <c r="B291" s="9" t="s">
        <v>68</v>
      </c>
      <c r="C291" s="9" t="s">
        <v>69</v>
      </c>
      <c r="D291" s="10"/>
      <c r="E291" s="2" t="n">
        <f>2668</f>
        <v>2668.0</v>
      </c>
      <c r="F291" s="10"/>
      <c r="G291" s="2" t="n">
        <f>3094000310</f>
        <v>3.09400031E9</v>
      </c>
      <c r="H291" s="10"/>
      <c r="I291" s="2" t="n">
        <f>221</f>
        <v>221.0</v>
      </c>
      <c r="J291" s="10"/>
      <c r="K291" s="2" t="n">
        <f>22452</f>
        <v>22452.0</v>
      </c>
    </row>
    <row r="292">
      <c r="A292" s="8" t="s">
        <v>26</v>
      </c>
      <c r="B292" s="9" t="s">
        <v>68</v>
      </c>
      <c r="C292" s="9" t="s">
        <v>69</v>
      </c>
      <c r="D292" s="10"/>
      <c r="E292" s="2" t="n">
        <f>2717</f>
        <v>2717.0</v>
      </c>
      <c r="F292" s="10"/>
      <c r="G292" s="2" t="n">
        <f>3118657780</f>
        <v>3.11865778E9</v>
      </c>
      <c r="H292" s="10"/>
      <c r="I292" s="2" t="n">
        <f>151</f>
        <v>151.0</v>
      </c>
      <c r="J292" s="10"/>
      <c r="K292" s="2" t="n">
        <f>22505</f>
        <v>22505.0</v>
      </c>
    </row>
    <row r="293">
      <c r="A293" s="8" t="s">
        <v>27</v>
      </c>
      <c r="B293" s="9" t="s">
        <v>68</v>
      </c>
      <c r="C293" s="9" t="s">
        <v>69</v>
      </c>
      <c r="D293" s="10"/>
      <c r="E293" s="2" t="n">
        <f>3744</f>
        <v>3744.0</v>
      </c>
      <c r="F293" s="10"/>
      <c r="G293" s="2" t="n">
        <f>4245852000</f>
        <v>4.245852E9</v>
      </c>
      <c r="H293" s="10"/>
      <c r="I293" s="2" t="n">
        <f>206</f>
        <v>206.0</v>
      </c>
      <c r="J293" s="10"/>
      <c r="K293" s="2" t="n">
        <f>22609</f>
        <v>22609.0</v>
      </c>
    </row>
    <row r="294">
      <c r="A294" s="8" t="s">
        <v>29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30</v>
      </c>
      <c r="B295" s="9" t="s">
        <v>68</v>
      </c>
      <c r="C295" s="9" t="s">
        <v>69</v>
      </c>
      <c r="D295" s="10"/>
      <c r="E295" s="2"/>
      <c r="F295" s="10"/>
      <c r="G295" s="2"/>
      <c r="H295" s="10"/>
      <c r="I295" s="2"/>
      <c r="J295" s="10"/>
      <c r="K295" s="2"/>
    </row>
    <row r="296">
      <c r="A296" s="8" t="s">
        <v>31</v>
      </c>
      <c r="B296" s="9" t="s">
        <v>68</v>
      </c>
      <c r="C296" s="9" t="s">
        <v>69</v>
      </c>
      <c r="D296" s="10"/>
      <c r="E296" s="2" t="n">
        <f>2339</f>
        <v>2339.0</v>
      </c>
      <c r="F296" s="10"/>
      <c r="G296" s="2" t="n">
        <f>2712768180</f>
        <v>2.71276818E9</v>
      </c>
      <c r="H296" s="10"/>
      <c r="I296" s="2" t="n">
        <f>119</f>
        <v>119.0</v>
      </c>
      <c r="J296" s="10"/>
      <c r="K296" s="2" t="n">
        <f>22772</f>
        <v>22772.0</v>
      </c>
    </row>
    <row r="297">
      <c r="A297" s="8" t="s">
        <v>32</v>
      </c>
      <c r="B297" s="9" t="s">
        <v>68</v>
      </c>
      <c r="C297" s="9" t="s">
        <v>69</v>
      </c>
      <c r="D297" s="10"/>
      <c r="E297" s="2" t="n">
        <f>1700</f>
        <v>1700.0</v>
      </c>
      <c r="F297" s="10"/>
      <c r="G297" s="2" t="n">
        <f>1983762450</f>
        <v>1.98376245E9</v>
      </c>
      <c r="H297" s="10"/>
      <c r="I297" s="2" t="n">
        <f>99</f>
        <v>99.0</v>
      </c>
      <c r="J297" s="10"/>
      <c r="K297" s="2" t="n">
        <f>22783</f>
        <v>22783.0</v>
      </c>
    </row>
    <row r="298">
      <c r="A298" s="8" t="s">
        <v>33</v>
      </c>
      <c r="B298" s="9" t="s">
        <v>68</v>
      </c>
      <c r="C298" s="9" t="s">
        <v>69</v>
      </c>
      <c r="D298" s="10" t="s">
        <v>20</v>
      </c>
      <c r="E298" s="2" t="n">
        <f>1528</f>
        <v>1528.0</v>
      </c>
      <c r="F298" s="10" t="s">
        <v>20</v>
      </c>
      <c r="G298" s="2" t="n">
        <f>1774842960</f>
        <v>1.77484296E9</v>
      </c>
      <c r="H298" s="10"/>
      <c r="I298" s="2" t="n">
        <f>94</f>
        <v>94.0</v>
      </c>
      <c r="J298" s="10"/>
      <c r="K298" s="2" t="n">
        <f>22742</f>
        <v>22742.0</v>
      </c>
    </row>
    <row r="299">
      <c r="A299" s="8" t="s">
        <v>34</v>
      </c>
      <c r="B299" s="9" t="s">
        <v>68</v>
      </c>
      <c r="C299" s="9" t="s">
        <v>69</v>
      </c>
      <c r="D299" s="10"/>
      <c r="E299" s="2" t="n">
        <f>2478</f>
        <v>2478.0</v>
      </c>
      <c r="F299" s="10"/>
      <c r="G299" s="2" t="n">
        <f>2845689080</f>
        <v>2.84568908E9</v>
      </c>
      <c r="H299" s="10"/>
      <c r="I299" s="2" t="n">
        <f>119</f>
        <v>119.0</v>
      </c>
      <c r="J299" s="10"/>
      <c r="K299" s="2" t="n">
        <f>23020</f>
        <v>23020.0</v>
      </c>
    </row>
    <row r="300">
      <c r="A300" s="8" t="s">
        <v>35</v>
      </c>
      <c r="B300" s="9" t="s">
        <v>68</v>
      </c>
      <c r="C300" s="9" t="s">
        <v>69</v>
      </c>
      <c r="D300" s="10"/>
      <c r="E300" s="2" t="n">
        <f>2707</f>
        <v>2707.0</v>
      </c>
      <c r="F300" s="10"/>
      <c r="G300" s="2" t="n">
        <f>3083356700</f>
        <v>3.0833567E9</v>
      </c>
      <c r="H300" s="10"/>
      <c r="I300" s="2" t="n">
        <f>133</f>
        <v>133.0</v>
      </c>
      <c r="J300" s="10"/>
      <c r="K300" s="2" t="n">
        <f>23103</f>
        <v>23103.0</v>
      </c>
    </row>
    <row r="301">
      <c r="A301" s="8" t="s">
        <v>36</v>
      </c>
      <c r="B301" s="9" t="s">
        <v>68</v>
      </c>
      <c r="C301" s="9" t="s">
        <v>69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37</v>
      </c>
      <c r="B302" s="9" t="s">
        <v>68</v>
      </c>
      <c r="C302" s="9" t="s">
        <v>69</v>
      </c>
      <c r="D302" s="10"/>
      <c r="E302" s="2"/>
      <c r="F302" s="10"/>
      <c r="G302" s="2"/>
      <c r="H302" s="10"/>
      <c r="I302" s="2"/>
      <c r="J302" s="10"/>
      <c r="K302" s="2"/>
    </row>
    <row r="303">
      <c r="A303" s="8" t="s">
        <v>38</v>
      </c>
      <c r="B303" s="9" t="s">
        <v>68</v>
      </c>
      <c r="C303" s="9" t="s">
        <v>69</v>
      </c>
      <c r="D303" s="10"/>
      <c r="E303" s="2" t="n">
        <f>3041</f>
        <v>3041.0</v>
      </c>
      <c r="F303" s="10"/>
      <c r="G303" s="2" t="n">
        <f>3411959290</f>
        <v>3.41195929E9</v>
      </c>
      <c r="H303" s="10"/>
      <c r="I303" s="2" t="n">
        <f>220</f>
        <v>220.0</v>
      </c>
      <c r="J303" s="10"/>
      <c r="K303" s="2" t="n">
        <f>23326</f>
        <v>23326.0</v>
      </c>
    </row>
    <row r="304">
      <c r="A304" s="8" t="s">
        <v>39</v>
      </c>
      <c r="B304" s="9" t="s">
        <v>68</v>
      </c>
      <c r="C304" s="9" t="s">
        <v>69</v>
      </c>
      <c r="D304" s="10"/>
      <c r="E304" s="2" t="n">
        <f>3515</f>
        <v>3515.0</v>
      </c>
      <c r="F304" s="10"/>
      <c r="G304" s="2" t="n">
        <f>3916335520</f>
        <v>3.91633552E9</v>
      </c>
      <c r="H304" s="10"/>
      <c r="I304" s="2" t="n">
        <f>270</f>
        <v>270.0</v>
      </c>
      <c r="J304" s="10"/>
      <c r="K304" s="2" t="n">
        <f>23440</f>
        <v>23440.0</v>
      </c>
    </row>
    <row r="305">
      <c r="A305" s="8" t="s">
        <v>40</v>
      </c>
      <c r="B305" s="9" t="s">
        <v>68</v>
      </c>
      <c r="C305" s="9" t="s">
        <v>69</v>
      </c>
      <c r="D305" s="10"/>
      <c r="E305" s="2" t="n">
        <f>3628</f>
        <v>3628.0</v>
      </c>
      <c r="F305" s="10"/>
      <c r="G305" s="2" t="n">
        <f>4084020550</f>
        <v>4.08402055E9</v>
      </c>
      <c r="H305" s="10"/>
      <c r="I305" s="2" t="n">
        <f>261</f>
        <v>261.0</v>
      </c>
      <c r="J305" s="10"/>
      <c r="K305" s="2" t="n">
        <f>23464</f>
        <v>23464.0</v>
      </c>
    </row>
    <row r="306">
      <c r="A306" s="8" t="s">
        <v>41</v>
      </c>
      <c r="B306" s="9" t="s">
        <v>68</v>
      </c>
      <c r="C306" s="9" t="s">
        <v>69</v>
      </c>
      <c r="D306" s="10"/>
      <c r="E306" s="2"/>
      <c r="F306" s="10"/>
      <c r="G306" s="2"/>
      <c r="H306" s="10"/>
      <c r="I306" s="2"/>
      <c r="J306" s="10"/>
      <c r="K306" s="2"/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44</v>
      </c>
      <c r="B309" s="9" t="s">
        <v>68</v>
      </c>
      <c r="C309" s="9" t="s">
        <v>69</v>
      </c>
      <c r="D309" s="10"/>
      <c r="E309" s="2"/>
      <c r="F309" s="10"/>
      <c r="G309" s="2"/>
      <c r="H309" s="10"/>
      <c r="I309" s="2"/>
      <c r="J309" s="10"/>
      <c r="K309" s="2"/>
    </row>
    <row r="310">
      <c r="A310" s="8" t="s">
        <v>45</v>
      </c>
      <c r="B310" s="9" t="s">
        <v>68</v>
      </c>
      <c r="C310" s="9" t="s">
        <v>69</v>
      </c>
      <c r="D310" s="10"/>
      <c r="E310" s="2" t="n">
        <f>2165</f>
        <v>2165.0</v>
      </c>
      <c r="F310" s="10"/>
      <c r="G310" s="2" t="n">
        <f>2457739970</f>
        <v>2.45773997E9</v>
      </c>
      <c r="H310" s="10"/>
      <c r="I310" s="2" t="n">
        <f>141</f>
        <v>141.0</v>
      </c>
      <c r="J310" s="10"/>
      <c r="K310" s="2" t="n">
        <f>23405</f>
        <v>23405.0</v>
      </c>
    </row>
    <row r="311">
      <c r="A311" s="8" t="s">
        <v>46</v>
      </c>
      <c r="B311" s="9" t="s">
        <v>68</v>
      </c>
      <c r="C311" s="9" t="s">
        <v>69</v>
      </c>
      <c r="D311" s="10"/>
      <c r="E311" s="2" t="n">
        <f>1769</f>
        <v>1769.0</v>
      </c>
      <c r="F311" s="10"/>
      <c r="G311" s="2" t="n">
        <f>1987672450</f>
        <v>1.98767245E9</v>
      </c>
      <c r="H311" s="10"/>
      <c r="I311" s="2" t="n">
        <f>102</f>
        <v>102.0</v>
      </c>
      <c r="J311" s="10"/>
      <c r="K311" s="2" t="n">
        <f>23625</f>
        <v>23625.0</v>
      </c>
    </row>
    <row r="312">
      <c r="A312" s="8" t="s">
        <v>47</v>
      </c>
      <c r="B312" s="9" t="s">
        <v>68</v>
      </c>
      <c r="C312" s="9" t="s">
        <v>69</v>
      </c>
      <c r="D312" s="10"/>
      <c r="E312" s="2" t="n">
        <f>3751</f>
        <v>3751.0</v>
      </c>
      <c r="F312" s="10"/>
      <c r="G312" s="2" t="n">
        <f>4115087750</f>
        <v>4.11508775E9</v>
      </c>
      <c r="H312" s="10"/>
      <c r="I312" s="2" t="n">
        <f>247</f>
        <v>247.0</v>
      </c>
      <c r="J312" s="10" t="s">
        <v>28</v>
      </c>
      <c r="K312" s="2" t="n">
        <f>24031</f>
        <v>24031.0</v>
      </c>
    </row>
    <row r="313">
      <c r="A313" s="8" t="s">
        <v>48</v>
      </c>
      <c r="B313" s="9" t="s">
        <v>68</v>
      </c>
      <c r="C313" s="9" t="s">
        <v>69</v>
      </c>
      <c r="D313" s="10"/>
      <c r="E313" s="2" t="n">
        <f>3688</f>
        <v>3688.0</v>
      </c>
      <c r="F313" s="10"/>
      <c r="G313" s="2" t="n">
        <f>4060727800</f>
        <v>4.0607278E9</v>
      </c>
      <c r="H313" s="10" t="s">
        <v>28</v>
      </c>
      <c r="I313" s="2" t="n">
        <f>403</f>
        <v>403.0</v>
      </c>
      <c r="J313" s="10"/>
      <c r="K313" s="2" t="n">
        <f>23835</f>
        <v>23835.0</v>
      </c>
    </row>
    <row r="314">
      <c r="A314" s="8" t="s">
        <v>49</v>
      </c>
      <c r="B314" s="9" t="s">
        <v>68</v>
      </c>
      <c r="C314" s="9" t="s">
        <v>69</v>
      </c>
      <c r="D314" s="10" t="s">
        <v>28</v>
      </c>
      <c r="E314" s="2" t="n">
        <f>4957</f>
        <v>4957.0</v>
      </c>
      <c r="F314" s="10" t="s">
        <v>28</v>
      </c>
      <c r="G314" s="2" t="n">
        <f>5398315890</f>
        <v>5.39831589E9</v>
      </c>
      <c r="H314" s="10"/>
      <c r="I314" s="2" t="n">
        <f>321</f>
        <v>321.0</v>
      </c>
      <c r="J314" s="10"/>
      <c r="K314" s="2" t="n">
        <f>23903</f>
        <v>23903.0</v>
      </c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/>
      <c r="E316" s="2" t="n">
        <f>2501</f>
        <v>2501.0</v>
      </c>
      <c r="F316" s="10"/>
      <c r="G316" s="2" t="n">
        <f>8596483200</f>
        <v>8.5964832E9</v>
      </c>
      <c r="H316" s="10"/>
      <c r="I316" s="2" t="n">
        <f>369</f>
        <v>369.0</v>
      </c>
      <c r="J316" s="10"/>
      <c r="K316" s="2" t="n">
        <f>2363</f>
        <v>2363.0</v>
      </c>
    </row>
    <row r="317">
      <c r="A317" s="8" t="s">
        <v>19</v>
      </c>
      <c r="B317" s="9" t="s">
        <v>70</v>
      </c>
      <c r="C317" s="9" t="s">
        <v>71</v>
      </c>
      <c r="D317" s="10"/>
      <c r="E317" s="2" t="n">
        <f>1128</f>
        <v>1128.0</v>
      </c>
      <c r="F317" s="10"/>
      <c r="G317" s="2" t="n">
        <f>3884880500</f>
        <v>3.8848805E9</v>
      </c>
      <c r="H317" s="10"/>
      <c r="I317" s="2" t="n">
        <f>364</f>
        <v>364.0</v>
      </c>
      <c r="J317" s="10"/>
      <c r="K317" s="2" t="n">
        <f>2406</f>
        <v>2406.0</v>
      </c>
    </row>
    <row r="318">
      <c r="A318" s="8" t="s">
        <v>21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22</v>
      </c>
      <c r="B319" s="9" t="s">
        <v>70</v>
      </c>
      <c r="C319" s="9" t="s">
        <v>71</v>
      </c>
      <c r="D319" s="10"/>
      <c r="E319" s="2"/>
      <c r="F319" s="10"/>
      <c r="G319" s="2"/>
      <c r="H319" s="10"/>
      <c r="I319" s="2"/>
      <c r="J319" s="10"/>
      <c r="K319" s="2"/>
    </row>
    <row r="320">
      <c r="A320" s="8" t="s">
        <v>23</v>
      </c>
      <c r="B320" s="9" t="s">
        <v>70</v>
      </c>
      <c r="C320" s="9" t="s">
        <v>71</v>
      </c>
      <c r="D320" s="10"/>
      <c r="E320" s="2" t="n">
        <f>1105</f>
        <v>1105.0</v>
      </c>
      <c r="F320" s="10"/>
      <c r="G320" s="2" t="n">
        <f>3821514300</f>
        <v>3.8215143E9</v>
      </c>
      <c r="H320" s="10"/>
      <c r="I320" s="2" t="n">
        <f>336</f>
        <v>336.0</v>
      </c>
      <c r="J320" s="10"/>
      <c r="K320" s="2" t="n">
        <f>2388</f>
        <v>2388.0</v>
      </c>
    </row>
    <row r="321">
      <c r="A321" s="8" t="s">
        <v>24</v>
      </c>
      <c r="B321" s="9" t="s">
        <v>70</v>
      </c>
      <c r="C321" s="9" t="s">
        <v>71</v>
      </c>
      <c r="D321" s="10" t="s">
        <v>20</v>
      </c>
      <c r="E321" s="2" t="n">
        <f>280</f>
        <v>280.0</v>
      </c>
      <c r="F321" s="10" t="s">
        <v>20</v>
      </c>
      <c r="G321" s="2" t="n">
        <f>971092600</f>
        <v>9.710926E8</v>
      </c>
      <c r="H321" s="10"/>
      <c r="I321" s="2" t="n">
        <f>118</f>
        <v>118.0</v>
      </c>
      <c r="J321" s="10"/>
      <c r="K321" s="2" t="n">
        <f>2382</f>
        <v>2382.0</v>
      </c>
    </row>
    <row r="322">
      <c r="A322" s="8" t="s">
        <v>25</v>
      </c>
      <c r="B322" s="9" t="s">
        <v>70</v>
      </c>
      <c r="C322" s="9" t="s">
        <v>71</v>
      </c>
      <c r="D322" s="10"/>
      <c r="E322" s="2" t="n">
        <f>2104</f>
        <v>2104.0</v>
      </c>
      <c r="F322" s="10"/>
      <c r="G322" s="2" t="n">
        <f>7240066000</f>
        <v>7.240066E9</v>
      </c>
      <c r="H322" s="10"/>
      <c r="I322" s="2" t="n">
        <f>299</f>
        <v>299.0</v>
      </c>
      <c r="J322" s="10"/>
      <c r="K322" s="2" t="n">
        <f>3585</f>
        <v>3585.0</v>
      </c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707</f>
        <v>707.0</v>
      </c>
      <c r="F323" s="10"/>
      <c r="G323" s="2" t="n">
        <f>2436475500</f>
        <v>2.4364755E9</v>
      </c>
      <c r="H323" s="10"/>
      <c r="I323" s="2" t="n">
        <f>276</f>
        <v>276.0</v>
      </c>
      <c r="J323" s="10"/>
      <c r="K323" s="2" t="n">
        <f>3668</f>
        <v>3668.0</v>
      </c>
    </row>
    <row r="324">
      <c r="A324" s="8" t="s">
        <v>27</v>
      </c>
      <c r="B324" s="9" t="s">
        <v>70</v>
      </c>
      <c r="C324" s="9" t="s">
        <v>71</v>
      </c>
      <c r="D324" s="10"/>
      <c r="E324" s="2" t="n">
        <f>1681</f>
        <v>1681.0</v>
      </c>
      <c r="F324" s="10"/>
      <c r="G324" s="2" t="n">
        <f>5742145300</f>
        <v>5.7421453E9</v>
      </c>
      <c r="H324" s="10"/>
      <c r="I324" s="2" t="n">
        <f>598</f>
        <v>598.0</v>
      </c>
      <c r="J324" s="10"/>
      <c r="K324" s="2" t="n">
        <f>3649</f>
        <v>3649.0</v>
      </c>
    </row>
    <row r="325">
      <c r="A325" s="8" t="s">
        <v>29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30</v>
      </c>
      <c r="B326" s="9" t="s">
        <v>70</v>
      </c>
      <c r="C326" s="9" t="s">
        <v>71</v>
      </c>
      <c r="D326" s="10"/>
      <c r="E326" s="2"/>
      <c r="F326" s="10"/>
      <c r="G326" s="2"/>
      <c r="H326" s="10"/>
      <c r="I326" s="2"/>
      <c r="J326" s="10"/>
      <c r="K326" s="2"/>
    </row>
    <row r="327">
      <c r="A327" s="8" t="s">
        <v>31</v>
      </c>
      <c r="B327" s="9" t="s">
        <v>70</v>
      </c>
      <c r="C327" s="9" t="s">
        <v>71</v>
      </c>
      <c r="D327" s="10"/>
      <c r="E327" s="2" t="n">
        <f>2470</f>
        <v>2470.0</v>
      </c>
      <c r="F327" s="10"/>
      <c r="G327" s="2" t="n">
        <f>8556711800</f>
        <v>8.5567118E9</v>
      </c>
      <c r="H327" s="10"/>
      <c r="I327" s="2" t="n">
        <f>388</f>
        <v>388.0</v>
      </c>
      <c r="J327" s="10"/>
      <c r="K327" s="2" t="n">
        <f>2302</f>
        <v>2302.0</v>
      </c>
    </row>
    <row r="328">
      <c r="A328" s="8" t="s">
        <v>32</v>
      </c>
      <c r="B328" s="9" t="s">
        <v>70</v>
      </c>
      <c r="C328" s="9" t="s">
        <v>71</v>
      </c>
      <c r="D328" s="10"/>
      <c r="E328" s="2" t="n">
        <f>1858</f>
        <v>1858.0</v>
      </c>
      <c r="F328" s="10"/>
      <c r="G328" s="2" t="n">
        <f>6463742500</f>
        <v>6.4637425E9</v>
      </c>
      <c r="H328" s="10"/>
      <c r="I328" s="2" t="n">
        <f>480</f>
        <v>480.0</v>
      </c>
      <c r="J328" s="10"/>
      <c r="K328" s="2" t="n">
        <f>1637</f>
        <v>1637.0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1520</f>
        <v>1520.0</v>
      </c>
      <c r="F329" s="10"/>
      <c r="G329" s="2" t="n">
        <f>5276211100</f>
        <v>5.2762111E9</v>
      </c>
      <c r="H329" s="10"/>
      <c r="I329" s="2" t="n">
        <f>220</f>
        <v>220.0</v>
      </c>
      <c r="J329" s="10"/>
      <c r="K329" s="2" t="n">
        <f>2376</f>
        <v>2376.0</v>
      </c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622</f>
        <v>622.0</v>
      </c>
      <c r="F330" s="10"/>
      <c r="G330" s="2" t="n">
        <f>2163172500</f>
        <v>2.1631725E9</v>
      </c>
      <c r="H330" s="10" t="s">
        <v>20</v>
      </c>
      <c r="I330" s="2" t="n">
        <f>115</f>
        <v>115.0</v>
      </c>
      <c r="J330" s="10"/>
      <c r="K330" s="2" t="n">
        <f>2440</f>
        <v>2440.0</v>
      </c>
    </row>
    <row r="331">
      <c r="A331" s="8" t="s">
        <v>35</v>
      </c>
      <c r="B331" s="9" t="s">
        <v>70</v>
      </c>
      <c r="C331" s="9" t="s">
        <v>71</v>
      </c>
      <c r="D331" s="10"/>
      <c r="E331" s="2" t="n">
        <f>2283</f>
        <v>2283.0</v>
      </c>
      <c r="F331" s="10"/>
      <c r="G331" s="2" t="n">
        <f>7937081200</f>
        <v>7.9370812E9</v>
      </c>
      <c r="H331" s="10"/>
      <c r="I331" s="2" t="n">
        <f>248</f>
        <v>248.0</v>
      </c>
      <c r="J331" s="10" t="s">
        <v>20</v>
      </c>
      <c r="K331" s="2" t="n">
        <f>1441</f>
        <v>1441.0</v>
      </c>
    </row>
    <row r="332">
      <c r="A332" s="8" t="s">
        <v>36</v>
      </c>
      <c r="B332" s="9" t="s">
        <v>70</v>
      </c>
      <c r="C332" s="9" t="s">
        <v>71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37</v>
      </c>
      <c r="B333" s="9" t="s">
        <v>70</v>
      </c>
      <c r="C333" s="9" t="s">
        <v>71</v>
      </c>
      <c r="D333" s="10"/>
      <c r="E333" s="2"/>
      <c r="F333" s="10"/>
      <c r="G333" s="2"/>
      <c r="H333" s="10"/>
      <c r="I333" s="2"/>
      <c r="J333" s="10"/>
      <c r="K333" s="2"/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2638</f>
        <v>2638.0</v>
      </c>
      <c r="F334" s="10"/>
      <c r="G334" s="2" t="n">
        <f>9098897260</f>
        <v>9.09889726E9</v>
      </c>
      <c r="H334" s="10"/>
      <c r="I334" s="2" t="n">
        <f>363</f>
        <v>363.0</v>
      </c>
      <c r="J334" s="10"/>
      <c r="K334" s="2" t="n">
        <f>3273</f>
        <v>3273.0</v>
      </c>
    </row>
    <row r="335">
      <c r="A335" s="8" t="s">
        <v>39</v>
      </c>
      <c r="B335" s="9" t="s">
        <v>70</v>
      </c>
      <c r="C335" s="9" t="s">
        <v>71</v>
      </c>
      <c r="D335" s="10" t="s">
        <v>28</v>
      </c>
      <c r="E335" s="2" t="n">
        <f>5466</f>
        <v>5466.0</v>
      </c>
      <c r="F335" s="10" t="s">
        <v>28</v>
      </c>
      <c r="G335" s="2" t="n">
        <f>18549868900</f>
        <v>1.85498689E10</v>
      </c>
      <c r="H335" s="10" t="s">
        <v>28</v>
      </c>
      <c r="I335" s="2" t="n">
        <f>1118</f>
        <v>1118.0</v>
      </c>
      <c r="J335" s="10" t="s">
        <v>28</v>
      </c>
      <c r="K335" s="2" t="n">
        <f>4750</f>
        <v>4750.0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4132</f>
        <v>4132.0</v>
      </c>
      <c r="F336" s="10"/>
      <c r="G336" s="2" t="n">
        <f>14163963500</f>
        <v>1.41639635E10</v>
      </c>
      <c r="H336" s="10"/>
      <c r="I336" s="2" t="n">
        <f>945</f>
        <v>945.0</v>
      </c>
      <c r="J336" s="10"/>
      <c r="K336" s="2" t="n">
        <f>3731</f>
        <v>3731.0</v>
      </c>
    </row>
    <row r="337">
      <c r="A337" s="8" t="s">
        <v>41</v>
      </c>
      <c r="B337" s="9" t="s">
        <v>70</v>
      </c>
      <c r="C337" s="9" t="s">
        <v>71</v>
      </c>
      <c r="D337" s="10"/>
      <c r="E337" s="2"/>
      <c r="F337" s="10"/>
      <c r="G337" s="2"/>
      <c r="H337" s="10"/>
      <c r="I337" s="2"/>
      <c r="J337" s="10"/>
      <c r="K337" s="2"/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44</v>
      </c>
      <c r="B340" s="9" t="s">
        <v>70</v>
      </c>
      <c r="C340" s="9" t="s">
        <v>71</v>
      </c>
      <c r="D340" s="10"/>
      <c r="E340" s="2"/>
      <c r="F340" s="10"/>
      <c r="G340" s="2"/>
      <c r="H340" s="10"/>
      <c r="I340" s="2"/>
      <c r="J340" s="10"/>
      <c r="K340" s="2"/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3182</f>
        <v>3182.0</v>
      </c>
      <c r="F341" s="10"/>
      <c r="G341" s="2" t="n">
        <f>11049994400</f>
        <v>1.10499944E10</v>
      </c>
      <c r="H341" s="10"/>
      <c r="I341" s="2" t="n">
        <f>472</f>
        <v>472.0</v>
      </c>
      <c r="J341" s="10"/>
      <c r="K341" s="2" t="n">
        <f>2186</f>
        <v>2186.0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2016</f>
        <v>2016.0</v>
      </c>
      <c r="F342" s="10"/>
      <c r="G342" s="2" t="n">
        <f>7037783800</f>
        <v>7.0377838E9</v>
      </c>
      <c r="H342" s="10"/>
      <c r="I342" s="2" t="n">
        <f>324</f>
        <v>324.0</v>
      </c>
      <c r="J342" s="10"/>
      <c r="K342" s="2" t="n">
        <f>1580</f>
        <v>1580.0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1501</f>
        <v>1501.0</v>
      </c>
      <c r="F343" s="10"/>
      <c r="G343" s="2" t="n">
        <f>5232818000</f>
        <v>5.232818E9</v>
      </c>
      <c r="H343" s="10"/>
      <c r="I343" s="2" t="n">
        <f>417</f>
        <v>417.0</v>
      </c>
      <c r="J343" s="10"/>
      <c r="K343" s="2" t="n">
        <f>1700</f>
        <v>1700.0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2041</f>
        <v>2041.0</v>
      </c>
      <c r="F344" s="10"/>
      <c r="G344" s="2" t="n">
        <f>7117294500</f>
        <v>7.1172945E9</v>
      </c>
      <c r="H344" s="10"/>
      <c r="I344" s="2" t="n">
        <f>343</f>
        <v>343.0</v>
      </c>
      <c r="J344" s="10"/>
      <c r="K344" s="2" t="n">
        <f>2389</f>
        <v>2389.0</v>
      </c>
    </row>
    <row r="345">
      <c r="A345" s="8" t="s">
        <v>49</v>
      </c>
      <c r="B345" s="9" t="s">
        <v>70</v>
      </c>
      <c r="C345" s="9" t="s">
        <v>71</v>
      </c>
      <c r="D345" s="10"/>
      <c r="E345" s="2" t="n">
        <f>1166</f>
        <v>1166.0</v>
      </c>
      <c r="F345" s="10"/>
      <c r="G345" s="2" t="n">
        <f>4072480400</f>
        <v>4.0724804E9</v>
      </c>
      <c r="H345" s="10"/>
      <c r="I345" s="2" t="n">
        <f>366</f>
        <v>366.0</v>
      </c>
      <c r="J345" s="10"/>
      <c r="K345" s="2" t="n">
        <f>2484</f>
        <v>2484.0</v>
      </c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 t="s">
        <v>61</v>
      </c>
      <c r="E347" s="2" t="str">
        <f>"－"</f>
        <v>－</v>
      </c>
      <c r="F347" s="10" t="s">
        <v>61</v>
      </c>
      <c r="G347" s="2" t="str">
        <f>"－"</f>
        <v>－</v>
      </c>
      <c r="H347" s="10" t="s">
        <v>61</v>
      </c>
      <c r="I347" s="2" t="str">
        <f>"－"</f>
        <v>－</v>
      </c>
      <c r="J347" s="10" t="s">
        <v>61</v>
      </c>
      <c r="K347" s="2" t="str">
        <f>"－"</f>
        <v>－</v>
      </c>
    </row>
    <row r="348">
      <c r="A348" s="8" t="s">
        <v>19</v>
      </c>
      <c r="B348" s="9" t="s">
        <v>72</v>
      </c>
      <c r="C348" s="9" t="s">
        <v>73</v>
      </c>
      <c r="D348" s="10"/>
      <c r="E348" s="2" t="str">
        <f>"－"</f>
        <v>－</v>
      </c>
      <c r="F348" s="10"/>
      <c r="G348" s="2" t="str">
        <f>"－"</f>
        <v>－</v>
      </c>
      <c r="H348" s="10"/>
      <c r="I348" s="2" t="str">
        <f>"－"</f>
        <v>－</v>
      </c>
      <c r="J348" s="10"/>
      <c r="K348" s="2" t="str">
        <f>"－"</f>
        <v>－</v>
      </c>
    </row>
    <row r="349">
      <c r="A349" s="8" t="s">
        <v>21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22</v>
      </c>
      <c r="B350" s="9" t="s">
        <v>72</v>
      </c>
      <c r="C350" s="9" t="s">
        <v>73</v>
      </c>
      <c r="D350" s="10"/>
      <c r="E350" s="2"/>
      <c r="F350" s="10"/>
      <c r="G350" s="2"/>
      <c r="H350" s="10"/>
      <c r="I350" s="2"/>
      <c r="J350" s="10"/>
      <c r="K350" s="2"/>
    </row>
    <row r="351">
      <c r="A351" s="8" t="s">
        <v>23</v>
      </c>
      <c r="B351" s="9" t="s">
        <v>72</v>
      </c>
      <c r="C351" s="9" t="s">
        <v>73</v>
      </c>
      <c r="D351" s="10"/>
      <c r="E351" s="2" t="str">
        <f>"－"</f>
        <v>－</v>
      </c>
      <c r="F351" s="10"/>
      <c r="G351" s="2" t="str">
        <f>"－"</f>
        <v>－</v>
      </c>
      <c r="H351" s="10"/>
      <c r="I351" s="2" t="str">
        <f>"－"</f>
        <v>－</v>
      </c>
      <c r="J351" s="10"/>
      <c r="K351" s="2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2" t="str">
        <f>"－"</f>
        <v>－</v>
      </c>
      <c r="F352" s="10"/>
      <c r="G352" s="2" t="str">
        <f>"－"</f>
        <v>－</v>
      </c>
      <c r="H352" s="10"/>
      <c r="I352" s="2" t="str">
        <f>"－"</f>
        <v>－</v>
      </c>
      <c r="J352" s="10"/>
      <c r="K352" s="2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2" t="str">
        <f>"－"</f>
        <v>－</v>
      </c>
      <c r="F353" s="10"/>
      <c r="G353" s="2" t="str">
        <f>"－"</f>
        <v>－</v>
      </c>
      <c r="H353" s="10"/>
      <c r="I353" s="2" t="str">
        <f>"－"</f>
        <v>－</v>
      </c>
      <c r="J353" s="10"/>
      <c r="K353" s="2" t="str">
        <f>"－"</f>
        <v>－</v>
      </c>
    </row>
    <row r="354">
      <c r="A354" s="8" t="s">
        <v>26</v>
      </c>
      <c r="B354" s="9" t="s">
        <v>72</v>
      </c>
      <c r="C354" s="9" t="s">
        <v>73</v>
      </c>
      <c r="D354" s="10"/>
      <c r="E354" s="2" t="str">
        <f>"－"</f>
        <v>－</v>
      </c>
      <c r="F354" s="10"/>
      <c r="G354" s="2" t="str">
        <f>"－"</f>
        <v>－</v>
      </c>
      <c r="H354" s="10"/>
      <c r="I354" s="2" t="str">
        <f>"－"</f>
        <v>－</v>
      </c>
      <c r="J354" s="10"/>
      <c r="K354" s="2" t="str">
        <f>"－"</f>
        <v>－</v>
      </c>
    </row>
    <row r="355">
      <c r="A355" s="8" t="s">
        <v>27</v>
      </c>
      <c r="B355" s="9" t="s">
        <v>72</v>
      </c>
      <c r="C355" s="9" t="s">
        <v>73</v>
      </c>
      <c r="D355" s="10"/>
      <c r="E355" s="2" t="str">
        <f>"－"</f>
        <v>－</v>
      </c>
      <c r="F355" s="10"/>
      <c r="G355" s="2" t="str">
        <f>"－"</f>
        <v>－</v>
      </c>
      <c r="H355" s="10"/>
      <c r="I355" s="2" t="str">
        <f>"－"</f>
        <v>－</v>
      </c>
      <c r="J355" s="10"/>
      <c r="K355" s="2" t="str">
        <f>"－"</f>
        <v>－</v>
      </c>
    </row>
    <row r="356">
      <c r="A356" s="8" t="s">
        <v>29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30</v>
      </c>
      <c r="B357" s="9" t="s">
        <v>72</v>
      </c>
      <c r="C357" s="9" t="s">
        <v>73</v>
      </c>
      <c r="D357" s="10"/>
      <c r="E357" s="2"/>
      <c r="F357" s="10"/>
      <c r="G357" s="2"/>
      <c r="H357" s="10"/>
      <c r="I357" s="2"/>
      <c r="J357" s="10"/>
      <c r="K357" s="2"/>
    </row>
    <row r="358">
      <c r="A358" s="8" t="s">
        <v>31</v>
      </c>
      <c r="B358" s="9" t="s">
        <v>72</v>
      </c>
      <c r="C358" s="9" t="s">
        <v>73</v>
      </c>
      <c r="D358" s="10"/>
      <c r="E358" s="2" t="str">
        <f>"－"</f>
        <v>－</v>
      </c>
      <c r="F358" s="10"/>
      <c r="G358" s="2" t="str">
        <f>"－"</f>
        <v>－</v>
      </c>
      <c r="H358" s="10"/>
      <c r="I358" s="2" t="str">
        <f>"－"</f>
        <v>－</v>
      </c>
      <c r="J358" s="10"/>
      <c r="K358" s="2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2" t="str">
        <f>"－"</f>
        <v>－</v>
      </c>
      <c r="F359" s="10"/>
      <c r="G359" s="2" t="str">
        <f>"－"</f>
        <v>－</v>
      </c>
      <c r="H359" s="10"/>
      <c r="I359" s="2" t="str">
        <f>"－"</f>
        <v>－</v>
      </c>
      <c r="J359" s="10"/>
      <c r="K359" s="2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2" t="str">
        <f>"－"</f>
        <v>－</v>
      </c>
      <c r="F360" s="10"/>
      <c r="G360" s="2" t="str">
        <f>"－"</f>
        <v>－</v>
      </c>
      <c r="H360" s="10"/>
      <c r="I360" s="2" t="str">
        <f>"－"</f>
        <v>－</v>
      </c>
      <c r="J360" s="10"/>
      <c r="K360" s="2" t="str">
        <f>"－"</f>
        <v>－</v>
      </c>
    </row>
    <row r="361">
      <c r="A361" s="8" t="s">
        <v>34</v>
      </c>
      <c r="B361" s="9" t="s">
        <v>72</v>
      </c>
      <c r="C361" s="9" t="s">
        <v>73</v>
      </c>
      <c r="D361" s="10"/>
      <c r="E361" s="2" t="str">
        <f>"－"</f>
        <v>－</v>
      </c>
      <c r="F361" s="10"/>
      <c r="G361" s="2" t="str">
        <f>"－"</f>
        <v>－</v>
      </c>
      <c r="H361" s="10"/>
      <c r="I361" s="2" t="str">
        <f>"－"</f>
        <v>－</v>
      </c>
      <c r="J361" s="10"/>
      <c r="K361" s="2" t="str">
        <f>"－"</f>
        <v>－</v>
      </c>
    </row>
    <row r="362">
      <c r="A362" s="8" t="s">
        <v>35</v>
      </c>
      <c r="B362" s="9" t="s">
        <v>72</v>
      </c>
      <c r="C362" s="9" t="s">
        <v>73</v>
      </c>
      <c r="D362" s="10"/>
      <c r="E362" s="2" t="str">
        <f>"－"</f>
        <v>－</v>
      </c>
      <c r="F362" s="10"/>
      <c r="G362" s="2" t="str">
        <f>"－"</f>
        <v>－</v>
      </c>
      <c r="H362" s="10"/>
      <c r="I362" s="2" t="str">
        <f>"－"</f>
        <v>－</v>
      </c>
      <c r="J362" s="10"/>
      <c r="K362" s="2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37</v>
      </c>
      <c r="B364" s="9" t="s">
        <v>72</v>
      </c>
      <c r="C364" s="9" t="s">
        <v>73</v>
      </c>
      <c r="D364" s="10"/>
      <c r="E364" s="2"/>
      <c r="F364" s="10"/>
      <c r="G364" s="2"/>
      <c r="H364" s="10"/>
      <c r="I364" s="2"/>
      <c r="J364" s="10"/>
      <c r="K364" s="2"/>
    </row>
    <row r="365">
      <c r="A365" s="8" t="s">
        <v>38</v>
      </c>
      <c r="B365" s="9" t="s">
        <v>72</v>
      </c>
      <c r="C365" s="9" t="s">
        <v>73</v>
      </c>
      <c r="D365" s="10"/>
      <c r="E365" s="2" t="str">
        <f>"－"</f>
        <v>－</v>
      </c>
      <c r="F365" s="10"/>
      <c r="G365" s="2" t="str">
        <f>"－"</f>
        <v>－</v>
      </c>
      <c r="H365" s="10"/>
      <c r="I365" s="2" t="str">
        <f>"－"</f>
        <v>－</v>
      </c>
      <c r="J365" s="10"/>
      <c r="K365" s="2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2" t="str">
        <f>"－"</f>
        <v>－</v>
      </c>
      <c r="F366" s="10"/>
      <c r="G366" s="2" t="str">
        <f>"－"</f>
        <v>－</v>
      </c>
      <c r="H366" s="10"/>
      <c r="I366" s="2" t="str">
        <f>"－"</f>
        <v>－</v>
      </c>
      <c r="J366" s="10"/>
      <c r="K366" s="2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2" t="str">
        <f>"－"</f>
        <v>－</v>
      </c>
      <c r="F367" s="10"/>
      <c r="G367" s="2" t="str">
        <f>"－"</f>
        <v>－</v>
      </c>
      <c r="H367" s="10"/>
      <c r="I367" s="2" t="str">
        <f>"－"</f>
        <v>－</v>
      </c>
      <c r="J367" s="10"/>
      <c r="K367" s="2" t="str">
        <f>"－"</f>
        <v>－</v>
      </c>
    </row>
    <row r="368">
      <c r="A368" s="8" t="s">
        <v>41</v>
      </c>
      <c r="B368" s="9" t="s">
        <v>72</v>
      </c>
      <c r="C368" s="9" t="s">
        <v>73</v>
      </c>
      <c r="D368" s="10"/>
      <c r="E368" s="2"/>
      <c r="F368" s="10"/>
      <c r="G368" s="2"/>
      <c r="H368" s="10"/>
      <c r="I368" s="2"/>
      <c r="J368" s="10"/>
      <c r="K368" s="2"/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44</v>
      </c>
      <c r="B371" s="9" t="s">
        <v>72</v>
      </c>
      <c r="C371" s="9" t="s">
        <v>73</v>
      </c>
      <c r="D371" s="10"/>
      <c r="E371" s="2"/>
      <c r="F371" s="10"/>
      <c r="G371" s="2"/>
      <c r="H371" s="10"/>
      <c r="I371" s="2"/>
      <c r="J371" s="10"/>
      <c r="K371" s="2"/>
    </row>
    <row r="372">
      <c r="A372" s="8" t="s">
        <v>45</v>
      </c>
      <c r="B372" s="9" t="s">
        <v>72</v>
      </c>
      <c r="C372" s="9" t="s">
        <v>73</v>
      </c>
      <c r="D372" s="10"/>
      <c r="E372" s="2" t="str">
        <f>"－"</f>
        <v>－</v>
      </c>
      <c r="F372" s="10"/>
      <c r="G372" s="2" t="str">
        <f>"－"</f>
        <v>－</v>
      </c>
      <c r="H372" s="10"/>
      <c r="I372" s="2" t="str">
        <f>"－"</f>
        <v>－</v>
      </c>
      <c r="J372" s="10"/>
      <c r="K372" s="2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2" t="str">
        <f>"－"</f>
        <v>－</v>
      </c>
      <c r="F373" s="10"/>
      <c r="G373" s="2" t="str">
        <f>"－"</f>
        <v>－</v>
      </c>
      <c r="H373" s="10"/>
      <c r="I373" s="2" t="str">
        <f>"－"</f>
        <v>－</v>
      </c>
      <c r="J373" s="10"/>
      <c r="K373" s="2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2" t="str">
        <f>"－"</f>
        <v>－</v>
      </c>
      <c r="F374" s="10"/>
      <c r="G374" s="2" t="str">
        <f>"－"</f>
        <v>－</v>
      </c>
      <c r="H374" s="10"/>
      <c r="I374" s="2" t="str">
        <f>"－"</f>
        <v>－</v>
      </c>
      <c r="J374" s="10"/>
      <c r="K374" s="2" t="str">
        <f>"－"</f>
        <v>－</v>
      </c>
    </row>
    <row r="375">
      <c r="A375" s="8" t="s">
        <v>48</v>
      </c>
      <c r="B375" s="9" t="s">
        <v>72</v>
      </c>
      <c r="C375" s="9" t="s">
        <v>73</v>
      </c>
      <c r="D375" s="10"/>
      <c r="E375" s="2" t="str">
        <f>"－"</f>
        <v>－</v>
      </c>
      <c r="F375" s="10"/>
      <c r="G375" s="2" t="str">
        <f>"－"</f>
        <v>－</v>
      </c>
      <c r="H375" s="10"/>
      <c r="I375" s="2" t="str">
        <f>"－"</f>
        <v>－</v>
      </c>
      <c r="J375" s="10"/>
      <c r="K375" s="2" t="str">
        <f>"－"</f>
        <v>－</v>
      </c>
    </row>
    <row r="376">
      <c r="A376" s="8" t="s">
        <v>49</v>
      </c>
      <c r="B376" s="9" t="s">
        <v>72</v>
      </c>
      <c r="C376" s="9" t="s">
        <v>73</v>
      </c>
      <c r="D376" s="10"/>
      <c r="E376" s="2" t="str">
        <f>"－"</f>
        <v>－</v>
      </c>
      <c r="F376" s="10"/>
      <c r="G376" s="2" t="str">
        <f>"－"</f>
        <v>－</v>
      </c>
      <c r="H376" s="10"/>
      <c r="I376" s="2" t="str">
        <f>"－"</f>
        <v>－</v>
      </c>
      <c r="J376" s="10"/>
      <c r="K376" s="2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 t="s">
        <v>61</v>
      </c>
      <c r="E378" s="2" t="str">
        <f>"－"</f>
        <v>－</v>
      </c>
      <c r="F378" s="10" t="s">
        <v>61</v>
      </c>
      <c r="G378" s="2" t="str">
        <f>"－"</f>
        <v>－</v>
      </c>
      <c r="H378" s="10" t="s">
        <v>61</v>
      </c>
      <c r="I378" s="2" t="str">
        <f>"－"</f>
        <v>－</v>
      </c>
      <c r="J378" s="10" t="s">
        <v>61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 t="str">
        <f>"－"</f>
        <v>－</v>
      </c>
      <c r="F379" s="10"/>
      <c r="G379" s="2" t="str">
        <f>"－"</f>
        <v>－</v>
      </c>
      <c r="H379" s="10"/>
      <c r="I379" s="2" t="str">
        <f>"－"</f>
        <v>－</v>
      </c>
      <c r="J379" s="10"/>
      <c r="K379" s="2" t="str">
        <f>"－"</f>
        <v>－</v>
      </c>
    </row>
    <row r="380">
      <c r="A380" s="8" t="s">
        <v>21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22</v>
      </c>
      <c r="B381" s="9" t="s">
        <v>74</v>
      </c>
      <c r="C381" s="9" t="s">
        <v>75</v>
      </c>
      <c r="D381" s="10"/>
      <c r="E381" s="2"/>
      <c r="F381" s="10"/>
      <c r="G381" s="2"/>
      <c r="H381" s="10"/>
      <c r="I381" s="2"/>
      <c r="J381" s="10"/>
      <c r="K381" s="2"/>
    </row>
    <row r="382">
      <c r="A382" s="8" t="s">
        <v>23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 t="str">
        <f>"－"</f>
        <v>－</v>
      </c>
      <c r="F386" s="10"/>
      <c r="G386" s="2" t="str">
        <f>"－"</f>
        <v>－</v>
      </c>
      <c r="H386" s="10"/>
      <c r="I386" s="2" t="str">
        <f>"－"</f>
        <v>－</v>
      </c>
      <c r="J386" s="10"/>
      <c r="K386" s="2" t="str">
        <f>"－"</f>
        <v>－</v>
      </c>
    </row>
    <row r="387">
      <c r="A387" s="8" t="s">
        <v>29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30</v>
      </c>
      <c r="B388" s="9" t="s">
        <v>74</v>
      </c>
      <c r="C388" s="9" t="s">
        <v>75</v>
      </c>
      <c r="D388" s="10"/>
      <c r="E388" s="2"/>
      <c r="F388" s="10"/>
      <c r="G388" s="2"/>
      <c r="H388" s="10"/>
      <c r="I388" s="2"/>
      <c r="J388" s="10"/>
      <c r="K388" s="2"/>
    </row>
    <row r="389">
      <c r="A389" s="8" t="s">
        <v>31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 t="str">
        <f>"－"</f>
        <v>－</v>
      </c>
      <c r="F393" s="10"/>
      <c r="G393" s="2" t="str">
        <f>"－"</f>
        <v>－</v>
      </c>
      <c r="H393" s="10"/>
      <c r="I393" s="2" t="str">
        <f>"－"</f>
        <v>－</v>
      </c>
      <c r="J393" s="10"/>
      <c r="K393" s="2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37</v>
      </c>
      <c r="B395" s="9" t="s">
        <v>74</v>
      </c>
      <c r="C395" s="9" t="s">
        <v>75</v>
      </c>
      <c r="D395" s="10"/>
      <c r="E395" s="2"/>
      <c r="F395" s="10"/>
      <c r="G395" s="2"/>
      <c r="H395" s="10"/>
      <c r="I395" s="2"/>
      <c r="J395" s="10"/>
      <c r="K395" s="2"/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/>
      <c r="F399" s="10"/>
      <c r="G399" s="2"/>
      <c r="H399" s="10"/>
      <c r="I399" s="2"/>
      <c r="J399" s="10"/>
      <c r="K399" s="2"/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44</v>
      </c>
      <c r="B402" s="9" t="s">
        <v>74</v>
      </c>
      <c r="C402" s="9" t="s">
        <v>75</v>
      </c>
      <c r="D402" s="10"/>
      <c r="E402" s="2"/>
      <c r="F402" s="10"/>
      <c r="G402" s="2"/>
      <c r="H402" s="10"/>
      <c r="I402" s="2"/>
      <c r="J402" s="10"/>
      <c r="K402" s="2"/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 t="str">
        <f>"－"</f>
        <v>－</v>
      </c>
      <c r="F407" s="10"/>
      <c r="G407" s="2" t="str">
        <f>"－"</f>
        <v>－</v>
      </c>
      <c r="H407" s="10"/>
      <c r="I407" s="2" t="str">
        <f>"－"</f>
        <v>－</v>
      </c>
      <c r="J407" s="10"/>
      <c r="K407" s="2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 t="s">
        <v>20</v>
      </c>
      <c r="E409" s="2" t="str">
        <f>"－"</f>
        <v>－</v>
      </c>
      <c r="F409" s="10" t="s">
        <v>20</v>
      </c>
      <c r="G409" s="2" t="str">
        <f>"－"</f>
        <v>－</v>
      </c>
      <c r="H409" s="10" t="s">
        <v>61</v>
      </c>
      <c r="I409" s="2" t="str">
        <f>"－"</f>
        <v>－</v>
      </c>
      <c r="J409" s="10" t="s">
        <v>28</v>
      </c>
      <c r="K409" s="2" t="n">
        <f>36259</f>
        <v>36259.0</v>
      </c>
    </row>
    <row r="410">
      <c r="A410" s="8" t="s">
        <v>19</v>
      </c>
      <c r="B410" s="9" t="s">
        <v>76</v>
      </c>
      <c r="C410" s="9" t="s">
        <v>77</v>
      </c>
      <c r="D410" s="10"/>
      <c r="E410" s="2" t="str">
        <f>"－"</f>
        <v>－</v>
      </c>
      <c r="F410" s="10"/>
      <c r="G410" s="2" t="str">
        <f>"－"</f>
        <v>－</v>
      </c>
      <c r="H410" s="10"/>
      <c r="I410" s="2" t="str">
        <f>"－"</f>
        <v>－</v>
      </c>
      <c r="J410" s="10"/>
      <c r="K410" s="2" t="n">
        <f>36259</f>
        <v>36259.0</v>
      </c>
    </row>
    <row r="411">
      <c r="A411" s="8" t="s">
        <v>21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22</v>
      </c>
      <c r="B412" s="9" t="s">
        <v>76</v>
      </c>
      <c r="C412" s="9" t="s">
        <v>77</v>
      </c>
      <c r="D412" s="10"/>
      <c r="E412" s="2"/>
      <c r="F412" s="10"/>
      <c r="G412" s="2"/>
      <c r="H412" s="10"/>
      <c r="I412" s="2"/>
      <c r="J412" s="10"/>
      <c r="K412" s="2"/>
    </row>
    <row r="413">
      <c r="A413" s="8" t="s">
        <v>23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n">
        <f>36259</f>
        <v>36259.0</v>
      </c>
    </row>
    <row r="414">
      <c r="A414" s="8" t="s">
        <v>24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n">
        <f>36259</f>
        <v>36259.0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n">
        <f>36259</f>
        <v>36259.0</v>
      </c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n">
        <f>36259</f>
        <v>36259.0</v>
      </c>
    </row>
    <row r="417">
      <c r="A417" s="8" t="s">
        <v>27</v>
      </c>
      <c r="B417" s="9" t="s">
        <v>76</v>
      </c>
      <c r="C417" s="9" t="s">
        <v>77</v>
      </c>
      <c r="D417" s="10"/>
      <c r="E417" s="2" t="str">
        <f>"－"</f>
        <v>－</v>
      </c>
      <c r="F417" s="10"/>
      <c r="G417" s="2" t="str">
        <f>"－"</f>
        <v>－</v>
      </c>
      <c r="H417" s="10"/>
      <c r="I417" s="2" t="str">
        <f>"－"</f>
        <v>－</v>
      </c>
      <c r="J417" s="10"/>
      <c r="K417" s="2" t="n">
        <f>36259</f>
        <v>36259.0</v>
      </c>
    </row>
    <row r="418">
      <c r="A418" s="8" t="s">
        <v>29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30</v>
      </c>
      <c r="B419" s="9" t="s">
        <v>76</v>
      </c>
      <c r="C419" s="9" t="s">
        <v>77</v>
      </c>
      <c r="D419" s="10"/>
      <c r="E419" s="2"/>
      <c r="F419" s="10"/>
      <c r="G419" s="2"/>
      <c r="H419" s="10"/>
      <c r="I419" s="2"/>
      <c r="J419" s="10"/>
      <c r="K419" s="2"/>
    </row>
    <row r="420">
      <c r="A420" s="8" t="s">
        <v>31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n">
        <f>36259</f>
        <v>36259.0</v>
      </c>
    </row>
    <row r="421">
      <c r="A421" s="8" t="s">
        <v>32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n">
        <f>36259</f>
        <v>36259.0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n">
        <f>36259</f>
        <v>36259.0</v>
      </c>
    </row>
    <row r="423">
      <c r="A423" s="8" t="s">
        <v>34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n">
        <f>36259</f>
        <v>36259.0</v>
      </c>
    </row>
    <row r="424">
      <c r="A424" s="8" t="s">
        <v>35</v>
      </c>
      <c r="B424" s="9" t="s">
        <v>76</v>
      </c>
      <c r="C424" s="9" t="s">
        <v>77</v>
      </c>
      <c r="D424" s="10"/>
      <c r="E424" s="2" t="str">
        <f>"－"</f>
        <v>－</v>
      </c>
      <c r="F424" s="10"/>
      <c r="G424" s="2" t="str">
        <f>"－"</f>
        <v>－</v>
      </c>
      <c r="H424" s="10"/>
      <c r="I424" s="2" t="str">
        <f>"－"</f>
        <v>－</v>
      </c>
      <c r="J424" s="10"/>
      <c r="K424" s="2" t="n">
        <f>36259</f>
        <v>36259.0</v>
      </c>
    </row>
    <row r="425">
      <c r="A425" s="8" t="s">
        <v>36</v>
      </c>
      <c r="B425" s="9" t="s">
        <v>76</v>
      </c>
      <c r="C425" s="9" t="s">
        <v>77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37</v>
      </c>
      <c r="B426" s="9" t="s">
        <v>76</v>
      </c>
      <c r="C426" s="9" t="s">
        <v>77</v>
      </c>
      <c r="D426" s="10"/>
      <c r="E426" s="2"/>
      <c r="F426" s="10"/>
      <c r="G426" s="2"/>
      <c r="H426" s="10"/>
      <c r="I426" s="2"/>
      <c r="J426" s="10"/>
      <c r="K426" s="2"/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n">
        <f>36259</f>
        <v>36259.0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n">
        <f>36259</f>
        <v>36259.0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n">
        <f>36259</f>
        <v>36259.0</v>
      </c>
    </row>
    <row r="430">
      <c r="A430" s="8" t="s">
        <v>41</v>
      </c>
      <c r="B430" s="9" t="s">
        <v>76</v>
      </c>
      <c r="C430" s="9" t="s">
        <v>77</v>
      </c>
      <c r="D430" s="10"/>
      <c r="E430" s="2"/>
      <c r="F430" s="10"/>
      <c r="G430" s="2"/>
      <c r="H430" s="10"/>
      <c r="I430" s="2"/>
      <c r="J430" s="10"/>
      <c r="K430" s="2"/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44</v>
      </c>
      <c r="B433" s="9" t="s">
        <v>76</v>
      </c>
      <c r="C433" s="9" t="s">
        <v>77</v>
      </c>
      <c r="D433" s="10"/>
      <c r="E433" s="2"/>
      <c r="F433" s="10"/>
      <c r="G433" s="2"/>
      <c r="H433" s="10"/>
      <c r="I433" s="2"/>
      <c r="J433" s="10"/>
      <c r="K433" s="2"/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n">
        <f>36259</f>
        <v>36259.0</v>
      </c>
    </row>
    <row r="435">
      <c r="A435" s="8" t="s">
        <v>46</v>
      </c>
      <c r="B435" s="9" t="s">
        <v>76</v>
      </c>
      <c r="C435" s="9" t="s">
        <v>77</v>
      </c>
      <c r="D435" s="10" t="s">
        <v>28</v>
      </c>
      <c r="E435" s="2" t="n">
        <f>5</f>
        <v>5.0</v>
      </c>
      <c r="F435" s="10" t="s">
        <v>28</v>
      </c>
      <c r="G435" s="2" t="n">
        <f>2377000</f>
        <v>2377000.0</v>
      </c>
      <c r="H435" s="10"/>
      <c r="I435" s="2" t="str">
        <f>"－"</f>
        <v>－</v>
      </c>
      <c r="J435" s="10" t="s">
        <v>20</v>
      </c>
      <c r="K435" s="2" t="n">
        <f>36254</f>
        <v>36254.0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n">
        <f>36254</f>
        <v>36254.0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n">
        <f>36254</f>
        <v>36254.0</v>
      </c>
    </row>
    <row r="438">
      <c r="A438" s="8" t="s">
        <v>49</v>
      </c>
      <c r="B438" s="9" t="s">
        <v>76</v>
      </c>
      <c r="C438" s="9" t="s">
        <v>77</v>
      </c>
      <c r="D438" s="10"/>
      <c r="E438" s="2" t="str">
        <f>"－"</f>
        <v>－</v>
      </c>
      <c r="F438" s="10"/>
      <c r="G438" s="2" t="str">
        <f>"－"</f>
        <v>－</v>
      </c>
      <c r="H438" s="10"/>
      <c r="I438" s="2" t="str">
        <f>"－"</f>
        <v>－</v>
      </c>
      <c r="J438" s="10"/>
      <c r="K438" s="2" t="n">
        <f>36254</f>
        <v>36254.0</v>
      </c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 t="s">
        <v>61</v>
      </c>
      <c r="E440" s="2" t="str">
        <f>"－"</f>
        <v>－</v>
      </c>
      <c r="F440" s="10" t="s">
        <v>61</v>
      </c>
      <c r="G440" s="2" t="str">
        <f>"－"</f>
        <v>－</v>
      </c>
      <c r="H440" s="10" t="s">
        <v>61</v>
      </c>
      <c r="I440" s="2" t="str">
        <f>"－"</f>
        <v>－</v>
      </c>
      <c r="J440" s="10" t="s">
        <v>61</v>
      </c>
      <c r="K440" s="2" t="str">
        <f>"－"</f>
        <v>－</v>
      </c>
    </row>
    <row r="441">
      <c r="A441" s="8" t="s">
        <v>19</v>
      </c>
      <c r="B441" s="9" t="s">
        <v>78</v>
      </c>
      <c r="C441" s="9" t="s">
        <v>79</v>
      </c>
      <c r="D441" s="10"/>
      <c r="E441" s="2" t="str">
        <f>"－"</f>
        <v>－</v>
      </c>
      <c r="F441" s="10"/>
      <c r="G441" s="2" t="str">
        <f>"－"</f>
        <v>－</v>
      </c>
      <c r="H441" s="10"/>
      <c r="I441" s="2" t="str">
        <f>"－"</f>
        <v>－</v>
      </c>
      <c r="J441" s="10"/>
      <c r="K441" s="2" t="str">
        <f>"－"</f>
        <v>－</v>
      </c>
    </row>
    <row r="442">
      <c r="A442" s="8" t="s">
        <v>21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22</v>
      </c>
      <c r="B443" s="9" t="s">
        <v>78</v>
      </c>
      <c r="C443" s="9" t="s">
        <v>79</v>
      </c>
      <c r="D443" s="10"/>
      <c r="E443" s="2"/>
      <c r="F443" s="10"/>
      <c r="G443" s="2"/>
      <c r="H443" s="10"/>
      <c r="I443" s="2"/>
      <c r="J443" s="10"/>
      <c r="K443" s="2"/>
    </row>
    <row r="444">
      <c r="A444" s="8" t="s">
        <v>23</v>
      </c>
      <c r="B444" s="9" t="s">
        <v>78</v>
      </c>
      <c r="C444" s="9" t="s">
        <v>79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str">
        <f>"－"</f>
        <v>－</v>
      </c>
    </row>
    <row r="445">
      <c r="A445" s="8" t="s">
        <v>24</v>
      </c>
      <c r="B445" s="9" t="s">
        <v>78</v>
      </c>
      <c r="C445" s="9" t="s">
        <v>79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str">
        <f>"－"</f>
        <v>－</v>
      </c>
    </row>
    <row r="446">
      <c r="A446" s="8" t="s">
        <v>25</v>
      </c>
      <c r="B446" s="9" t="s">
        <v>78</v>
      </c>
      <c r="C446" s="9" t="s">
        <v>79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str">
        <f>"－"</f>
        <v>－</v>
      </c>
    </row>
    <row r="447">
      <c r="A447" s="8" t="s">
        <v>26</v>
      </c>
      <c r="B447" s="9" t="s">
        <v>78</v>
      </c>
      <c r="C447" s="9" t="s">
        <v>79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str">
        <f>"－"</f>
        <v>－</v>
      </c>
    </row>
    <row r="448">
      <c r="A448" s="8" t="s">
        <v>27</v>
      </c>
      <c r="B448" s="9" t="s">
        <v>78</v>
      </c>
      <c r="C448" s="9" t="s">
        <v>79</v>
      </c>
      <c r="D448" s="10"/>
      <c r="E448" s="2" t="str">
        <f>"－"</f>
        <v>－</v>
      </c>
      <c r="F448" s="10"/>
      <c r="G448" s="2" t="str">
        <f>"－"</f>
        <v>－</v>
      </c>
      <c r="H448" s="10"/>
      <c r="I448" s="2" t="str">
        <f>"－"</f>
        <v>－</v>
      </c>
      <c r="J448" s="10"/>
      <c r="K448" s="2" t="str">
        <f>"－"</f>
        <v>－</v>
      </c>
    </row>
    <row r="449">
      <c r="A449" s="8" t="s">
        <v>29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30</v>
      </c>
      <c r="B450" s="9" t="s">
        <v>78</v>
      </c>
      <c r="C450" s="9" t="s">
        <v>79</v>
      </c>
      <c r="D450" s="10"/>
      <c r="E450" s="2"/>
      <c r="F450" s="10"/>
      <c r="G450" s="2"/>
      <c r="H450" s="10"/>
      <c r="I450" s="2"/>
      <c r="J450" s="10"/>
      <c r="K450" s="2"/>
    </row>
    <row r="451">
      <c r="A451" s="8" t="s">
        <v>31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str">
        <f>"－"</f>
        <v>－</v>
      </c>
    </row>
    <row r="452">
      <c r="A452" s="8" t="s">
        <v>32</v>
      </c>
      <c r="B452" s="9" t="s">
        <v>78</v>
      </c>
      <c r="C452" s="9" t="s">
        <v>79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str">
        <f>"－"</f>
        <v>－</v>
      </c>
    </row>
    <row r="453">
      <c r="A453" s="8" t="s">
        <v>33</v>
      </c>
      <c r="B453" s="9" t="s">
        <v>78</v>
      </c>
      <c r="C453" s="9" t="s">
        <v>79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str">
        <f>"－"</f>
        <v>－</v>
      </c>
    </row>
    <row r="454">
      <c r="A454" s="8" t="s">
        <v>34</v>
      </c>
      <c r="B454" s="9" t="s">
        <v>78</v>
      </c>
      <c r="C454" s="9" t="s">
        <v>79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str">
        <f>"－"</f>
        <v>－</v>
      </c>
    </row>
    <row r="455">
      <c r="A455" s="8" t="s">
        <v>35</v>
      </c>
      <c r="B455" s="9" t="s">
        <v>78</v>
      </c>
      <c r="C455" s="9" t="s">
        <v>79</v>
      </c>
      <c r="D455" s="10"/>
      <c r="E455" s="2" t="str">
        <f>"－"</f>
        <v>－</v>
      </c>
      <c r="F455" s="10"/>
      <c r="G455" s="2" t="str">
        <f>"－"</f>
        <v>－</v>
      </c>
      <c r="H455" s="10"/>
      <c r="I455" s="2" t="str">
        <f>"－"</f>
        <v>－</v>
      </c>
      <c r="J455" s="10"/>
      <c r="K455" s="2" t="str">
        <f>"－"</f>
        <v>－</v>
      </c>
    </row>
    <row r="456">
      <c r="A456" s="8" t="s">
        <v>36</v>
      </c>
      <c r="B456" s="9" t="s">
        <v>78</v>
      </c>
      <c r="C456" s="9" t="s">
        <v>79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37</v>
      </c>
      <c r="B457" s="9" t="s">
        <v>78</v>
      </c>
      <c r="C457" s="9" t="s">
        <v>79</v>
      </c>
      <c r="D457" s="10"/>
      <c r="E457" s="2"/>
      <c r="F457" s="10"/>
      <c r="G457" s="2"/>
      <c r="H457" s="10"/>
      <c r="I457" s="2"/>
      <c r="J457" s="10"/>
      <c r="K457" s="2"/>
    </row>
    <row r="458">
      <c r="A458" s="8" t="s">
        <v>38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str">
        <f>"－"</f>
        <v>－</v>
      </c>
    </row>
    <row r="459">
      <c r="A459" s="8" t="s">
        <v>39</v>
      </c>
      <c r="B459" s="9" t="s">
        <v>78</v>
      </c>
      <c r="C459" s="9" t="s">
        <v>79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str">
        <f>"－"</f>
        <v>－</v>
      </c>
    </row>
    <row r="460">
      <c r="A460" s="8" t="s">
        <v>40</v>
      </c>
      <c r="B460" s="9" t="s">
        <v>78</v>
      </c>
      <c r="C460" s="9" t="s">
        <v>79</v>
      </c>
      <c r="D460" s="10"/>
      <c r="E460" s="2" t="str">
        <f>"－"</f>
        <v>－</v>
      </c>
      <c r="F460" s="10"/>
      <c r="G460" s="2" t="str">
        <f>"－"</f>
        <v>－</v>
      </c>
      <c r="H460" s="10"/>
      <c r="I460" s="2" t="str">
        <f>"－"</f>
        <v>－</v>
      </c>
      <c r="J460" s="10"/>
      <c r="K460" s="2" t="str">
        <f>"－"</f>
        <v>－</v>
      </c>
    </row>
    <row r="461">
      <c r="A461" s="8" t="s">
        <v>41</v>
      </c>
      <c r="B461" s="9" t="s">
        <v>78</v>
      </c>
      <c r="C461" s="9" t="s">
        <v>79</v>
      </c>
      <c r="D461" s="10"/>
      <c r="E461" s="2"/>
      <c r="F461" s="10"/>
      <c r="G461" s="2"/>
      <c r="H461" s="10"/>
      <c r="I461" s="2"/>
      <c r="J461" s="10"/>
      <c r="K461" s="2"/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44</v>
      </c>
      <c r="B464" s="9" t="s">
        <v>78</v>
      </c>
      <c r="C464" s="9" t="s">
        <v>79</v>
      </c>
      <c r="D464" s="10"/>
      <c r="E464" s="2"/>
      <c r="F464" s="10"/>
      <c r="G464" s="2"/>
      <c r="H464" s="10"/>
      <c r="I464" s="2"/>
      <c r="J464" s="10"/>
      <c r="K464" s="2"/>
    </row>
    <row r="465">
      <c r="A465" s="8" t="s">
        <v>45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str">
        <f>"－"</f>
        <v>－</v>
      </c>
    </row>
    <row r="466">
      <c r="A466" s="8" t="s">
        <v>46</v>
      </c>
      <c r="B466" s="9" t="s">
        <v>78</v>
      </c>
      <c r="C466" s="9" t="s">
        <v>79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str">
        <f>"－"</f>
        <v>－</v>
      </c>
    </row>
    <row r="467">
      <c r="A467" s="8" t="s">
        <v>47</v>
      </c>
      <c r="B467" s="9" t="s">
        <v>78</v>
      </c>
      <c r="C467" s="9" t="s">
        <v>79</v>
      </c>
      <c r="D467" s="10"/>
      <c r="E467" s="2" t="str">
        <f>"－"</f>
        <v>－</v>
      </c>
      <c r="F467" s="10"/>
      <c r="G467" s="2" t="str">
        <f>"－"</f>
        <v>－</v>
      </c>
      <c r="H467" s="10"/>
      <c r="I467" s="2" t="str">
        <f>"－"</f>
        <v>－</v>
      </c>
      <c r="J467" s="10"/>
      <c r="K467" s="2" t="str">
        <f>"－"</f>
        <v>－</v>
      </c>
    </row>
    <row r="468">
      <c r="A468" s="8" t="s">
        <v>48</v>
      </c>
      <c r="B468" s="9" t="s">
        <v>78</v>
      </c>
      <c r="C468" s="9" t="s">
        <v>79</v>
      </c>
      <c r="D468" s="10"/>
      <c r="E468" s="2" t="str">
        <f>"－"</f>
        <v>－</v>
      </c>
      <c r="F468" s="10"/>
      <c r="G468" s="2" t="str">
        <f>"－"</f>
        <v>－</v>
      </c>
      <c r="H468" s="10"/>
      <c r="I468" s="2" t="str">
        <f>"－"</f>
        <v>－</v>
      </c>
      <c r="J468" s="10"/>
      <c r="K468" s="2" t="str">
        <f>"－"</f>
        <v>－</v>
      </c>
    </row>
    <row r="469">
      <c r="A469" s="8" t="s">
        <v>49</v>
      </c>
      <c r="B469" s="9" t="s">
        <v>78</v>
      </c>
      <c r="C469" s="9" t="s">
        <v>79</v>
      </c>
      <c r="D469" s="10"/>
      <c r="E469" s="2" t="str">
        <f>"－"</f>
        <v>－</v>
      </c>
      <c r="F469" s="10"/>
      <c r="G469" s="2" t="str">
        <f>"－"</f>
        <v>－</v>
      </c>
      <c r="H469" s="10"/>
      <c r="I469" s="2" t="str">
        <f>"－"</f>
        <v>－</v>
      </c>
      <c r="J469" s="10"/>
      <c r="K469" s="2" t="str">
        <f>"－"</f>
        <v>－</v>
      </c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 t="s">
        <v>61</v>
      </c>
      <c r="E471" s="2" t="str">
        <f>"－"</f>
        <v>－</v>
      </c>
      <c r="F471" s="10" t="s">
        <v>61</v>
      </c>
      <c r="G471" s="2" t="str">
        <f>"－"</f>
        <v>－</v>
      </c>
      <c r="H471" s="10" t="s">
        <v>61</v>
      </c>
      <c r="I471" s="2" t="str">
        <f>"－"</f>
        <v>－</v>
      </c>
      <c r="J471" s="10" t="s">
        <v>61</v>
      </c>
      <c r="K471" s="2" t="str">
        <f>"－"</f>
        <v>－</v>
      </c>
    </row>
    <row r="472">
      <c r="A472" s="8" t="s">
        <v>19</v>
      </c>
      <c r="B472" s="9" t="s">
        <v>80</v>
      </c>
      <c r="C472" s="9" t="s">
        <v>81</v>
      </c>
      <c r="D472" s="10"/>
      <c r="E472" s="2" t="str">
        <f>"－"</f>
        <v>－</v>
      </c>
      <c r="F472" s="10"/>
      <c r="G472" s="2" t="str">
        <f>"－"</f>
        <v>－</v>
      </c>
      <c r="H472" s="10"/>
      <c r="I472" s="2" t="str">
        <f>"－"</f>
        <v>－</v>
      </c>
      <c r="J472" s="10"/>
      <c r="K472" s="2" t="str">
        <f>"－"</f>
        <v>－</v>
      </c>
    </row>
    <row r="473">
      <c r="A473" s="8" t="s">
        <v>21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22</v>
      </c>
      <c r="B474" s="9" t="s">
        <v>80</v>
      </c>
      <c r="C474" s="9" t="s">
        <v>81</v>
      </c>
      <c r="D474" s="10"/>
      <c r="E474" s="2"/>
      <c r="F474" s="10"/>
      <c r="G474" s="2"/>
      <c r="H474" s="10"/>
      <c r="I474" s="2"/>
      <c r="J474" s="10"/>
      <c r="K474" s="2"/>
    </row>
    <row r="475">
      <c r="A475" s="8" t="s">
        <v>23</v>
      </c>
      <c r="B475" s="9" t="s">
        <v>80</v>
      </c>
      <c r="C475" s="9" t="s">
        <v>81</v>
      </c>
      <c r="D475" s="10"/>
      <c r="E475" s="2" t="str">
        <f>"－"</f>
        <v>－</v>
      </c>
      <c r="F475" s="10"/>
      <c r="G475" s="2" t="str">
        <f>"－"</f>
        <v>－</v>
      </c>
      <c r="H475" s="10"/>
      <c r="I475" s="2" t="str">
        <f>"－"</f>
        <v>－</v>
      </c>
      <c r="J475" s="10"/>
      <c r="K475" s="2" t="str">
        <f>"－"</f>
        <v>－</v>
      </c>
    </row>
    <row r="476">
      <c r="A476" s="8" t="s">
        <v>24</v>
      </c>
      <c r="B476" s="9" t="s">
        <v>80</v>
      </c>
      <c r="C476" s="9" t="s">
        <v>81</v>
      </c>
      <c r="D476" s="10"/>
      <c r="E476" s="2" t="str">
        <f>"－"</f>
        <v>－</v>
      </c>
      <c r="F476" s="10"/>
      <c r="G476" s="2" t="str">
        <f>"－"</f>
        <v>－</v>
      </c>
      <c r="H476" s="10"/>
      <c r="I476" s="2" t="str">
        <f>"－"</f>
        <v>－</v>
      </c>
      <c r="J476" s="10"/>
      <c r="K476" s="2" t="str">
        <f>"－"</f>
        <v>－</v>
      </c>
    </row>
    <row r="477">
      <c r="A477" s="8" t="s">
        <v>25</v>
      </c>
      <c r="B477" s="9" t="s">
        <v>80</v>
      </c>
      <c r="C477" s="9" t="s">
        <v>81</v>
      </c>
      <c r="D477" s="10"/>
      <c r="E477" s="2" t="str">
        <f>"－"</f>
        <v>－</v>
      </c>
      <c r="F477" s="10"/>
      <c r="G477" s="2" t="str">
        <f>"－"</f>
        <v>－</v>
      </c>
      <c r="H477" s="10"/>
      <c r="I477" s="2" t="str">
        <f>"－"</f>
        <v>－</v>
      </c>
      <c r="J477" s="10"/>
      <c r="K477" s="2" t="str">
        <f>"－"</f>
        <v>－</v>
      </c>
    </row>
    <row r="478">
      <c r="A478" s="8" t="s">
        <v>26</v>
      </c>
      <c r="B478" s="9" t="s">
        <v>80</v>
      </c>
      <c r="C478" s="9" t="s">
        <v>81</v>
      </c>
      <c r="D478" s="10"/>
      <c r="E478" s="2" t="str">
        <f>"－"</f>
        <v>－</v>
      </c>
      <c r="F478" s="10"/>
      <c r="G478" s="2" t="str">
        <f>"－"</f>
        <v>－</v>
      </c>
      <c r="H478" s="10"/>
      <c r="I478" s="2" t="str">
        <f>"－"</f>
        <v>－</v>
      </c>
      <c r="J478" s="10"/>
      <c r="K478" s="2" t="str">
        <f>"－"</f>
        <v>－</v>
      </c>
    </row>
    <row r="479">
      <c r="A479" s="8" t="s">
        <v>27</v>
      </c>
      <c r="B479" s="9" t="s">
        <v>80</v>
      </c>
      <c r="C479" s="9" t="s">
        <v>81</v>
      </c>
      <c r="D479" s="10"/>
      <c r="E479" s="2" t="str">
        <f>"－"</f>
        <v>－</v>
      </c>
      <c r="F479" s="10"/>
      <c r="G479" s="2" t="str">
        <f>"－"</f>
        <v>－</v>
      </c>
      <c r="H479" s="10"/>
      <c r="I479" s="2" t="str">
        <f>"－"</f>
        <v>－</v>
      </c>
      <c r="J479" s="10"/>
      <c r="K479" s="2" t="str">
        <f>"－"</f>
        <v>－</v>
      </c>
    </row>
    <row r="480">
      <c r="A480" s="8" t="s">
        <v>29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30</v>
      </c>
      <c r="B481" s="9" t="s">
        <v>80</v>
      </c>
      <c r="C481" s="9" t="s">
        <v>81</v>
      </c>
      <c r="D481" s="10"/>
      <c r="E481" s="2"/>
      <c r="F481" s="10"/>
      <c r="G481" s="2"/>
      <c r="H481" s="10"/>
      <c r="I481" s="2"/>
      <c r="J481" s="10"/>
      <c r="K481" s="2"/>
    </row>
    <row r="482">
      <c r="A482" s="8" t="s">
        <v>31</v>
      </c>
      <c r="B482" s="9" t="s">
        <v>80</v>
      </c>
      <c r="C482" s="9" t="s">
        <v>81</v>
      </c>
      <c r="D482" s="10"/>
      <c r="E482" s="2" t="str">
        <f>"－"</f>
        <v>－</v>
      </c>
      <c r="F482" s="10"/>
      <c r="G482" s="2" t="str">
        <f>"－"</f>
        <v>－</v>
      </c>
      <c r="H482" s="10"/>
      <c r="I482" s="2" t="str">
        <f>"－"</f>
        <v>－</v>
      </c>
      <c r="J482" s="10"/>
      <c r="K482" s="2" t="str">
        <f>"－"</f>
        <v>－</v>
      </c>
    </row>
    <row r="483">
      <c r="A483" s="8" t="s">
        <v>32</v>
      </c>
      <c r="B483" s="9" t="s">
        <v>80</v>
      </c>
      <c r="C483" s="9" t="s">
        <v>81</v>
      </c>
      <c r="D483" s="10"/>
      <c r="E483" s="2" t="str">
        <f>"－"</f>
        <v>－</v>
      </c>
      <c r="F483" s="10"/>
      <c r="G483" s="2" t="str">
        <f>"－"</f>
        <v>－</v>
      </c>
      <c r="H483" s="10"/>
      <c r="I483" s="2" t="str">
        <f>"－"</f>
        <v>－</v>
      </c>
      <c r="J483" s="10"/>
      <c r="K483" s="2" t="str">
        <f>"－"</f>
        <v>－</v>
      </c>
    </row>
    <row r="484">
      <c r="A484" s="8" t="s">
        <v>33</v>
      </c>
      <c r="B484" s="9" t="s">
        <v>80</v>
      </c>
      <c r="C484" s="9" t="s">
        <v>81</v>
      </c>
      <c r="D484" s="10"/>
      <c r="E484" s="2" t="str">
        <f>"－"</f>
        <v>－</v>
      </c>
      <c r="F484" s="10"/>
      <c r="G484" s="2" t="str">
        <f>"－"</f>
        <v>－</v>
      </c>
      <c r="H484" s="10"/>
      <c r="I484" s="2" t="str">
        <f>"－"</f>
        <v>－</v>
      </c>
      <c r="J484" s="10"/>
      <c r="K484" s="2" t="str">
        <f>"－"</f>
        <v>－</v>
      </c>
    </row>
    <row r="485">
      <c r="A485" s="8" t="s">
        <v>34</v>
      </c>
      <c r="B485" s="9" t="s">
        <v>80</v>
      </c>
      <c r="C485" s="9" t="s">
        <v>81</v>
      </c>
      <c r="D485" s="10"/>
      <c r="E485" s="2" t="str">
        <f>"－"</f>
        <v>－</v>
      </c>
      <c r="F485" s="10"/>
      <c r="G485" s="2" t="str">
        <f>"－"</f>
        <v>－</v>
      </c>
      <c r="H485" s="10"/>
      <c r="I485" s="2" t="str">
        <f>"－"</f>
        <v>－</v>
      </c>
      <c r="J485" s="10"/>
      <c r="K485" s="2" t="str">
        <f>"－"</f>
        <v>－</v>
      </c>
    </row>
    <row r="486">
      <c r="A486" s="8" t="s">
        <v>35</v>
      </c>
      <c r="B486" s="9" t="s">
        <v>80</v>
      </c>
      <c r="C486" s="9" t="s">
        <v>81</v>
      </c>
      <c r="D486" s="10"/>
      <c r="E486" s="2" t="str">
        <f>"－"</f>
        <v>－</v>
      </c>
      <c r="F486" s="10"/>
      <c r="G486" s="2" t="str">
        <f>"－"</f>
        <v>－</v>
      </c>
      <c r="H486" s="10"/>
      <c r="I486" s="2" t="str">
        <f>"－"</f>
        <v>－</v>
      </c>
      <c r="J486" s="10"/>
      <c r="K486" s="2" t="str">
        <f>"－"</f>
        <v>－</v>
      </c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/>
      <c r="F488" s="10"/>
      <c r="G488" s="2"/>
      <c r="H488" s="10"/>
      <c r="I488" s="2"/>
      <c r="J488" s="10"/>
      <c r="K488" s="2"/>
    </row>
    <row r="489">
      <c r="A489" s="8" t="s">
        <v>38</v>
      </c>
      <c r="B489" s="9" t="s">
        <v>80</v>
      </c>
      <c r="C489" s="9" t="s">
        <v>81</v>
      </c>
      <c r="D489" s="10"/>
      <c r="E489" s="2" t="str">
        <f>"－"</f>
        <v>－</v>
      </c>
      <c r="F489" s="10"/>
      <c r="G489" s="2" t="str">
        <f>"－"</f>
        <v>－</v>
      </c>
      <c r="H489" s="10"/>
      <c r="I489" s="2" t="str">
        <f>"－"</f>
        <v>－</v>
      </c>
      <c r="J489" s="10"/>
      <c r="K489" s="2" t="str">
        <f>"－"</f>
        <v>－</v>
      </c>
    </row>
    <row r="490">
      <c r="A490" s="8" t="s">
        <v>39</v>
      </c>
      <c r="B490" s="9" t="s">
        <v>80</v>
      </c>
      <c r="C490" s="9" t="s">
        <v>81</v>
      </c>
      <c r="D490" s="10"/>
      <c r="E490" s="2" t="str">
        <f>"－"</f>
        <v>－</v>
      </c>
      <c r="F490" s="10"/>
      <c r="G490" s="2" t="str">
        <f>"－"</f>
        <v>－</v>
      </c>
      <c r="H490" s="10"/>
      <c r="I490" s="2" t="str">
        <f>"－"</f>
        <v>－</v>
      </c>
      <c r="J490" s="10"/>
      <c r="K490" s="2" t="str">
        <f>"－"</f>
        <v>－</v>
      </c>
    </row>
    <row r="491">
      <c r="A491" s="8" t="s">
        <v>40</v>
      </c>
      <c r="B491" s="9" t="s">
        <v>80</v>
      </c>
      <c r="C491" s="9" t="s">
        <v>81</v>
      </c>
      <c r="D491" s="10"/>
      <c r="E491" s="2" t="str">
        <f>"－"</f>
        <v>－</v>
      </c>
      <c r="F491" s="10"/>
      <c r="G491" s="2" t="str">
        <f>"－"</f>
        <v>－</v>
      </c>
      <c r="H491" s="10"/>
      <c r="I491" s="2" t="str">
        <f>"－"</f>
        <v>－</v>
      </c>
      <c r="J491" s="10"/>
      <c r="K491" s="2" t="str">
        <f>"－"</f>
        <v>－</v>
      </c>
    </row>
    <row r="492">
      <c r="A492" s="8" t="s">
        <v>41</v>
      </c>
      <c r="B492" s="9" t="s">
        <v>80</v>
      </c>
      <c r="C492" s="9" t="s">
        <v>81</v>
      </c>
      <c r="D492" s="10"/>
      <c r="E492" s="2"/>
      <c r="F492" s="10"/>
      <c r="G492" s="2"/>
      <c r="H492" s="10"/>
      <c r="I492" s="2"/>
      <c r="J492" s="10"/>
      <c r="K492" s="2"/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/>
      <c r="F495" s="10"/>
      <c r="G495" s="2"/>
      <c r="H495" s="10"/>
      <c r="I495" s="2"/>
      <c r="J495" s="10"/>
      <c r="K495" s="2"/>
    </row>
    <row r="496">
      <c r="A496" s="8" t="s">
        <v>45</v>
      </c>
      <c r="B496" s="9" t="s">
        <v>80</v>
      </c>
      <c r="C496" s="9" t="s">
        <v>81</v>
      </c>
      <c r="D496" s="10"/>
      <c r="E496" s="2" t="str">
        <f>"－"</f>
        <v>－</v>
      </c>
      <c r="F496" s="10"/>
      <c r="G496" s="2" t="str">
        <f>"－"</f>
        <v>－</v>
      </c>
      <c r="H496" s="10"/>
      <c r="I496" s="2" t="str">
        <f>"－"</f>
        <v>－</v>
      </c>
      <c r="J496" s="10"/>
      <c r="K496" s="2" t="str">
        <f>"－"</f>
        <v>－</v>
      </c>
    </row>
    <row r="497">
      <c r="A497" s="8" t="s">
        <v>46</v>
      </c>
      <c r="B497" s="9" t="s">
        <v>80</v>
      </c>
      <c r="C497" s="9" t="s">
        <v>81</v>
      </c>
      <c r="D497" s="10"/>
      <c r="E497" s="2" t="str">
        <f>"－"</f>
        <v>－</v>
      </c>
      <c r="F497" s="10"/>
      <c r="G497" s="2" t="str">
        <f>"－"</f>
        <v>－</v>
      </c>
      <c r="H497" s="10"/>
      <c r="I497" s="2" t="str">
        <f>"－"</f>
        <v>－</v>
      </c>
      <c r="J497" s="10"/>
      <c r="K497" s="2" t="str">
        <f>"－"</f>
        <v>－</v>
      </c>
    </row>
    <row r="498">
      <c r="A498" s="8" t="s">
        <v>47</v>
      </c>
      <c r="B498" s="9" t="s">
        <v>80</v>
      </c>
      <c r="C498" s="9" t="s">
        <v>81</v>
      </c>
      <c r="D498" s="10"/>
      <c r="E498" s="2" t="str">
        <f>"－"</f>
        <v>－</v>
      </c>
      <c r="F498" s="10"/>
      <c r="G498" s="2" t="str">
        <f>"－"</f>
        <v>－</v>
      </c>
      <c r="H498" s="10"/>
      <c r="I498" s="2" t="str">
        <f>"－"</f>
        <v>－</v>
      </c>
      <c r="J498" s="10"/>
      <c r="K498" s="2" t="str">
        <f>"－"</f>
        <v>－</v>
      </c>
    </row>
    <row r="499">
      <c r="A499" s="8" t="s">
        <v>48</v>
      </c>
      <c r="B499" s="9" t="s">
        <v>80</v>
      </c>
      <c r="C499" s="9" t="s">
        <v>81</v>
      </c>
      <c r="D499" s="10"/>
      <c r="E499" s="2" t="str">
        <f>"－"</f>
        <v>－</v>
      </c>
      <c r="F499" s="10"/>
      <c r="G499" s="2" t="str">
        <f>"－"</f>
        <v>－</v>
      </c>
      <c r="H499" s="10"/>
      <c r="I499" s="2" t="str">
        <f>"－"</f>
        <v>－</v>
      </c>
      <c r="J499" s="10"/>
      <c r="K499" s="2" t="str">
        <f>"－"</f>
        <v>－</v>
      </c>
    </row>
    <row r="500">
      <c r="A500" s="8" t="s">
        <v>49</v>
      </c>
      <c r="B500" s="9" t="s">
        <v>80</v>
      </c>
      <c r="C500" s="9" t="s">
        <v>81</v>
      </c>
      <c r="D500" s="10"/>
      <c r="E500" s="2" t="str">
        <f>"－"</f>
        <v>－</v>
      </c>
      <c r="F500" s="10"/>
      <c r="G500" s="2" t="str">
        <f>"－"</f>
        <v>－</v>
      </c>
      <c r="H500" s="10"/>
      <c r="I500" s="2" t="str">
        <f>"－"</f>
        <v>－</v>
      </c>
      <c r="J500" s="10"/>
      <c r="K500" s="2" t="str">
        <f>"－"</f>
        <v>－</v>
      </c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  <row r="502">
      <c r="A502" s="8" t="s">
        <v>16</v>
      </c>
      <c r="B502" s="9" t="s">
        <v>82</v>
      </c>
      <c r="C502" s="9" t="s">
        <v>83</v>
      </c>
      <c r="D502" s="10" t="s">
        <v>28</v>
      </c>
      <c r="E502" s="2" t="n">
        <f>805</f>
        <v>805.0</v>
      </c>
      <c r="F502" s="10"/>
      <c r="G502" s="2" t="n">
        <f>148541000</f>
        <v>1.48541E8</v>
      </c>
      <c r="H502" s="10" t="s">
        <v>61</v>
      </c>
      <c r="I502" s="2" t="str">
        <f>"－"</f>
        <v>－</v>
      </c>
      <c r="J502" s="10"/>
      <c r="K502" s="2" t="n">
        <f>1201</f>
        <v>1201.0</v>
      </c>
    </row>
    <row r="503">
      <c r="A503" s="8" t="s">
        <v>19</v>
      </c>
      <c r="B503" s="9" t="s">
        <v>82</v>
      </c>
      <c r="C503" s="9" t="s">
        <v>83</v>
      </c>
      <c r="D503" s="10"/>
      <c r="E503" s="2" t="n">
        <f>438</f>
        <v>438.0</v>
      </c>
      <c r="F503" s="10"/>
      <c r="G503" s="2" t="n">
        <f>79480500</f>
        <v>7.94805E7</v>
      </c>
      <c r="H503" s="10"/>
      <c r="I503" s="2" t="str">
        <f>"－"</f>
        <v>－</v>
      </c>
      <c r="J503" s="10"/>
      <c r="K503" s="2" t="n">
        <f>1403</f>
        <v>1403.0</v>
      </c>
    </row>
    <row r="504">
      <c r="A504" s="8" t="s">
        <v>21</v>
      </c>
      <c r="B504" s="9" t="s">
        <v>82</v>
      </c>
      <c r="C504" s="9" t="s">
        <v>83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22</v>
      </c>
      <c r="B505" s="9" t="s">
        <v>82</v>
      </c>
      <c r="C505" s="9" t="s">
        <v>83</v>
      </c>
      <c r="D505" s="10"/>
      <c r="E505" s="2"/>
      <c r="F505" s="10"/>
      <c r="G505" s="2"/>
      <c r="H505" s="10"/>
      <c r="I505" s="2"/>
      <c r="J505" s="10"/>
      <c r="K505" s="2"/>
    </row>
    <row r="506">
      <c r="A506" s="8" t="s">
        <v>23</v>
      </c>
      <c r="B506" s="9" t="s">
        <v>82</v>
      </c>
      <c r="C506" s="9" t="s">
        <v>83</v>
      </c>
      <c r="D506" s="10"/>
      <c r="E506" s="2" t="n">
        <f>276</f>
        <v>276.0</v>
      </c>
      <c r="F506" s="10"/>
      <c r="G506" s="2" t="n">
        <f>47012000</f>
        <v>4.7012E7</v>
      </c>
      <c r="H506" s="10"/>
      <c r="I506" s="2" t="str">
        <f>"－"</f>
        <v>－</v>
      </c>
      <c r="J506" s="10"/>
      <c r="K506" s="2" t="n">
        <f>1461</f>
        <v>1461.0</v>
      </c>
    </row>
    <row r="507">
      <c r="A507" s="8" t="s">
        <v>24</v>
      </c>
      <c r="B507" s="9" t="s">
        <v>82</v>
      </c>
      <c r="C507" s="9" t="s">
        <v>83</v>
      </c>
      <c r="D507" s="10"/>
      <c r="E507" s="2" t="n">
        <f>33</f>
        <v>33.0</v>
      </c>
      <c r="F507" s="10"/>
      <c r="G507" s="2" t="n">
        <f>5772500</f>
        <v>5772500.0</v>
      </c>
      <c r="H507" s="10"/>
      <c r="I507" s="2" t="str">
        <f>"－"</f>
        <v>－</v>
      </c>
      <c r="J507" s="10"/>
      <c r="K507" s="2" t="n">
        <f>1459</f>
        <v>1459.0</v>
      </c>
    </row>
    <row r="508">
      <c r="A508" s="8" t="s">
        <v>25</v>
      </c>
      <c r="B508" s="9" t="s">
        <v>82</v>
      </c>
      <c r="C508" s="9" t="s">
        <v>83</v>
      </c>
      <c r="D508" s="10"/>
      <c r="E508" s="2" t="n">
        <f>102</f>
        <v>102.0</v>
      </c>
      <c r="F508" s="10"/>
      <c r="G508" s="2" t="n">
        <f>19559000</f>
        <v>1.9559E7</v>
      </c>
      <c r="H508" s="10"/>
      <c r="I508" s="2" t="str">
        <f>"－"</f>
        <v>－</v>
      </c>
      <c r="J508" s="10"/>
      <c r="K508" s="2" t="n">
        <f>1426</f>
        <v>1426.0</v>
      </c>
    </row>
    <row r="509">
      <c r="A509" s="8" t="s">
        <v>26</v>
      </c>
      <c r="B509" s="9" t="s">
        <v>82</v>
      </c>
      <c r="C509" s="9" t="s">
        <v>83</v>
      </c>
      <c r="D509" s="10"/>
      <c r="E509" s="2" t="n">
        <f>297</f>
        <v>297.0</v>
      </c>
      <c r="F509" s="10"/>
      <c r="G509" s="2" t="n">
        <f>54256000</f>
        <v>5.4256E7</v>
      </c>
      <c r="H509" s="10"/>
      <c r="I509" s="2" t="str">
        <f>"－"</f>
        <v>－</v>
      </c>
      <c r="J509" s="10"/>
      <c r="K509" s="2" t="n">
        <f>1612</f>
        <v>1612.0</v>
      </c>
    </row>
    <row r="510">
      <c r="A510" s="8" t="s">
        <v>27</v>
      </c>
      <c r="B510" s="9" t="s">
        <v>82</v>
      </c>
      <c r="C510" s="9" t="s">
        <v>83</v>
      </c>
      <c r="D510" s="10"/>
      <c r="E510" s="2" t="n">
        <f>698</f>
        <v>698.0</v>
      </c>
      <c r="F510" s="10" t="s">
        <v>28</v>
      </c>
      <c r="G510" s="2" t="n">
        <f>148775000</f>
        <v>1.48775E8</v>
      </c>
      <c r="H510" s="10"/>
      <c r="I510" s="2" t="str">
        <f>"－"</f>
        <v>－</v>
      </c>
      <c r="J510" s="10"/>
      <c r="K510" s="2" t="n">
        <f>1833</f>
        <v>1833.0</v>
      </c>
    </row>
    <row r="511">
      <c r="A511" s="8" t="s">
        <v>29</v>
      </c>
      <c r="B511" s="9" t="s">
        <v>82</v>
      </c>
      <c r="C511" s="9" t="s">
        <v>83</v>
      </c>
      <c r="D511" s="10"/>
      <c r="E511" s="2"/>
      <c r="F511" s="10"/>
      <c r="G511" s="2"/>
      <c r="H511" s="10"/>
      <c r="I511" s="2"/>
      <c r="J511" s="10"/>
      <c r="K511" s="2"/>
    </row>
    <row r="512">
      <c r="A512" s="8" t="s">
        <v>30</v>
      </c>
      <c r="B512" s="9" t="s">
        <v>82</v>
      </c>
      <c r="C512" s="9" t="s">
        <v>83</v>
      </c>
      <c r="D512" s="10"/>
      <c r="E512" s="2"/>
      <c r="F512" s="10"/>
      <c r="G512" s="2"/>
      <c r="H512" s="10"/>
      <c r="I512" s="2"/>
      <c r="J512" s="10"/>
      <c r="K512" s="2"/>
    </row>
    <row r="513">
      <c r="A513" s="8" t="s">
        <v>31</v>
      </c>
      <c r="B513" s="9" t="s">
        <v>82</v>
      </c>
      <c r="C513" s="9" t="s">
        <v>83</v>
      </c>
      <c r="D513" s="10"/>
      <c r="E513" s="2" t="n">
        <f>426</f>
        <v>426.0</v>
      </c>
      <c r="F513" s="10"/>
      <c r="G513" s="2" t="n">
        <f>85560500</f>
        <v>8.55605E7</v>
      </c>
      <c r="H513" s="10"/>
      <c r="I513" s="2" t="str">
        <f>"－"</f>
        <v>－</v>
      </c>
      <c r="J513" s="10" t="s">
        <v>28</v>
      </c>
      <c r="K513" s="2" t="n">
        <f>1888</f>
        <v>1888.0</v>
      </c>
    </row>
    <row r="514">
      <c r="A514" s="8" t="s">
        <v>32</v>
      </c>
      <c r="B514" s="9" t="s">
        <v>82</v>
      </c>
      <c r="C514" s="9" t="s">
        <v>83</v>
      </c>
      <c r="D514" s="10"/>
      <c r="E514" s="2" t="n">
        <f>392</f>
        <v>392.0</v>
      </c>
      <c r="F514" s="10"/>
      <c r="G514" s="2" t="n">
        <f>69070000</f>
        <v>6.907E7</v>
      </c>
      <c r="H514" s="10"/>
      <c r="I514" s="2" t="str">
        <f>"－"</f>
        <v>－</v>
      </c>
      <c r="J514" s="10"/>
      <c r="K514" s="2" t="n">
        <f>1719</f>
        <v>1719.0</v>
      </c>
    </row>
    <row r="515">
      <c r="A515" s="8" t="s">
        <v>33</v>
      </c>
      <c r="B515" s="9" t="s">
        <v>82</v>
      </c>
      <c r="C515" s="9" t="s">
        <v>83</v>
      </c>
      <c r="D515" s="10"/>
      <c r="E515" s="2" t="n">
        <f>337</f>
        <v>337.0</v>
      </c>
      <c r="F515" s="10"/>
      <c r="G515" s="2" t="n">
        <f>67292000</f>
        <v>6.7292E7</v>
      </c>
      <c r="H515" s="10"/>
      <c r="I515" s="2" t="str">
        <f>"－"</f>
        <v>－</v>
      </c>
      <c r="J515" s="10"/>
      <c r="K515" s="2" t="n">
        <f>1528</f>
        <v>1528.0</v>
      </c>
    </row>
    <row r="516">
      <c r="A516" s="8" t="s">
        <v>34</v>
      </c>
      <c r="B516" s="9" t="s">
        <v>82</v>
      </c>
      <c r="C516" s="9" t="s">
        <v>83</v>
      </c>
      <c r="D516" s="10"/>
      <c r="E516" s="2" t="n">
        <f>413</f>
        <v>413.0</v>
      </c>
      <c r="F516" s="10"/>
      <c r="G516" s="2" t="n">
        <f>83613500</f>
        <v>8.36135E7</v>
      </c>
      <c r="H516" s="10"/>
      <c r="I516" s="2" t="str">
        <f>"－"</f>
        <v>－</v>
      </c>
      <c r="J516" s="10" t="s">
        <v>20</v>
      </c>
      <c r="K516" s="2" t="n">
        <f>176</f>
        <v>176.0</v>
      </c>
    </row>
    <row r="517">
      <c r="A517" s="8" t="s">
        <v>35</v>
      </c>
      <c r="B517" s="9" t="s">
        <v>82</v>
      </c>
      <c r="C517" s="9" t="s">
        <v>83</v>
      </c>
      <c r="D517" s="10"/>
      <c r="E517" s="2" t="n">
        <f>202</f>
        <v>202.0</v>
      </c>
      <c r="F517" s="10"/>
      <c r="G517" s="2" t="n">
        <f>40346000</f>
        <v>4.0346E7</v>
      </c>
      <c r="H517" s="10"/>
      <c r="I517" s="2" t="str">
        <f>"－"</f>
        <v>－</v>
      </c>
      <c r="J517" s="10"/>
      <c r="K517" s="2" t="n">
        <f>232</f>
        <v>232.0</v>
      </c>
    </row>
    <row r="518">
      <c r="A518" s="8" t="s">
        <v>36</v>
      </c>
      <c r="B518" s="9" t="s">
        <v>82</v>
      </c>
      <c r="C518" s="9" t="s">
        <v>83</v>
      </c>
      <c r="D518" s="10"/>
      <c r="E518" s="2"/>
      <c r="F518" s="10"/>
      <c r="G518" s="2"/>
      <c r="H518" s="10"/>
      <c r="I518" s="2"/>
      <c r="J518" s="10"/>
      <c r="K518" s="2"/>
    </row>
    <row r="519">
      <c r="A519" s="8" t="s">
        <v>37</v>
      </c>
      <c r="B519" s="9" t="s">
        <v>82</v>
      </c>
      <c r="C519" s="9" t="s">
        <v>83</v>
      </c>
      <c r="D519" s="10"/>
      <c r="E519" s="2"/>
      <c r="F519" s="10"/>
      <c r="G519" s="2"/>
      <c r="H519" s="10"/>
      <c r="I519" s="2"/>
      <c r="J519" s="10"/>
      <c r="K519" s="2"/>
    </row>
    <row r="520">
      <c r="A520" s="8" t="s">
        <v>38</v>
      </c>
      <c r="B520" s="9" t="s">
        <v>82</v>
      </c>
      <c r="C520" s="9" t="s">
        <v>83</v>
      </c>
      <c r="D520" s="10"/>
      <c r="E520" s="2" t="n">
        <f>28</f>
        <v>28.0</v>
      </c>
      <c r="F520" s="10"/>
      <c r="G520" s="2" t="n">
        <f>5846000</f>
        <v>5846000.0</v>
      </c>
      <c r="H520" s="10"/>
      <c r="I520" s="2" t="str">
        <f>"－"</f>
        <v>－</v>
      </c>
      <c r="J520" s="10"/>
      <c r="K520" s="2" t="n">
        <f>234</f>
        <v>234.0</v>
      </c>
    </row>
    <row r="521">
      <c r="A521" s="8" t="s">
        <v>39</v>
      </c>
      <c r="B521" s="9" t="s">
        <v>82</v>
      </c>
      <c r="C521" s="9" t="s">
        <v>83</v>
      </c>
      <c r="D521" s="10"/>
      <c r="E521" s="2" t="n">
        <f>178</f>
        <v>178.0</v>
      </c>
      <c r="F521" s="10"/>
      <c r="G521" s="2" t="n">
        <f>38109500</f>
        <v>3.81095E7</v>
      </c>
      <c r="H521" s="10"/>
      <c r="I521" s="2" t="str">
        <f>"－"</f>
        <v>－</v>
      </c>
      <c r="J521" s="10"/>
      <c r="K521" s="2" t="n">
        <f>269</f>
        <v>269.0</v>
      </c>
    </row>
    <row r="522">
      <c r="A522" s="8" t="s">
        <v>40</v>
      </c>
      <c r="B522" s="9" t="s">
        <v>82</v>
      </c>
      <c r="C522" s="9" t="s">
        <v>83</v>
      </c>
      <c r="D522" s="10"/>
      <c r="E522" s="2" t="n">
        <f>218</f>
        <v>218.0</v>
      </c>
      <c r="F522" s="10"/>
      <c r="G522" s="2" t="n">
        <f>46065500</f>
        <v>4.60655E7</v>
      </c>
      <c r="H522" s="10"/>
      <c r="I522" s="2" t="str">
        <f>"－"</f>
        <v>－</v>
      </c>
      <c r="J522" s="10"/>
      <c r="K522" s="2" t="n">
        <f>313</f>
        <v>313.0</v>
      </c>
    </row>
    <row r="523">
      <c r="A523" s="8" t="s">
        <v>41</v>
      </c>
      <c r="B523" s="9" t="s">
        <v>82</v>
      </c>
      <c r="C523" s="9" t="s">
        <v>83</v>
      </c>
      <c r="D523" s="10"/>
      <c r="E523" s="2"/>
      <c r="F523" s="10"/>
      <c r="G523" s="2"/>
      <c r="H523" s="10"/>
      <c r="I523" s="2"/>
      <c r="J523" s="10"/>
      <c r="K523" s="2"/>
    </row>
    <row r="524">
      <c r="A524" s="8" t="s">
        <v>42</v>
      </c>
      <c r="B524" s="9" t="s">
        <v>82</v>
      </c>
      <c r="C524" s="9" t="s">
        <v>83</v>
      </c>
      <c r="D524" s="10"/>
      <c r="E524" s="2"/>
      <c r="F524" s="10"/>
      <c r="G524" s="2"/>
      <c r="H524" s="10"/>
      <c r="I524" s="2"/>
      <c r="J524" s="10"/>
      <c r="K524" s="2"/>
    </row>
    <row r="525">
      <c r="A525" s="8" t="s">
        <v>43</v>
      </c>
      <c r="B525" s="9" t="s">
        <v>82</v>
      </c>
      <c r="C525" s="9" t="s">
        <v>83</v>
      </c>
      <c r="D525" s="10"/>
      <c r="E525" s="2"/>
      <c r="F525" s="10"/>
      <c r="G525" s="2"/>
      <c r="H525" s="10"/>
      <c r="I525" s="2"/>
      <c r="J525" s="10"/>
      <c r="K525" s="2"/>
    </row>
    <row r="526">
      <c r="A526" s="8" t="s">
        <v>44</v>
      </c>
      <c r="B526" s="9" t="s">
        <v>82</v>
      </c>
      <c r="C526" s="9" t="s">
        <v>83</v>
      </c>
      <c r="D526" s="10"/>
      <c r="E526" s="2"/>
      <c r="F526" s="10"/>
      <c r="G526" s="2"/>
      <c r="H526" s="10"/>
      <c r="I526" s="2"/>
      <c r="J526" s="10"/>
      <c r="K526" s="2"/>
    </row>
    <row r="527">
      <c r="A527" s="8" t="s">
        <v>45</v>
      </c>
      <c r="B527" s="9" t="s">
        <v>82</v>
      </c>
      <c r="C527" s="9" t="s">
        <v>83</v>
      </c>
      <c r="D527" s="10" t="s">
        <v>20</v>
      </c>
      <c r="E527" s="2" t="n">
        <f>17</f>
        <v>17.0</v>
      </c>
      <c r="F527" s="10" t="s">
        <v>20</v>
      </c>
      <c r="G527" s="2" t="n">
        <f>3526500</f>
        <v>3526500.0</v>
      </c>
      <c r="H527" s="10"/>
      <c r="I527" s="2" t="str">
        <f>"－"</f>
        <v>－</v>
      </c>
      <c r="J527" s="10"/>
      <c r="K527" s="2" t="n">
        <f>308</f>
        <v>308.0</v>
      </c>
    </row>
    <row r="528">
      <c r="A528" s="8" t="s">
        <v>46</v>
      </c>
      <c r="B528" s="9" t="s">
        <v>82</v>
      </c>
      <c r="C528" s="9" t="s">
        <v>83</v>
      </c>
      <c r="D528" s="10"/>
      <c r="E528" s="2" t="n">
        <f>83</f>
        <v>83.0</v>
      </c>
      <c r="F528" s="10"/>
      <c r="G528" s="2" t="n">
        <f>16765500</f>
        <v>1.67655E7</v>
      </c>
      <c r="H528" s="10"/>
      <c r="I528" s="2" t="str">
        <f>"－"</f>
        <v>－</v>
      </c>
      <c r="J528" s="10"/>
      <c r="K528" s="2" t="n">
        <f>241</f>
        <v>241.0</v>
      </c>
    </row>
    <row r="529">
      <c r="A529" s="8" t="s">
        <v>47</v>
      </c>
      <c r="B529" s="9" t="s">
        <v>82</v>
      </c>
      <c r="C529" s="9" t="s">
        <v>83</v>
      </c>
      <c r="D529" s="10"/>
      <c r="E529" s="2" t="n">
        <f>145</f>
        <v>145.0</v>
      </c>
      <c r="F529" s="10"/>
      <c r="G529" s="2" t="n">
        <f>31017000</f>
        <v>3.1017E7</v>
      </c>
      <c r="H529" s="10"/>
      <c r="I529" s="2" t="str">
        <f>"－"</f>
        <v>－</v>
      </c>
      <c r="J529" s="10"/>
      <c r="K529" s="2" t="n">
        <f>287</f>
        <v>287.0</v>
      </c>
    </row>
    <row r="530">
      <c r="A530" s="8" t="s">
        <v>48</v>
      </c>
      <c r="B530" s="9" t="s">
        <v>82</v>
      </c>
      <c r="C530" s="9" t="s">
        <v>83</v>
      </c>
      <c r="D530" s="10"/>
      <c r="E530" s="2" t="n">
        <f>249</f>
        <v>249.0</v>
      </c>
      <c r="F530" s="10"/>
      <c r="G530" s="2" t="n">
        <f>54774500</f>
        <v>5.47745E7</v>
      </c>
      <c r="H530" s="10"/>
      <c r="I530" s="2" t="str">
        <f>"－"</f>
        <v>－</v>
      </c>
      <c r="J530" s="10"/>
      <c r="K530" s="2" t="n">
        <f>518</f>
        <v>518.0</v>
      </c>
    </row>
    <row r="531">
      <c r="A531" s="8" t="s">
        <v>49</v>
      </c>
      <c r="B531" s="9" t="s">
        <v>82</v>
      </c>
      <c r="C531" s="9" t="s">
        <v>83</v>
      </c>
      <c r="D531" s="10"/>
      <c r="E531" s="2" t="n">
        <f>129</f>
        <v>129.0</v>
      </c>
      <c r="F531" s="10"/>
      <c r="G531" s="2" t="n">
        <f>29167500</f>
        <v>2.91675E7</v>
      </c>
      <c r="H531" s="10"/>
      <c r="I531" s="2" t="str">
        <f>"－"</f>
        <v>－</v>
      </c>
      <c r="J531" s="10"/>
      <c r="K531" s="2" t="n">
        <f>606</f>
        <v>606.0</v>
      </c>
    </row>
    <row r="532">
      <c r="A532" s="8" t="s">
        <v>50</v>
      </c>
      <c r="B532" s="9" t="s">
        <v>82</v>
      </c>
      <c r="C532" s="9" t="s">
        <v>83</v>
      </c>
      <c r="D532" s="10"/>
      <c r="E532" s="2"/>
      <c r="F532" s="10"/>
      <c r="G532" s="2"/>
      <c r="H532" s="10"/>
      <c r="I532" s="2"/>
      <c r="J532" s="10"/>
      <c r="K532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