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DM0032" r:id="rId1" sheetId="4"/>
  </sheets>
  <definedNames>
    <definedName localSheetId="0" name="_xlnm.Print_Titles">BO_DM0032!$4:$9</definedName>
  </definedNames>
  <calcPr calcId="145621"/>
</workbook>
</file>

<file path=xl/sharedStrings.xml><?xml version="1.0" encoding="utf-8"?>
<sst xmlns="http://schemas.openxmlformats.org/spreadsheetml/2006/main" count="512" uniqueCount="68">
  <si>
    <t>指 数 オ プ シ ョ ン 取 引 取 引 状 況（日別）</t>
    <rPh eb="1" sb="0">
      <t>ユビ</t>
    </rPh>
    <rPh eb="3" sb="2">
      <t>カズ</t>
    </rPh>
    <rPh eb="15" sb="14">
      <t>トリ</t>
    </rPh>
    <rPh eb="17" sb="16">
      <t>イン</t>
    </rPh>
    <rPh eb="19" sb="18">
      <t>トリ</t>
    </rPh>
    <rPh eb="21" sb="20">
      <t>イン</t>
    </rPh>
    <rPh eb="23" sb="22">
      <t>ジョウ</t>
    </rPh>
    <rPh eb="25" sb="24">
      <t>キョウ</t>
    </rPh>
    <rPh eb="27" sb="26">
      <t>ヒ</t>
    </rPh>
    <rPh eb="28" sb="27">
      <t>ベツ</t>
    </rPh>
    <phoneticPr fontId="5"/>
  </si>
  <si>
    <t>Trading of Index Options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</si>
  <si>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</si>
  <si>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</si>
  <si>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</si>
  <si>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</si>
  <si>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</si>
  <si>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</si>
  <si>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</si>
  <si>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</si>
  <si>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</si>
  <si>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</si>
  <si>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</si>
  <si>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</si>
  <si>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</si>
  <si>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</si>
  <si>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</si>
  <si>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</si>
  <si>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</si>
  <si>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</si>
  <si>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</si>
  <si>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</si>
  <si>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</si>
  <si>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</si>
  <si>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</si>
  <si>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</si>
  <si>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7.1</t>
  </si>
  <si>
    <t>日経225オプション</t>
  </si>
  <si>
    <t>Nikkei 225 Options</t>
  </si>
  <si>
    <t>2</t>
  </si>
  <si>
    <t>3</t>
  </si>
  <si>
    <t>4</t>
  </si>
  <si>
    <t>5</t>
  </si>
  <si>
    <t>6</t>
  </si>
  <si>
    <t>●</t>
  </si>
  <si>
    <t>7</t>
  </si>
  <si>
    <t>8</t>
  </si>
  <si>
    <t>◎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</si>
  <si>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</si>
  <si>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</si>
  <si>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</si>
  <si>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</si>
  <si>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</si>
  <si>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</si>
  <si>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</si>
  <si>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</si>
  <si>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</si>
  <si>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</si>
  <si>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</si>
  <si>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</si>
  <si>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</si>
  <si>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</si>
  <si>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</si>
  <si>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</si>
  <si>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</si>
  <si>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</si>
  <si>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</si>
  <si>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</si>
  <si>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</si>
  <si>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</si>
  <si>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</si>
  <si>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日経225Weeklyオプション</t>
  </si>
  <si>
    <t>Nikkei 225 Weekly Options</t>
  </si>
  <si>
    <t>TOPIXオプション</t>
  </si>
  <si>
    <t>TOPIX Options</t>
  </si>
  <si>
    <t>JPX日経インデックス400オプション</t>
  </si>
  <si>
    <t>JPX-Nikkei Index 400 Options</t>
  </si>
  <si>
    <t>◎●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</si>
</sst>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indexed="64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hair">
        <color indexed="64"/>
      </right>
      <top/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>
      <alignment vertical="center"/>
    </xf>
    <xf borderId="0" fillId="0" fontId="2" numFmtId="0">
      <alignment vertical="center"/>
    </xf>
    <xf borderId="0" fillId="0" fontId="7" numFmtId="0"/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8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9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40" fillId="0" fontId="31" numFmtId="0"/>
    <xf applyAlignment="0" applyFill="0" applyNumberFormat="0" applyProtection="0" borderId="41" fillId="0" fontId="32" numFmtId="0"/>
    <xf applyAlignment="0" applyFill="0" applyNumberFormat="0" applyProtection="0" borderId="42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7" fillId="8" fontId="34" numFmtId="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borderId="0" fillId="0" fontId="8" numFmtId="0"/>
    <xf applyAlignment="0" applyFill="0" applyNumberFormat="0" applyProtection="0" borderId="44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7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9" fillId="28" fontId="71" numFmtId="49"/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3">
    <xf borderId="0" fillId="0" fontId="0" numFmtId="0" xfId="0">
      <alignment vertical="center"/>
    </xf>
    <xf applyFont="1" borderId="0" fillId="0" fontId="6" numFmtId="0" xfId="1">
      <alignment vertical="center"/>
    </xf>
    <xf applyAlignment="1" applyFont="1" borderId="0" fillId="0" fontId="11" numFmtId="0" xfId="2">
      <alignment vertical="center"/>
    </xf>
    <xf applyFont="1" borderId="0" fillId="0" fontId="9" numFmtId="0" xfId="1">
      <alignment vertical="center"/>
    </xf>
    <xf applyAlignment="1" applyFont="1" borderId="0" fillId="0" fontId="9" numFmtId="0" xfId="2">
      <alignment vertical="center"/>
    </xf>
    <xf applyAlignment="1" applyFill="1" applyFont="1" applyNumberFormat="1" borderId="0" fillId="0" fontId="3" numFmtId="0" xfId="1">
      <alignment vertical="center"/>
    </xf>
    <xf applyFill="1" applyFont="1" borderId="0" fillId="0" fontId="6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Border="1" applyFill="1" applyFont="1" borderId="0" fillId="0" fontId="6" numFmtId="0" xfId="1">
      <alignment vertical="center"/>
    </xf>
    <xf applyAlignment="1" applyBorder="1" applyFill="1" applyFont="1" applyNumberFormat="1" borderId="2" fillId="0" fontId="8" numFmtId="0" xfId="2">
      <alignment vertical="center"/>
    </xf>
    <xf applyAlignment="1" applyFill="1" applyFont="1" borderId="0" fillId="0" fontId="9" numFmtId="0" xfId="2">
      <alignment vertical="center"/>
    </xf>
    <xf applyAlignment="1" applyFill="1" applyFont="1" borderId="0" fillId="0" fontId="9" numFmtId="0" xfId="2">
      <alignment horizontal="right" vertical="center"/>
    </xf>
    <xf applyAlignment="1" applyFill="1" applyFont="1" borderId="0" fillId="0" fontId="7" numFmtId="0" xfId="2">
      <alignment vertical="center"/>
    </xf>
    <xf applyAlignment="1" applyBorder="1" applyFill="1" applyFont="1" applyNumberFormat="1" borderId="10" fillId="0" fontId="8" numFmtId="0" xfId="2">
      <alignment horizontal="center" vertical="center" wrapText="1"/>
    </xf>
    <xf applyAlignment="1" applyBorder="1" applyFill="1" applyFont="1" applyNumberFormat="1" borderId="14" fillId="0" fontId="8" numFmtId="0" xfId="2">
      <alignment horizontal="center" vertical="center" wrapText="1"/>
    </xf>
    <xf applyAlignment="1" applyBorder="1" applyFill="1" applyFont="1" applyNumberFormat="1" borderId="13" fillId="0" fontId="8" numFmtId="0" xfId="2">
      <alignment horizontal="center" vertical="center" wrapText="1"/>
    </xf>
    <xf applyAlignment="1" applyBorder="1" applyFill="1" applyFont="1" applyNumberFormat="1" borderId="15" fillId="0" fontId="8" numFmtId="0" xfId="2">
      <alignment horizontal="center" vertical="center" wrapText="1"/>
    </xf>
    <xf applyAlignment="1" applyBorder="1" applyFill="1" applyFont="1" applyNumberFormat="1" borderId="16" fillId="0" fontId="8" numFmtId="0" xfId="2">
      <alignment horizontal="center" vertical="center" wrapText="1"/>
    </xf>
    <xf applyAlignment="1" applyBorder="1" applyFill="1" applyFont="1" applyNumberFormat="1" borderId="17" fillId="0" fontId="8" numFmtId="0" xfId="2">
      <alignment horizontal="center" vertical="center" wrapText="1"/>
    </xf>
    <xf applyAlignment="1" applyBorder="1" applyFill="1" applyFont="1" applyNumberFormat="1" borderId="2" fillId="0" fontId="8" numFmtId="0" xfId="2">
      <alignment horizontal="center" vertical="center" wrapText="1"/>
    </xf>
    <xf applyAlignment="1" applyBorder="1" applyFill="1" applyFont="1" applyNumberFormat="1" borderId="28" fillId="0" fontId="8" numFmtId="0" xfId="2">
      <alignment horizontal="center" vertical="center" wrapText="1"/>
    </xf>
    <xf applyAlignment="1" applyBorder="1" applyFill="1" applyFont="1" applyNumberFormat="1" borderId="25" fillId="0" fontId="8" numFmtId="0" xfId="2">
      <alignment horizontal="center" vertical="center" wrapText="1"/>
    </xf>
    <xf applyAlignment="1" applyBorder="1" applyFont="1" applyNumberFormat="1" borderId="29" fillId="0" fontId="10" numFmtId="49" xfId="2">
      <alignment horizontal="left" vertical="top" wrapText="1"/>
    </xf>
    <xf applyAlignment="1" applyBorder="1" applyFont="1" applyNumberFormat="1" borderId="32" fillId="0" fontId="10" numFmtId="49" xfId="2">
      <alignment horizontal="center" vertical="top" wrapText="1"/>
    </xf>
    <xf applyAlignment="1" applyBorder="1" applyFont="1" applyNumberFormat="1" borderId="30" fillId="0" fontId="10" numFmtId="49" xfId="2">
      <alignment horizontal="center" vertical="top" wrapText="1"/>
    </xf>
    <xf applyAlignment="1" applyBorder="1" applyFont="1" applyNumberFormat="1" borderId="31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ont="1" applyNumberFormat="1" borderId="34" fillId="0" fontId="10" numFmtId="3" quotePrefix="1" xfId="1">
      <alignment horizontal="right" vertical="top" wrapText="1"/>
    </xf>
    <xf applyAlignment="1" applyBorder="1" applyFont="1" applyNumberFormat="1" borderId="35" fillId="0" fontId="10" numFmtId="3" quotePrefix="1" xfId="1">
      <alignment horizontal="right" vertical="top" wrapText="1"/>
    </xf>
    <xf applyAlignment="1" applyBorder="1" applyFont="1" applyNumberFormat="1" borderId="36" fillId="0" fontId="10" numFmtId="3" quotePrefix="1" xfId="1">
      <alignment horizontal="right" vertical="top" wrapText="1"/>
    </xf>
    <xf applyAlignment="1" applyBorder="1" applyFont="1" applyNumberFormat="1" borderId="29" fillId="0" fontId="10" numFmtId="49" xfId="2">
      <alignment horizontal="right" vertical="top" wrapText="1"/>
    </xf>
    <xf applyAlignment="1" applyBorder="1" applyFill="1" applyFont="1" applyNumberFormat="1" borderId="22" fillId="0" fontId="8" numFmtId="0" xfId="2">
      <alignment horizontal="center" vertical="center" wrapText="1"/>
    </xf>
    <xf applyAlignment="1" applyBorder="1" applyFill="1" applyFont="1" applyNumberFormat="1" borderId="26" fillId="0" fontId="8" numFmtId="0" xfId="2">
      <alignment horizontal="center" vertical="center" wrapText="1"/>
    </xf>
    <xf applyAlignment="1" applyBorder="1" applyFill="1" applyFont="1" applyNumberFormat="1" borderId="4" fillId="0" fontId="8" numFmtId="0" xfId="2">
      <alignment horizontal="center" vertical="center" wrapText="1"/>
    </xf>
    <xf applyAlignment="1" applyBorder="1" applyFill="1" applyFont="1" applyNumberFormat="1" borderId="5" fillId="0" fontId="8" numFmtId="0" xfId="2">
      <alignment horizontal="center" vertical="center" wrapText="1"/>
    </xf>
    <xf applyAlignment="1" applyBorder="1" applyFill="1" applyFont="1" applyNumberFormat="1" borderId="6" fillId="0" fontId="8" numFmtId="0" xfId="2">
      <alignment horizontal="center" vertical="center" wrapText="1"/>
    </xf>
    <xf applyAlignment="1" applyBorder="1" applyFill="1" applyFont="1" applyNumberFormat="1" borderId="9" fillId="0" fontId="8" numFmtId="0" xfId="2">
      <alignment horizontal="center" vertical="center" wrapText="1"/>
    </xf>
    <xf applyAlignment="1" applyBorder="1" applyFill="1" applyFont="1" applyNumberFormat="1" borderId="10" fillId="0" fontId="8" numFmtId="0" xfId="2">
      <alignment horizontal="center" vertical="center" wrapText="1"/>
    </xf>
    <xf applyAlignment="1" applyBorder="1" applyFill="1" applyFont="1" applyNumberFormat="1" borderId="11" fillId="0" fontId="8" numFmtId="0" xfId="2">
      <alignment horizontal="center" vertical="center" wrapText="1"/>
    </xf>
    <xf applyAlignment="1" applyBorder="1" applyFill="1" applyFont="1" applyNumberFormat="1" borderId="12" fillId="0" fontId="8" numFmtId="0" xfId="2">
      <alignment horizontal="center" vertical="center" wrapText="1"/>
    </xf>
    <xf applyAlignment="1" applyBorder="1" applyFill="1" applyFont="1" applyNumberFormat="1" borderId="13" fillId="0" fontId="8" numFmtId="0" xfId="2">
      <alignment horizontal="center" vertical="center" wrapText="1"/>
    </xf>
    <xf applyAlignment="1" applyBorder="1" applyFill="1" applyFont="1" applyNumberFormat="1" borderId="7" fillId="0" fontId="8" numFmtId="0" xfId="2">
      <alignment horizontal="center" vertical="center" wrapText="1"/>
    </xf>
    <xf applyAlignment="1" applyBorder="1" applyFill="1" applyFont="1" applyNumberFormat="1" borderId="21" fillId="0" fontId="8" numFmtId="0" xfId="2">
      <alignment horizontal="center" vertical="center" wrapText="1"/>
    </xf>
    <xf applyAlignment="1" applyBorder="1" applyFill="1" applyFont="1" applyNumberFormat="1" borderId="18" fillId="0" fontId="8" numFmtId="0" xfId="2">
      <alignment horizontal="center" vertical="center" wrapText="1"/>
    </xf>
    <xf applyAlignment="1" applyBorder="1" applyFill="1" applyFont="1" applyNumberFormat="1" borderId="19" fillId="0" fontId="8" numFmtId="0" xfId="2">
      <alignment horizontal="center" vertical="center" wrapText="1"/>
    </xf>
    <xf applyAlignment="1" applyBorder="1" applyFill="1" applyFont="1" applyNumberFormat="1" borderId="20" fillId="0" fontId="8" numFmtId="0" xfId="2">
      <alignment horizontal="center" vertical="center" wrapText="1"/>
    </xf>
    <xf applyAlignment="1" applyBorder="1" applyFill="1" applyFont="1" applyNumberFormat="1" borderId="3" fillId="0" fontId="8" numFmtId="0" xfId="2">
      <alignment horizontal="center" vertical="center" wrapText="1"/>
    </xf>
    <xf applyAlignment="1" applyBorder="1" applyFill="1" applyFont="1" applyNumberFormat="1" borderId="8" fillId="0" fontId="8" numFmtId="0" xfId="2">
      <alignment horizontal="center" vertical="center" wrapText="1"/>
    </xf>
    <xf applyAlignment="1" applyBorder="1" applyFill="1" applyFont="1" applyNumberFormat="1" borderId="2" fillId="0" fontId="8" numFmtId="0" xfId="2">
      <alignment horizontal="center" vertical="center" wrapText="1"/>
    </xf>
    <xf applyAlignment="1" applyBorder="1" applyFill="1" applyFont="1" applyNumberFormat="1" borderId="23" fillId="0" fontId="8" numFmtId="0" xfId="2">
      <alignment horizontal="center" vertical="center" wrapText="1"/>
    </xf>
    <xf applyAlignment="1" applyBorder="1" applyFill="1" applyFont="1" applyNumberFormat="1" borderId="24" fillId="0" fontId="8" numFmtId="0" xfId="2">
      <alignment horizontal="center" vertical="center" wrapText="1"/>
    </xf>
    <xf applyAlignment="1" applyBorder="1" applyFill="1" applyFont="1" applyNumberFormat="1" borderId="25" fillId="0" fontId="8" numFmtId="0" xfId="2">
      <alignment horizontal="center" vertical="center" wrapText="1"/>
    </xf>
    <xf applyAlignment="1" applyBorder="1" applyFill="1" applyFont="1" applyNumberFormat="1" borderId="27" fillId="0" fontId="8" numFmtId="0" xfId="2">
      <alignment horizontal="center" vertical="center" wrapText="1"/>
    </xf>
  </cellXfs>
  <cellStyles count="1940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10" xfId="547"/>
    <cellStyle name="メモ 2" xfId="548"/>
    <cellStyle name="メモ 2 2" xfId="549"/>
    <cellStyle name="メモ 2 2 2" xfId="550"/>
    <cellStyle name="メモ 2 2 2 2" xfId="551"/>
    <cellStyle name="メモ 2 2 2 2 2" xfId="552"/>
    <cellStyle name="メモ 2 2 2 3" xfId="553"/>
    <cellStyle name="メモ 2 2 2 3 2" xfId="554"/>
    <cellStyle name="メモ 2 2 2 4" xfId="555"/>
    <cellStyle name="メモ 2 2 2 4 2" xfId="556"/>
    <cellStyle name="メモ 2 2 2 5" xfId="557"/>
    <cellStyle name="メモ 2 2 2 5 2" xfId="558"/>
    <cellStyle name="メモ 2 2 2 6" xfId="559"/>
    <cellStyle name="メモ 2 2 2 6 2" xfId="560"/>
    <cellStyle name="メモ 2 2 2 7" xfId="561"/>
    <cellStyle name="メモ 2 2 3" xfId="562"/>
    <cellStyle name="メモ 2 2 3 2" xfId="563"/>
    <cellStyle name="メモ 2 2 4" xfId="564"/>
    <cellStyle name="メモ 2 3" xfId="565"/>
    <cellStyle name="メモ 2 3 2" xfId="566"/>
    <cellStyle name="メモ 2 3 2 2" xfId="567"/>
    <cellStyle name="メモ 2 3 2 2 2" xfId="568"/>
    <cellStyle name="メモ 2 3 2 3" xfId="569"/>
    <cellStyle name="メモ 2 3 2 3 2" xfId="570"/>
    <cellStyle name="メモ 2 3 2 4" xfId="571"/>
    <cellStyle name="メモ 2 3 2 4 2" xfId="572"/>
    <cellStyle name="メモ 2 3 2 5" xfId="573"/>
    <cellStyle name="メモ 2 3 2 5 2" xfId="574"/>
    <cellStyle name="メモ 2 3 2 6" xfId="575"/>
    <cellStyle name="メモ 2 3 2 6 2" xfId="576"/>
    <cellStyle name="メモ 2 3 2 7" xfId="577"/>
    <cellStyle name="メモ 2 3 3" xfId="578"/>
    <cellStyle name="メモ 2 3 3 2" xfId="579"/>
    <cellStyle name="メモ 2 4" xfId="580"/>
    <cellStyle name="メモ 2 4 2" xfId="581"/>
    <cellStyle name="メモ 2 4 2 2" xfId="582"/>
    <cellStyle name="メモ 2 4 2 2 2" xfId="583"/>
    <cellStyle name="メモ 2 4 2 3" xfId="584"/>
    <cellStyle name="メモ 2 4 2 3 2" xfId="585"/>
    <cellStyle name="メモ 2 4 2 4" xfId="586"/>
    <cellStyle name="メモ 2 4 2 4 2" xfId="587"/>
    <cellStyle name="メモ 2 4 2 5" xfId="588"/>
    <cellStyle name="メモ 2 4 2 5 2" xfId="589"/>
    <cellStyle name="メモ 2 4 2 6" xfId="590"/>
    <cellStyle name="メモ 2 4 2 6 2" xfId="591"/>
    <cellStyle name="メモ 2 4 2 7" xfId="592"/>
    <cellStyle name="メモ 2 4 3" xfId="593"/>
    <cellStyle name="メモ 2 4 3 2" xfId="594"/>
    <cellStyle name="メモ 2 4 4" xfId="595"/>
    <cellStyle name="メモ 2 4 4 2" xfId="596"/>
    <cellStyle name="メモ 2 4 5" xfId="597"/>
    <cellStyle name="メモ 2 4 5 2" xfId="598"/>
    <cellStyle name="メモ 2 4 6" xfId="599"/>
    <cellStyle name="メモ 2 4 6 2" xfId="600"/>
    <cellStyle name="メモ 2 4 7" xfId="601"/>
    <cellStyle name="メモ 2 4 7 2" xfId="602"/>
    <cellStyle name="メモ 2 4 8" xfId="603"/>
    <cellStyle name="メモ 2 5" xfId="604"/>
    <cellStyle name="メモ 2 5 2" xfId="605"/>
    <cellStyle name="メモ 2 5 2 2" xfId="606"/>
    <cellStyle name="メモ 2 5 2 2 2" xfId="607"/>
    <cellStyle name="メモ 2 5 2 3" xfId="608"/>
    <cellStyle name="メモ 2 5 2 3 2" xfId="609"/>
    <cellStyle name="メモ 2 5 2 4" xfId="610"/>
    <cellStyle name="メモ 2 5 2 4 2" xfId="611"/>
    <cellStyle name="メモ 2 5 2 5" xfId="612"/>
    <cellStyle name="メモ 2 5 2 5 2" xfId="613"/>
    <cellStyle name="メモ 2 5 2 6" xfId="614"/>
    <cellStyle name="メモ 2 5 2 6 2" xfId="615"/>
    <cellStyle name="メモ 2 5 2 7" xfId="616"/>
    <cellStyle name="メモ 2 5 3" xfId="617"/>
    <cellStyle name="メモ 2 5 3 2" xfId="618"/>
    <cellStyle name="メモ 2 5 4" xfId="619"/>
    <cellStyle name="メモ 2 5 4 2" xfId="620"/>
    <cellStyle name="メモ 2 5 5" xfId="621"/>
    <cellStyle name="メモ 2 5 5 2" xfId="622"/>
    <cellStyle name="メモ 2 5 6" xfId="623"/>
    <cellStyle name="メモ 2 5 6 2" xfId="624"/>
    <cellStyle name="メモ 2 5 7" xfId="625"/>
    <cellStyle name="メモ 2 5 7 2" xfId="626"/>
    <cellStyle name="メモ 2 5 8" xfId="627"/>
    <cellStyle name="メモ 2 6" xfId="628"/>
    <cellStyle name="メモ 2 6 2" xfId="629"/>
    <cellStyle name="メモ 2 6 2 2" xfId="630"/>
    <cellStyle name="メモ 2 6 2 2 2" xfId="631"/>
    <cellStyle name="メモ 2 6 2 3" xfId="632"/>
    <cellStyle name="メモ 2 6 2 3 2" xfId="633"/>
    <cellStyle name="メモ 2 6 2 4" xfId="634"/>
    <cellStyle name="メモ 2 6 2 4 2" xfId="635"/>
    <cellStyle name="メモ 2 6 2 5" xfId="636"/>
    <cellStyle name="メモ 2 6 2 5 2" xfId="637"/>
    <cellStyle name="メモ 2 6 2 6" xfId="638"/>
    <cellStyle name="メモ 2 6 2 6 2" xfId="639"/>
    <cellStyle name="メモ 2 6 2 7" xfId="640"/>
    <cellStyle name="メモ 2 6 3" xfId="641"/>
    <cellStyle name="メモ 2 6 3 2" xfId="642"/>
    <cellStyle name="メモ 2 6 4" xfId="643"/>
    <cellStyle name="メモ 2 6 4 2" xfId="644"/>
    <cellStyle name="メモ 2 6 5" xfId="645"/>
    <cellStyle name="メモ 2 6 5 2" xfId="646"/>
    <cellStyle name="メモ 2 6 6" xfId="647"/>
    <cellStyle name="メモ 2 6 6 2" xfId="648"/>
    <cellStyle name="メモ 2 6 7" xfId="649"/>
    <cellStyle name="メモ 2 6 7 2" xfId="650"/>
    <cellStyle name="メモ 2 6 8" xfId="651"/>
    <cellStyle name="メモ 2 7" xfId="652"/>
    <cellStyle name="メモ 2 7 2" xfId="653"/>
    <cellStyle name="メモ 2 7 2 2" xfId="654"/>
    <cellStyle name="メモ 2 7 3" xfId="655"/>
    <cellStyle name="メモ 2 7 3 2" xfId="656"/>
    <cellStyle name="メモ 2 7 4" xfId="657"/>
    <cellStyle name="メモ 2 7 4 2" xfId="658"/>
    <cellStyle name="メモ 2 7 5" xfId="659"/>
    <cellStyle name="メモ 2 7 5 2" xfId="660"/>
    <cellStyle name="メモ 2 7 6" xfId="661"/>
    <cellStyle name="メモ 2 7 6 2" xfId="662"/>
    <cellStyle name="メモ 2 7 7" xfId="663"/>
    <cellStyle name="メモ 2 8" xfId="664"/>
    <cellStyle name="メモ 2 8 2" xfId="665"/>
    <cellStyle name="メモ 3" xfId="666"/>
    <cellStyle name="メモ 3 2" xfId="667"/>
    <cellStyle name="メモ 3 2 2" xfId="668"/>
    <cellStyle name="メモ 3 2 2 2" xfId="669"/>
    <cellStyle name="メモ 3 2 3" xfId="670"/>
    <cellStyle name="メモ 3 2 3 2" xfId="671"/>
    <cellStyle name="メモ 3 2 4" xfId="672"/>
    <cellStyle name="メモ 3 2 4 2" xfId="673"/>
    <cellStyle name="メモ 3 2 5" xfId="674"/>
    <cellStyle name="メモ 3 2 5 2" xfId="675"/>
    <cellStyle name="メモ 3 2 6" xfId="676"/>
    <cellStyle name="メモ 3 2 6 2" xfId="677"/>
    <cellStyle name="メモ 3 2 7" xfId="678"/>
    <cellStyle name="メモ 3 3" xfId="679"/>
    <cellStyle name="メモ 3 3 2" xfId="680"/>
    <cellStyle name="メモ 3 4" xfId="681"/>
    <cellStyle name="メモ 3 5" xfId="682"/>
    <cellStyle name="メモ 4" xfId="683"/>
    <cellStyle name="メモ 4 2" xfId="684"/>
    <cellStyle name="メモ 4 2 2" xfId="685"/>
    <cellStyle name="メモ 4 2 2 2" xfId="686"/>
    <cellStyle name="メモ 4 2 3" xfId="687"/>
    <cellStyle name="メモ 4 2 3 2" xfId="688"/>
    <cellStyle name="メモ 4 2 4" xfId="689"/>
    <cellStyle name="メモ 4 2 4 2" xfId="690"/>
    <cellStyle name="メモ 4 2 5" xfId="691"/>
    <cellStyle name="メモ 4 2 5 2" xfId="692"/>
    <cellStyle name="メモ 4 2 6" xfId="693"/>
    <cellStyle name="メモ 4 2 6 2" xfId="694"/>
    <cellStyle name="メモ 4 2 7" xfId="695"/>
    <cellStyle name="メモ 4 3" xfId="696"/>
    <cellStyle name="メモ 4 3 2" xfId="697"/>
    <cellStyle name="メモ 4 4" xfId="698"/>
    <cellStyle name="メモ 5" xfId="699"/>
    <cellStyle name="メモ 5 2" xfId="700"/>
    <cellStyle name="メモ 5 2 2" xfId="701"/>
    <cellStyle name="メモ 5 3" xfId="702"/>
    <cellStyle name="メモ 5 3 2" xfId="703"/>
    <cellStyle name="メモ 5 4" xfId="704"/>
    <cellStyle name="メモ 5 4 2" xfId="705"/>
    <cellStyle name="メモ 5 5" xfId="706"/>
    <cellStyle name="メモ 5 5 2" xfId="707"/>
    <cellStyle name="メモ 5 6" xfId="708"/>
    <cellStyle name="メモ 5 6 2" xfId="709"/>
    <cellStyle name="メモ 5 7" xfId="710"/>
    <cellStyle name="メモ 5 7 2" xfId="711"/>
    <cellStyle name="メモ 6" xfId="712"/>
    <cellStyle name="メモ 7" xfId="713"/>
    <cellStyle name="メモ 8" xfId="714"/>
    <cellStyle name="メモ 9" xfId="715"/>
    <cellStyle name="リンク セル 2" xfId="716"/>
    <cellStyle name="リンク セル 3" xfId="717"/>
    <cellStyle name="リンク セル 4" xfId="718"/>
    <cellStyle name="リンク セル 5" xfId="719"/>
    <cellStyle name="リンク セル 6" xfId="720"/>
    <cellStyle name="リンク セル 7" xfId="721"/>
    <cellStyle name="リンク セル 8" xfId="722"/>
    <cellStyle name="リンク セル 9" xfId="723"/>
    <cellStyle name="_x001d_・_x000c_ﾏ・_x000d_ﾂ・_x0001__x0016__x0011_F5_x0007__x0001__x0001_" xfId="724"/>
    <cellStyle name="_x001d_・_x000c_ﾏ・_x000d_ﾂ・_x0001__x0016__x0011_F5_x0007__x0001__x0001_ 2" xfId="725"/>
    <cellStyle name="_x001d_・_x000c_ﾏ・_x000d_ﾂ・_x0001__x0016__x0011_F5_x0007__x0001__x0001_ 2 2" xfId="726"/>
    <cellStyle name="_x001d_・_x000c_ﾏ・_x000d_ﾂ・_x0001__x0016__x0011_F5_x0007__x0001__x0001_ 2 2 2" xfId="727"/>
    <cellStyle name="_x001d_・_x000c_ﾏ・_x000d_ﾂ・_x0001__x0016__x0011_F5_x0007__x0001__x0001_ 2 3" xfId="728"/>
    <cellStyle name="_x001d_・_x000c_ﾏ・_x000d_ﾂ・_x0001__x0016__x0011_F5_x0007__x0001__x0001_ 3" xfId="729"/>
    <cellStyle name="_x001d_・_x000c_ﾏ・_x000d_ﾂ・_x0001__x0016__x0011_F5_x0007__x0001__x0001_ 3 2" xfId="730"/>
    <cellStyle name="悪い 2" xfId="731"/>
    <cellStyle name="悪い 3" xfId="732"/>
    <cellStyle name="悪い 4" xfId="733"/>
    <cellStyle name="悪い 5" xfId="734"/>
    <cellStyle name="悪い 6" xfId="735"/>
    <cellStyle name="悪い 7" xfId="736"/>
    <cellStyle name="悪い 8" xfId="737"/>
    <cellStyle name="悪い 9" xfId="738"/>
    <cellStyle name="計算 2" xfId="739"/>
    <cellStyle name="計算 2 2" xfId="740"/>
    <cellStyle name="計算 2 2 2" xfId="741"/>
    <cellStyle name="計算 2 2 2 2" xfId="742"/>
    <cellStyle name="計算 2 2 2 2 2" xfId="743"/>
    <cellStyle name="計算 2 2 2 3" xfId="744"/>
    <cellStyle name="計算 2 2 2 3 2" xfId="745"/>
    <cellStyle name="計算 2 2 2 4" xfId="746"/>
    <cellStyle name="計算 2 2 2 4 2" xfId="747"/>
    <cellStyle name="計算 2 2 2 5" xfId="748"/>
    <cellStyle name="計算 2 2 2 5 2" xfId="749"/>
    <cellStyle name="計算 2 2 2 6" xfId="750"/>
    <cellStyle name="計算 2 2 2 6 2" xfId="751"/>
    <cellStyle name="計算 2 2 2 7" xfId="752"/>
    <cellStyle name="計算 2 2 3" xfId="753"/>
    <cellStyle name="計算 2 2 3 2" xfId="754"/>
    <cellStyle name="計算 2 2 4" xfId="755"/>
    <cellStyle name="計算 2 3" xfId="756"/>
    <cellStyle name="計算 2 3 2" xfId="757"/>
    <cellStyle name="計算 2 3 2 2" xfId="758"/>
    <cellStyle name="計算 2 3 3" xfId="759"/>
    <cellStyle name="計算 2 3 3 2" xfId="760"/>
    <cellStyle name="計算 2 3 4" xfId="761"/>
    <cellStyle name="計算 2 3 4 2" xfId="762"/>
    <cellStyle name="計算 2 3 5" xfId="763"/>
    <cellStyle name="計算 2 3 5 2" xfId="764"/>
    <cellStyle name="計算 2 3 6" xfId="765"/>
    <cellStyle name="計算 2 3 6 2" xfId="766"/>
    <cellStyle name="計算 2 3 7" xfId="767"/>
    <cellStyle name="計算 2 4" xfId="768"/>
    <cellStyle name="計算 2 4 2" xfId="769"/>
    <cellStyle name="計算 2 5" xfId="770"/>
    <cellStyle name="計算 3" xfId="771"/>
    <cellStyle name="計算 3 2" xfId="772"/>
    <cellStyle name="計算 3 2 2" xfId="773"/>
    <cellStyle name="計算 3 2 2 2" xfId="774"/>
    <cellStyle name="計算 3 2 3" xfId="775"/>
    <cellStyle name="計算 3 2 3 2" xfId="776"/>
    <cellStyle name="計算 3 2 4" xfId="777"/>
    <cellStyle name="計算 3 2 4 2" xfId="778"/>
    <cellStyle name="計算 3 2 5" xfId="779"/>
    <cellStyle name="計算 3 2 5 2" xfId="780"/>
    <cellStyle name="計算 3 2 6" xfId="781"/>
    <cellStyle name="計算 3 2 6 2" xfId="782"/>
    <cellStyle name="計算 3 2 7" xfId="783"/>
    <cellStyle name="計算 3 3" xfId="784"/>
    <cellStyle name="計算 3 3 2" xfId="785"/>
    <cellStyle name="計算 3 4" xfId="786"/>
    <cellStyle name="計算 4" xfId="787"/>
    <cellStyle name="計算 4 2" xfId="788"/>
    <cellStyle name="計算 4 2 2" xfId="789"/>
    <cellStyle name="計算 4 3" xfId="790"/>
    <cellStyle name="計算 4 3 2" xfId="791"/>
    <cellStyle name="計算 4 4" xfId="792"/>
    <cellStyle name="計算 4 4 2" xfId="793"/>
    <cellStyle name="計算 4 5" xfId="794"/>
    <cellStyle name="計算 4 5 2" xfId="795"/>
    <cellStyle name="計算 4 6" xfId="796"/>
    <cellStyle name="計算 4 6 2" xfId="797"/>
    <cellStyle name="計算 4 7" xfId="798"/>
    <cellStyle name="計算 5" xfId="799"/>
    <cellStyle name="計算 6" xfId="800"/>
    <cellStyle name="計算 7" xfId="801"/>
    <cellStyle name="計算 8" xfId="802"/>
    <cellStyle name="計算 9" xfId="803"/>
    <cellStyle name="警告文 2" xfId="804"/>
    <cellStyle name="警告文 3" xfId="805"/>
    <cellStyle name="警告文 4" xfId="806"/>
    <cellStyle name="警告文 5" xfId="807"/>
    <cellStyle name="警告文 6" xfId="808"/>
    <cellStyle name="警告文 7" xfId="809"/>
    <cellStyle name="警告文 8" xfId="810"/>
    <cellStyle name="警告文 9" xfId="811"/>
    <cellStyle name="桁蟻唇Ｆ [0.00]_laroux" xfId="812"/>
    <cellStyle name="桁蟻唇Ｆ_A°DAU±ATIsA" xfId="813"/>
    <cellStyle name="桁区切り 2" xfId="814"/>
    <cellStyle name="桁区切り 2 2" xfId="815"/>
    <cellStyle name="桁区切り 2 2 2" xfId="816"/>
    <cellStyle name="桁区切り 2 3" xfId="817"/>
    <cellStyle name="桁区切り 2 4" xfId="818"/>
    <cellStyle name="桁区切り 2 4 2" xfId="819"/>
    <cellStyle name="桁区切り 2 4 3" xfId="820"/>
    <cellStyle name="桁区切り 2 5" xfId="821"/>
    <cellStyle name="桁区切り 2 5 2" xfId="822"/>
    <cellStyle name="桁区切り 2 5 3" xfId="823"/>
    <cellStyle name="桁区切り 2 6" xfId="824"/>
    <cellStyle name="桁区切り 2_バックアップセンタ_切替テストスケジュール_20120406~10" xfId="825"/>
    <cellStyle name="桁区切り 3" xfId="826"/>
    <cellStyle name="桁区切り 3 2" xfId="827"/>
    <cellStyle name="桁区切り 3 2 2" xfId="828"/>
    <cellStyle name="桁区切り 3 2 3" xfId="829"/>
    <cellStyle name="桁区切り 3 3" xfId="830"/>
    <cellStyle name="桁区切り 4" xfId="831"/>
    <cellStyle name="桁区切り 4 2" xfId="832"/>
    <cellStyle name="桁区切り 4 2 2" xfId="833"/>
    <cellStyle name="桁区切り 4 2 3" xfId="834"/>
    <cellStyle name="桁区切り 4 3" xfId="835"/>
    <cellStyle name="桁区切り 4 4" xfId="836"/>
    <cellStyle name="桁区切り 5" xfId="837"/>
    <cellStyle name="桁区切り 5 2" xfId="838"/>
    <cellStyle name="桁区切り 5 3" xfId="839"/>
    <cellStyle name="桁区切り 6" xfId="840"/>
    <cellStyle name="見出し 1 2" xfId="841"/>
    <cellStyle name="見出し 1 3" xfId="842"/>
    <cellStyle name="見出し 1 4" xfId="843"/>
    <cellStyle name="見出し 1 5" xfId="844"/>
    <cellStyle name="見出し 1 6" xfId="845"/>
    <cellStyle name="見出し 1 7" xfId="846"/>
    <cellStyle name="見出し 1 8" xfId="847"/>
    <cellStyle name="見出し 1 9" xfId="848"/>
    <cellStyle name="見出し 2 2" xfId="849"/>
    <cellStyle name="見出し 2 3" xfId="850"/>
    <cellStyle name="見出し 2 4" xfId="851"/>
    <cellStyle name="見出し 2 5" xfId="852"/>
    <cellStyle name="見出し 2 6" xfId="853"/>
    <cellStyle name="見出し 2 7" xfId="854"/>
    <cellStyle name="見出し 2 8" xfId="855"/>
    <cellStyle name="見出し 2 9" xfId="856"/>
    <cellStyle name="見出し 3 2" xfId="857"/>
    <cellStyle name="見出し 3 3" xfId="858"/>
    <cellStyle name="見出し 3 4" xfId="859"/>
    <cellStyle name="見出し 3 5" xfId="860"/>
    <cellStyle name="見出し 3 6" xfId="861"/>
    <cellStyle name="見出し 3 7" xfId="862"/>
    <cellStyle name="見出し 3 8" xfId="863"/>
    <cellStyle name="見出し 3 9" xfId="864"/>
    <cellStyle name="見出し 4 2" xfId="865"/>
    <cellStyle name="見出し 4 3" xfId="866"/>
    <cellStyle name="見出し 4 4" xfId="867"/>
    <cellStyle name="見出し 4 5" xfId="868"/>
    <cellStyle name="見出し 4 6" xfId="869"/>
    <cellStyle name="見出し 4 7" xfId="870"/>
    <cellStyle name="見出し 4 8" xfId="871"/>
    <cellStyle name="見出し 4 9" xfId="872"/>
    <cellStyle name="構成図作成用" xfId="873"/>
    <cellStyle name="取り消し" xfId="874"/>
    <cellStyle name="集計 2" xfId="875"/>
    <cellStyle name="集計 2 2" xfId="876"/>
    <cellStyle name="集計 2 2 2" xfId="877"/>
    <cellStyle name="集計 2 2 2 2" xfId="878"/>
    <cellStyle name="集計 2 2 2 2 2" xfId="879"/>
    <cellStyle name="集計 2 2 2 3" xfId="880"/>
    <cellStyle name="集計 2 2 2 3 2" xfId="881"/>
    <cellStyle name="集計 2 2 2 4" xfId="882"/>
    <cellStyle name="集計 2 2 2 4 2" xfId="883"/>
    <cellStyle name="集計 2 2 2 5" xfId="884"/>
    <cellStyle name="集計 2 2 2 5 2" xfId="885"/>
    <cellStyle name="集計 2 2 2 6" xfId="886"/>
    <cellStyle name="集計 2 2 2 6 2" xfId="887"/>
    <cellStyle name="集計 2 2 2 7" xfId="888"/>
    <cellStyle name="集計 2 2 3" xfId="889"/>
    <cellStyle name="集計 2 2 3 2" xfId="890"/>
    <cellStyle name="集計 2 3" xfId="891"/>
    <cellStyle name="集計 2 3 2" xfId="892"/>
    <cellStyle name="集計 2 3 2 2" xfId="893"/>
    <cellStyle name="集計 2 3 3" xfId="894"/>
    <cellStyle name="集計 2 3 3 2" xfId="895"/>
    <cellStyle name="集計 2 3 4" xfId="896"/>
    <cellStyle name="集計 2 3 4 2" xfId="897"/>
    <cellStyle name="集計 2 3 5" xfId="898"/>
    <cellStyle name="集計 2 3 5 2" xfId="899"/>
    <cellStyle name="集計 2 3 6" xfId="900"/>
    <cellStyle name="集計 2 3 6 2" xfId="901"/>
    <cellStyle name="集計 2 3 7" xfId="902"/>
    <cellStyle name="集計 2 4" xfId="903"/>
    <cellStyle name="集計 2 4 2" xfId="904"/>
    <cellStyle name="集計 3" xfId="905"/>
    <cellStyle name="集計 3 2" xfId="906"/>
    <cellStyle name="集計 3 2 2" xfId="907"/>
    <cellStyle name="集計 3 2 2 2" xfId="908"/>
    <cellStyle name="集計 3 2 3" xfId="909"/>
    <cellStyle name="集計 3 2 3 2" xfId="910"/>
    <cellStyle name="集計 3 2 4" xfId="911"/>
    <cellStyle name="集計 3 2 4 2" xfId="912"/>
    <cellStyle name="集計 3 2 5" xfId="913"/>
    <cellStyle name="集計 3 2 5 2" xfId="914"/>
    <cellStyle name="集計 3 2 6" xfId="915"/>
    <cellStyle name="集計 3 2 6 2" xfId="916"/>
    <cellStyle name="集計 3 2 7" xfId="917"/>
    <cellStyle name="集計 3 3" xfId="918"/>
    <cellStyle name="集計 3 3 2" xfId="919"/>
    <cellStyle name="集計 3 4" xfId="920"/>
    <cellStyle name="集計 4" xfId="921"/>
    <cellStyle name="集計 4 2" xfId="922"/>
    <cellStyle name="集計 4 2 2" xfId="923"/>
    <cellStyle name="集計 4 3" xfId="924"/>
    <cellStyle name="集計 4 3 2" xfId="925"/>
    <cellStyle name="集計 4 4" xfId="926"/>
    <cellStyle name="集計 4 4 2" xfId="927"/>
    <cellStyle name="集計 4 5" xfId="928"/>
    <cellStyle name="集計 4 5 2" xfId="929"/>
    <cellStyle name="集計 4 6" xfId="930"/>
    <cellStyle name="集計 4 6 2" xfId="931"/>
    <cellStyle name="集計 4 7" xfId="932"/>
    <cellStyle name="集計 5" xfId="933"/>
    <cellStyle name="集計 6" xfId="934"/>
    <cellStyle name="集計 7" xfId="935"/>
    <cellStyle name="集計 8" xfId="936"/>
    <cellStyle name="集計 9" xfId="937"/>
    <cellStyle name="出力 2" xfId="938"/>
    <cellStyle name="出力 2 2" xfId="939"/>
    <cellStyle name="出力 2 2 2" xfId="940"/>
    <cellStyle name="出力 2 2 2 2" xfId="941"/>
    <cellStyle name="出力 2 2 2 2 2" xfId="942"/>
    <cellStyle name="出力 2 2 2 3" xfId="943"/>
    <cellStyle name="出力 2 2 2 3 2" xfId="944"/>
    <cellStyle name="出力 2 2 2 4" xfId="945"/>
    <cellStyle name="出力 2 2 2 4 2" xfId="946"/>
    <cellStyle name="出力 2 2 2 5" xfId="947"/>
    <cellStyle name="出力 2 2 2 5 2" xfId="948"/>
    <cellStyle name="出力 2 2 2 6" xfId="949"/>
    <cellStyle name="出力 2 2 2 6 2" xfId="950"/>
    <cellStyle name="出力 2 2 2 7" xfId="951"/>
    <cellStyle name="出力 2 2 3" xfId="952"/>
    <cellStyle name="出力 2 2 3 2" xfId="953"/>
    <cellStyle name="出力 2 3" xfId="954"/>
    <cellStyle name="出力 2 3 2" xfId="955"/>
    <cellStyle name="出力 2 3 2 2" xfId="956"/>
    <cellStyle name="出力 2 3 3" xfId="957"/>
    <cellStyle name="出力 2 3 3 2" xfId="958"/>
    <cellStyle name="出力 2 3 4" xfId="959"/>
    <cellStyle name="出力 2 3 4 2" xfId="960"/>
    <cellStyle name="出力 2 3 5" xfId="961"/>
    <cellStyle name="出力 2 3 5 2" xfId="962"/>
    <cellStyle name="出力 2 3 6" xfId="963"/>
    <cellStyle name="出力 2 3 6 2" xfId="964"/>
    <cellStyle name="出力 2 3 7" xfId="965"/>
    <cellStyle name="出力 2 4" xfId="966"/>
    <cellStyle name="出力 2 4 2" xfId="967"/>
    <cellStyle name="出力 3" xfId="968"/>
    <cellStyle name="出力 3 2" xfId="969"/>
    <cellStyle name="出力 3 2 2" xfId="970"/>
    <cellStyle name="出力 3 2 2 2" xfId="971"/>
    <cellStyle name="出力 3 2 3" xfId="972"/>
    <cellStyle name="出力 3 2 3 2" xfId="973"/>
    <cellStyle name="出力 3 2 4" xfId="974"/>
    <cellStyle name="出力 3 2 4 2" xfId="975"/>
    <cellStyle name="出力 3 2 5" xfId="976"/>
    <cellStyle name="出力 3 2 5 2" xfId="977"/>
    <cellStyle name="出力 3 2 6" xfId="978"/>
    <cellStyle name="出力 3 2 6 2" xfId="979"/>
    <cellStyle name="出力 3 2 7" xfId="980"/>
    <cellStyle name="出力 3 3" xfId="981"/>
    <cellStyle name="出力 3 3 2" xfId="982"/>
    <cellStyle name="出力 3 4" xfId="983"/>
    <cellStyle name="出力 4" xfId="984"/>
    <cellStyle name="出力 4 2" xfId="985"/>
    <cellStyle name="出力 4 2 2" xfId="986"/>
    <cellStyle name="出力 4 3" xfId="987"/>
    <cellStyle name="出力 4 3 2" xfId="988"/>
    <cellStyle name="出力 4 4" xfId="989"/>
    <cellStyle name="出力 4 4 2" xfId="990"/>
    <cellStyle name="出力 4 5" xfId="991"/>
    <cellStyle name="出力 4 5 2" xfId="992"/>
    <cellStyle name="出力 4 6" xfId="993"/>
    <cellStyle name="出力 4 6 2" xfId="994"/>
    <cellStyle name="出力 4 7" xfId="995"/>
    <cellStyle name="出力 5" xfId="996"/>
    <cellStyle name="出力 6" xfId="997"/>
    <cellStyle name="出力 7" xfId="998"/>
    <cellStyle name="出力 8" xfId="999"/>
    <cellStyle name="出力 9" xfId="1000"/>
    <cellStyle name="人月" xfId="1001"/>
    <cellStyle name="説明文 2" xfId="1002"/>
    <cellStyle name="説明文 3" xfId="1003"/>
    <cellStyle name="説明文 4" xfId="1004"/>
    <cellStyle name="説明文 5" xfId="1005"/>
    <cellStyle name="説明文 6" xfId="1006"/>
    <cellStyle name="説明文 7" xfId="1007"/>
    <cellStyle name="説明文 8" xfId="1008"/>
    <cellStyle name="説明文 9" xfId="1009"/>
    <cellStyle name="脱浦 [0.00]_laroux" xfId="1010"/>
    <cellStyle name="脱浦_laroux" xfId="1011"/>
    <cellStyle name="通貨 [0.00" xfId="1012"/>
    <cellStyle name="通貨 [0.00 2" xfId="1013"/>
    <cellStyle name="通貨 [0.00 3" xfId="1014"/>
    <cellStyle name="通貨 [0.00 4" xfId="1015"/>
    <cellStyle name="通貨 [0.00 5" xfId="1016"/>
    <cellStyle name="通貨 [0.00 6" xfId="1017"/>
    <cellStyle name="通貨 2" xfId="1018"/>
    <cellStyle name="通貨 2 2" xfId="1019"/>
    <cellStyle name="通貨 2 2 2" xfId="1020"/>
    <cellStyle name="通貨 2 2 3" xfId="1021"/>
    <cellStyle name="通貨 2 3" xfId="1022"/>
    <cellStyle name="通貨 2 4" xfId="1023"/>
    <cellStyle name="通貨 2 5" xfId="1024"/>
    <cellStyle name="通貨 3" xfId="1025"/>
    <cellStyle name="入力 2" xfId="1026"/>
    <cellStyle name="入力 2 2" xfId="1027"/>
    <cellStyle name="入力 2 2 2" xfId="1028"/>
    <cellStyle name="入力 2 2 2 2" xfId="1029"/>
    <cellStyle name="入力 2 2 2 2 2" xfId="1030"/>
    <cellStyle name="入力 2 2 2 3" xfId="1031"/>
    <cellStyle name="入力 2 2 2 3 2" xfId="1032"/>
    <cellStyle name="入力 2 2 2 4" xfId="1033"/>
    <cellStyle name="入力 2 2 2 4 2" xfId="1034"/>
    <cellStyle name="入力 2 2 2 5" xfId="1035"/>
    <cellStyle name="入力 2 2 2 5 2" xfId="1036"/>
    <cellStyle name="入力 2 2 2 6" xfId="1037"/>
    <cellStyle name="入力 2 2 2 6 2" xfId="1038"/>
    <cellStyle name="入力 2 2 2 7" xfId="1039"/>
    <cellStyle name="入力 2 2 3" xfId="1040"/>
    <cellStyle name="入力 2 2 3 2" xfId="1041"/>
    <cellStyle name="入力 2 2 4" xfId="1042"/>
    <cellStyle name="入力 2 3" xfId="1043"/>
    <cellStyle name="入力 2 3 2" xfId="1044"/>
    <cellStyle name="入力 2 3 2 2" xfId="1045"/>
    <cellStyle name="入力 2 3 3" xfId="1046"/>
    <cellStyle name="入力 2 3 3 2" xfId="1047"/>
    <cellStyle name="入力 2 3 4" xfId="1048"/>
    <cellStyle name="入力 2 3 4 2" xfId="1049"/>
    <cellStyle name="入力 2 3 5" xfId="1050"/>
    <cellStyle name="入力 2 3 5 2" xfId="1051"/>
    <cellStyle name="入力 2 3 6" xfId="1052"/>
    <cellStyle name="入力 2 3 6 2" xfId="1053"/>
    <cellStyle name="入力 2 3 7" xfId="1054"/>
    <cellStyle name="入力 2 4" xfId="1055"/>
    <cellStyle name="入力 2 4 2" xfId="1056"/>
    <cellStyle name="入力 2 5" xfId="1057"/>
    <cellStyle name="入力 3" xfId="1058"/>
    <cellStyle name="入力 3 2" xfId="1059"/>
    <cellStyle name="入力 3 2 2" xfId="1060"/>
    <cellStyle name="入力 3 2 2 2" xfId="1061"/>
    <cellStyle name="入力 3 2 3" xfId="1062"/>
    <cellStyle name="入力 3 2 3 2" xfId="1063"/>
    <cellStyle name="入力 3 2 4" xfId="1064"/>
    <cellStyle name="入力 3 2 4 2" xfId="1065"/>
    <cellStyle name="入力 3 2 5" xfId="1066"/>
    <cellStyle name="入力 3 2 5 2" xfId="1067"/>
    <cellStyle name="入力 3 2 6" xfId="1068"/>
    <cellStyle name="入力 3 2 6 2" xfId="1069"/>
    <cellStyle name="入力 3 2 7" xfId="1070"/>
    <cellStyle name="入力 3 3" xfId="1071"/>
    <cellStyle name="入力 3 3 2" xfId="1072"/>
    <cellStyle name="入力 3 4" xfId="1073"/>
    <cellStyle name="入力 4" xfId="1074"/>
    <cellStyle name="入力 4 2" xfId="1075"/>
    <cellStyle name="入力 4 2 2" xfId="1076"/>
    <cellStyle name="入力 4 3" xfId="1077"/>
    <cellStyle name="入力 4 3 2" xfId="1078"/>
    <cellStyle name="入力 4 4" xfId="1079"/>
    <cellStyle name="入力 4 4 2" xfId="1080"/>
    <cellStyle name="入力 4 5" xfId="1081"/>
    <cellStyle name="入力 4 5 2" xfId="1082"/>
    <cellStyle name="入力 4 6" xfId="1083"/>
    <cellStyle name="入力 4 6 2" xfId="1084"/>
    <cellStyle name="入力 4 7" xfId="1085"/>
    <cellStyle name="入力 5" xfId="1086"/>
    <cellStyle name="入力 6" xfId="1087"/>
    <cellStyle name="入力 7" xfId="1088"/>
    <cellStyle name="入力 8" xfId="1089"/>
    <cellStyle name="入力 9" xfId="1090"/>
    <cellStyle builtinId="0" name="標準" xfId="0"/>
    <cellStyle name="標準 10" xfId="1091"/>
    <cellStyle name="標準 10 2" xfId="1092"/>
    <cellStyle name="標準 10 3" xfId="1093"/>
    <cellStyle name="標準 10 4" xfId="1094"/>
    <cellStyle name="標準 10 5" xfId="1095"/>
    <cellStyle name="標準 100" xfId="1096"/>
    <cellStyle name="標準 100 2" xfId="1097"/>
    <cellStyle name="標準 100 2 2" xfId="1098"/>
    <cellStyle name="標準 100 2 2 2" xfId="1099"/>
    <cellStyle name="標準 100 2 2 3" xfId="1100"/>
    <cellStyle name="標準 100 2 2 4" xfId="1101"/>
    <cellStyle name="標準 100 2 3" xfId="1102"/>
    <cellStyle name="標準 100 2 4" xfId="1103"/>
    <cellStyle name="標準 100 2 5" xfId="1104"/>
    <cellStyle name="標準 100 3" xfId="1105"/>
    <cellStyle name="標準 100 3 2" xfId="1106"/>
    <cellStyle name="標準 100 3 3" xfId="1107"/>
    <cellStyle name="標準 100 3 4" xfId="1108"/>
    <cellStyle name="標準 100 4" xfId="1109"/>
    <cellStyle name="標準 100 5" xfId="1110"/>
    <cellStyle name="標準 100 6" xfId="1111"/>
    <cellStyle name="標準 101" xfId="1112"/>
    <cellStyle name="標準 102" xfId="1113"/>
    <cellStyle name="標準 102 2" xfId="1114"/>
    <cellStyle name="標準 102 2 2" xfId="1115"/>
    <cellStyle name="標準 102 2 3" xfId="1116"/>
    <cellStyle name="標準 102 2 4" xfId="1117"/>
    <cellStyle name="標準 102 3" xfId="1118"/>
    <cellStyle name="標準 102 4" xfId="1119"/>
    <cellStyle name="標準 102 5" xfId="1120"/>
    <cellStyle name="標準 103" xfId="1121"/>
    <cellStyle name="標準 104" xfId="1122"/>
    <cellStyle name="標準 104 2" xfId="1123"/>
    <cellStyle name="標準 104 3" xfId="1124"/>
    <cellStyle name="標準 104 4" xfId="1125"/>
    <cellStyle name="標準 105" xfId="1126"/>
    <cellStyle name="標準 106" xfId="1127"/>
    <cellStyle name="標準 107" xfId="1128"/>
    <cellStyle name="標準 108" xfId="1129"/>
    <cellStyle name="標準 109" xfId="1130"/>
    <cellStyle name="標準 11" xfId="1131"/>
    <cellStyle name="標準 11 2" xfId="1132"/>
    <cellStyle name="標準 11 3" xfId="1133"/>
    <cellStyle name="標準 110" xfId="1134"/>
    <cellStyle name="標準 111" xfId="1135"/>
    <cellStyle name="標準 112" xfId="1136"/>
    <cellStyle name="標準 113" xfId="1137"/>
    <cellStyle name="標準 114" xfId="1138"/>
    <cellStyle name="標準 115" xfId="1139"/>
    <cellStyle name="標準 116" xfId="1140"/>
    <cellStyle name="標準 117" xfId="1141"/>
    <cellStyle name="標準 118" xfId="1142"/>
    <cellStyle name="標準 119" xfId="1143"/>
    <cellStyle name="標準 12" xfId="1144"/>
    <cellStyle name="標準 12 2" xfId="1145"/>
    <cellStyle name="標準 12 2 2" xfId="1146"/>
    <cellStyle name="標準 12 2 3" xfId="1147"/>
    <cellStyle name="標準 12 3" xfId="1148"/>
    <cellStyle name="標準 12 3 2" xfId="1149"/>
    <cellStyle name="標準 12 3 3" xfId="1150"/>
    <cellStyle name="標準 120" xfId="1151"/>
    <cellStyle name="標準 121" xfId="1152"/>
    <cellStyle name="標準 122" xfId="1153"/>
    <cellStyle name="標準 123" xfId="1154"/>
    <cellStyle name="標準 124" xfId="1155"/>
    <cellStyle name="標準 125" xfId="1156"/>
    <cellStyle name="標準 126" xfId="1157"/>
    <cellStyle name="標準 127" xfId="1158"/>
    <cellStyle name="標準 128" xfId="1159"/>
    <cellStyle name="標準 129" xfId="1160"/>
    <cellStyle name="標準 13" xfId="1161"/>
    <cellStyle name="標準 13 2" xfId="1162"/>
    <cellStyle name="標準 13 3" xfId="1163"/>
    <cellStyle name="標準 13 4" xfId="1164"/>
    <cellStyle name="標準 13 5" xfId="1165"/>
    <cellStyle name="標準 130" xfId="1166"/>
    <cellStyle name="標準 131" xfId="1167"/>
    <cellStyle name="標準 132" xfId="1"/>
    <cellStyle name="標準 133" xfId="1168"/>
    <cellStyle name="標準 136" xfId="1169"/>
    <cellStyle name="標準 14" xfId="1170"/>
    <cellStyle name="標準 14 2" xfId="1171"/>
    <cellStyle name="標準 14 2 2" xfId="1172"/>
    <cellStyle name="標準 14 2 3" xfId="1173"/>
    <cellStyle name="標準 14 3" xfId="1174"/>
    <cellStyle name="標準 14 4" xfId="1175"/>
    <cellStyle name="標準 15" xfId="1176"/>
    <cellStyle name="標準 15 2" xfId="1177"/>
    <cellStyle name="標準 15 2 2" xfId="1178"/>
    <cellStyle name="標準 15 2 3" xfId="1179"/>
    <cellStyle name="標準 15 3" xfId="1180"/>
    <cellStyle name="標準 15 4" xfId="1181"/>
    <cellStyle name="標準 15 5" xfId="1182"/>
    <cellStyle name="標準 15 6" xfId="1183"/>
    <cellStyle name="標準 16" xfId="1184"/>
    <cellStyle name="標準 16 2" xfId="1185"/>
    <cellStyle name="標準 16 2 2" xfId="1186"/>
    <cellStyle name="標準 16 2 3" xfId="1187"/>
    <cellStyle name="標準 16 3" xfId="1188"/>
    <cellStyle name="標準 16 4" xfId="1189"/>
    <cellStyle name="標準 16 5" xfId="1190"/>
    <cellStyle name="標準 17" xfId="1191"/>
    <cellStyle name="標準 17 2" xfId="1192"/>
    <cellStyle name="標準 17 2 2" xfId="1193"/>
    <cellStyle name="標準 17 2 3" xfId="1194"/>
    <cellStyle name="標準 17 3" xfId="1195"/>
    <cellStyle name="標準 17 4" xfId="1196"/>
    <cellStyle name="標準 17 5" xfId="1197"/>
    <cellStyle name="標準 18" xfId="1198"/>
    <cellStyle name="標準 18 2" xfId="1199"/>
    <cellStyle name="標準 18 2 2" xfId="1200"/>
    <cellStyle name="標準 18 2 3" xfId="1201"/>
    <cellStyle name="標準 18 2 4" xfId="1202"/>
    <cellStyle name="標準 18 3" xfId="1203"/>
    <cellStyle name="標準 18 4" xfId="1204"/>
    <cellStyle name="標準 18 5" xfId="1205"/>
    <cellStyle name="標準 18 6" xfId="1206"/>
    <cellStyle name="標準 19" xfId="1207"/>
    <cellStyle name="標準 19 2" xfId="1208"/>
    <cellStyle name="標準 19 3" xfId="1209"/>
    <cellStyle name="標準 2" xfId="2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133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3" width="6.5" collapsed="false"/>
    <col min="2" max="2" customWidth="true" style="3" width="30.625" collapsed="false"/>
    <col min="3" max="3" customWidth="true" style="4" width="30.625" collapsed="false"/>
    <col min="4" max="4" customWidth="true" style="3" width="4.625" collapsed="false"/>
    <col min="5" max="5" customWidth="true" style="3" width="22.625" collapsed="false"/>
    <col min="6" max="6" customWidth="true" style="3" width="4.625" collapsed="false"/>
    <col min="7" max="7" customWidth="true" style="3" width="22.625" collapsed="false"/>
    <col min="8" max="8" customWidth="true" style="3" width="4.625" collapsed="false"/>
    <col min="9" max="9" customWidth="true" style="3" width="22.625" collapsed="false"/>
    <col min="10" max="10" customWidth="true" style="3" width="4.625" collapsed="false"/>
    <col min="11" max="11" customWidth="true" style="3" width="22.625" collapsed="false"/>
    <col min="12" max="12" customWidth="true" style="3" width="4.625" collapsed="false"/>
    <col min="13" max="13" customWidth="true" style="3" width="22.625" collapsed="false"/>
    <col min="14" max="14" customWidth="true" style="3" width="4.625" collapsed="false"/>
    <col min="15" max="18" customWidth="true" style="3" width="22.625" collapsed="false"/>
    <col min="19" max="19" customWidth="true" style="3" width="4.625" collapsed="false"/>
    <col min="20" max="20" customWidth="true" style="3" width="22.625" collapsed="false"/>
    <col min="21" max="21" customWidth="true" style="3" width="4.625" collapsed="false"/>
    <col min="22" max="22" customWidth="true" style="3" width="22.625" collapsed="false"/>
    <col min="23" max="23" customWidth="true" style="3" width="4.625" collapsed="false"/>
    <col min="24" max="24" customWidth="true" style="3" width="22.625" collapsed="false"/>
    <col min="25" max="25" customWidth="true" style="3" width="4.625" collapsed="false"/>
    <col min="26" max="26" customWidth="true" style="3" width="22.625" collapsed="false"/>
    <col min="27" max="27" customWidth="true" style="3" width="4.625" collapsed="false"/>
    <col min="28" max="28" customWidth="true" style="3" width="22.625" collapsed="false"/>
    <col min="29" max="29" customWidth="true" style="3" width="4.625" collapsed="false"/>
    <col min="30" max="30" customWidth="true" style="3" width="22.625" collapsed="false"/>
    <col min="31" max="31" customWidth="true" style="1" width="9.0" collapsed="false"/>
    <col min="32" max="16384" style="1" width="9.0" collapsed="false"/>
  </cols>
  <sheetData>
    <row customFormat="1" customHeight="1" ht="30" r="1" s="6" spans="1:3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customFormat="1" customHeight="1" ht="30" r="2" s="8" spans="1:3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customFormat="1" customHeight="1" ht="15" r="3" s="8" spans="1:30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customFormat="1" customHeight="1" ht="17.100000000000001" r="4" s="12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12" spans="1:30">
      <c r="A5" s="46" t="s">
        <v>4</v>
      </c>
      <c r="B5" s="46" t="s">
        <v>5</v>
      </c>
      <c r="C5" s="33" t="s">
        <v>6</v>
      </c>
      <c r="D5" s="33" t="s">
        <v>7</v>
      </c>
      <c r="E5" s="34"/>
      <c r="F5" s="34" t="s">
        <v>8</v>
      </c>
      <c r="G5" s="34"/>
      <c r="H5" s="34" t="s">
        <v>8</v>
      </c>
      <c r="I5" s="35"/>
      <c r="J5" s="33" t="s">
        <v>9</v>
      </c>
      <c r="K5" s="34"/>
      <c r="L5" s="34" t="s">
        <v>8</v>
      </c>
      <c r="M5" s="34"/>
      <c r="N5" s="34" t="s">
        <v>8</v>
      </c>
      <c r="O5" s="35"/>
      <c r="P5" s="34" t="s">
        <v>10</v>
      </c>
      <c r="Q5" s="34"/>
      <c r="R5" s="35"/>
      <c r="S5" s="33" t="s">
        <v>11</v>
      </c>
      <c r="T5" s="34"/>
      <c r="U5" s="34" t="s">
        <v>8</v>
      </c>
      <c r="V5" s="34"/>
      <c r="W5" s="34" t="s">
        <v>8</v>
      </c>
      <c r="X5" s="35"/>
      <c r="Y5" s="33" t="s">
        <v>12</v>
      </c>
      <c r="Z5" s="34"/>
      <c r="AA5" s="34" t="s">
        <v>8</v>
      </c>
      <c r="AB5" s="34"/>
      <c r="AC5" s="34" t="s">
        <v>8</v>
      </c>
      <c r="AD5" s="35"/>
    </row>
    <row customFormat="1" customHeight="1" ht="17.100000000000001" r="6" s="12" spans="1:30">
      <c r="A6" s="41"/>
      <c r="B6" s="41"/>
      <c r="C6" s="47"/>
      <c r="D6" s="36" t="s">
        <v>13</v>
      </c>
      <c r="E6" s="37"/>
      <c r="F6" s="38" t="s">
        <v>14</v>
      </c>
      <c r="G6" s="39"/>
      <c r="H6" s="37" t="s">
        <v>15</v>
      </c>
      <c r="I6" s="40"/>
      <c r="J6" s="36" t="s">
        <v>13</v>
      </c>
      <c r="K6" s="37"/>
      <c r="L6" s="38" t="s">
        <v>14</v>
      </c>
      <c r="M6" s="39"/>
      <c r="N6" s="37" t="s">
        <v>15</v>
      </c>
      <c r="O6" s="40"/>
      <c r="P6" s="13" t="s">
        <v>13</v>
      </c>
      <c r="Q6" s="14" t="s">
        <v>14</v>
      </c>
      <c r="R6" s="15" t="s">
        <v>16</v>
      </c>
      <c r="S6" s="36" t="s">
        <v>13</v>
      </c>
      <c r="T6" s="37"/>
      <c r="U6" s="38" t="s">
        <v>14</v>
      </c>
      <c r="V6" s="39"/>
      <c r="W6" s="37" t="s">
        <v>15</v>
      </c>
      <c r="X6" s="40"/>
      <c r="Y6" s="36" t="s">
        <v>13</v>
      </c>
      <c r="Z6" s="37"/>
      <c r="AA6" s="38" t="s">
        <v>14</v>
      </c>
      <c r="AB6" s="39"/>
      <c r="AC6" s="37" t="s">
        <v>15</v>
      </c>
      <c r="AD6" s="40"/>
    </row>
    <row customFormat="1" customHeight="1" ht="1.5" r="7" s="12" spans="1:30">
      <c r="A7" s="16"/>
      <c r="B7" s="41"/>
      <c r="C7" s="4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8"/>
    </row>
    <row customFormat="1" customHeight="1" ht="17.100000000000001" r="8" s="12" spans="1:30">
      <c r="A8" s="41" t="s">
        <v>17</v>
      </c>
      <c r="B8" s="41"/>
      <c r="C8" s="47"/>
      <c r="D8" s="43" t="s">
        <v>18</v>
      </c>
      <c r="E8" s="44"/>
      <c r="F8" s="44"/>
      <c r="G8" s="44"/>
      <c r="H8" s="44"/>
      <c r="I8" s="45"/>
      <c r="J8" s="43" t="s">
        <v>19</v>
      </c>
      <c r="K8" s="44"/>
      <c r="L8" s="44"/>
      <c r="M8" s="44"/>
      <c r="N8" s="44"/>
      <c r="O8" s="45"/>
      <c r="P8" s="44" t="s">
        <v>20</v>
      </c>
      <c r="Q8" s="44"/>
      <c r="R8" s="45"/>
      <c r="S8" s="43" t="s">
        <v>21</v>
      </c>
      <c r="T8" s="44"/>
      <c r="U8" s="44"/>
      <c r="V8" s="44"/>
      <c r="W8" s="44"/>
      <c r="X8" s="45"/>
      <c r="Y8" s="43" t="s">
        <v>22</v>
      </c>
      <c r="Z8" s="44"/>
      <c r="AA8" s="44"/>
      <c r="AB8" s="44"/>
      <c r="AC8" s="44"/>
      <c r="AD8" s="45"/>
    </row>
    <row customFormat="1" customHeight="1" ht="17.100000000000001" r="9" s="12" spans="1:30">
      <c r="A9" s="42"/>
      <c r="B9" s="42"/>
      <c r="C9" s="31"/>
      <c r="D9" s="31" t="s">
        <v>23</v>
      </c>
      <c r="E9" s="48"/>
      <c r="F9" s="49" t="s">
        <v>24</v>
      </c>
      <c r="G9" s="50"/>
      <c r="H9" s="48" t="s">
        <v>25</v>
      </c>
      <c r="I9" s="51"/>
      <c r="J9" s="31" t="s">
        <v>23</v>
      </c>
      <c r="K9" s="32"/>
      <c r="L9" s="52" t="s">
        <v>24</v>
      </c>
      <c r="M9" s="50"/>
      <c r="N9" s="48" t="s">
        <v>25</v>
      </c>
      <c r="O9" s="51"/>
      <c r="P9" s="19" t="s">
        <v>23</v>
      </c>
      <c r="Q9" s="20" t="s">
        <v>24</v>
      </c>
      <c r="R9" s="21" t="s">
        <v>25</v>
      </c>
      <c r="S9" s="31" t="s">
        <v>23</v>
      </c>
      <c r="T9" s="32"/>
      <c r="U9" s="52" t="s">
        <v>24</v>
      </c>
      <c r="V9" s="50"/>
      <c r="W9" s="48" t="s">
        <v>25</v>
      </c>
      <c r="X9" s="51"/>
      <c r="Y9" s="31" t="s">
        <v>23</v>
      </c>
      <c r="Z9" s="32"/>
      <c r="AA9" s="52" t="s">
        <v>24</v>
      </c>
      <c r="AB9" s="50"/>
      <c r="AC9" s="48" t="s">
        <v>25</v>
      </c>
      <c r="AD9" s="51"/>
    </row>
    <row customFormat="1" customHeight="1" ht="13.5" r="10" s="2" spans="1:30">
      <c r="A10" s="30" t="s">
        <v>26</v>
      </c>
      <c r="B10" s="22" t="s">
        <v>27</v>
      </c>
      <c r="C10" s="22" t="s">
        <v>28</v>
      </c>
      <c r="D10" s="24"/>
      <c r="E10" s="25" t="n">
        <f>60198</f>
        <v>60198.0</v>
      </c>
      <c r="F10" s="23"/>
      <c r="G10" s="25" t="n">
        <f>28334</f>
        <v>28334.0</v>
      </c>
      <c r="H10" s="23"/>
      <c r="I10" s="26" t="n">
        <f>88532</f>
        <v>88532.0</v>
      </c>
      <c r="J10" s="24"/>
      <c r="K10" s="25" t="n">
        <f>9178144400</f>
        <v>9.1781444E9</v>
      </c>
      <c r="L10" s="23"/>
      <c r="M10" s="25" t="n">
        <f>5096735600</f>
        <v>5.0967356E9</v>
      </c>
      <c r="N10" s="23"/>
      <c r="O10" s="26" t="n">
        <f>14274880000</f>
        <v>1.427488E10</v>
      </c>
      <c r="P10" s="27" t="str">
        <f>"－"</f>
        <v>－</v>
      </c>
      <c r="Q10" s="28" t="str">
        <f>"－"</f>
        <v>－</v>
      </c>
      <c r="R10" s="29" t="str">
        <f>"－"</f>
        <v>－</v>
      </c>
      <c r="S10" s="24"/>
      <c r="T10" s="25" t="n">
        <f>8107</f>
        <v>8107.0</v>
      </c>
      <c r="U10" s="23"/>
      <c r="V10" s="25" t="n">
        <f>4053</f>
        <v>4053.0</v>
      </c>
      <c r="W10" s="23"/>
      <c r="X10" s="26" t="n">
        <f>12160</f>
        <v>12160.0</v>
      </c>
      <c r="Y10" s="24"/>
      <c r="Z10" s="25" t="n">
        <f>854451</f>
        <v>854451.0</v>
      </c>
      <c r="AA10" s="23"/>
      <c r="AB10" s="25" t="n">
        <f>534913</f>
        <v>534913.0</v>
      </c>
      <c r="AC10" s="23"/>
      <c r="AD10" s="26" t="n">
        <f>1389364</f>
        <v>1389364.0</v>
      </c>
    </row>
    <row r="11">
      <c r="A11" s="30" t="s">
        <v>29</v>
      </c>
      <c r="B11" s="22" t="s">
        <v>27</v>
      </c>
      <c r="C11" s="22" t="s">
        <v>28</v>
      </c>
      <c r="D11" s="24"/>
      <c r="E11" s="25" t="n">
        <f>46802</f>
        <v>46802.0</v>
      </c>
      <c r="F11" s="23"/>
      <c r="G11" s="25" t="n">
        <f>30475</f>
        <v>30475.0</v>
      </c>
      <c r="H11" s="23"/>
      <c r="I11" s="26" t="n">
        <f>77277</f>
        <v>77277.0</v>
      </c>
      <c r="J11" s="24"/>
      <c r="K11" s="25" t="n">
        <f>7634012900</f>
        <v>7.6340129E9</v>
      </c>
      <c r="L11" s="23"/>
      <c r="M11" s="25" t="n">
        <f>3178411400</f>
        <v>3.1784114E9</v>
      </c>
      <c r="N11" s="23"/>
      <c r="O11" s="26" t="n">
        <f>10812424300</f>
        <v>1.08124243E10</v>
      </c>
      <c r="P11" s="27" t="str">
        <f>"－"</f>
        <v>－</v>
      </c>
      <c r="Q11" s="28" t="str">
        <f>"－"</f>
        <v>－</v>
      </c>
      <c r="R11" s="29" t="str">
        <f>"－"</f>
        <v>－</v>
      </c>
      <c r="S11" s="24"/>
      <c r="T11" s="25" t="n">
        <f>5317</f>
        <v>5317.0</v>
      </c>
      <c r="U11" s="23"/>
      <c r="V11" s="25" t="n">
        <f>3695</f>
        <v>3695.0</v>
      </c>
      <c r="W11" s="23"/>
      <c r="X11" s="26" t="n">
        <f>9012</f>
        <v>9012.0</v>
      </c>
      <c r="Y11" s="24"/>
      <c r="Z11" s="25" t="n">
        <f>863512</f>
        <v>863512.0</v>
      </c>
      <c r="AA11" s="23"/>
      <c r="AB11" s="25" t="n">
        <f>536587</f>
        <v>536587.0</v>
      </c>
      <c r="AC11" s="23"/>
      <c r="AD11" s="26" t="n">
        <f>1400099</f>
        <v>1400099.0</v>
      </c>
    </row>
    <row r="12">
      <c r="A12" s="30" t="s">
        <v>30</v>
      </c>
      <c r="B12" s="22" t="s">
        <v>27</v>
      </c>
      <c r="C12" s="22" t="s">
        <v>28</v>
      </c>
      <c r="D12" s="24"/>
      <c r="E12" s="25"/>
      <c r="F12" s="23"/>
      <c r="G12" s="25"/>
      <c r="H12" s="23"/>
      <c r="I12" s="26"/>
      <c r="J12" s="24"/>
      <c r="K12" s="25"/>
      <c r="L12" s="23"/>
      <c r="M12" s="25"/>
      <c r="N12" s="23"/>
      <c r="O12" s="26"/>
      <c r="P12" s="27"/>
      <c r="Q12" s="28"/>
      <c r="R12" s="29"/>
      <c r="S12" s="24"/>
      <c r="T12" s="25"/>
      <c r="U12" s="23"/>
      <c r="V12" s="25"/>
      <c r="W12" s="23"/>
      <c r="X12" s="26"/>
      <c r="Y12" s="24"/>
      <c r="Z12" s="25"/>
      <c r="AA12" s="23"/>
      <c r="AB12" s="25"/>
      <c r="AC12" s="23"/>
      <c r="AD12" s="26"/>
    </row>
    <row r="13">
      <c r="A13" s="30" t="s">
        <v>31</v>
      </c>
      <c r="B13" s="22" t="s">
        <v>27</v>
      </c>
      <c r="C13" s="22" t="s">
        <v>28</v>
      </c>
      <c r="D13" s="24"/>
      <c r="E13" s="25"/>
      <c r="F13" s="23"/>
      <c r="G13" s="25"/>
      <c r="H13" s="23"/>
      <c r="I13" s="26"/>
      <c r="J13" s="24"/>
      <c r="K13" s="25"/>
      <c r="L13" s="23"/>
      <c r="M13" s="25"/>
      <c r="N13" s="23"/>
      <c r="O13" s="26"/>
      <c r="P13" s="27"/>
      <c r="Q13" s="28"/>
      <c r="R13" s="29"/>
      <c r="S13" s="24"/>
      <c r="T13" s="25"/>
      <c r="U13" s="23"/>
      <c r="V13" s="25"/>
      <c r="W13" s="23"/>
      <c r="X13" s="26"/>
      <c r="Y13" s="24"/>
      <c r="Z13" s="25"/>
      <c r="AA13" s="23"/>
      <c r="AB13" s="25"/>
      <c r="AC13" s="23"/>
      <c r="AD13" s="26"/>
    </row>
    <row r="14">
      <c r="A14" s="30" t="s">
        <v>32</v>
      </c>
      <c r="B14" s="22" t="s">
        <v>27</v>
      </c>
      <c r="C14" s="22" t="s">
        <v>28</v>
      </c>
      <c r="D14" s="24"/>
      <c r="E14" s="25" t="n">
        <f>57900</f>
        <v>57900.0</v>
      </c>
      <c r="F14" s="23"/>
      <c r="G14" s="25" t="n">
        <f>42239</f>
        <v>42239.0</v>
      </c>
      <c r="H14" s="23"/>
      <c r="I14" s="26" t="n">
        <f>100139</f>
        <v>100139.0</v>
      </c>
      <c r="J14" s="24"/>
      <c r="K14" s="25" t="n">
        <f>10447048300</f>
        <v>1.04470483E10</v>
      </c>
      <c r="L14" s="23"/>
      <c r="M14" s="25" t="n">
        <f>4117063000</f>
        <v>4.117063E9</v>
      </c>
      <c r="N14" s="23"/>
      <c r="O14" s="26" t="n">
        <f>14564111300</f>
        <v>1.45641113E10</v>
      </c>
      <c r="P14" s="27" t="str">
        <f>"－"</f>
        <v>－</v>
      </c>
      <c r="Q14" s="28" t="str">
        <f>"－"</f>
        <v>－</v>
      </c>
      <c r="R14" s="29" t="str">
        <f>"－"</f>
        <v>－</v>
      </c>
      <c r="S14" s="24"/>
      <c r="T14" s="25" t="n">
        <f>10605</f>
        <v>10605.0</v>
      </c>
      <c r="U14" s="23"/>
      <c r="V14" s="25" t="n">
        <f>5506</f>
        <v>5506.0</v>
      </c>
      <c r="W14" s="23"/>
      <c r="X14" s="26" t="n">
        <f>16111</f>
        <v>16111.0</v>
      </c>
      <c r="Y14" s="24"/>
      <c r="Z14" s="25" t="n">
        <f>871471</f>
        <v>871471.0</v>
      </c>
      <c r="AA14" s="23"/>
      <c r="AB14" s="25" t="n">
        <f>541786</f>
        <v>541786.0</v>
      </c>
      <c r="AC14" s="23"/>
      <c r="AD14" s="26" t="n">
        <f>1413257</f>
        <v>1413257.0</v>
      </c>
    </row>
    <row r="15">
      <c r="A15" s="30" t="s">
        <v>33</v>
      </c>
      <c r="B15" s="22" t="s">
        <v>27</v>
      </c>
      <c r="C15" s="22" t="s">
        <v>28</v>
      </c>
      <c r="D15" s="24"/>
      <c r="E15" s="25" t="n">
        <f>49468</f>
        <v>49468.0</v>
      </c>
      <c r="F15" s="23"/>
      <c r="G15" s="25" t="n">
        <f>27152</f>
        <v>27152.0</v>
      </c>
      <c r="H15" s="23"/>
      <c r="I15" s="26" t="n">
        <f>76620</f>
        <v>76620.0</v>
      </c>
      <c r="J15" s="24" t="s">
        <v>34</v>
      </c>
      <c r="K15" s="25" t="n">
        <f>5388439055</f>
        <v>5.388439055E9</v>
      </c>
      <c r="L15" s="23"/>
      <c r="M15" s="25" t="n">
        <f>3721854100</f>
        <v>3.7218541E9</v>
      </c>
      <c r="N15" s="23" t="s">
        <v>34</v>
      </c>
      <c r="O15" s="26" t="n">
        <f>9110293155</f>
        <v>9.110293155E9</v>
      </c>
      <c r="P15" s="27" t="str">
        <f>"－"</f>
        <v>－</v>
      </c>
      <c r="Q15" s="28" t="str">
        <f>"－"</f>
        <v>－</v>
      </c>
      <c r="R15" s="29" t="str">
        <f>"－"</f>
        <v>－</v>
      </c>
      <c r="S15" s="24"/>
      <c r="T15" s="25" t="n">
        <f>9331</f>
        <v>9331.0</v>
      </c>
      <c r="U15" s="23"/>
      <c r="V15" s="25" t="n">
        <f>4371</f>
        <v>4371.0</v>
      </c>
      <c r="W15" s="23"/>
      <c r="X15" s="26" t="n">
        <f>13702</f>
        <v>13702.0</v>
      </c>
      <c r="Y15" s="24"/>
      <c r="Z15" s="25" t="n">
        <f>880335</f>
        <v>880335.0</v>
      </c>
      <c r="AA15" s="23"/>
      <c r="AB15" s="25" t="n">
        <f>543902</f>
        <v>543902.0</v>
      </c>
      <c r="AC15" s="23"/>
      <c r="AD15" s="26" t="n">
        <f>1424237</f>
        <v>1424237.0</v>
      </c>
    </row>
    <row r="16">
      <c r="A16" s="30" t="s">
        <v>35</v>
      </c>
      <c r="B16" s="22" t="s">
        <v>27</v>
      </c>
      <c r="C16" s="22" t="s">
        <v>28</v>
      </c>
      <c r="D16" s="24"/>
      <c r="E16" s="25" t="n">
        <f>73368</f>
        <v>73368.0</v>
      </c>
      <c r="F16" s="23"/>
      <c r="G16" s="25" t="n">
        <f>44432</f>
        <v>44432.0</v>
      </c>
      <c r="H16" s="23"/>
      <c r="I16" s="26" t="n">
        <f>117800</f>
        <v>117800.0</v>
      </c>
      <c r="J16" s="24"/>
      <c r="K16" s="25" t="n">
        <f>16675158430</f>
        <v>1.667515843E10</v>
      </c>
      <c r="L16" s="23"/>
      <c r="M16" s="25" t="n">
        <f>6344617930</f>
        <v>6.34461793E9</v>
      </c>
      <c r="N16" s="23"/>
      <c r="O16" s="26" t="n">
        <f>23019776360</f>
        <v>2.301977636E10</v>
      </c>
      <c r="P16" s="27" t="str">
        <f>"－"</f>
        <v>－</v>
      </c>
      <c r="Q16" s="28" t="str">
        <f>"－"</f>
        <v>－</v>
      </c>
      <c r="R16" s="29" t="str">
        <f>"－"</f>
        <v>－</v>
      </c>
      <c r="S16" s="24"/>
      <c r="T16" s="25" t="n">
        <f>11222</f>
        <v>11222.0</v>
      </c>
      <c r="U16" s="23"/>
      <c r="V16" s="25" t="n">
        <f>7577</f>
        <v>7577.0</v>
      </c>
      <c r="W16" s="23"/>
      <c r="X16" s="26" t="n">
        <f>18799</f>
        <v>18799.0</v>
      </c>
      <c r="Y16" s="24"/>
      <c r="Z16" s="25" t="n">
        <f>889133</f>
        <v>889133.0</v>
      </c>
      <c r="AA16" s="23"/>
      <c r="AB16" s="25" t="n">
        <f>552833</f>
        <v>552833.0</v>
      </c>
      <c r="AC16" s="23"/>
      <c r="AD16" s="26" t="n">
        <f>1441966</f>
        <v>1441966.0</v>
      </c>
    </row>
    <row r="17">
      <c r="A17" s="30" t="s">
        <v>36</v>
      </c>
      <c r="B17" s="22" t="s">
        <v>27</v>
      </c>
      <c r="C17" s="22" t="s">
        <v>28</v>
      </c>
      <c r="D17" s="24"/>
      <c r="E17" s="25" t="n">
        <f>86383</f>
        <v>86383.0</v>
      </c>
      <c r="F17" s="23"/>
      <c r="G17" s="25" t="n">
        <f>43749</f>
        <v>43749.0</v>
      </c>
      <c r="H17" s="23"/>
      <c r="I17" s="26" t="n">
        <f>130132</f>
        <v>130132.0</v>
      </c>
      <c r="J17" s="24"/>
      <c r="K17" s="25" t="n">
        <f>17476980289</f>
        <v>1.7476980289E10</v>
      </c>
      <c r="L17" s="23"/>
      <c r="M17" s="25" t="n">
        <f>5289767700</f>
        <v>5.2897677E9</v>
      </c>
      <c r="N17" s="23"/>
      <c r="O17" s="26" t="n">
        <f>22766747989</f>
        <v>2.2766747989E10</v>
      </c>
      <c r="P17" s="27" t="str">
        <f>"－"</f>
        <v>－</v>
      </c>
      <c r="Q17" s="28" t="str">
        <f>"－"</f>
        <v>－</v>
      </c>
      <c r="R17" s="29" t="str">
        <f>"－"</f>
        <v>－</v>
      </c>
      <c r="S17" s="24"/>
      <c r="T17" s="25" t="n">
        <f>13024</f>
        <v>13024.0</v>
      </c>
      <c r="U17" s="23"/>
      <c r="V17" s="25" t="n">
        <f>9989</f>
        <v>9989.0</v>
      </c>
      <c r="W17" s="23"/>
      <c r="X17" s="26" t="n">
        <f>23013</f>
        <v>23013.0</v>
      </c>
      <c r="Y17" s="24" t="s">
        <v>37</v>
      </c>
      <c r="Z17" s="25" t="n">
        <f>897910</f>
        <v>897910.0</v>
      </c>
      <c r="AA17" s="23" t="s">
        <v>37</v>
      </c>
      <c r="AB17" s="25" t="n">
        <f>563710</f>
        <v>563710.0</v>
      </c>
      <c r="AC17" s="23" t="s">
        <v>37</v>
      </c>
      <c r="AD17" s="26" t="n">
        <f>1461620</f>
        <v>1461620.0</v>
      </c>
    </row>
    <row r="18">
      <c r="A18" s="30" t="s">
        <v>38</v>
      </c>
      <c r="B18" s="22" t="s">
        <v>27</v>
      </c>
      <c r="C18" s="22" t="s">
        <v>28</v>
      </c>
      <c r="D18" s="24" t="s">
        <v>37</v>
      </c>
      <c r="E18" s="25" t="n">
        <f>91038</f>
        <v>91038.0</v>
      </c>
      <c r="F18" s="23" t="s">
        <v>37</v>
      </c>
      <c r="G18" s="25" t="n">
        <f>54634</f>
        <v>54634.0</v>
      </c>
      <c r="H18" s="23" t="s">
        <v>37</v>
      </c>
      <c r="I18" s="26" t="n">
        <f>145672</f>
        <v>145672.0</v>
      </c>
      <c r="J18" s="24" t="s">
        <v>37</v>
      </c>
      <c r="K18" s="25" t="n">
        <f>37288510180</f>
        <v>3.728851018E10</v>
      </c>
      <c r="L18" s="23"/>
      <c r="M18" s="25" t="n">
        <f>13043219410</f>
        <v>1.304321941E10</v>
      </c>
      <c r="N18" s="23" t="s">
        <v>37</v>
      </c>
      <c r="O18" s="26" t="n">
        <f>50331729590</f>
        <v>5.033172959E10</v>
      </c>
      <c r="P18" s="27" t="n">
        <f>30101</f>
        <v>30101.0</v>
      </c>
      <c r="Q18" s="28" t="n">
        <f>303</f>
        <v>303.0</v>
      </c>
      <c r="R18" s="29" t="n">
        <f>30404</f>
        <v>30404.0</v>
      </c>
      <c r="S18" s="24" t="s">
        <v>37</v>
      </c>
      <c r="T18" s="25" t="n">
        <f>25153</f>
        <v>25153.0</v>
      </c>
      <c r="U18" s="23"/>
      <c r="V18" s="25" t="n">
        <f>10150</f>
        <v>10150.0</v>
      </c>
      <c r="W18" s="23" t="s">
        <v>37</v>
      </c>
      <c r="X18" s="26" t="n">
        <f>35303</f>
        <v>35303.0</v>
      </c>
      <c r="Y18" s="24" t="s">
        <v>34</v>
      </c>
      <c r="Z18" s="25" t="n">
        <f>811801</f>
        <v>811801.0</v>
      </c>
      <c r="AA18" s="23" t="s">
        <v>34</v>
      </c>
      <c r="AB18" s="25" t="n">
        <f>484941</f>
        <v>484941.0</v>
      </c>
      <c r="AC18" s="23" t="s">
        <v>34</v>
      </c>
      <c r="AD18" s="26" t="n">
        <f>1296742</f>
        <v>1296742.0</v>
      </c>
    </row>
    <row r="19">
      <c r="A19" s="30" t="s">
        <v>39</v>
      </c>
      <c r="B19" s="22" t="s">
        <v>27</v>
      </c>
      <c r="C19" s="22" t="s">
        <v>28</v>
      </c>
      <c r="D19" s="24"/>
      <c r="E19" s="25"/>
      <c r="F19" s="23"/>
      <c r="G19" s="25"/>
      <c r="H19" s="23"/>
      <c r="I19" s="26"/>
      <c r="J19" s="24"/>
      <c r="K19" s="25"/>
      <c r="L19" s="23"/>
      <c r="M19" s="25"/>
      <c r="N19" s="23"/>
      <c r="O19" s="26"/>
      <c r="P19" s="27"/>
      <c r="Q19" s="28"/>
      <c r="R19" s="29"/>
      <c r="S19" s="24"/>
      <c r="T19" s="25"/>
      <c r="U19" s="23"/>
      <c r="V19" s="25"/>
      <c r="W19" s="23"/>
      <c r="X19" s="26"/>
      <c r="Y19" s="24"/>
      <c r="Z19" s="25"/>
      <c r="AA19" s="23"/>
      <c r="AB19" s="25"/>
      <c r="AC19" s="23"/>
      <c r="AD19" s="26"/>
    </row>
    <row r="20">
      <c r="A20" s="30" t="s">
        <v>40</v>
      </c>
      <c r="B20" s="22" t="s">
        <v>27</v>
      </c>
      <c r="C20" s="22" t="s">
        <v>28</v>
      </c>
      <c r="D20" s="24"/>
      <c r="E20" s="25"/>
      <c r="F20" s="23"/>
      <c r="G20" s="25"/>
      <c r="H20" s="23"/>
      <c r="I20" s="26"/>
      <c r="J20" s="24"/>
      <c r="K20" s="25"/>
      <c r="L20" s="23"/>
      <c r="M20" s="25"/>
      <c r="N20" s="23"/>
      <c r="O20" s="26"/>
      <c r="P20" s="27"/>
      <c r="Q20" s="28"/>
      <c r="R20" s="29"/>
      <c r="S20" s="24"/>
      <c r="T20" s="25"/>
      <c r="U20" s="23"/>
      <c r="V20" s="25"/>
      <c r="W20" s="23"/>
      <c r="X20" s="26"/>
      <c r="Y20" s="24"/>
      <c r="Z20" s="25"/>
      <c r="AA20" s="23"/>
      <c r="AB20" s="25"/>
      <c r="AC20" s="23"/>
      <c r="AD20" s="26"/>
    </row>
    <row r="21">
      <c r="A21" s="30" t="s">
        <v>41</v>
      </c>
      <c r="B21" s="22" t="s">
        <v>27</v>
      </c>
      <c r="C21" s="22" t="s">
        <v>28</v>
      </c>
      <c r="D21" s="24"/>
      <c r="E21" s="25" t="n">
        <f>53875</f>
        <v>53875.0</v>
      </c>
      <c r="F21" s="23"/>
      <c r="G21" s="25" t="n">
        <f>47178</f>
        <v>47178.0</v>
      </c>
      <c r="H21" s="23"/>
      <c r="I21" s="26" t="n">
        <f>101053</f>
        <v>101053.0</v>
      </c>
      <c r="J21" s="24"/>
      <c r="K21" s="25" t="n">
        <f>13931561250</f>
        <v>1.393156125E10</v>
      </c>
      <c r="L21" s="23"/>
      <c r="M21" s="25" t="n">
        <f>8042078850</f>
        <v>8.04207885E9</v>
      </c>
      <c r="N21" s="23"/>
      <c r="O21" s="26" t="n">
        <f>21973640100</f>
        <v>2.19736401E10</v>
      </c>
      <c r="P21" s="27" t="str">
        <f>"－"</f>
        <v>－</v>
      </c>
      <c r="Q21" s="28" t="str">
        <f>"－"</f>
        <v>－</v>
      </c>
      <c r="R21" s="29" t="str">
        <f>"－"</f>
        <v>－</v>
      </c>
      <c r="S21" s="24"/>
      <c r="T21" s="25" t="n">
        <f>6929</f>
        <v>6929.0</v>
      </c>
      <c r="U21" s="23" t="s">
        <v>37</v>
      </c>
      <c r="V21" s="25" t="n">
        <f>11586</f>
        <v>11586.0</v>
      </c>
      <c r="W21" s="23"/>
      <c r="X21" s="26" t="n">
        <f>18515</f>
        <v>18515.0</v>
      </c>
      <c r="Y21" s="24"/>
      <c r="Z21" s="25" t="n">
        <f>824110</f>
        <v>824110.0</v>
      </c>
      <c r="AA21" s="23"/>
      <c r="AB21" s="25" t="n">
        <f>489485</f>
        <v>489485.0</v>
      </c>
      <c r="AC21" s="23"/>
      <c r="AD21" s="26" t="n">
        <f>1313595</f>
        <v>1313595.0</v>
      </c>
    </row>
    <row r="22">
      <c r="A22" s="30" t="s">
        <v>42</v>
      </c>
      <c r="B22" s="22" t="s">
        <v>27</v>
      </c>
      <c r="C22" s="22" t="s">
        <v>28</v>
      </c>
      <c r="D22" s="24"/>
      <c r="E22" s="25" t="n">
        <f>38720</f>
        <v>38720.0</v>
      </c>
      <c r="F22" s="23"/>
      <c r="G22" s="25" t="n">
        <f>29025</f>
        <v>29025.0</v>
      </c>
      <c r="H22" s="23"/>
      <c r="I22" s="26" t="n">
        <f>67745</f>
        <v>67745.0</v>
      </c>
      <c r="J22" s="24"/>
      <c r="K22" s="25" t="n">
        <f>9116207600</f>
        <v>9.1162076E9</v>
      </c>
      <c r="L22" s="23"/>
      <c r="M22" s="25" t="n">
        <f>7568457730</f>
        <v>7.56845773E9</v>
      </c>
      <c r="N22" s="23"/>
      <c r="O22" s="26" t="n">
        <f>16684665330</f>
        <v>1.668466533E10</v>
      </c>
      <c r="P22" s="27" t="str">
        <f>"－"</f>
        <v>－</v>
      </c>
      <c r="Q22" s="28" t="str">
        <f>"－"</f>
        <v>－</v>
      </c>
      <c r="R22" s="29" t="str">
        <f>"－"</f>
        <v>－</v>
      </c>
      <c r="S22" s="24"/>
      <c r="T22" s="25" t="n">
        <f>7602</f>
        <v>7602.0</v>
      </c>
      <c r="U22" s="23"/>
      <c r="V22" s="25" t="n">
        <f>2832</f>
        <v>2832.0</v>
      </c>
      <c r="W22" s="23"/>
      <c r="X22" s="26" t="n">
        <f>10434</f>
        <v>10434.0</v>
      </c>
      <c r="Y22" s="24"/>
      <c r="Z22" s="25" t="n">
        <f>829344</f>
        <v>829344.0</v>
      </c>
      <c r="AA22" s="23"/>
      <c r="AB22" s="25" t="n">
        <f>494690</f>
        <v>494690.0</v>
      </c>
      <c r="AC22" s="23"/>
      <c r="AD22" s="26" t="n">
        <f>1324034</f>
        <v>1324034.0</v>
      </c>
    </row>
    <row r="23">
      <c r="A23" s="30" t="s">
        <v>43</v>
      </c>
      <c r="B23" s="22" t="s">
        <v>27</v>
      </c>
      <c r="C23" s="22" t="s">
        <v>28</v>
      </c>
      <c r="D23" s="24" t="s">
        <v>34</v>
      </c>
      <c r="E23" s="25" t="n">
        <f>27748</f>
        <v>27748.0</v>
      </c>
      <c r="F23" s="23"/>
      <c r="G23" s="25" t="n">
        <f>29446</f>
        <v>29446.0</v>
      </c>
      <c r="H23" s="23"/>
      <c r="I23" s="26" t="n">
        <f>57194</f>
        <v>57194.0</v>
      </c>
      <c r="J23" s="24"/>
      <c r="K23" s="25" t="n">
        <f>8682946500</f>
        <v>8.6829465E9</v>
      </c>
      <c r="L23" s="23" t="s">
        <v>37</v>
      </c>
      <c r="M23" s="25" t="n">
        <f>16689507300</f>
        <v>1.66895073E10</v>
      </c>
      <c r="N23" s="23"/>
      <c r="O23" s="26" t="n">
        <f>25372453800</f>
        <v>2.53724538E10</v>
      </c>
      <c r="P23" s="27" t="str">
        <f>"－"</f>
        <v>－</v>
      </c>
      <c r="Q23" s="28" t="str">
        <f>"－"</f>
        <v>－</v>
      </c>
      <c r="R23" s="29" t="str">
        <f>"－"</f>
        <v>－</v>
      </c>
      <c r="S23" s="24"/>
      <c r="T23" s="25" t="n">
        <f>4726</f>
        <v>4726.0</v>
      </c>
      <c r="U23" s="23"/>
      <c r="V23" s="25" t="n">
        <f>10594</f>
        <v>10594.0</v>
      </c>
      <c r="W23" s="23"/>
      <c r="X23" s="26" t="n">
        <f>15320</f>
        <v>15320.0</v>
      </c>
      <c r="Y23" s="24"/>
      <c r="Z23" s="25" t="n">
        <f>832885</f>
        <v>832885.0</v>
      </c>
      <c r="AA23" s="23"/>
      <c r="AB23" s="25" t="n">
        <f>506281</f>
        <v>506281.0</v>
      </c>
      <c r="AC23" s="23"/>
      <c r="AD23" s="26" t="n">
        <f>1339166</f>
        <v>1339166.0</v>
      </c>
    </row>
    <row r="24">
      <c r="A24" s="30" t="s">
        <v>44</v>
      </c>
      <c r="B24" s="22" t="s">
        <v>27</v>
      </c>
      <c r="C24" s="22" t="s">
        <v>28</v>
      </c>
      <c r="D24" s="24"/>
      <c r="E24" s="25" t="n">
        <f>35110</f>
        <v>35110.0</v>
      </c>
      <c r="F24" s="23"/>
      <c r="G24" s="25" t="n">
        <f>22514</f>
        <v>22514.0</v>
      </c>
      <c r="H24" s="23"/>
      <c r="I24" s="26" t="n">
        <f>57624</f>
        <v>57624.0</v>
      </c>
      <c r="J24" s="24"/>
      <c r="K24" s="25" t="n">
        <f>8061317940</f>
        <v>8.06131794E9</v>
      </c>
      <c r="L24" s="23"/>
      <c r="M24" s="25" t="n">
        <f>6512102800</f>
        <v>6.5121028E9</v>
      </c>
      <c r="N24" s="23"/>
      <c r="O24" s="26" t="n">
        <f>14573420740</f>
        <v>1.457342074E10</v>
      </c>
      <c r="P24" s="27" t="str">
        <f>"－"</f>
        <v>－</v>
      </c>
      <c r="Q24" s="28" t="str">
        <f>"－"</f>
        <v>－</v>
      </c>
      <c r="R24" s="29" t="str">
        <f>"－"</f>
        <v>－</v>
      </c>
      <c r="S24" s="24"/>
      <c r="T24" s="25" t="n">
        <f>4870</f>
        <v>4870.0</v>
      </c>
      <c r="U24" s="23"/>
      <c r="V24" s="25" t="n">
        <f>3492</f>
        <v>3492.0</v>
      </c>
      <c r="W24" s="23"/>
      <c r="X24" s="26" t="n">
        <f>8362</f>
        <v>8362.0</v>
      </c>
      <c r="Y24" s="24"/>
      <c r="Z24" s="25" t="n">
        <f>838417</f>
        <v>838417.0</v>
      </c>
      <c r="AA24" s="23"/>
      <c r="AB24" s="25" t="n">
        <f>510535</f>
        <v>510535.0</v>
      </c>
      <c r="AC24" s="23"/>
      <c r="AD24" s="26" t="n">
        <f>1348952</f>
        <v>1348952.0</v>
      </c>
    </row>
    <row r="25">
      <c r="A25" s="30" t="s">
        <v>45</v>
      </c>
      <c r="B25" s="22" t="s">
        <v>27</v>
      </c>
      <c r="C25" s="22" t="s">
        <v>28</v>
      </c>
      <c r="D25" s="24"/>
      <c r="E25" s="25" t="n">
        <f>41633</f>
        <v>41633.0</v>
      </c>
      <c r="F25" s="23"/>
      <c r="G25" s="25" t="n">
        <f>35363</f>
        <v>35363.0</v>
      </c>
      <c r="H25" s="23"/>
      <c r="I25" s="26" t="n">
        <f>76996</f>
        <v>76996.0</v>
      </c>
      <c r="J25" s="24"/>
      <c r="K25" s="25" t="n">
        <f>12412698972</f>
        <v>1.2412698972E10</v>
      </c>
      <c r="L25" s="23"/>
      <c r="M25" s="25" t="n">
        <f>7460874400</f>
        <v>7.4608744E9</v>
      </c>
      <c r="N25" s="23"/>
      <c r="O25" s="26" t="n">
        <f>19873573372</f>
        <v>1.9873573372E10</v>
      </c>
      <c r="P25" s="27" t="str">
        <f>"－"</f>
        <v>－</v>
      </c>
      <c r="Q25" s="28" t="str">
        <f>"－"</f>
        <v>－</v>
      </c>
      <c r="R25" s="29" t="str">
        <f>"－"</f>
        <v>－</v>
      </c>
      <c r="S25" s="24"/>
      <c r="T25" s="25" t="n">
        <f>7762</f>
        <v>7762.0</v>
      </c>
      <c r="U25" s="23"/>
      <c r="V25" s="25" t="n">
        <f>7906</f>
        <v>7906.0</v>
      </c>
      <c r="W25" s="23"/>
      <c r="X25" s="26" t="n">
        <f>15668</f>
        <v>15668.0</v>
      </c>
      <c r="Y25" s="24"/>
      <c r="Z25" s="25" t="n">
        <f>843340</f>
        <v>843340.0</v>
      </c>
      <c r="AA25" s="23"/>
      <c r="AB25" s="25" t="n">
        <f>516332</f>
        <v>516332.0</v>
      </c>
      <c r="AC25" s="23"/>
      <c r="AD25" s="26" t="n">
        <f>1359672</f>
        <v>1359672.0</v>
      </c>
    </row>
    <row r="26">
      <c r="A26" s="30" t="s">
        <v>46</v>
      </c>
      <c r="B26" s="22" t="s">
        <v>27</v>
      </c>
      <c r="C26" s="22" t="s">
        <v>28</v>
      </c>
      <c r="D26" s="24"/>
      <c r="E26" s="25"/>
      <c r="F26" s="23"/>
      <c r="G26" s="25"/>
      <c r="H26" s="23"/>
      <c r="I26" s="26"/>
      <c r="J26" s="24"/>
      <c r="K26" s="25"/>
      <c r="L26" s="23"/>
      <c r="M26" s="25"/>
      <c r="N26" s="23"/>
      <c r="O26" s="26"/>
      <c r="P26" s="27"/>
      <c r="Q26" s="28"/>
      <c r="R26" s="29"/>
      <c r="S26" s="24"/>
      <c r="T26" s="25"/>
      <c r="U26" s="23"/>
      <c r="V26" s="25"/>
      <c r="W26" s="23"/>
      <c r="X26" s="26"/>
      <c r="Y26" s="24"/>
      <c r="Z26" s="25"/>
      <c r="AA26" s="23"/>
      <c r="AB26" s="25"/>
      <c r="AC26" s="23"/>
      <c r="AD26" s="26"/>
    </row>
    <row r="27">
      <c r="A27" s="30" t="s">
        <v>47</v>
      </c>
      <c r="B27" s="22" t="s">
        <v>27</v>
      </c>
      <c r="C27" s="22" t="s">
        <v>28</v>
      </c>
      <c r="D27" s="24"/>
      <c r="E27" s="25"/>
      <c r="F27" s="23"/>
      <c r="G27" s="25"/>
      <c r="H27" s="23"/>
      <c r="I27" s="26"/>
      <c r="J27" s="24"/>
      <c r="K27" s="25"/>
      <c r="L27" s="23"/>
      <c r="M27" s="25"/>
      <c r="N27" s="23"/>
      <c r="O27" s="26"/>
      <c r="P27" s="27"/>
      <c r="Q27" s="28"/>
      <c r="R27" s="29"/>
      <c r="S27" s="24"/>
      <c r="T27" s="25"/>
      <c r="U27" s="23"/>
      <c r="V27" s="25"/>
      <c r="W27" s="23"/>
      <c r="X27" s="26"/>
      <c r="Y27" s="24"/>
      <c r="Z27" s="25"/>
      <c r="AA27" s="23"/>
      <c r="AB27" s="25"/>
      <c r="AC27" s="23"/>
      <c r="AD27" s="26"/>
    </row>
    <row r="28">
      <c r="A28" s="30" t="s">
        <v>48</v>
      </c>
      <c r="B28" s="22" t="s">
        <v>27</v>
      </c>
      <c r="C28" s="22" t="s">
        <v>28</v>
      </c>
      <c r="D28" s="24"/>
      <c r="E28" s="25" t="n">
        <f>50945</f>
        <v>50945.0</v>
      </c>
      <c r="F28" s="23"/>
      <c r="G28" s="25" t="n">
        <f>38398</f>
        <v>38398.0</v>
      </c>
      <c r="H28" s="23"/>
      <c r="I28" s="26" t="n">
        <f>89343</f>
        <v>89343.0</v>
      </c>
      <c r="J28" s="24"/>
      <c r="K28" s="25" t="n">
        <f>15161475800</f>
        <v>1.51614758E10</v>
      </c>
      <c r="L28" s="23"/>
      <c r="M28" s="25" t="n">
        <f>7409360500</f>
        <v>7.4093605E9</v>
      </c>
      <c r="N28" s="23"/>
      <c r="O28" s="26" t="n">
        <f>22570836300</f>
        <v>2.25708363E10</v>
      </c>
      <c r="P28" s="27" t="str">
        <f>"－"</f>
        <v>－</v>
      </c>
      <c r="Q28" s="28" t="str">
        <f>"－"</f>
        <v>－</v>
      </c>
      <c r="R28" s="29" t="str">
        <f>"－"</f>
        <v>－</v>
      </c>
      <c r="S28" s="24"/>
      <c r="T28" s="25" t="n">
        <f>5525</f>
        <v>5525.0</v>
      </c>
      <c r="U28" s="23"/>
      <c r="V28" s="25" t="n">
        <f>3858</f>
        <v>3858.0</v>
      </c>
      <c r="W28" s="23"/>
      <c r="X28" s="26" t="n">
        <f>9383</f>
        <v>9383.0</v>
      </c>
      <c r="Y28" s="24"/>
      <c r="Z28" s="25" t="n">
        <f>870469</f>
        <v>870469.0</v>
      </c>
      <c r="AA28" s="23"/>
      <c r="AB28" s="25" t="n">
        <f>535740</f>
        <v>535740.0</v>
      </c>
      <c r="AC28" s="23"/>
      <c r="AD28" s="26" t="n">
        <f>1406209</f>
        <v>1406209.0</v>
      </c>
    </row>
    <row r="29">
      <c r="A29" s="30" t="s">
        <v>49</v>
      </c>
      <c r="B29" s="22" t="s">
        <v>27</v>
      </c>
      <c r="C29" s="22" t="s">
        <v>28</v>
      </c>
      <c r="D29" s="24"/>
      <c r="E29" s="25" t="n">
        <f>75756</f>
        <v>75756.0</v>
      </c>
      <c r="F29" s="23"/>
      <c r="G29" s="25" t="n">
        <f>47116</f>
        <v>47116.0</v>
      </c>
      <c r="H29" s="23"/>
      <c r="I29" s="26" t="n">
        <f>122872</f>
        <v>122872.0</v>
      </c>
      <c r="J29" s="24"/>
      <c r="K29" s="25" t="n">
        <f>21733942795</f>
        <v>2.1733942795E10</v>
      </c>
      <c r="L29" s="23"/>
      <c r="M29" s="25" t="n">
        <f>8587757250</f>
        <v>8.58775725E9</v>
      </c>
      <c r="N29" s="23"/>
      <c r="O29" s="26" t="n">
        <f>30321700045</f>
        <v>3.0321700045E10</v>
      </c>
      <c r="P29" s="27" t="str">
        <f>"－"</f>
        <v>－</v>
      </c>
      <c r="Q29" s="28" t="str">
        <f>"－"</f>
        <v>－</v>
      </c>
      <c r="R29" s="29" t="str">
        <f>"－"</f>
        <v>－</v>
      </c>
      <c r="S29" s="24"/>
      <c r="T29" s="25" t="n">
        <f>11923</f>
        <v>11923.0</v>
      </c>
      <c r="U29" s="23"/>
      <c r="V29" s="25" t="n">
        <f>5977</f>
        <v>5977.0</v>
      </c>
      <c r="W29" s="23"/>
      <c r="X29" s="26" t="n">
        <f>17900</f>
        <v>17900.0</v>
      </c>
      <c r="Y29" s="24"/>
      <c r="Z29" s="25" t="n">
        <f>859463</f>
        <v>859463.0</v>
      </c>
      <c r="AA29" s="23"/>
      <c r="AB29" s="25" t="n">
        <f>524885</f>
        <v>524885.0</v>
      </c>
      <c r="AC29" s="23"/>
      <c r="AD29" s="26" t="n">
        <f>1384348</f>
        <v>1384348.0</v>
      </c>
    </row>
    <row r="30">
      <c r="A30" s="30" t="s">
        <v>50</v>
      </c>
      <c r="B30" s="22" t="s">
        <v>27</v>
      </c>
      <c r="C30" s="22" t="s">
        <v>28</v>
      </c>
      <c r="D30" s="24"/>
      <c r="E30" s="25" t="n">
        <f>46996</f>
        <v>46996.0</v>
      </c>
      <c r="F30" s="23"/>
      <c r="G30" s="25" t="n">
        <f>42447</f>
        <v>42447.0</v>
      </c>
      <c r="H30" s="23"/>
      <c r="I30" s="26" t="n">
        <f>89443</f>
        <v>89443.0</v>
      </c>
      <c r="J30" s="24"/>
      <c r="K30" s="25" t="n">
        <f>13047354050</f>
        <v>1.304735405E10</v>
      </c>
      <c r="L30" s="23"/>
      <c r="M30" s="25" t="n">
        <f>7934149200</f>
        <v>7.9341492E9</v>
      </c>
      <c r="N30" s="23"/>
      <c r="O30" s="26" t="n">
        <f>20981503250</f>
        <v>2.098150325E10</v>
      </c>
      <c r="P30" s="27" t="str">
        <f>"－"</f>
        <v>－</v>
      </c>
      <c r="Q30" s="28" t="str">
        <f>"－"</f>
        <v>－</v>
      </c>
      <c r="R30" s="29" t="str">
        <f>"－"</f>
        <v>－</v>
      </c>
      <c r="S30" s="24"/>
      <c r="T30" s="25" t="n">
        <f>6191</f>
        <v>6191.0</v>
      </c>
      <c r="U30" s="23"/>
      <c r="V30" s="25" t="n">
        <f>7964</f>
        <v>7964.0</v>
      </c>
      <c r="W30" s="23"/>
      <c r="X30" s="26" t="n">
        <f>14155</f>
        <v>14155.0</v>
      </c>
      <c r="Y30" s="24"/>
      <c r="Z30" s="25" t="n">
        <f>865234</f>
        <v>865234.0</v>
      </c>
      <c r="AA30" s="23"/>
      <c r="AB30" s="25" t="n">
        <f>534190</f>
        <v>534190.0</v>
      </c>
      <c r="AC30" s="23"/>
      <c r="AD30" s="26" t="n">
        <f>1399424</f>
        <v>1399424.0</v>
      </c>
    </row>
    <row r="31">
      <c r="A31" s="30" t="s">
        <v>51</v>
      </c>
      <c r="B31" s="22" t="s">
        <v>27</v>
      </c>
      <c r="C31" s="22" t="s">
        <v>28</v>
      </c>
      <c r="D31" s="24"/>
      <c r="E31" s="25"/>
      <c r="F31" s="23"/>
      <c r="G31" s="25"/>
      <c r="H31" s="23"/>
      <c r="I31" s="26"/>
      <c r="J31" s="24"/>
      <c r="K31" s="25"/>
      <c r="L31" s="23"/>
      <c r="M31" s="25"/>
      <c r="N31" s="23"/>
      <c r="O31" s="26"/>
      <c r="P31" s="27"/>
      <c r="Q31" s="28"/>
      <c r="R31" s="29"/>
      <c r="S31" s="24"/>
      <c r="T31" s="25"/>
      <c r="U31" s="23"/>
      <c r="V31" s="25"/>
      <c r="W31" s="23"/>
      <c r="X31" s="26"/>
      <c r="Y31" s="24"/>
      <c r="Z31" s="25"/>
      <c r="AA31" s="23"/>
      <c r="AB31" s="25"/>
      <c r="AC31" s="23"/>
      <c r="AD31" s="26"/>
    </row>
    <row r="32">
      <c r="A32" s="30" t="s">
        <v>52</v>
      </c>
      <c r="B32" s="22" t="s">
        <v>27</v>
      </c>
      <c r="C32" s="22" t="s">
        <v>28</v>
      </c>
      <c r="D32" s="24"/>
      <c r="E32" s="25"/>
      <c r="F32" s="23"/>
      <c r="G32" s="25"/>
      <c r="H32" s="23"/>
      <c r="I32" s="26"/>
      <c r="J32" s="24"/>
      <c r="K32" s="25"/>
      <c r="L32" s="23"/>
      <c r="M32" s="25"/>
      <c r="N32" s="23"/>
      <c r="O32" s="26"/>
      <c r="P32" s="27"/>
      <c r="Q32" s="28"/>
      <c r="R32" s="29"/>
      <c r="S32" s="24"/>
      <c r="T32" s="25"/>
      <c r="U32" s="23"/>
      <c r="V32" s="25"/>
      <c r="W32" s="23"/>
      <c r="X32" s="26"/>
      <c r="Y32" s="24"/>
      <c r="Z32" s="25"/>
      <c r="AA32" s="23"/>
      <c r="AB32" s="25"/>
      <c r="AC32" s="23"/>
      <c r="AD32" s="26"/>
    </row>
    <row r="33">
      <c r="A33" s="30" t="s">
        <v>53</v>
      </c>
      <c r="B33" s="22" t="s">
        <v>27</v>
      </c>
      <c r="C33" s="22" t="s">
        <v>28</v>
      </c>
      <c r="D33" s="24"/>
      <c r="E33" s="25"/>
      <c r="F33" s="23"/>
      <c r="G33" s="25"/>
      <c r="H33" s="23"/>
      <c r="I33" s="26"/>
      <c r="J33" s="24"/>
      <c r="K33" s="25"/>
      <c r="L33" s="23"/>
      <c r="M33" s="25"/>
      <c r="N33" s="23"/>
      <c r="O33" s="26"/>
      <c r="P33" s="27"/>
      <c r="Q33" s="28"/>
      <c r="R33" s="29"/>
      <c r="S33" s="24"/>
      <c r="T33" s="25"/>
      <c r="U33" s="23"/>
      <c r="V33" s="25"/>
      <c r="W33" s="23"/>
      <c r="X33" s="26"/>
      <c r="Y33" s="24"/>
      <c r="Z33" s="25"/>
      <c r="AA33" s="23"/>
      <c r="AB33" s="25"/>
      <c r="AC33" s="23"/>
      <c r="AD33" s="26"/>
    </row>
    <row r="34">
      <c r="A34" s="30" t="s">
        <v>54</v>
      </c>
      <c r="B34" s="22" t="s">
        <v>27</v>
      </c>
      <c r="C34" s="22" t="s">
        <v>28</v>
      </c>
      <c r="D34" s="24"/>
      <c r="E34" s="25"/>
      <c r="F34" s="23"/>
      <c r="G34" s="25"/>
      <c r="H34" s="23"/>
      <c r="I34" s="26"/>
      <c r="J34" s="24"/>
      <c r="K34" s="25"/>
      <c r="L34" s="23"/>
      <c r="M34" s="25"/>
      <c r="N34" s="23"/>
      <c r="O34" s="26"/>
      <c r="P34" s="27"/>
      <c r="Q34" s="28"/>
      <c r="R34" s="29"/>
      <c r="S34" s="24"/>
      <c r="T34" s="25"/>
      <c r="U34" s="23"/>
      <c r="V34" s="25"/>
      <c r="W34" s="23"/>
      <c r="X34" s="26"/>
      <c r="Y34" s="24"/>
      <c r="Z34" s="25"/>
      <c r="AA34" s="23"/>
      <c r="AB34" s="25"/>
      <c r="AC34" s="23"/>
      <c r="AD34" s="26"/>
    </row>
    <row r="35">
      <c r="A35" s="30" t="s">
        <v>55</v>
      </c>
      <c r="B35" s="22" t="s">
        <v>27</v>
      </c>
      <c r="C35" s="22" t="s">
        <v>28</v>
      </c>
      <c r="D35" s="24"/>
      <c r="E35" s="25" t="n">
        <f>43699</f>
        <v>43699.0</v>
      </c>
      <c r="F35" s="23"/>
      <c r="G35" s="25" t="n">
        <f>28491</f>
        <v>28491.0</v>
      </c>
      <c r="H35" s="23"/>
      <c r="I35" s="26" t="n">
        <f>72190</f>
        <v>72190.0</v>
      </c>
      <c r="J35" s="24"/>
      <c r="K35" s="25" t="n">
        <f>9681359200</f>
        <v>9.6813592E9</v>
      </c>
      <c r="L35" s="23"/>
      <c r="M35" s="25" t="n">
        <f>5110840200</f>
        <v>5.1108402E9</v>
      </c>
      <c r="N35" s="23"/>
      <c r="O35" s="26" t="n">
        <f>14792199400</f>
        <v>1.47921994E10</v>
      </c>
      <c r="P35" s="27" t="str">
        <f>"－"</f>
        <v>－</v>
      </c>
      <c r="Q35" s="28" t="str">
        <f>"－"</f>
        <v>－</v>
      </c>
      <c r="R35" s="29" t="str">
        <f>"－"</f>
        <v>－</v>
      </c>
      <c r="S35" s="24"/>
      <c r="T35" s="25" t="n">
        <f>9579</f>
        <v>9579.0</v>
      </c>
      <c r="U35" s="23"/>
      <c r="V35" s="25" t="n">
        <f>3728</f>
        <v>3728.0</v>
      </c>
      <c r="W35" s="23"/>
      <c r="X35" s="26" t="n">
        <f>13307</f>
        <v>13307.0</v>
      </c>
      <c r="Y35" s="24"/>
      <c r="Z35" s="25" t="n">
        <f>867856</f>
        <v>867856.0</v>
      </c>
      <c r="AA35" s="23"/>
      <c r="AB35" s="25" t="n">
        <f>538385</f>
        <v>538385.0</v>
      </c>
      <c r="AC35" s="23"/>
      <c r="AD35" s="26" t="n">
        <f>1406241</f>
        <v>1406241.0</v>
      </c>
    </row>
    <row r="36">
      <c r="A36" s="30" t="s">
        <v>56</v>
      </c>
      <c r="B36" s="22" t="s">
        <v>27</v>
      </c>
      <c r="C36" s="22" t="s">
        <v>28</v>
      </c>
      <c r="D36" s="24"/>
      <c r="E36" s="25" t="n">
        <f>32846</f>
        <v>32846.0</v>
      </c>
      <c r="F36" s="23"/>
      <c r="G36" s="25" t="n">
        <f>23333</f>
        <v>23333.0</v>
      </c>
      <c r="H36" s="23" t="s">
        <v>34</v>
      </c>
      <c r="I36" s="26" t="n">
        <f>56179</f>
        <v>56179.0</v>
      </c>
      <c r="J36" s="24"/>
      <c r="K36" s="25" t="n">
        <f>7520098150</f>
        <v>7.52009815E9</v>
      </c>
      <c r="L36" s="23"/>
      <c r="M36" s="25" t="n">
        <f>3248786300</f>
        <v>3.2487863E9</v>
      </c>
      <c r="N36" s="23"/>
      <c r="O36" s="26" t="n">
        <f>10768884450</f>
        <v>1.076888445E10</v>
      </c>
      <c r="P36" s="27" t="str">
        <f>"－"</f>
        <v>－</v>
      </c>
      <c r="Q36" s="28" t="str">
        <f>"－"</f>
        <v>－</v>
      </c>
      <c r="R36" s="29" t="str">
        <f>"－"</f>
        <v>－</v>
      </c>
      <c r="S36" s="24" t="s">
        <v>34</v>
      </c>
      <c r="T36" s="25" t="n">
        <f>3453</f>
        <v>3453.0</v>
      </c>
      <c r="U36" s="23"/>
      <c r="V36" s="25" t="n">
        <f>5765</f>
        <v>5765.0</v>
      </c>
      <c r="W36" s="23"/>
      <c r="X36" s="26" t="n">
        <f>9218</f>
        <v>9218.0</v>
      </c>
      <c r="Y36" s="24"/>
      <c r="Z36" s="25" t="n">
        <f>870605</f>
        <v>870605.0</v>
      </c>
      <c r="AA36" s="23"/>
      <c r="AB36" s="25" t="n">
        <f>540148</f>
        <v>540148.0</v>
      </c>
      <c r="AC36" s="23"/>
      <c r="AD36" s="26" t="n">
        <f>1410753</f>
        <v>1410753.0</v>
      </c>
    </row>
    <row r="37">
      <c r="A37" s="30" t="s">
        <v>57</v>
      </c>
      <c r="B37" s="22" t="s">
        <v>27</v>
      </c>
      <c r="C37" s="22" t="s">
        <v>28</v>
      </c>
      <c r="D37" s="24"/>
      <c r="E37" s="25" t="n">
        <f>70788</f>
        <v>70788.0</v>
      </c>
      <c r="F37" s="23"/>
      <c r="G37" s="25" t="n">
        <f>38154</f>
        <v>38154.0</v>
      </c>
      <c r="H37" s="23"/>
      <c r="I37" s="26" t="n">
        <f>108942</f>
        <v>108942.0</v>
      </c>
      <c r="J37" s="24"/>
      <c r="K37" s="25" t="n">
        <f>18802792890</f>
        <v>1.880279289E10</v>
      </c>
      <c r="L37" s="23"/>
      <c r="M37" s="25" t="n">
        <f>6560583500</f>
        <v>6.5605835E9</v>
      </c>
      <c r="N37" s="23"/>
      <c r="O37" s="26" t="n">
        <f>25363376390</f>
        <v>2.536337639E10</v>
      </c>
      <c r="P37" s="27" t="str">
        <f>"－"</f>
        <v>－</v>
      </c>
      <c r="Q37" s="28" t="str">
        <f>"－"</f>
        <v>－</v>
      </c>
      <c r="R37" s="29" t="str">
        <f>"－"</f>
        <v>－</v>
      </c>
      <c r="S37" s="24"/>
      <c r="T37" s="25" t="n">
        <f>21844</f>
        <v>21844.0</v>
      </c>
      <c r="U37" s="23"/>
      <c r="V37" s="25" t="n">
        <f>3652</f>
        <v>3652.0</v>
      </c>
      <c r="W37" s="23"/>
      <c r="X37" s="26" t="n">
        <f>25496</f>
        <v>25496.0</v>
      </c>
      <c r="Y37" s="24"/>
      <c r="Z37" s="25" t="n">
        <f>885043</f>
        <v>885043.0</v>
      </c>
      <c r="AA37" s="23"/>
      <c r="AB37" s="25" t="n">
        <f>547071</f>
        <v>547071.0</v>
      </c>
      <c r="AC37" s="23"/>
      <c r="AD37" s="26" t="n">
        <f>1432114</f>
        <v>1432114.0</v>
      </c>
    </row>
    <row r="38">
      <c r="A38" s="30" t="s">
        <v>58</v>
      </c>
      <c r="B38" s="22" t="s">
        <v>27</v>
      </c>
      <c r="C38" s="22" t="s">
        <v>28</v>
      </c>
      <c r="D38" s="24"/>
      <c r="E38" s="25" t="n">
        <f>42921</f>
        <v>42921.0</v>
      </c>
      <c r="F38" s="23" t="s">
        <v>34</v>
      </c>
      <c r="G38" s="25" t="n">
        <f>20619</f>
        <v>20619.0</v>
      </c>
      <c r="H38" s="23"/>
      <c r="I38" s="26" t="n">
        <f>63540</f>
        <v>63540.0</v>
      </c>
      <c r="J38" s="24"/>
      <c r="K38" s="25" t="n">
        <f>11075610400</f>
        <v>1.10756104E10</v>
      </c>
      <c r="L38" s="23" t="s">
        <v>34</v>
      </c>
      <c r="M38" s="25" t="n">
        <f>2198624290</f>
        <v>2.19862429E9</v>
      </c>
      <c r="N38" s="23"/>
      <c r="O38" s="26" t="n">
        <f>13274234690</f>
        <v>1.327423469E10</v>
      </c>
      <c r="P38" s="27" t="str">
        <f>"－"</f>
        <v>－</v>
      </c>
      <c r="Q38" s="28" t="str">
        <f>"－"</f>
        <v>－</v>
      </c>
      <c r="R38" s="29" t="str">
        <f>"－"</f>
        <v>－</v>
      </c>
      <c r="S38" s="24"/>
      <c r="T38" s="25" t="n">
        <f>4635</f>
        <v>4635.0</v>
      </c>
      <c r="U38" s="23" t="s">
        <v>34</v>
      </c>
      <c r="V38" s="25" t="n">
        <f>2006</f>
        <v>2006.0</v>
      </c>
      <c r="W38" s="23" t="s">
        <v>34</v>
      </c>
      <c r="X38" s="26" t="n">
        <f>6641</f>
        <v>6641.0</v>
      </c>
      <c r="Y38" s="24"/>
      <c r="Z38" s="25" t="n">
        <f>886114</f>
        <v>886114.0</v>
      </c>
      <c r="AA38" s="23"/>
      <c r="AB38" s="25" t="n">
        <f>547074</f>
        <v>547074.0</v>
      </c>
      <c r="AC38" s="23"/>
      <c r="AD38" s="26" t="n">
        <f>1433188</f>
        <v>1433188.0</v>
      </c>
    </row>
    <row r="39">
      <c r="A39" s="30" t="s">
        <v>59</v>
      </c>
      <c r="B39" s="22" t="s">
        <v>27</v>
      </c>
      <c r="C39" s="22" t="s">
        <v>28</v>
      </c>
      <c r="D39" s="24"/>
      <c r="E39" s="25" t="n">
        <f>81465</f>
        <v>81465.0</v>
      </c>
      <c r="F39" s="23"/>
      <c r="G39" s="25" t="n">
        <f>42822</f>
        <v>42822.0</v>
      </c>
      <c r="H39" s="23"/>
      <c r="I39" s="26" t="n">
        <f>124287</f>
        <v>124287.0</v>
      </c>
      <c r="J39" s="24"/>
      <c r="K39" s="25" t="n">
        <f>19850659901</f>
        <v>1.9850659901E10</v>
      </c>
      <c r="L39" s="23"/>
      <c r="M39" s="25" t="n">
        <f>5873883480</f>
        <v>5.87388348E9</v>
      </c>
      <c r="N39" s="23"/>
      <c r="O39" s="26" t="n">
        <f>25724543381</f>
        <v>2.5724543381E10</v>
      </c>
      <c r="P39" s="27" t="str">
        <f>"－"</f>
        <v>－</v>
      </c>
      <c r="Q39" s="28" t="str">
        <f>"－"</f>
        <v>－</v>
      </c>
      <c r="R39" s="29" t="str">
        <f>"－"</f>
        <v>－</v>
      </c>
      <c r="S39" s="24"/>
      <c r="T39" s="25" t="n">
        <f>22246</f>
        <v>22246.0</v>
      </c>
      <c r="U39" s="23"/>
      <c r="V39" s="25" t="n">
        <f>5591</f>
        <v>5591.0</v>
      </c>
      <c r="W39" s="23"/>
      <c r="X39" s="26" t="n">
        <f>27837</f>
        <v>27837.0</v>
      </c>
      <c r="Y39" s="24"/>
      <c r="Z39" s="25" t="n">
        <f>896221</f>
        <v>896221.0</v>
      </c>
      <c r="AA39" s="23"/>
      <c r="AB39" s="25" t="n">
        <f>553114</f>
        <v>553114.0</v>
      </c>
      <c r="AC39" s="23"/>
      <c r="AD39" s="26" t="n">
        <f>1449335</f>
        <v>1449335.0</v>
      </c>
    </row>
    <row r="40">
      <c r="A40" s="30" t="s">
        <v>60</v>
      </c>
      <c r="B40" s="22" t="s">
        <v>27</v>
      </c>
      <c r="C40" s="22" t="s">
        <v>28</v>
      </c>
      <c r="D40" s="24"/>
      <c r="E40" s="25"/>
      <c r="F40" s="23"/>
      <c r="G40" s="25"/>
      <c r="H40" s="23"/>
      <c r="I40" s="26"/>
      <c r="J40" s="24"/>
      <c r="K40" s="25"/>
      <c r="L40" s="23"/>
      <c r="M40" s="25"/>
      <c r="N40" s="23"/>
      <c r="O40" s="26"/>
      <c r="P40" s="27"/>
      <c r="Q40" s="28"/>
      <c r="R40" s="29"/>
      <c r="S40" s="24"/>
      <c r="T40" s="25"/>
      <c r="U40" s="23"/>
      <c r="V40" s="25"/>
      <c r="W40" s="23"/>
      <c r="X40" s="26"/>
      <c r="Y40" s="24"/>
      <c r="Z40" s="25"/>
      <c r="AA40" s="23"/>
      <c r="AB40" s="25"/>
      <c r="AC40" s="23"/>
      <c r="AD40" s="26"/>
    </row>
    <row r="41">
      <c r="A41" s="30" t="s">
        <v>26</v>
      </c>
      <c r="B41" s="22" t="s">
        <v>61</v>
      </c>
      <c r="C41" s="22" t="s">
        <v>62</v>
      </c>
      <c r="D41" s="24"/>
      <c r="E41" s="25" t="n">
        <f>1579</f>
        <v>1579.0</v>
      </c>
      <c r="F41" s="23"/>
      <c r="G41" s="25" t="n">
        <f>1375</f>
        <v>1375.0</v>
      </c>
      <c r="H41" s="23"/>
      <c r="I41" s="26" t="n">
        <f>2954</f>
        <v>2954.0</v>
      </c>
      <c r="J41" s="24"/>
      <c r="K41" s="25" t="n">
        <f>42445000</f>
        <v>4.2445E7</v>
      </c>
      <c r="L41" s="23"/>
      <c r="M41" s="25" t="n">
        <f>23803000</f>
        <v>2.3803E7</v>
      </c>
      <c r="N41" s="23"/>
      <c r="O41" s="26" t="n">
        <f>66248000</f>
        <v>6.6248E7</v>
      </c>
      <c r="P41" s="27" t="str">
        <f>"－"</f>
        <v>－</v>
      </c>
      <c r="Q41" s="28" t="str">
        <f>"－"</f>
        <v>－</v>
      </c>
      <c r="R41" s="29" t="str">
        <f>"－"</f>
        <v>－</v>
      </c>
      <c r="S41" s="24"/>
      <c r="T41" s="25" t="n">
        <f>113</f>
        <v>113.0</v>
      </c>
      <c r="U41" s="23"/>
      <c r="V41" s="25" t="n">
        <f>98</f>
        <v>98.0</v>
      </c>
      <c r="W41" s="23"/>
      <c r="X41" s="26" t="n">
        <f>211</f>
        <v>211.0</v>
      </c>
      <c r="Y41" s="24"/>
      <c r="Z41" s="25" t="n">
        <f>3507</f>
        <v>3507.0</v>
      </c>
      <c r="AA41" s="23"/>
      <c r="AB41" s="25" t="n">
        <f>3905</f>
        <v>3905.0</v>
      </c>
      <c r="AC41" s="23"/>
      <c r="AD41" s="26" t="n">
        <f>7412</f>
        <v>7412.0</v>
      </c>
    </row>
    <row r="42">
      <c r="A42" s="30" t="s">
        <v>29</v>
      </c>
      <c r="B42" s="22" t="s">
        <v>61</v>
      </c>
      <c r="C42" s="22" t="s">
        <v>62</v>
      </c>
      <c r="D42" s="24" t="s">
        <v>34</v>
      </c>
      <c r="E42" s="25" t="n">
        <f>71</f>
        <v>71.0</v>
      </c>
      <c r="F42" s="23"/>
      <c r="G42" s="25" t="n">
        <f>299</f>
        <v>299.0</v>
      </c>
      <c r="H42" s="23"/>
      <c r="I42" s="26" t="n">
        <f>370</f>
        <v>370.0</v>
      </c>
      <c r="J42" s="24" t="s">
        <v>34</v>
      </c>
      <c r="K42" s="25" t="n">
        <f>6061000</f>
        <v>6061000.0</v>
      </c>
      <c r="L42" s="23"/>
      <c r="M42" s="25" t="n">
        <f>60192000</f>
        <v>6.0192E7</v>
      </c>
      <c r="N42" s="23"/>
      <c r="O42" s="26" t="n">
        <f>66253000</f>
        <v>6.6253E7</v>
      </c>
      <c r="P42" s="27" t="n">
        <f>362</f>
        <v>362.0</v>
      </c>
      <c r="Q42" s="28" t="n">
        <f>19</f>
        <v>19.0</v>
      </c>
      <c r="R42" s="29" t="n">
        <f>381</f>
        <v>381.0</v>
      </c>
      <c r="S42" s="24"/>
      <c r="T42" s="25" t="n">
        <f>25</f>
        <v>25.0</v>
      </c>
      <c r="U42" s="23"/>
      <c r="V42" s="25" t="n">
        <f>283</f>
        <v>283.0</v>
      </c>
      <c r="W42" s="23"/>
      <c r="X42" s="26" t="n">
        <f>308</f>
        <v>308.0</v>
      </c>
      <c r="Y42" s="24" t="s">
        <v>34</v>
      </c>
      <c r="Z42" s="25" t="n">
        <f>91</f>
        <v>91.0</v>
      </c>
      <c r="AA42" s="23" t="s">
        <v>34</v>
      </c>
      <c r="AB42" s="25" t="n">
        <f>1134</f>
        <v>1134.0</v>
      </c>
      <c r="AC42" s="23" t="s">
        <v>34</v>
      </c>
      <c r="AD42" s="26" t="n">
        <f>1225</f>
        <v>1225.0</v>
      </c>
    </row>
    <row r="43">
      <c r="A43" s="30" t="s">
        <v>30</v>
      </c>
      <c r="B43" s="22" t="s">
        <v>61</v>
      </c>
      <c r="C43" s="22" t="s">
        <v>62</v>
      </c>
      <c r="D43" s="24"/>
      <c r="E43" s="25"/>
      <c r="F43" s="23"/>
      <c r="G43" s="25"/>
      <c r="H43" s="23"/>
      <c r="I43" s="26"/>
      <c r="J43" s="24"/>
      <c r="K43" s="25"/>
      <c r="L43" s="23"/>
      <c r="M43" s="25"/>
      <c r="N43" s="23"/>
      <c r="O43" s="26"/>
      <c r="P43" s="27"/>
      <c r="Q43" s="28"/>
      <c r="R43" s="29"/>
      <c r="S43" s="24"/>
      <c r="T43" s="25"/>
      <c r="U43" s="23"/>
      <c r="V43" s="25"/>
      <c r="W43" s="23"/>
      <c r="X43" s="26"/>
      <c r="Y43" s="24"/>
      <c r="Z43" s="25"/>
      <c r="AA43" s="23"/>
      <c r="AB43" s="25"/>
      <c r="AC43" s="23"/>
      <c r="AD43" s="26"/>
    </row>
    <row r="44">
      <c r="A44" s="30" t="s">
        <v>31</v>
      </c>
      <c r="B44" s="22" t="s">
        <v>61</v>
      </c>
      <c r="C44" s="22" t="s">
        <v>62</v>
      </c>
      <c r="D44" s="24"/>
      <c r="E44" s="25"/>
      <c r="F44" s="23"/>
      <c r="G44" s="25"/>
      <c r="H44" s="23"/>
      <c r="I44" s="26"/>
      <c r="J44" s="24"/>
      <c r="K44" s="25"/>
      <c r="L44" s="23"/>
      <c r="M44" s="25"/>
      <c r="N44" s="23"/>
      <c r="O44" s="26"/>
      <c r="P44" s="27"/>
      <c r="Q44" s="28"/>
      <c r="R44" s="29"/>
      <c r="S44" s="24"/>
      <c r="T44" s="25"/>
      <c r="U44" s="23"/>
      <c r="V44" s="25"/>
      <c r="W44" s="23"/>
      <c r="X44" s="26"/>
      <c r="Y44" s="24"/>
      <c r="Z44" s="25"/>
      <c r="AA44" s="23"/>
      <c r="AB44" s="25"/>
      <c r="AC44" s="23"/>
      <c r="AD44" s="26"/>
    </row>
    <row r="45">
      <c r="A45" s="30" t="s">
        <v>32</v>
      </c>
      <c r="B45" s="22" t="s">
        <v>61</v>
      </c>
      <c r="C45" s="22" t="s">
        <v>62</v>
      </c>
      <c r="D45" s="24"/>
      <c r="E45" s="25" t="n">
        <f>86</f>
        <v>86.0</v>
      </c>
      <c r="F45" s="23" t="s">
        <v>34</v>
      </c>
      <c r="G45" s="25" t="n">
        <f>132</f>
        <v>132.0</v>
      </c>
      <c r="H45" s="23" t="s">
        <v>34</v>
      </c>
      <c r="I45" s="26" t="n">
        <f>218</f>
        <v>218.0</v>
      </c>
      <c r="J45" s="24"/>
      <c r="K45" s="25" t="n">
        <f>9614000</f>
        <v>9614000.0</v>
      </c>
      <c r="L45" s="23" t="s">
        <v>34</v>
      </c>
      <c r="M45" s="25" t="n">
        <f>5592000</f>
        <v>5592000.0</v>
      </c>
      <c r="N45" s="23" t="s">
        <v>34</v>
      </c>
      <c r="O45" s="26" t="n">
        <f>15206000</f>
        <v>1.5206E7</v>
      </c>
      <c r="P45" s="27" t="str">
        <f>"－"</f>
        <v>－</v>
      </c>
      <c r="Q45" s="28" t="str">
        <f>"－"</f>
        <v>－</v>
      </c>
      <c r="R45" s="29" t="str">
        <f>"－"</f>
        <v>－</v>
      </c>
      <c r="S45" s="24"/>
      <c r="T45" s="25" t="n">
        <f>12</f>
        <v>12.0</v>
      </c>
      <c r="U45" s="23"/>
      <c r="V45" s="25" t="n">
        <f>27</f>
        <v>27.0</v>
      </c>
      <c r="W45" s="23"/>
      <c r="X45" s="26" t="n">
        <f>39</f>
        <v>39.0</v>
      </c>
      <c r="Y45" s="24"/>
      <c r="Z45" s="25" t="n">
        <f>156</f>
        <v>156.0</v>
      </c>
      <c r="AA45" s="23"/>
      <c r="AB45" s="25" t="n">
        <f>1179</f>
        <v>1179.0</v>
      </c>
      <c r="AC45" s="23"/>
      <c r="AD45" s="26" t="n">
        <f>1335</f>
        <v>1335.0</v>
      </c>
    </row>
    <row r="46">
      <c r="A46" s="30" t="s">
        <v>33</v>
      </c>
      <c r="B46" s="22" t="s">
        <v>61</v>
      </c>
      <c r="C46" s="22" t="s">
        <v>62</v>
      </c>
      <c r="D46" s="24"/>
      <c r="E46" s="25" t="n">
        <f>203</f>
        <v>203.0</v>
      </c>
      <c r="F46" s="23"/>
      <c r="G46" s="25" t="n">
        <f>182</f>
        <v>182.0</v>
      </c>
      <c r="H46" s="23"/>
      <c r="I46" s="26" t="n">
        <f>385</f>
        <v>385.0</v>
      </c>
      <c r="J46" s="24"/>
      <c r="K46" s="25" t="n">
        <f>19028000</f>
        <v>1.9028E7</v>
      </c>
      <c r="L46" s="23"/>
      <c r="M46" s="25" t="n">
        <f>11744000</f>
        <v>1.1744E7</v>
      </c>
      <c r="N46" s="23"/>
      <c r="O46" s="26" t="n">
        <f>30772000</f>
        <v>3.0772E7</v>
      </c>
      <c r="P46" s="27" t="str">
        <f>"－"</f>
        <v>－</v>
      </c>
      <c r="Q46" s="28" t="str">
        <f>"－"</f>
        <v>－</v>
      </c>
      <c r="R46" s="29" t="str">
        <f>"－"</f>
        <v>－</v>
      </c>
      <c r="S46" s="24"/>
      <c r="T46" s="25" t="n">
        <f>41</f>
        <v>41.0</v>
      </c>
      <c r="U46" s="23"/>
      <c r="V46" s="25" t="n">
        <f>105</f>
        <v>105.0</v>
      </c>
      <c r="W46" s="23"/>
      <c r="X46" s="26" t="n">
        <f>146</f>
        <v>146.0</v>
      </c>
      <c r="Y46" s="24"/>
      <c r="Z46" s="25" t="n">
        <f>234</f>
        <v>234.0</v>
      </c>
      <c r="AA46" s="23"/>
      <c r="AB46" s="25" t="n">
        <f>1170</f>
        <v>1170.0</v>
      </c>
      <c r="AC46" s="23"/>
      <c r="AD46" s="26" t="n">
        <f>1404</f>
        <v>1404.0</v>
      </c>
    </row>
    <row r="47">
      <c r="A47" s="30" t="s">
        <v>35</v>
      </c>
      <c r="B47" s="22" t="s">
        <v>61</v>
      </c>
      <c r="C47" s="22" t="s">
        <v>62</v>
      </c>
      <c r="D47" s="24"/>
      <c r="E47" s="25" t="n">
        <f>462</f>
        <v>462.0</v>
      </c>
      <c r="F47" s="23"/>
      <c r="G47" s="25" t="n">
        <f>483</f>
        <v>483.0</v>
      </c>
      <c r="H47" s="23"/>
      <c r="I47" s="26" t="n">
        <f>945</f>
        <v>945.0</v>
      </c>
      <c r="J47" s="24"/>
      <c r="K47" s="25" t="n">
        <f>76534000</f>
        <v>7.6534E7</v>
      </c>
      <c r="L47" s="23"/>
      <c r="M47" s="25" t="n">
        <f>51336000</f>
        <v>5.1336E7</v>
      </c>
      <c r="N47" s="23"/>
      <c r="O47" s="26" t="n">
        <f>127870000</f>
        <v>1.2787E8</v>
      </c>
      <c r="P47" s="27" t="str">
        <f>"－"</f>
        <v>－</v>
      </c>
      <c r="Q47" s="28" t="str">
        <f>"－"</f>
        <v>－</v>
      </c>
      <c r="R47" s="29" t="str">
        <f>"－"</f>
        <v>－</v>
      </c>
      <c r="S47" s="24" t="s">
        <v>34</v>
      </c>
      <c r="T47" s="25" t="n">
        <f>7</f>
        <v>7.0</v>
      </c>
      <c r="U47" s="23"/>
      <c r="V47" s="25" t="n">
        <f>21</f>
        <v>21.0</v>
      </c>
      <c r="W47" s="23"/>
      <c r="X47" s="26" t="n">
        <f>28</f>
        <v>28.0</v>
      </c>
      <c r="Y47" s="24"/>
      <c r="Z47" s="25" t="n">
        <f>553</f>
        <v>553.0</v>
      </c>
      <c r="AA47" s="23"/>
      <c r="AB47" s="25" t="n">
        <f>1313</f>
        <v>1313.0</v>
      </c>
      <c r="AC47" s="23"/>
      <c r="AD47" s="26" t="n">
        <f>1866</f>
        <v>1866.0</v>
      </c>
    </row>
    <row r="48">
      <c r="A48" s="30" t="s">
        <v>36</v>
      </c>
      <c r="B48" s="22" t="s">
        <v>61</v>
      </c>
      <c r="C48" s="22" t="s">
        <v>62</v>
      </c>
      <c r="D48" s="24"/>
      <c r="E48" s="25" t="n">
        <f>412</f>
        <v>412.0</v>
      </c>
      <c r="F48" s="23"/>
      <c r="G48" s="25" t="n">
        <f>459</f>
        <v>459.0</v>
      </c>
      <c r="H48" s="23"/>
      <c r="I48" s="26" t="n">
        <f>871</f>
        <v>871.0</v>
      </c>
      <c r="J48" s="24"/>
      <c r="K48" s="25" t="n">
        <f>64588000</f>
        <v>6.4588E7</v>
      </c>
      <c r="L48" s="23"/>
      <c r="M48" s="25" t="n">
        <f>49870000</f>
        <v>4.987E7</v>
      </c>
      <c r="N48" s="23"/>
      <c r="O48" s="26" t="n">
        <f>114458000</f>
        <v>1.14458E8</v>
      </c>
      <c r="P48" s="27" t="str">
        <f>"－"</f>
        <v>－</v>
      </c>
      <c r="Q48" s="28" t="str">
        <f>"－"</f>
        <v>－</v>
      </c>
      <c r="R48" s="29" t="str">
        <f>"－"</f>
        <v>－</v>
      </c>
      <c r="S48" s="24"/>
      <c r="T48" s="25" t="n">
        <f>8</f>
        <v>8.0</v>
      </c>
      <c r="U48" s="23" t="s">
        <v>34</v>
      </c>
      <c r="V48" s="25" t="n">
        <f>8</f>
        <v>8.0</v>
      </c>
      <c r="W48" s="23" t="s">
        <v>34</v>
      </c>
      <c r="X48" s="26" t="n">
        <f>16</f>
        <v>16.0</v>
      </c>
      <c r="Y48" s="24"/>
      <c r="Z48" s="25" t="n">
        <f>837</f>
        <v>837.0</v>
      </c>
      <c r="AA48" s="23"/>
      <c r="AB48" s="25" t="n">
        <f>1644</f>
        <v>1644.0</v>
      </c>
      <c r="AC48" s="23"/>
      <c r="AD48" s="26" t="n">
        <f>2481</f>
        <v>2481.0</v>
      </c>
    </row>
    <row r="49">
      <c r="A49" s="30" t="s">
        <v>38</v>
      </c>
      <c r="B49" s="22" t="s">
        <v>61</v>
      </c>
      <c r="C49" s="22" t="s">
        <v>62</v>
      </c>
      <c r="D49" s="24"/>
      <c r="E49" s="25" t="n">
        <f>1196</f>
        <v>1196.0</v>
      </c>
      <c r="F49" s="23"/>
      <c r="G49" s="25" t="n">
        <f>3033</f>
        <v>3033.0</v>
      </c>
      <c r="H49" s="23"/>
      <c r="I49" s="26" t="n">
        <f>4229</f>
        <v>4229.0</v>
      </c>
      <c r="J49" s="24" t="s">
        <v>37</v>
      </c>
      <c r="K49" s="25" t="n">
        <f>301180000</f>
        <v>3.0118E8</v>
      </c>
      <c r="L49" s="23" t="s">
        <v>37</v>
      </c>
      <c r="M49" s="25" t="n">
        <f>429910000</f>
        <v>4.2991E8</v>
      </c>
      <c r="N49" s="23" t="s">
        <v>37</v>
      </c>
      <c r="O49" s="26" t="n">
        <f>731090000</f>
        <v>7.3109E8</v>
      </c>
      <c r="P49" s="27" t="str">
        <f>"－"</f>
        <v>－</v>
      </c>
      <c r="Q49" s="28" t="str">
        <f>"－"</f>
        <v>－</v>
      </c>
      <c r="R49" s="29" t="str">
        <f>"－"</f>
        <v>－</v>
      </c>
      <c r="S49" s="24"/>
      <c r="T49" s="25" t="n">
        <f>46</f>
        <v>46.0</v>
      </c>
      <c r="U49" s="23" t="s">
        <v>37</v>
      </c>
      <c r="V49" s="25" t="n">
        <f>842</f>
        <v>842.0</v>
      </c>
      <c r="W49" s="23" t="s">
        <v>37</v>
      </c>
      <c r="X49" s="26" t="n">
        <f>888</f>
        <v>888.0</v>
      </c>
      <c r="Y49" s="24"/>
      <c r="Z49" s="25" t="n">
        <f>1199</f>
        <v>1199.0</v>
      </c>
      <c r="AA49" s="23"/>
      <c r="AB49" s="25" t="n">
        <f>3260</f>
        <v>3260.0</v>
      </c>
      <c r="AC49" s="23"/>
      <c r="AD49" s="26" t="n">
        <f>4459</f>
        <v>4459.0</v>
      </c>
    </row>
    <row r="50">
      <c r="A50" s="30" t="s">
        <v>39</v>
      </c>
      <c r="B50" s="22" t="s">
        <v>61</v>
      </c>
      <c r="C50" s="22" t="s">
        <v>62</v>
      </c>
      <c r="D50" s="24"/>
      <c r="E50" s="25"/>
      <c r="F50" s="23"/>
      <c r="G50" s="25"/>
      <c r="H50" s="23"/>
      <c r="I50" s="26"/>
      <c r="J50" s="24"/>
      <c r="K50" s="25"/>
      <c r="L50" s="23"/>
      <c r="M50" s="25"/>
      <c r="N50" s="23"/>
      <c r="O50" s="26"/>
      <c r="P50" s="27"/>
      <c r="Q50" s="28"/>
      <c r="R50" s="29"/>
      <c r="S50" s="24"/>
      <c r="T50" s="25"/>
      <c r="U50" s="23"/>
      <c r="V50" s="25"/>
      <c r="W50" s="23"/>
      <c r="X50" s="26"/>
      <c r="Y50" s="24"/>
      <c r="Z50" s="25"/>
      <c r="AA50" s="23"/>
      <c r="AB50" s="25"/>
      <c r="AC50" s="23"/>
      <c r="AD50" s="26"/>
    </row>
    <row r="51">
      <c r="A51" s="30" t="s">
        <v>40</v>
      </c>
      <c r="B51" s="22" t="s">
        <v>61</v>
      </c>
      <c r="C51" s="22" t="s">
        <v>62</v>
      </c>
      <c r="D51" s="24"/>
      <c r="E51" s="25"/>
      <c r="F51" s="23"/>
      <c r="G51" s="25"/>
      <c r="H51" s="23"/>
      <c r="I51" s="26"/>
      <c r="J51" s="24"/>
      <c r="K51" s="25"/>
      <c r="L51" s="23"/>
      <c r="M51" s="25"/>
      <c r="N51" s="23"/>
      <c r="O51" s="26"/>
      <c r="P51" s="27"/>
      <c r="Q51" s="28"/>
      <c r="R51" s="29"/>
      <c r="S51" s="24"/>
      <c r="T51" s="25"/>
      <c r="U51" s="23"/>
      <c r="V51" s="25"/>
      <c r="W51" s="23"/>
      <c r="X51" s="26"/>
      <c r="Y51" s="24"/>
      <c r="Z51" s="25"/>
      <c r="AA51" s="23"/>
      <c r="AB51" s="25"/>
      <c r="AC51" s="23"/>
      <c r="AD51" s="26"/>
    </row>
    <row r="52">
      <c r="A52" s="30" t="s">
        <v>41</v>
      </c>
      <c r="B52" s="22" t="s">
        <v>61</v>
      </c>
      <c r="C52" s="22" t="s">
        <v>62</v>
      </c>
      <c r="D52" s="24"/>
      <c r="E52" s="25" t="n">
        <f>1768</f>
        <v>1768.0</v>
      </c>
      <c r="F52" s="23"/>
      <c r="G52" s="25" t="n">
        <f>2794</f>
        <v>2794.0</v>
      </c>
      <c r="H52" s="23"/>
      <c r="I52" s="26" t="n">
        <f>4562</f>
        <v>4562.0</v>
      </c>
      <c r="J52" s="24"/>
      <c r="K52" s="25" t="n">
        <f>103601000</f>
        <v>1.03601E8</v>
      </c>
      <c r="L52" s="23"/>
      <c r="M52" s="25" t="n">
        <f>222778000</f>
        <v>2.22778E8</v>
      </c>
      <c r="N52" s="23"/>
      <c r="O52" s="26" t="n">
        <f>326379000</f>
        <v>3.26379E8</v>
      </c>
      <c r="P52" s="27" t="str">
        <f>"－"</f>
        <v>－</v>
      </c>
      <c r="Q52" s="28" t="str">
        <f>"－"</f>
        <v>－</v>
      </c>
      <c r="R52" s="29" t="str">
        <f>"－"</f>
        <v>－</v>
      </c>
      <c r="S52" s="24"/>
      <c r="T52" s="25" t="n">
        <f>136</f>
        <v>136.0</v>
      </c>
      <c r="U52" s="23"/>
      <c r="V52" s="25" t="n">
        <f>520</f>
        <v>520.0</v>
      </c>
      <c r="W52" s="23"/>
      <c r="X52" s="26" t="n">
        <f>656</f>
        <v>656.0</v>
      </c>
      <c r="Y52" s="24"/>
      <c r="Z52" s="25" t="n">
        <f>1801</f>
        <v>1801.0</v>
      </c>
      <c r="AA52" s="23"/>
      <c r="AB52" s="25" t="n">
        <f>4209</f>
        <v>4209.0</v>
      </c>
      <c r="AC52" s="23"/>
      <c r="AD52" s="26" t="n">
        <f>6010</f>
        <v>6010.0</v>
      </c>
    </row>
    <row r="53">
      <c r="A53" s="30" t="s">
        <v>42</v>
      </c>
      <c r="B53" s="22" t="s">
        <v>61</v>
      </c>
      <c r="C53" s="22" t="s">
        <v>62</v>
      </c>
      <c r="D53" s="24"/>
      <c r="E53" s="25" t="n">
        <f>1811</f>
        <v>1811.0</v>
      </c>
      <c r="F53" s="23"/>
      <c r="G53" s="25" t="n">
        <f>1947</f>
        <v>1947.0</v>
      </c>
      <c r="H53" s="23"/>
      <c r="I53" s="26" t="n">
        <f>3758</f>
        <v>3758.0</v>
      </c>
      <c r="J53" s="24"/>
      <c r="K53" s="25" t="n">
        <f>70861000</f>
        <v>7.0861E7</v>
      </c>
      <c r="L53" s="23"/>
      <c r="M53" s="25" t="n">
        <f>158307000</f>
        <v>1.58307E8</v>
      </c>
      <c r="N53" s="23"/>
      <c r="O53" s="26" t="n">
        <f>229168000</f>
        <v>2.29168E8</v>
      </c>
      <c r="P53" s="27" t="str">
        <f>"－"</f>
        <v>－</v>
      </c>
      <c r="Q53" s="28" t="str">
        <f>"－"</f>
        <v>－</v>
      </c>
      <c r="R53" s="29" t="str">
        <f>"－"</f>
        <v>－</v>
      </c>
      <c r="S53" s="24"/>
      <c r="T53" s="25" t="n">
        <f>136</f>
        <v>136.0</v>
      </c>
      <c r="U53" s="23"/>
      <c r="V53" s="25" t="n">
        <f>68</f>
        <v>68.0</v>
      </c>
      <c r="W53" s="23"/>
      <c r="X53" s="26" t="n">
        <f>204</f>
        <v>204.0</v>
      </c>
      <c r="Y53" s="24"/>
      <c r="Z53" s="25" t="n">
        <f>2473</f>
        <v>2473.0</v>
      </c>
      <c r="AA53" s="23"/>
      <c r="AB53" s="25" t="n">
        <f>5121</f>
        <v>5121.0</v>
      </c>
      <c r="AC53" s="23"/>
      <c r="AD53" s="26" t="n">
        <f>7594</f>
        <v>7594.0</v>
      </c>
    </row>
    <row r="54">
      <c r="A54" s="30" t="s">
        <v>43</v>
      </c>
      <c r="B54" s="22" t="s">
        <v>61</v>
      </c>
      <c r="C54" s="22" t="s">
        <v>62</v>
      </c>
      <c r="D54" s="24"/>
      <c r="E54" s="25" t="n">
        <f>2186</f>
        <v>2186.0</v>
      </c>
      <c r="F54" s="23"/>
      <c r="G54" s="25" t="n">
        <f>1328</f>
        <v>1328.0</v>
      </c>
      <c r="H54" s="23"/>
      <c r="I54" s="26" t="n">
        <f>3514</f>
        <v>3514.0</v>
      </c>
      <c r="J54" s="24"/>
      <c r="K54" s="25" t="n">
        <f>87913000</f>
        <v>8.7913E7</v>
      </c>
      <c r="L54" s="23"/>
      <c r="M54" s="25" t="n">
        <f>70949000</f>
        <v>7.0949E7</v>
      </c>
      <c r="N54" s="23"/>
      <c r="O54" s="26" t="n">
        <f>158862000</f>
        <v>1.58862E8</v>
      </c>
      <c r="P54" s="27" t="str">
        <f>"－"</f>
        <v>－</v>
      </c>
      <c r="Q54" s="28" t="str">
        <f>"－"</f>
        <v>－</v>
      </c>
      <c r="R54" s="29" t="str">
        <f>"－"</f>
        <v>－</v>
      </c>
      <c r="S54" s="24"/>
      <c r="T54" s="25" t="n">
        <f>135</f>
        <v>135.0</v>
      </c>
      <c r="U54" s="23"/>
      <c r="V54" s="25" t="n">
        <f>97</f>
        <v>97.0</v>
      </c>
      <c r="W54" s="23"/>
      <c r="X54" s="26" t="n">
        <f>232</f>
        <v>232.0</v>
      </c>
      <c r="Y54" s="24"/>
      <c r="Z54" s="25" t="n">
        <f>3637</f>
        <v>3637.0</v>
      </c>
      <c r="AA54" s="23"/>
      <c r="AB54" s="25" t="n">
        <f>5638</f>
        <v>5638.0</v>
      </c>
      <c r="AC54" s="23"/>
      <c r="AD54" s="26" t="n">
        <f>9275</f>
        <v>9275.0</v>
      </c>
    </row>
    <row r="55">
      <c r="A55" s="30" t="s">
        <v>44</v>
      </c>
      <c r="B55" s="22" t="s">
        <v>61</v>
      </c>
      <c r="C55" s="22" t="s">
        <v>62</v>
      </c>
      <c r="D55" s="24"/>
      <c r="E55" s="25" t="n">
        <f>3186</f>
        <v>3186.0</v>
      </c>
      <c r="F55" s="23"/>
      <c r="G55" s="25" t="n">
        <f>3021</f>
        <v>3021.0</v>
      </c>
      <c r="H55" s="23"/>
      <c r="I55" s="26" t="n">
        <f>6207</f>
        <v>6207.0</v>
      </c>
      <c r="J55" s="24"/>
      <c r="K55" s="25" t="n">
        <f>160477000</f>
        <v>1.60477E8</v>
      </c>
      <c r="L55" s="23"/>
      <c r="M55" s="25" t="n">
        <f>118439000</f>
        <v>1.18439E8</v>
      </c>
      <c r="N55" s="23"/>
      <c r="O55" s="26" t="n">
        <f>278916000</f>
        <v>2.78916E8</v>
      </c>
      <c r="P55" s="27" t="str">
        <f>"－"</f>
        <v>－</v>
      </c>
      <c r="Q55" s="28" t="str">
        <f>"－"</f>
        <v>－</v>
      </c>
      <c r="R55" s="29" t="str">
        <f>"－"</f>
        <v>－</v>
      </c>
      <c r="S55" s="24"/>
      <c r="T55" s="25" t="n">
        <f>264</f>
        <v>264.0</v>
      </c>
      <c r="U55" s="23"/>
      <c r="V55" s="25" t="n">
        <f>246</f>
        <v>246.0</v>
      </c>
      <c r="W55" s="23"/>
      <c r="X55" s="26" t="n">
        <f>510</f>
        <v>510.0</v>
      </c>
      <c r="Y55" s="24" t="s">
        <v>37</v>
      </c>
      <c r="Z55" s="25" t="n">
        <f>4457</f>
        <v>4457.0</v>
      </c>
      <c r="AA55" s="23" t="s">
        <v>37</v>
      </c>
      <c r="AB55" s="25" t="n">
        <f>6345</f>
        <v>6345.0</v>
      </c>
      <c r="AC55" s="23" t="s">
        <v>37</v>
      </c>
      <c r="AD55" s="26" t="n">
        <f>10802</f>
        <v>10802.0</v>
      </c>
    </row>
    <row r="56">
      <c r="A56" s="30" t="s">
        <v>45</v>
      </c>
      <c r="B56" s="22" t="s">
        <v>61</v>
      </c>
      <c r="C56" s="22" t="s">
        <v>62</v>
      </c>
      <c r="D56" s="24"/>
      <c r="E56" s="25" t="n">
        <f>1444</f>
        <v>1444.0</v>
      </c>
      <c r="F56" s="23"/>
      <c r="G56" s="25" t="n">
        <f>2057</f>
        <v>2057.0</v>
      </c>
      <c r="H56" s="23"/>
      <c r="I56" s="26" t="n">
        <f>3501</f>
        <v>3501.0</v>
      </c>
      <c r="J56" s="24"/>
      <c r="K56" s="25" t="n">
        <f>99765000</f>
        <v>9.9765E7</v>
      </c>
      <c r="L56" s="23"/>
      <c r="M56" s="25" t="n">
        <f>130849000</f>
        <v>1.30849E8</v>
      </c>
      <c r="N56" s="23"/>
      <c r="O56" s="26" t="n">
        <f>230614000</f>
        <v>2.30614E8</v>
      </c>
      <c r="P56" s="27" t="n">
        <f>1553</f>
        <v>1553.0</v>
      </c>
      <c r="Q56" s="28" t="n">
        <f>318</f>
        <v>318.0</v>
      </c>
      <c r="R56" s="29" t="n">
        <f>1871</f>
        <v>1871.0</v>
      </c>
      <c r="S56" s="24"/>
      <c r="T56" s="25" t="n">
        <f>121</f>
        <v>121.0</v>
      </c>
      <c r="U56" s="23"/>
      <c r="V56" s="25" t="n">
        <f>167</f>
        <v>167.0</v>
      </c>
      <c r="W56" s="23"/>
      <c r="X56" s="26" t="n">
        <f>288</f>
        <v>288.0</v>
      </c>
      <c r="Y56" s="24"/>
      <c r="Z56" s="25" t="n">
        <f>1380</f>
        <v>1380.0</v>
      </c>
      <c r="AA56" s="23"/>
      <c r="AB56" s="25" t="n">
        <f>3721</f>
        <v>3721.0</v>
      </c>
      <c r="AC56" s="23"/>
      <c r="AD56" s="26" t="n">
        <f>5101</f>
        <v>5101.0</v>
      </c>
    </row>
    <row r="57">
      <c r="A57" s="30" t="s">
        <v>46</v>
      </c>
      <c r="B57" s="22" t="s">
        <v>61</v>
      </c>
      <c r="C57" s="22" t="s">
        <v>62</v>
      </c>
      <c r="D57" s="24"/>
      <c r="E57" s="25"/>
      <c r="F57" s="23"/>
      <c r="G57" s="25"/>
      <c r="H57" s="23"/>
      <c r="I57" s="26"/>
      <c r="J57" s="24"/>
      <c r="K57" s="25"/>
      <c r="L57" s="23"/>
      <c r="M57" s="25"/>
      <c r="N57" s="23"/>
      <c r="O57" s="26"/>
      <c r="P57" s="27"/>
      <c r="Q57" s="28"/>
      <c r="R57" s="29"/>
      <c r="S57" s="24"/>
      <c r="T57" s="25"/>
      <c r="U57" s="23"/>
      <c r="V57" s="25"/>
      <c r="W57" s="23"/>
      <c r="X57" s="26"/>
      <c r="Y57" s="24"/>
      <c r="Z57" s="25"/>
      <c r="AA57" s="23"/>
      <c r="AB57" s="25"/>
      <c r="AC57" s="23"/>
      <c r="AD57" s="26"/>
    </row>
    <row r="58">
      <c r="A58" s="30" t="s">
        <v>47</v>
      </c>
      <c r="B58" s="22" t="s">
        <v>61</v>
      </c>
      <c r="C58" s="22" t="s">
        <v>62</v>
      </c>
      <c r="D58" s="24"/>
      <c r="E58" s="25"/>
      <c r="F58" s="23"/>
      <c r="G58" s="25"/>
      <c r="H58" s="23"/>
      <c r="I58" s="26"/>
      <c r="J58" s="24"/>
      <c r="K58" s="25"/>
      <c r="L58" s="23"/>
      <c r="M58" s="25"/>
      <c r="N58" s="23"/>
      <c r="O58" s="26"/>
      <c r="P58" s="27"/>
      <c r="Q58" s="28"/>
      <c r="R58" s="29"/>
      <c r="S58" s="24"/>
      <c r="T58" s="25"/>
      <c r="U58" s="23"/>
      <c r="V58" s="25"/>
      <c r="W58" s="23"/>
      <c r="X58" s="26"/>
      <c r="Y58" s="24"/>
      <c r="Z58" s="25"/>
      <c r="AA58" s="23"/>
      <c r="AB58" s="25"/>
      <c r="AC58" s="23"/>
      <c r="AD58" s="26"/>
    </row>
    <row r="59">
      <c r="A59" s="30" t="s">
        <v>48</v>
      </c>
      <c r="B59" s="22" t="s">
        <v>61</v>
      </c>
      <c r="C59" s="22" t="s">
        <v>62</v>
      </c>
      <c r="D59" s="24"/>
      <c r="E59" s="25" t="n">
        <f>2374</f>
        <v>2374.0</v>
      </c>
      <c r="F59" s="23"/>
      <c r="G59" s="25" t="n">
        <f>2503</f>
        <v>2503.0</v>
      </c>
      <c r="H59" s="23"/>
      <c r="I59" s="26" t="n">
        <f>4877</f>
        <v>4877.0</v>
      </c>
      <c r="J59" s="24"/>
      <c r="K59" s="25" t="n">
        <f>157673000</f>
        <v>1.57673E8</v>
      </c>
      <c r="L59" s="23"/>
      <c r="M59" s="25" t="n">
        <f>88919000</f>
        <v>8.8919E7</v>
      </c>
      <c r="N59" s="23"/>
      <c r="O59" s="26" t="n">
        <f>246592000</f>
        <v>2.46592E8</v>
      </c>
      <c r="P59" s="27" t="str">
        <f>"－"</f>
        <v>－</v>
      </c>
      <c r="Q59" s="28" t="str">
        <f>"－"</f>
        <v>－</v>
      </c>
      <c r="R59" s="29" t="str">
        <f>"－"</f>
        <v>－</v>
      </c>
      <c r="S59" s="24"/>
      <c r="T59" s="25" t="n">
        <f>131</f>
        <v>131.0</v>
      </c>
      <c r="U59" s="23"/>
      <c r="V59" s="25" t="n">
        <f>154</f>
        <v>154.0</v>
      </c>
      <c r="W59" s="23"/>
      <c r="X59" s="26" t="n">
        <f>285</f>
        <v>285.0</v>
      </c>
      <c r="Y59" s="24"/>
      <c r="Z59" s="25" t="n">
        <f>2961</f>
        <v>2961.0</v>
      </c>
      <c r="AA59" s="23"/>
      <c r="AB59" s="25" t="n">
        <f>5085</f>
        <v>5085.0</v>
      </c>
      <c r="AC59" s="23"/>
      <c r="AD59" s="26" t="n">
        <f>8046</f>
        <v>8046.0</v>
      </c>
    </row>
    <row r="60">
      <c r="A60" s="30" t="s">
        <v>49</v>
      </c>
      <c r="B60" s="22" t="s">
        <v>61</v>
      </c>
      <c r="C60" s="22" t="s">
        <v>62</v>
      </c>
      <c r="D60" s="24" t="s">
        <v>37</v>
      </c>
      <c r="E60" s="25" t="n">
        <f>3471</f>
        <v>3471.0</v>
      </c>
      <c r="F60" s="23" t="s">
        <v>37</v>
      </c>
      <c r="G60" s="25" t="n">
        <f>3282</f>
        <v>3282.0</v>
      </c>
      <c r="H60" s="23" t="s">
        <v>37</v>
      </c>
      <c r="I60" s="26" t="n">
        <f>6753</f>
        <v>6753.0</v>
      </c>
      <c r="J60" s="24"/>
      <c r="K60" s="25" t="n">
        <f>259553000</f>
        <v>2.59553E8</v>
      </c>
      <c r="L60" s="23"/>
      <c r="M60" s="25" t="n">
        <f>140620000</f>
        <v>1.4062E8</v>
      </c>
      <c r="N60" s="23"/>
      <c r="O60" s="26" t="n">
        <f>400173000</f>
        <v>4.00173E8</v>
      </c>
      <c r="P60" s="27" t="str">
        <f>"－"</f>
        <v>－</v>
      </c>
      <c r="Q60" s="28" t="str">
        <f>"－"</f>
        <v>－</v>
      </c>
      <c r="R60" s="29" t="str">
        <f>"－"</f>
        <v>－</v>
      </c>
      <c r="S60" s="24" t="s">
        <v>37</v>
      </c>
      <c r="T60" s="25" t="n">
        <f>273</f>
        <v>273.0</v>
      </c>
      <c r="U60" s="23"/>
      <c r="V60" s="25" t="n">
        <f>410</f>
        <v>410.0</v>
      </c>
      <c r="W60" s="23"/>
      <c r="X60" s="26" t="n">
        <f>683</f>
        <v>683.0</v>
      </c>
      <c r="Y60" s="24"/>
      <c r="Z60" s="25" t="n">
        <f>3068</f>
        <v>3068.0</v>
      </c>
      <c r="AA60" s="23"/>
      <c r="AB60" s="25" t="n">
        <f>5605</f>
        <v>5605.0</v>
      </c>
      <c r="AC60" s="23"/>
      <c r="AD60" s="26" t="n">
        <f>8673</f>
        <v>8673.0</v>
      </c>
    </row>
    <row r="61">
      <c r="A61" s="30" t="s">
        <v>50</v>
      </c>
      <c r="B61" s="22" t="s">
        <v>61</v>
      </c>
      <c r="C61" s="22" t="s">
        <v>62</v>
      </c>
      <c r="D61" s="24"/>
      <c r="E61" s="25" t="n">
        <f>922</f>
        <v>922.0</v>
      </c>
      <c r="F61" s="23"/>
      <c r="G61" s="25" t="n">
        <f>1913</f>
        <v>1913.0</v>
      </c>
      <c r="H61" s="23"/>
      <c r="I61" s="26" t="n">
        <f>2835</f>
        <v>2835.0</v>
      </c>
      <c r="J61" s="24"/>
      <c r="K61" s="25" t="n">
        <f>136922000</f>
        <v>1.36922E8</v>
      </c>
      <c r="L61" s="23"/>
      <c r="M61" s="25" t="n">
        <f>185936000</f>
        <v>1.85936E8</v>
      </c>
      <c r="N61" s="23"/>
      <c r="O61" s="26" t="n">
        <f>322858000</f>
        <v>3.22858E8</v>
      </c>
      <c r="P61" s="27" t="n">
        <f>271</f>
        <v>271.0</v>
      </c>
      <c r="Q61" s="28" t="n">
        <f>426</f>
        <v>426.0</v>
      </c>
      <c r="R61" s="29" t="n">
        <f>697</f>
        <v>697.0</v>
      </c>
      <c r="S61" s="24"/>
      <c r="T61" s="25" t="n">
        <f>43</f>
        <v>43.0</v>
      </c>
      <c r="U61" s="23"/>
      <c r="V61" s="25" t="n">
        <f>87</f>
        <v>87.0</v>
      </c>
      <c r="W61" s="23"/>
      <c r="X61" s="26" t="n">
        <f>130</f>
        <v>130.0</v>
      </c>
      <c r="Y61" s="24"/>
      <c r="Z61" s="25" t="n">
        <f>905</f>
        <v>905.0</v>
      </c>
      <c r="AA61" s="23"/>
      <c r="AB61" s="25" t="n">
        <f>3034</f>
        <v>3034.0</v>
      </c>
      <c r="AC61" s="23"/>
      <c r="AD61" s="26" t="n">
        <f>3939</f>
        <v>3939.0</v>
      </c>
    </row>
    <row r="62">
      <c r="A62" s="30" t="s">
        <v>51</v>
      </c>
      <c r="B62" s="22" t="s">
        <v>61</v>
      </c>
      <c r="C62" s="22" t="s">
        <v>62</v>
      </c>
      <c r="D62" s="24"/>
      <c r="E62" s="25"/>
      <c r="F62" s="23"/>
      <c r="G62" s="25"/>
      <c r="H62" s="23"/>
      <c r="I62" s="26"/>
      <c r="J62" s="24"/>
      <c r="K62" s="25"/>
      <c r="L62" s="23"/>
      <c r="M62" s="25"/>
      <c r="N62" s="23"/>
      <c r="O62" s="26"/>
      <c r="P62" s="27"/>
      <c r="Q62" s="28"/>
      <c r="R62" s="29"/>
      <c r="S62" s="24"/>
      <c r="T62" s="25"/>
      <c r="U62" s="23"/>
      <c r="V62" s="25"/>
      <c r="W62" s="23"/>
      <c r="X62" s="26"/>
      <c r="Y62" s="24"/>
      <c r="Z62" s="25"/>
      <c r="AA62" s="23"/>
      <c r="AB62" s="25"/>
      <c r="AC62" s="23"/>
      <c r="AD62" s="26"/>
    </row>
    <row r="63">
      <c r="A63" s="30" t="s">
        <v>52</v>
      </c>
      <c r="B63" s="22" t="s">
        <v>61</v>
      </c>
      <c r="C63" s="22" t="s">
        <v>62</v>
      </c>
      <c r="D63" s="24"/>
      <c r="E63" s="25"/>
      <c r="F63" s="23"/>
      <c r="G63" s="25"/>
      <c r="H63" s="23"/>
      <c r="I63" s="26"/>
      <c r="J63" s="24"/>
      <c r="K63" s="25"/>
      <c r="L63" s="23"/>
      <c r="M63" s="25"/>
      <c r="N63" s="23"/>
      <c r="O63" s="26"/>
      <c r="P63" s="27"/>
      <c r="Q63" s="28"/>
      <c r="R63" s="29"/>
      <c r="S63" s="24"/>
      <c r="T63" s="25"/>
      <c r="U63" s="23"/>
      <c r="V63" s="25"/>
      <c r="W63" s="23"/>
      <c r="X63" s="26"/>
      <c r="Y63" s="24"/>
      <c r="Z63" s="25"/>
      <c r="AA63" s="23"/>
      <c r="AB63" s="25"/>
      <c r="AC63" s="23"/>
      <c r="AD63" s="26"/>
    </row>
    <row r="64">
      <c r="A64" s="30" t="s">
        <v>53</v>
      </c>
      <c r="B64" s="22" t="s">
        <v>61</v>
      </c>
      <c r="C64" s="22" t="s">
        <v>62</v>
      </c>
      <c r="D64" s="24"/>
      <c r="E64" s="25"/>
      <c r="F64" s="23"/>
      <c r="G64" s="25"/>
      <c r="H64" s="23"/>
      <c r="I64" s="26"/>
      <c r="J64" s="24"/>
      <c r="K64" s="25"/>
      <c r="L64" s="23"/>
      <c r="M64" s="25"/>
      <c r="N64" s="23"/>
      <c r="O64" s="26"/>
      <c r="P64" s="27"/>
      <c r="Q64" s="28"/>
      <c r="R64" s="29"/>
      <c r="S64" s="24"/>
      <c r="T64" s="25"/>
      <c r="U64" s="23"/>
      <c r="V64" s="25"/>
      <c r="W64" s="23"/>
      <c r="X64" s="26"/>
      <c r="Y64" s="24"/>
      <c r="Z64" s="25"/>
      <c r="AA64" s="23"/>
      <c r="AB64" s="25"/>
      <c r="AC64" s="23"/>
      <c r="AD64" s="26"/>
    </row>
    <row r="65">
      <c r="A65" s="30" t="s">
        <v>54</v>
      </c>
      <c r="B65" s="22" t="s">
        <v>61</v>
      </c>
      <c r="C65" s="22" t="s">
        <v>62</v>
      </c>
      <c r="D65" s="24"/>
      <c r="E65" s="25"/>
      <c r="F65" s="23"/>
      <c r="G65" s="25"/>
      <c r="H65" s="23"/>
      <c r="I65" s="26"/>
      <c r="J65" s="24"/>
      <c r="K65" s="25"/>
      <c r="L65" s="23"/>
      <c r="M65" s="25"/>
      <c r="N65" s="23"/>
      <c r="O65" s="26"/>
      <c r="P65" s="27"/>
      <c r="Q65" s="28"/>
      <c r="R65" s="29"/>
      <c r="S65" s="24"/>
      <c r="T65" s="25"/>
      <c r="U65" s="23"/>
      <c r="V65" s="25"/>
      <c r="W65" s="23"/>
      <c r="X65" s="26"/>
      <c r="Y65" s="24"/>
      <c r="Z65" s="25"/>
      <c r="AA65" s="23"/>
      <c r="AB65" s="25"/>
      <c r="AC65" s="23"/>
      <c r="AD65" s="26"/>
    </row>
    <row r="66">
      <c r="A66" s="30" t="s">
        <v>55</v>
      </c>
      <c r="B66" s="22" t="s">
        <v>61</v>
      </c>
      <c r="C66" s="22" t="s">
        <v>62</v>
      </c>
      <c r="D66" s="24"/>
      <c r="E66" s="25" t="n">
        <f>1955</f>
        <v>1955.0</v>
      </c>
      <c r="F66" s="23"/>
      <c r="G66" s="25" t="n">
        <f>1423</f>
        <v>1423.0</v>
      </c>
      <c r="H66" s="23"/>
      <c r="I66" s="26" t="n">
        <f>3378</f>
        <v>3378.0</v>
      </c>
      <c r="J66" s="24"/>
      <c r="K66" s="25" t="n">
        <f>114423000</f>
        <v>1.14423E8</v>
      </c>
      <c r="L66" s="23"/>
      <c r="M66" s="25" t="n">
        <f>126772000</f>
        <v>1.26772E8</v>
      </c>
      <c r="N66" s="23"/>
      <c r="O66" s="26" t="n">
        <f>241195000</f>
        <v>2.41195E8</v>
      </c>
      <c r="P66" s="27" t="str">
        <f>"－"</f>
        <v>－</v>
      </c>
      <c r="Q66" s="28" t="str">
        <f>"－"</f>
        <v>－</v>
      </c>
      <c r="R66" s="29" t="str">
        <f>"－"</f>
        <v>－</v>
      </c>
      <c r="S66" s="24"/>
      <c r="T66" s="25" t="n">
        <f>118</f>
        <v>118.0</v>
      </c>
      <c r="U66" s="23"/>
      <c r="V66" s="25" t="n">
        <f>389</f>
        <v>389.0</v>
      </c>
      <c r="W66" s="23"/>
      <c r="X66" s="26" t="n">
        <f>507</f>
        <v>507.0</v>
      </c>
      <c r="Y66" s="24"/>
      <c r="Z66" s="25" t="n">
        <f>1871</f>
        <v>1871.0</v>
      </c>
      <c r="AA66" s="23"/>
      <c r="AB66" s="25" t="n">
        <f>3547</f>
        <v>3547.0</v>
      </c>
      <c r="AC66" s="23"/>
      <c r="AD66" s="26" t="n">
        <f>5418</f>
        <v>5418.0</v>
      </c>
    </row>
    <row r="67">
      <c r="A67" s="30" t="s">
        <v>56</v>
      </c>
      <c r="B67" s="22" t="s">
        <v>61</v>
      </c>
      <c r="C67" s="22" t="s">
        <v>62</v>
      </c>
      <c r="D67" s="24"/>
      <c r="E67" s="25" t="n">
        <f>1553</f>
        <v>1553.0</v>
      </c>
      <c r="F67" s="23"/>
      <c r="G67" s="25" t="n">
        <f>1097</f>
        <v>1097.0</v>
      </c>
      <c r="H67" s="23"/>
      <c r="I67" s="26" t="n">
        <f>2650</f>
        <v>2650.0</v>
      </c>
      <c r="J67" s="24"/>
      <c r="K67" s="25" t="n">
        <f>79975000</f>
        <v>7.9975E7</v>
      </c>
      <c r="L67" s="23"/>
      <c r="M67" s="25" t="n">
        <f>63182000</f>
        <v>6.3182E7</v>
      </c>
      <c r="N67" s="23"/>
      <c r="O67" s="26" t="n">
        <f>143157000</f>
        <v>1.43157E8</v>
      </c>
      <c r="P67" s="27" t="str">
        <f>"－"</f>
        <v>－</v>
      </c>
      <c r="Q67" s="28" t="str">
        <f>"－"</f>
        <v>－</v>
      </c>
      <c r="R67" s="29" t="str">
        <f>"－"</f>
        <v>－</v>
      </c>
      <c r="S67" s="24"/>
      <c r="T67" s="25" t="n">
        <f>119</f>
        <v>119.0</v>
      </c>
      <c r="U67" s="23"/>
      <c r="V67" s="25" t="n">
        <f>155</f>
        <v>155.0</v>
      </c>
      <c r="W67" s="23"/>
      <c r="X67" s="26" t="n">
        <f>274</f>
        <v>274.0</v>
      </c>
      <c r="Y67" s="24"/>
      <c r="Z67" s="25" t="n">
        <f>2287</f>
        <v>2287.0</v>
      </c>
      <c r="AA67" s="23"/>
      <c r="AB67" s="25" t="n">
        <f>3636</f>
        <v>3636.0</v>
      </c>
      <c r="AC67" s="23"/>
      <c r="AD67" s="26" t="n">
        <f>5923</f>
        <v>5923.0</v>
      </c>
    </row>
    <row r="68">
      <c r="A68" s="30" t="s">
        <v>57</v>
      </c>
      <c r="B68" s="22" t="s">
        <v>61</v>
      </c>
      <c r="C68" s="22" t="s">
        <v>62</v>
      </c>
      <c r="D68" s="24"/>
      <c r="E68" s="25" t="n">
        <f>2442</f>
        <v>2442.0</v>
      </c>
      <c r="F68" s="23"/>
      <c r="G68" s="25" t="n">
        <f>2034</f>
        <v>2034.0</v>
      </c>
      <c r="H68" s="23"/>
      <c r="I68" s="26" t="n">
        <f>4476</f>
        <v>4476.0</v>
      </c>
      <c r="J68" s="24"/>
      <c r="K68" s="25" t="n">
        <f>150353000</f>
        <v>1.50353E8</v>
      </c>
      <c r="L68" s="23"/>
      <c r="M68" s="25" t="n">
        <f>85532000</f>
        <v>8.5532E7</v>
      </c>
      <c r="N68" s="23"/>
      <c r="O68" s="26" t="n">
        <f>235885000</f>
        <v>2.35885E8</v>
      </c>
      <c r="P68" s="27" t="str">
        <f>"－"</f>
        <v>－</v>
      </c>
      <c r="Q68" s="28" t="str">
        <f>"－"</f>
        <v>－</v>
      </c>
      <c r="R68" s="29" t="str">
        <f>"－"</f>
        <v>－</v>
      </c>
      <c r="S68" s="24"/>
      <c r="T68" s="25" t="n">
        <f>112</f>
        <v>112.0</v>
      </c>
      <c r="U68" s="23"/>
      <c r="V68" s="25" t="n">
        <f>122</f>
        <v>122.0</v>
      </c>
      <c r="W68" s="23"/>
      <c r="X68" s="26" t="n">
        <f>234</f>
        <v>234.0</v>
      </c>
      <c r="Y68" s="24"/>
      <c r="Z68" s="25" t="n">
        <f>3078</f>
        <v>3078.0</v>
      </c>
      <c r="AA68" s="23"/>
      <c r="AB68" s="25" t="n">
        <f>4139</f>
        <v>4139.0</v>
      </c>
      <c r="AC68" s="23"/>
      <c r="AD68" s="26" t="n">
        <f>7217</f>
        <v>7217.0</v>
      </c>
    </row>
    <row r="69">
      <c r="A69" s="30" t="s">
        <v>58</v>
      </c>
      <c r="B69" s="22" t="s">
        <v>61</v>
      </c>
      <c r="C69" s="22" t="s">
        <v>62</v>
      </c>
      <c r="D69" s="24"/>
      <c r="E69" s="25" t="n">
        <f>2660</f>
        <v>2660.0</v>
      </c>
      <c r="F69" s="23"/>
      <c r="G69" s="25" t="n">
        <f>1587</f>
        <v>1587.0</v>
      </c>
      <c r="H69" s="23"/>
      <c r="I69" s="26" t="n">
        <f>4247</f>
        <v>4247.0</v>
      </c>
      <c r="J69" s="24"/>
      <c r="K69" s="25" t="n">
        <f>81990000</f>
        <v>8.199E7</v>
      </c>
      <c r="L69" s="23"/>
      <c r="M69" s="25" t="n">
        <f>63701000</f>
        <v>6.3701E7</v>
      </c>
      <c r="N69" s="23"/>
      <c r="O69" s="26" t="n">
        <f>145691000</f>
        <v>1.45691E8</v>
      </c>
      <c r="P69" s="27" t="str">
        <f>"－"</f>
        <v>－</v>
      </c>
      <c r="Q69" s="28" t="str">
        <f>"－"</f>
        <v>－</v>
      </c>
      <c r="R69" s="29" t="str">
        <f>"－"</f>
        <v>－</v>
      </c>
      <c r="S69" s="24"/>
      <c r="T69" s="25" t="n">
        <f>182</f>
        <v>182.0</v>
      </c>
      <c r="U69" s="23"/>
      <c r="V69" s="25" t="n">
        <f>121</f>
        <v>121.0</v>
      </c>
      <c r="W69" s="23"/>
      <c r="X69" s="26" t="n">
        <f>303</f>
        <v>303.0</v>
      </c>
      <c r="Y69" s="24"/>
      <c r="Z69" s="25" t="n">
        <f>3468</f>
        <v>3468.0</v>
      </c>
      <c r="AA69" s="23"/>
      <c r="AB69" s="25" t="n">
        <f>4387</f>
        <v>4387.0</v>
      </c>
      <c r="AC69" s="23"/>
      <c r="AD69" s="26" t="n">
        <f>7855</f>
        <v>7855.0</v>
      </c>
    </row>
    <row r="70">
      <c r="A70" s="30" t="s">
        <v>59</v>
      </c>
      <c r="B70" s="22" t="s">
        <v>61</v>
      </c>
      <c r="C70" s="22" t="s">
        <v>62</v>
      </c>
      <c r="D70" s="24"/>
      <c r="E70" s="25" t="n">
        <f>645</f>
        <v>645.0</v>
      </c>
      <c r="F70" s="23"/>
      <c r="G70" s="25" t="n">
        <f>1748</f>
        <v>1748.0</v>
      </c>
      <c r="H70" s="23"/>
      <c r="I70" s="26" t="n">
        <f>2393</f>
        <v>2393.0</v>
      </c>
      <c r="J70" s="24"/>
      <c r="K70" s="25" t="n">
        <f>58807000</f>
        <v>5.8807E7</v>
      </c>
      <c r="L70" s="23"/>
      <c r="M70" s="25" t="n">
        <f>191868000</f>
        <v>1.91868E8</v>
      </c>
      <c r="N70" s="23"/>
      <c r="O70" s="26" t="n">
        <f>250675000</f>
        <v>2.50675E8</v>
      </c>
      <c r="P70" s="27" t="n">
        <f>60</f>
        <v>60.0</v>
      </c>
      <c r="Q70" s="28" t="n">
        <f>72</f>
        <v>72.0</v>
      </c>
      <c r="R70" s="29" t="n">
        <f>132</f>
        <v>132.0</v>
      </c>
      <c r="S70" s="24"/>
      <c r="T70" s="25" t="n">
        <f>29</f>
        <v>29.0</v>
      </c>
      <c r="U70" s="23"/>
      <c r="V70" s="25" t="n">
        <f>394</f>
        <v>394.0</v>
      </c>
      <c r="W70" s="23"/>
      <c r="X70" s="26" t="n">
        <f>423</f>
        <v>423.0</v>
      </c>
      <c r="Y70" s="24"/>
      <c r="Z70" s="25" t="n">
        <f>729</f>
        <v>729.0</v>
      </c>
      <c r="AA70" s="23"/>
      <c r="AB70" s="25" t="n">
        <f>2258</f>
        <v>2258.0</v>
      </c>
      <c r="AC70" s="23"/>
      <c r="AD70" s="26" t="n">
        <f>2987</f>
        <v>2987.0</v>
      </c>
    </row>
    <row r="71">
      <c r="A71" s="30" t="s">
        <v>60</v>
      </c>
      <c r="B71" s="22" t="s">
        <v>61</v>
      </c>
      <c r="C71" s="22" t="s">
        <v>62</v>
      </c>
      <c r="D71" s="24"/>
      <c r="E71" s="25"/>
      <c r="F71" s="23"/>
      <c r="G71" s="25"/>
      <c r="H71" s="23"/>
      <c r="I71" s="26"/>
      <c r="J71" s="24"/>
      <c r="K71" s="25"/>
      <c r="L71" s="23"/>
      <c r="M71" s="25"/>
      <c r="N71" s="23"/>
      <c r="O71" s="26"/>
      <c r="P71" s="27"/>
      <c r="Q71" s="28"/>
      <c r="R71" s="29"/>
      <c r="S71" s="24"/>
      <c r="T71" s="25"/>
      <c r="U71" s="23"/>
      <c r="V71" s="25"/>
      <c r="W71" s="23"/>
      <c r="X71" s="26"/>
      <c r="Y71" s="24"/>
      <c r="Z71" s="25"/>
      <c r="AA71" s="23"/>
      <c r="AB71" s="25"/>
      <c r="AC71" s="23"/>
      <c r="AD71" s="26"/>
    </row>
    <row r="72">
      <c r="A72" s="30" t="s">
        <v>26</v>
      </c>
      <c r="B72" s="22" t="s">
        <v>63</v>
      </c>
      <c r="C72" s="22" t="s">
        <v>64</v>
      </c>
      <c r="D72" s="24"/>
      <c r="E72" s="25" t="n">
        <f>1121</f>
        <v>1121.0</v>
      </c>
      <c r="F72" s="23" t="s">
        <v>34</v>
      </c>
      <c r="G72" s="25" t="str">
        <f>"－"</f>
        <v>－</v>
      </c>
      <c r="H72" s="23"/>
      <c r="I72" s="26" t="n">
        <f>1121</f>
        <v>1121.0</v>
      </c>
      <c r="J72" s="24"/>
      <c r="K72" s="25" t="n">
        <f>113847600</f>
        <v>1.138476E8</v>
      </c>
      <c r="L72" s="23" t="s">
        <v>34</v>
      </c>
      <c r="M72" s="25" t="str">
        <f>"－"</f>
        <v>－</v>
      </c>
      <c r="N72" s="23"/>
      <c r="O72" s="26" t="n">
        <f>113847600</f>
        <v>1.138476E8</v>
      </c>
      <c r="P72" s="27" t="str">
        <f>"－"</f>
        <v>－</v>
      </c>
      <c r="Q72" s="28" t="str">
        <f>"－"</f>
        <v>－</v>
      </c>
      <c r="R72" s="29" t="str">
        <f>"－"</f>
        <v>－</v>
      </c>
      <c r="S72" s="24" t="s">
        <v>34</v>
      </c>
      <c r="T72" s="25" t="str">
        <f>"－"</f>
        <v>－</v>
      </c>
      <c r="U72" s="23" t="s">
        <v>34</v>
      </c>
      <c r="V72" s="25" t="str">
        <f>"－"</f>
        <v>－</v>
      </c>
      <c r="W72" s="23" t="s">
        <v>34</v>
      </c>
      <c r="X72" s="26" t="str">
        <f>"－"</f>
        <v>－</v>
      </c>
      <c r="Y72" s="24"/>
      <c r="Z72" s="25" t="n">
        <f>88523</f>
        <v>88523.0</v>
      </c>
      <c r="AA72" s="23"/>
      <c r="AB72" s="25" t="n">
        <f>30562</f>
        <v>30562.0</v>
      </c>
      <c r="AC72" s="23"/>
      <c r="AD72" s="26" t="n">
        <f>119085</f>
        <v>119085.0</v>
      </c>
    </row>
    <row r="73">
      <c r="A73" s="30" t="s">
        <v>29</v>
      </c>
      <c r="B73" s="22" t="s">
        <v>63</v>
      </c>
      <c r="C73" s="22" t="s">
        <v>64</v>
      </c>
      <c r="D73" s="24"/>
      <c r="E73" s="25" t="n">
        <f>370</f>
        <v>370.0</v>
      </c>
      <c r="F73" s="23"/>
      <c r="G73" s="25" t="n">
        <f>200</f>
        <v>200.0</v>
      </c>
      <c r="H73" s="23"/>
      <c r="I73" s="26" t="n">
        <f>570</f>
        <v>570.0</v>
      </c>
      <c r="J73" s="24"/>
      <c r="K73" s="25" t="n">
        <f>124458800</f>
        <v>1.244588E8</v>
      </c>
      <c r="L73" s="23"/>
      <c r="M73" s="25" t="n">
        <f>80000000</f>
        <v>8.0E7</v>
      </c>
      <c r="N73" s="23"/>
      <c r="O73" s="26" t="n">
        <f>204458800</f>
        <v>2.044588E8</v>
      </c>
      <c r="P73" s="27" t="str">
        <f>"－"</f>
        <v>－</v>
      </c>
      <c r="Q73" s="28" t="str">
        <f>"－"</f>
        <v>－</v>
      </c>
      <c r="R73" s="29" t="str">
        <f>"－"</f>
        <v>－</v>
      </c>
      <c r="S73" s="24"/>
      <c r="T73" s="25" t="str">
        <f>"－"</f>
        <v>－</v>
      </c>
      <c r="U73" s="23"/>
      <c r="V73" s="25" t="str">
        <f>"－"</f>
        <v>－</v>
      </c>
      <c r="W73" s="23"/>
      <c r="X73" s="26" t="str">
        <f>"－"</f>
        <v>－</v>
      </c>
      <c r="Y73" s="24"/>
      <c r="Z73" s="25" t="n">
        <f>88743</f>
        <v>88743.0</v>
      </c>
      <c r="AA73" s="23"/>
      <c r="AB73" s="25" t="n">
        <f>30562</f>
        <v>30562.0</v>
      </c>
      <c r="AC73" s="23"/>
      <c r="AD73" s="26" t="n">
        <f>119305</f>
        <v>119305.0</v>
      </c>
    </row>
    <row r="74">
      <c r="A74" s="30" t="s">
        <v>30</v>
      </c>
      <c r="B74" s="22" t="s">
        <v>63</v>
      </c>
      <c r="C74" s="22" t="s">
        <v>64</v>
      </c>
      <c r="D74" s="24"/>
      <c r="E74" s="25"/>
      <c r="F74" s="23"/>
      <c r="G74" s="25"/>
      <c r="H74" s="23"/>
      <c r="I74" s="26"/>
      <c r="J74" s="24"/>
      <c r="K74" s="25"/>
      <c r="L74" s="23"/>
      <c r="M74" s="25"/>
      <c r="N74" s="23"/>
      <c r="O74" s="26"/>
      <c r="P74" s="27"/>
      <c r="Q74" s="28"/>
      <c r="R74" s="29"/>
      <c r="S74" s="24"/>
      <c r="T74" s="25"/>
      <c r="U74" s="23"/>
      <c r="V74" s="25"/>
      <c r="W74" s="23"/>
      <c r="X74" s="26"/>
      <c r="Y74" s="24"/>
      <c r="Z74" s="25"/>
      <c r="AA74" s="23"/>
      <c r="AB74" s="25"/>
      <c r="AC74" s="23"/>
      <c r="AD74" s="26"/>
    </row>
    <row r="75">
      <c r="A75" s="30" t="s">
        <v>31</v>
      </c>
      <c r="B75" s="22" t="s">
        <v>63</v>
      </c>
      <c r="C75" s="22" t="s">
        <v>64</v>
      </c>
      <c r="D75" s="24"/>
      <c r="E75" s="25"/>
      <c r="F75" s="23"/>
      <c r="G75" s="25"/>
      <c r="H75" s="23"/>
      <c r="I75" s="26"/>
      <c r="J75" s="24"/>
      <c r="K75" s="25"/>
      <c r="L75" s="23"/>
      <c r="M75" s="25"/>
      <c r="N75" s="23"/>
      <c r="O75" s="26"/>
      <c r="P75" s="27"/>
      <c r="Q75" s="28"/>
      <c r="R75" s="29"/>
      <c r="S75" s="24"/>
      <c r="T75" s="25"/>
      <c r="U75" s="23"/>
      <c r="V75" s="25"/>
      <c r="W75" s="23"/>
      <c r="X75" s="26"/>
      <c r="Y75" s="24"/>
      <c r="Z75" s="25"/>
      <c r="AA75" s="23"/>
      <c r="AB75" s="25"/>
      <c r="AC75" s="23"/>
      <c r="AD75" s="26"/>
    </row>
    <row r="76">
      <c r="A76" s="30" t="s">
        <v>32</v>
      </c>
      <c r="B76" s="22" t="s">
        <v>63</v>
      </c>
      <c r="C76" s="22" t="s">
        <v>64</v>
      </c>
      <c r="D76" s="24" t="s">
        <v>34</v>
      </c>
      <c r="E76" s="25" t="str">
        <f>"－"</f>
        <v>－</v>
      </c>
      <c r="F76" s="23"/>
      <c r="G76" s="25" t="str">
        <f>"－"</f>
        <v>－</v>
      </c>
      <c r="H76" s="23" t="s">
        <v>34</v>
      </c>
      <c r="I76" s="26" t="str">
        <f>"－"</f>
        <v>－</v>
      </c>
      <c r="J76" s="24" t="s">
        <v>34</v>
      </c>
      <c r="K76" s="25" t="str">
        <f>"－"</f>
        <v>－</v>
      </c>
      <c r="L76" s="23"/>
      <c r="M76" s="25" t="str">
        <f>"－"</f>
        <v>－</v>
      </c>
      <c r="N76" s="23" t="s">
        <v>34</v>
      </c>
      <c r="O76" s="26" t="str">
        <f>"－"</f>
        <v>－</v>
      </c>
      <c r="P76" s="27" t="str">
        <f>"－"</f>
        <v>－</v>
      </c>
      <c r="Q76" s="28" t="str">
        <f>"－"</f>
        <v>－</v>
      </c>
      <c r="R76" s="29" t="str">
        <f>"－"</f>
        <v>－</v>
      </c>
      <c r="S76" s="24"/>
      <c r="T76" s="25" t="str">
        <f>"－"</f>
        <v>－</v>
      </c>
      <c r="U76" s="23"/>
      <c r="V76" s="25" t="str">
        <f>"－"</f>
        <v>－</v>
      </c>
      <c r="W76" s="23"/>
      <c r="X76" s="26" t="str">
        <f>"－"</f>
        <v>－</v>
      </c>
      <c r="Y76" s="24"/>
      <c r="Z76" s="25" t="n">
        <f>88743</f>
        <v>88743.0</v>
      </c>
      <c r="AA76" s="23"/>
      <c r="AB76" s="25" t="n">
        <f>30562</f>
        <v>30562.0</v>
      </c>
      <c r="AC76" s="23"/>
      <c r="AD76" s="26" t="n">
        <f>119305</f>
        <v>119305.0</v>
      </c>
    </row>
    <row r="77">
      <c r="A77" s="30" t="s">
        <v>33</v>
      </c>
      <c r="B77" s="22" t="s">
        <v>63</v>
      </c>
      <c r="C77" s="22" t="s">
        <v>64</v>
      </c>
      <c r="D77" s="24"/>
      <c r="E77" s="25" t="n">
        <f>300</f>
        <v>300.0</v>
      </c>
      <c r="F77" s="23"/>
      <c r="G77" s="25" t="str">
        <f>"－"</f>
        <v>－</v>
      </c>
      <c r="H77" s="23"/>
      <c r="I77" s="26" t="n">
        <f>300</f>
        <v>300.0</v>
      </c>
      <c r="J77" s="24"/>
      <c r="K77" s="25" t="n">
        <f>76350000</f>
        <v>7.635E7</v>
      </c>
      <c r="L77" s="23"/>
      <c r="M77" s="25" t="str">
        <f>"－"</f>
        <v>－</v>
      </c>
      <c r="N77" s="23"/>
      <c r="O77" s="26" t="n">
        <f>76350000</f>
        <v>7.635E7</v>
      </c>
      <c r="P77" s="27" t="str">
        <f>"－"</f>
        <v>－</v>
      </c>
      <c r="Q77" s="28" t="str">
        <f>"－"</f>
        <v>－</v>
      </c>
      <c r="R77" s="29" t="str">
        <f>"－"</f>
        <v>－</v>
      </c>
      <c r="S77" s="24"/>
      <c r="T77" s="25" t="str">
        <f>"－"</f>
        <v>－</v>
      </c>
      <c r="U77" s="23"/>
      <c r="V77" s="25" t="str">
        <f>"－"</f>
        <v>－</v>
      </c>
      <c r="W77" s="23"/>
      <c r="X77" s="26" t="str">
        <f>"－"</f>
        <v>－</v>
      </c>
      <c r="Y77" s="24"/>
      <c r="Z77" s="25" t="n">
        <f>89043</f>
        <v>89043.0</v>
      </c>
      <c r="AA77" s="23"/>
      <c r="AB77" s="25" t="n">
        <f>30562</f>
        <v>30562.0</v>
      </c>
      <c r="AC77" s="23"/>
      <c r="AD77" s="26" t="n">
        <f>119605</f>
        <v>119605.0</v>
      </c>
    </row>
    <row r="78">
      <c r="A78" s="30" t="s">
        <v>35</v>
      </c>
      <c r="B78" s="22" t="s">
        <v>63</v>
      </c>
      <c r="C78" s="22" t="s">
        <v>64</v>
      </c>
      <c r="D78" s="24"/>
      <c r="E78" s="25" t="n">
        <f>1764</f>
        <v>1764.0</v>
      </c>
      <c r="F78" s="23"/>
      <c r="G78" s="25" t="str">
        <f>"－"</f>
        <v>－</v>
      </c>
      <c r="H78" s="23"/>
      <c r="I78" s="26" t="n">
        <f>1764</f>
        <v>1764.0</v>
      </c>
      <c r="J78" s="24"/>
      <c r="K78" s="25" t="n">
        <f>271604844</f>
        <v>2.71604844E8</v>
      </c>
      <c r="L78" s="23"/>
      <c r="M78" s="25" t="str">
        <f>"－"</f>
        <v>－</v>
      </c>
      <c r="N78" s="23"/>
      <c r="O78" s="26" t="n">
        <f>271604844</f>
        <v>2.71604844E8</v>
      </c>
      <c r="P78" s="27" t="str">
        <f>"－"</f>
        <v>－</v>
      </c>
      <c r="Q78" s="28" t="str">
        <f>"－"</f>
        <v>－</v>
      </c>
      <c r="R78" s="29" t="str">
        <f>"－"</f>
        <v>－</v>
      </c>
      <c r="S78" s="24"/>
      <c r="T78" s="25" t="str">
        <f>"－"</f>
        <v>－</v>
      </c>
      <c r="U78" s="23"/>
      <c r="V78" s="25" t="str">
        <f>"－"</f>
        <v>－</v>
      </c>
      <c r="W78" s="23"/>
      <c r="X78" s="26" t="str">
        <f>"－"</f>
        <v>－</v>
      </c>
      <c r="Y78" s="24"/>
      <c r="Z78" s="25" t="n">
        <f>90807</f>
        <v>90807.0</v>
      </c>
      <c r="AA78" s="23"/>
      <c r="AB78" s="25" t="n">
        <f>30562</f>
        <v>30562.0</v>
      </c>
      <c r="AC78" s="23"/>
      <c r="AD78" s="26" t="n">
        <f>121369</f>
        <v>121369.0</v>
      </c>
    </row>
    <row r="79">
      <c r="A79" s="30" t="s">
        <v>36</v>
      </c>
      <c r="B79" s="22" t="s">
        <v>63</v>
      </c>
      <c r="C79" s="22" t="s">
        <v>64</v>
      </c>
      <c r="D79" s="24"/>
      <c r="E79" s="25" t="n">
        <f>180</f>
        <v>180.0</v>
      </c>
      <c r="F79" s="23"/>
      <c r="G79" s="25" t="n">
        <f>180</f>
        <v>180.0</v>
      </c>
      <c r="H79" s="23"/>
      <c r="I79" s="26" t="n">
        <f>360</f>
        <v>360.0</v>
      </c>
      <c r="J79" s="24"/>
      <c r="K79" s="25" t="n">
        <f>288000000</f>
        <v>2.88E8</v>
      </c>
      <c r="L79" s="23"/>
      <c r="M79" s="25" t="n">
        <f>211500000</f>
        <v>2.115E8</v>
      </c>
      <c r="N79" s="23"/>
      <c r="O79" s="26" t="n">
        <f>499500000</f>
        <v>4.995E8</v>
      </c>
      <c r="P79" s="27" t="str">
        <f>"－"</f>
        <v>－</v>
      </c>
      <c r="Q79" s="28" t="str">
        <f>"－"</f>
        <v>－</v>
      </c>
      <c r="R79" s="29" t="str">
        <f>"－"</f>
        <v>－</v>
      </c>
      <c r="S79" s="24"/>
      <c r="T79" s="25" t="str">
        <f>"－"</f>
        <v>－</v>
      </c>
      <c r="U79" s="23"/>
      <c r="V79" s="25" t="str">
        <f>"－"</f>
        <v>－</v>
      </c>
      <c r="W79" s="23"/>
      <c r="X79" s="26" t="str">
        <f>"－"</f>
        <v>－</v>
      </c>
      <c r="Y79" s="24" t="s">
        <v>37</v>
      </c>
      <c r="Z79" s="25" t="n">
        <f>90987</f>
        <v>90987.0</v>
      </c>
      <c r="AA79" s="23"/>
      <c r="AB79" s="25" t="n">
        <f>30742</f>
        <v>30742.0</v>
      </c>
      <c r="AC79" s="23" t="s">
        <v>37</v>
      </c>
      <c r="AD79" s="26" t="n">
        <f>121729</f>
        <v>121729.0</v>
      </c>
    </row>
    <row r="80">
      <c r="A80" s="30" t="s">
        <v>38</v>
      </c>
      <c r="B80" s="22" t="s">
        <v>63</v>
      </c>
      <c r="C80" s="22" t="s">
        <v>64</v>
      </c>
      <c r="D80" s="24"/>
      <c r="E80" s="25" t="str">
        <f>"－"</f>
        <v>－</v>
      </c>
      <c r="F80" s="23"/>
      <c r="G80" s="25" t="n">
        <f>894</f>
        <v>894.0</v>
      </c>
      <c r="H80" s="23"/>
      <c r="I80" s="26" t="n">
        <f>894</f>
        <v>894.0</v>
      </c>
      <c r="J80" s="24"/>
      <c r="K80" s="25" t="str">
        <f>"－"</f>
        <v>－</v>
      </c>
      <c r="L80" s="23" t="s">
        <v>37</v>
      </c>
      <c r="M80" s="25" t="n">
        <f>1310358150</f>
        <v>1.31035815E9</v>
      </c>
      <c r="N80" s="23" t="s">
        <v>37</v>
      </c>
      <c r="O80" s="26" t="n">
        <f>1310358150</f>
        <v>1.31035815E9</v>
      </c>
      <c r="P80" s="27" t="n">
        <f>1495</f>
        <v>1495.0</v>
      </c>
      <c r="Q80" s="28" t="str">
        <f>"－"</f>
        <v>－</v>
      </c>
      <c r="R80" s="29" t="n">
        <f>1495</f>
        <v>1495.0</v>
      </c>
      <c r="S80" s="24"/>
      <c r="T80" s="25" t="str">
        <f>"－"</f>
        <v>－</v>
      </c>
      <c r="U80" s="23" t="s">
        <v>37</v>
      </c>
      <c r="V80" s="25" t="n">
        <f>894</f>
        <v>894.0</v>
      </c>
      <c r="W80" s="23"/>
      <c r="X80" s="26" t="n">
        <f>894</f>
        <v>894.0</v>
      </c>
      <c r="Y80" s="24"/>
      <c r="Z80" s="25" t="n">
        <f>81702</f>
        <v>81702.0</v>
      </c>
      <c r="AA80" s="23" t="s">
        <v>34</v>
      </c>
      <c r="AB80" s="25" t="n">
        <f>27553</f>
        <v>27553.0</v>
      </c>
      <c r="AC80" s="23"/>
      <c r="AD80" s="26" t="n">
        <f>109255</f>
        <v>109255.0</v>
      </c>
    </row>
    <row r="81">
      <c r="A81" s="30" t="s">
        <v>39</v>
      </c>
      <c r="B81" s="22" t="s">
        <v>63</v>
      </c>
      <c r="C81" s="22" t="s">
        <v>64</v>
      </c>
      <c r="D81" s="24"/>
      <c r="E81" s="25"/>
      <c r="F81" s="23"/>
      <c r="G81" s="25"/>
      <c r="H81" s="23"/>
      <c r="I81" s="26"/>
      <c r="J81" s="24"/>
      <c r="K81" s="25"/>
      <c r="L81" s="23"/>
      <c r="M81" s="25"/>
      <c r="N81" s="23"/>
      <c r="O81" s="26"/>
      <c r="P81" s="27"/>
      <c r="Q81" s="28"/>
      <c r="R81" s="29"/>
      <c r="S81" s="24"/>
      <c r="T81" s="25"/>
      <c r="U81" s="23"/>
      <c r="V81" s="25"/>
      <c r="W81" s="23"/>
      <c r="X81" s="26"/>
      <c r="Y81" s="24"/>
      <c r="Z81" s="25"/>
      <c r="AA81" s="23"/>
      <c r="AB81" s="25"/>
      <c r="AC81" s="23"/>
      <c r="AD81" s="26"/>
    </row>
    <row r="82">
      <c r="A82" s="30" t="s">
        <v>40</v>
      </c>
      <c r="B82" s="22" t="s">
        <v>63</v>
      </c>
      <c r="C82" s="22" t="s">
        <v>64</v>
      </c>
      <c r="D82" s="24"/>
      <c r="E82" s="25"/>
      <c r="F82" s="23"/>
      <c r="G82" s="25"/>
      <c r="H82" s="23"/>
      <c r="I82" s="26"/>
      <c r="J82" s="24"/>
      <c r="K82" s="25"/>
      <c r="L82" s="23"/>
      <c r="M82" s="25"/>
      <c r="N82" s="23"/>
      <c r="O82" s="26"/>
      <c r="P82" s="27"/>
      <c r="Q82" s="28"/>
      <c r="R82" s="29"/>
      <c r="S82" s="24"/>
      <c r="T82" s="25"/>
      <c r="U82" s="23"/>
      <c r="V82" s="25"/>
      <c r="W82" s="23"/>
      <c r="X82" s="26"/>
      <c r="Y82" s="24"/>
      <c r="Z82" s="25"/>
      <c r="AA82" s="23"/>
      <c r="AB82" s="25"/>
      <c r="AC82" s="23"/>
      <c r="AD82" s="26"/>
    </row>
    <row r="83">
      <c r="A83" s="30" t="s">
        <v>41</v>
      </c>
      <c r="B83" s="22" t="s">
        <v>63</v>
      </c>
      <c r="C83" s="22" t="s">
        <v>64</v>
      </c>
      <c r="D83" s="24"/>
      <c r="E83" s="25" t="n">
        <f>1519</f>
        <v>1519.0</v>
      </c>
      <c r="F83" s="23"/>
      <c r="G83" s="25" t="str">
        <f>"－"</f>
        <v>－</v>
      </c>
      <c r="H83" s="23"/>
      <c r="I83" s="26" t="n">
        <f>1519</f>
        <v>1519.0</v>
      </c>
      <c r="J83" s="24"/>
      <c r="K83" s="25" t="n">
        <f>217339990</f>
        <v>2.1733999E8</v>
      </c>
      <c r="L83" s="23"/>
      <c r="M83" s="25" t="str">
        <f>"－"</f>
        <v>－</v>
      </c>
      <c r="N83" s="23"/>
      <c r="O83" s="26" t="n">
        <f>217339990</f>
        <v>2.1733999E8</v>
      </c>
      <c r="P83" s="27" t="str">
        <f>"－"</f>
        <v>－</v>
      </c>
      <c r="Q83" s="28" t="str">
        <f>"－"</f>
        <v>－</v>
      </c>
      <c r="R83" s="29" t="str">
        <f>"－"</f>
        <v>－</v>
      </c>
      <c r="S83" s="24"/>
      <c r="T83" s="25" t="n">
        <f>1519</f>
        <v>1519.0</v>
      </c>
      <c r="U83" s="23"/>
      <c r="V83" s="25" t="str">
        <f>"－"</f>
        <v>－</v>
      </c>
      <c r="W83" s="23"/>
      <c r="X83" s="26" t="n">
        <f>1519</f>
        <v>1519.0</v>
      </c>
      <c r="Y83" s="24" t="s">
        <v>34</v>
      </c>
      <c r="Z83" s="25" t="n">
        <f>81114</f>
        <v>81114.0</v>
      </c>
      <c r="AA83" s="23"/>
      <c r="AB83" s="25" t="n">
        <f>27553</f>
        <v>27553.0</v>
      </c>
      <c r="AC83" s="23" t="s">
        <v>34</v>
      </c>
      <c r="AD83" s="26" t="n">
        <f>108667</f>
        <v>108667.0</v>
      </c>
    </row>
    <row r="84">
      <c r="A84" s="30" t="s">
        <v>42</v>
      </c>
      <c r="B84" s="22" t="s">
        <v>63</v>
      </c>
      <c r="C84" s="22" t="s">
        <v>64</v>
      </c>
      <c r="D84" s="24"/>
      <c r="E84" s="25" t="str">
        <f>"－"</f>
        <v>－</v>
      </c>
      <c r="F84" s="23"/>
      <c r="G84" s="25" t="str">
        <f>"－"</f>
        <v>－</v>
      </c>
      <c r="H84" s="23"/>
      <c r="I84" s="26" t="str">
        <f>"－"</f>
        <v>－</v>
      </c>
      <c r="J84" s="24"/>
      <c r="K84" s="25" t="str">
        <f>"－"</f>
        <v>－</v>
      </c>
      <c r="L84" s="23"/>
      <c r="M84" s="25" t="str">
        <f>"－"</f>
        <v>－</v>
      </c>
      <c r="N84" s="23"/>
      <c r="O84" s="26" t="str">
        <f>"－"</f>
        <v>－</v>
      </c>
      <c r="P84" s="27" t="str">
        <f>"－"</f>
        <v>－</v>
      </c>
      <c r="Q84" s="28" t="str">
        <f>"－"</f>
        <v>－</v>
      </c>
      <c r="R84" s="29" t="str">
        <f>"－"</f>
        <v>－</v>
      </c>
      <c r="S84" s="24"/>
      <c r="T84" s="25" t="str">
        <f>"－"</f>
        <v>－</v>
      </c>
      <c r="U84" s="23"/>
      <c r="V84" s="25" t="str">
        <f>"－"</f>
        <v>－</v>
      </c>
      <c r="W84" s="23"/>
      <c r="X84" s="26" t="str">
        <f>"－"</f>
        <v>－</v>
      </c>
      <c r="Y84" s="24"/>
      <c r="Z84" s="25" t="n">
        <f>81114</f>
        <v>81114.0</v>
      </c>
      <c r="AA84" s="23"/>
      <c r="AB84" s="25" t="n">
        <f>27553</f>
        <v>27553.0</v>
      </c>
      <c r="AC84" s="23"/>
      <c r="AD84" s="26" t="n">
        <f>108667</f>
        <v>108667.0</v>
      </c>
    </row>
    <row r="85">
      <c r="A85" s="30" t="s">
        <v>43</v>
      </c>
      <c r="B85" s="22" t="s">
        <v>63</v>
      </c>
      <c r="C85" s="22" t="s">
        <v>64</v>
      </c>
      <c r="D85" s="24"/>
      <c r="E85" s="25" t="n">
        <f>2225</f>
        <v>2225.0</v>
      </c>
      <c r="F85" s="23"/>
      <c r="G85" s="25" t="n">
        <f>843</f>
        <v>843.0</v>
      </c>
      <c r="H85" s="23"/>
      <c r="I85" s="26" t="n">
        <f>3068</f>
        <v>3068.0</v>
      </c>
      <c r="J85" s="24"/>
      <c r="K85" s="25" t="n">
        <f>400384825</f>
        <v>4.00384825E8</v>
      </c>
      <c r="L85" s="23"/>
      <c r="M85" s="25" t="n">
        <f>40070000</f>
        <v>4.007E7</v>
      </c>
      <c r="N85" s="23"/>
      <c r="O85" s="26" t="n">
        <f>440454825</f>
        <v>4.40454825E8</v>
      </c>
      <c r="P85" s="27" t="str">
        <f>"－"</f>
        <v>－</v>
      </c>
      <c r="Q85" s="28" t="str">
        <f>"－"</f>
        <v>－</v>
      </c>
      <c r="R85" s="29" t="str">
        <f>"－"</f>
        <v>－</v>
      </c>
      <c r="S85" s="24"/>
      <c r="T85" s="25" t="n">
        <f>1825</f>
        <v>1825.0</v>
      </c>
      <c r="U85" s="23"/>
      <c r="V85" s="25" t="n">
        <f>843</f>
        <v>843.0</v>
      </c>
      <c r="W85" s="23"/>
      <c r="X85" s="26" t="n">
        <f>2668</f>
        <v>2668.0</v>
      </c>
      <c r="Y85" s="24"/>
      <c r="Z85" s="25" t="n">
        <f>83139</f>
        <v>83139.0</v>
      </c>
      <c r="AA85" s="23"/>
      <c r="AB85" s="25" t="n">
        <f>28396</f>
        <v>28396.0</v>
      </c>
      <c r="AC85" s="23"/>
      <c r="AD85" s="26" t="n">
        <f>111535</f>
        <v>111535.0</v>
      </c>
    </row>
    <row r="86">
      <c r="A86" s="30" t="s">
        <v>44</v>
      </c>
      <c r="B86" s="22" t="s">
        <v>63</v>
      </c>
      <c r="C86" s="22" t="s">
        <v>64</v>
      </c>
      <c r="D86" s="24"/>
      <c r="E86" s="25" t="n">
        <f>1963</f>
        <v>1963.0</v>
      </c>
      <c r="F86" s="23" t="s">
        <v>37</v>
      </c>
      <c r="G86" s="25" t="n">
        <f>1963</f>
        <v>1963.0</v>
      </c>
      <c r="H86" s="23"/>
      <c r="I86" s="26" t="n">
        <f>3926</f>
        <v>3926.0</v>
      </c>
      <c r="J86" s="24"/>
      <c r="K86" s="25" t="n">
        <f>364026200</f>
        <v>3.640262E8</v>
      </c>
      <c r="L86" s="23"/>
      <c r="M86" s="25" t="n">
        <f>128546280</f>
        <v>1.2854628E8</v>
      </c>
      <c r="N86" s="23"/>
      <c r="O86" s="26" t="n">
        <f>492572480</f>
        <v>4.9257248E8</v>
      </c>
      <c r="P86" s="27" t="str">
        <f>"－"</f>
        <v>－</v>
      </c>
      <c r="Q86" s="28" t="str">
        <f>"－"</f>
        <v>－</v>
      </c>
      <c r="R86" s="29" t="str">
        <f>"－"</f>
        <v>－</v>
      </c>
      <c r="S86" s="24"/>
      <c r="T86" s="25" t="str">
        <f>"－"</f>
        <v>－</v>
      </c>
      <c r="U86" s="23"/>
      <c r="V86" s="25" t="str">
        <f>"－"</f>
        <v>－</v>
      </c>
      <c r="W86" s="23"/>
      <c r="X86" s="26" t="str">
        <f>"－"</f>
        <v>－</v>
      </c>
      <c r="Y86" s="24"/>
      <c r="Z86" s="25" t="n">
        <f>84602</f>
        <v>84602.0</v>
      </c>
      <c r="AA86" s="23"/>
      <c r="AB86" s="25" t="n">
        <f>30359</f>
        <v>30359.0</v>
      </c>
      <c r="AC86" s="23"/>
      <c r="AD86" s="26" t="n">
        <f>114961</f>
        <v>114961.0</v>
      </c>
    </row>
    <row r="87">
      <c r="A87" s="30" t="s">
        <v>45</v>
      </c>
      <c r="B87" s="22" t="s">
        <v>63</v>
      </c>
      <c r="C87" s="22" t="s">
        <v>64</v>
      </c>
      <c r="D87" s="24"/>
      <c r="E87" s="25" t="n">
        <f>425</f>
        <v>425.0</v>
      </c>
      <c r="F87" s="23"/>
      <c r="G87" s="25" t="n">
        <f>425</f>
        <v>425.0</v>
      </c>
      <c r="H87" s="23"/>
      <c r="I87" s="26" t="n">
        <f>850</f>
        <v>850.0</v>
      </c>
      <c r="J87" s="24"/>
      <c r="K87" s="25" t="n">
        <f>78667500</f>
        <v>7.86675E7</v>
      </c>
      <c r="L87" s="23"/>
      <c r="M87" s="25" t="n">
        <f>48875000</f>
        <v>4.8875E7</v>
      </c>
      <c r="N87" s="23"/>
      <c r="O87" s="26" t="n">
        <f>127542500</f>
        <v>1.275425E8</v>
      </c>
      <c r="P87" s="27" t="str">
        <f>"－"</f>
        <v>－</v>
      </c>
      <c r="Q87" s="28" t="str">
        <f>"－"</f>
        <v>－</v>
      </c>
      <c r="R87" s="29" t="str">
        <f>"－"</f>
        <v>－</v>
      </c>
      <c r="S87" s="24"/>
      <c r="T87" s="25" t="n">
        <f>425</f>
        <v>425.0</v>
      </c>
      <c r="U87" s="23"/>
      <c r="V87" s="25" t="n">
        <f>425</f>
        <v>425.0</v>
      </c>
      <c r="W87" s="23"/>
      <c r="X87" s="26" t="n">
        <f>850</f>
        <v>850.0</v>
      </c>
      <c r="Y87" s="24"/>
      <c r="Z87" s="25" t="n">
        <f>85027</f>
        <v>85027.0</v>
      </c>
      <c r="AA87" s="23" t="s">
        <v>37</v>
      </c>
      <c r="AB87" s="25" t="n">
        <f>30784</f>
        <v>30784.0</v>
      </c>
      <c r="AC87" s="23"/>
      <c r="AD87" s="26" t="n">
        <f>115811</f>
        <v>115811.0</v>
      </c>
    </row>
    <row r="88">
      <c r="A88" s="30" t="s">
        <v>46</v>
      </c>
      <c r="B88" s="22" t="s">
        <v>63</v>
      </c>
      <c r="C88" s="22" t="s">
        <v>64</v>
      </c>
      <c r="D88" s="24"/>
      <c r="E88" s="25"/>
      <c r="F88" s="23"/>
      <c r="G88" s="25"/>
      <c r="H88" s="23"/>
      <c r="I88" s="26"/>
      <c r="J88" s="24"/>
      <c r="K88" s="25"/>
      <c r="L88" s="23"/>
      <c r="M88" s="25"/>
      <c r="N88" s="23"/>
      <c r="O88" s="26"/>
      <c r="P88" s="27"/>
      <c r="Q88" s="28"/>
      <c r="R88" s="29"/>
      <c r="S88" s="24"/>
      <c r="T88" s="25"/>
      <c r="U88" s="23"/>
      <c r="V88" s="25"/>
      <c r="W88" s="23"/>
      <c r="X88" s="26"/>
      <c r="Y88" s="24"/>
      <c r="Z88" s="25"/>
      <c r="AA88" s="23"/>
      <c r="AB88" s="25"/>
      <c r="AC88" s="23"/>
      <c r="AD88" s="26"/>
    </row>
    <row r="89">
      <c r="A89" s="30" t="s">
        <v>47</v>
      </c>
      <c r="B89" s="22" t="s">
        <v>63</v>
      </c>
      <c r="C89" s="22" t="s">
        <v>64</v>
      </c>
      <c r="D89" s="24"/>
      <c r="E89" s="25"/>
      <c r="F89" s="23"/>
      <c r="G89" s="25"/>
      <c r="H89" s="23"/>
      <c r="I89" s="26"/>
      <c r="J89" s="24"/>
      <c r="K89" s="25"/>
      <c r="L89" s="23"/>
      <c r="M89" s="25"/>
      <c r="N89" s="23"/>
      <c r="O89" s="26"/>
      <c r="P89" s="27"/>
      <c r="Q89" s="28"/>
      <c r="R89" s="29"/>
      <c r="S89" s="24"/>
      <c r="T89" s="25"/>
      <c r="U89" s="23"/>
      <c r="V89" s="25"/>
      <c r="W89" s="23"/>
      <c r="X89" s="26"/>
      <c r="Y89" s="24"/>
      <c r="Z89" s="25"/>
      <c r="AA89" s="23"/>
      <c r="AB89" s="25"/>
      <c r="AC89" s="23"/>
      <c r="AD89" s="26"/>
    </row>
    <row r="90">
      <c r="A90" s="30" t="s">
        <v>48</v>
      </c>
      <c r="B90" s="22" t="s">
        <v>63</v>
      </c>
      <c r="C90" s="22" t="s">
        <v>64</v>
      </c>
      <c r="D90" s="24"/>
      <c r="E90" s="25" t="str">
        <f>"－"</f>
        <v>－</v>
      </c>
      <c r="F90" s="23"/>
      <c r="G90" s="25" t="str">
        <f>"－"</f>
        <v>－</v>
      </c>
      <c r="H90" s="23"/>
      <c r="I90" s="26" t="str">
        <f>"－"</f>
        <v>－</v>
      </c>
      <c r="J90" s="24"/>
      <c r="K90" s="25" t="str">
        <f>"－"</f>
        <v>－</v>
      </c>
      <c r="L90" s="23"/>
      <c r="M90" s="25" t="str">
        <f>"－"</f>
        <v>－</v>
      </c>
      <c r="N90" s="23"/>
      <c r="O90" s="26" t="str">
        <f>"－"</f>
        <v>－</v>
      </c>
      <c r="P90" s="27" t="str">
        <f>"－"</f>
        <v>－</v>
      </c>
      <c r="Q90" s="28" t="str">
        <f>"－"</f>
        <v>－</v>
      </c>
      <c r="R90" s="29" t="str">
        <f>"－"</f>
        <v>－</v>
      </c>
      <c r="S90" s="24"/>
      <c r="T90" s="25" t="str">
        <f>"－"</f>
        <v>－</v>
      </c>
      <c r="U90" s="23"/>
      <c r="V90" s="25" t="str">
        <f>"－"</f>
        <v>－</v>
      </c>
      <c r="W90" s="23"/>
      <c r="X90" s="26" t="str">
        <f>"－"</f>
        <v>－</v>
      </c>
      <c r="Y90" s="24"/>
      <c r="Z90" s="25" t="n">
        <f>85027</f>
        <v>85027.0</v>
      </c>
      <c r="AA90" s="23"/>
      <c r="AB90" s="25" t="n">
        <f>30784</f>
        <v>30784.0</v>
      </c>
      <c r="AC90" s="23"/>
      <c r="AD90" s="26" t="n">
        <f>115811</f>
        <v>115811.0</v>
      </c>
    </row>
    <row r="91">
      <c r="A91" s="30" t="s">
        <v>49</v>
      </c>
      <c r="B91" s="22" t="s">
        <v>63</v>
      </c>
      <c r="C91" s="22" t="s">
        <v>64</v>
      </c>
      <c r="D91" s="24"/>
      <c r="E91" s="25" t="n">
        <f>829</f>
        <v>829.0</v>
      </c>
      <c r="F91" s="23"/>
      <c r="G91" s="25" t="str">
        <f>"－"</f>
        <v>－</v>
      </c>
      <c r="H91" s="23"/>
      <c r="I91" s="26" t="n">
        <f>829</f>
        <v>829.0</v>
      </c>
      <c r="J91" s="24"/>
      <c r="K91" s="25" t="n">
        <f>230884200</f>
        <v>2.308842E8</v>
      </c>
      <c r="L91" s="23"/>
      <c r="M91" s="25" t="str">
        <f>"－"</f>
        <v>－</v>
      </c>
      <c r="N91" s="23"/>
      <c r="O91" s="26" t="n">
        <f>230884200</f>
        <v>2.308842E8</v>
      </c>
      <c r="P91" s="27" t="str">
        <f>"－"</f>
        <v>－</v>
      </c>
      <c r="Q91" s="28" t="str">
        <f>"－"</f>
        <v>－</v>
      </c>
      <c r="R91" s="29" t="str">
        <f>"－"</f>
        <v>－</v>
      </c>
      <c r="S91" s="24"/>
      <c r="T91" s="25" t="n">
        <f>729</f>
        <v>729.0</v>
      </c>
      <c r="U91" s="23"/>
      <c r="V91" s="25" t="str">
        <f>"－"</f>
        <v>－</v>
      </c>
      <c r="W91" s="23"/>
      <c r="X91" s="26" t="n">
        <f>729</f>
        <v>729.0</v>
      </c>
      <c r="Y91" s="24"/>
      <c r="Z91" s="25" t="n">
        <f>84466</f>
        <v>84466.0</v>
      </c>
      <c r="AA91" s="23"/>
      <c r="AB91" s="25" t="n">
        <f>30784</f>
        <v>30784.0</v>
      </c>
      <c r="AC91" s="23"/>
      <c r="AD91" s="26" t="n">
        <f>115250</f>
        <v>115250.0</v>
      </c>
    </row>
    <row r="92">
      <c r="A92" s="30" t="s">
        <v>50</v>
      </c>
      <c r="B92" s="22" t="s">
        <v>63</v>
      </c>
      <c r="C92" s="22" t="s">
        <v>64</v>
      </c>
      <c r="D92" s="24"/>
      <c r="E92" s="25" t="n">
        <f>370</f>
        <v>370.0</v>
      </c>
      <c r="F92" s="23"/>
      <c r="G92" s="25" t="n">
        <f>150</f>
        <v>150.0</v>
      </c>
      <c r="H92" s="23"/>
      <c r="I92" s="26" t="n">
        <f>520</f>
        <v>520.0</v>
      </c>
      <c r="J92" s="24"/>
      <c r="K92" s="25" t="n">
        <f>147760400</f>
        <v>1.477604E8</v>
      </c>
      <c r="L92" s="23"/>
      <c r="M92" s="25" t="n">
        <f>75075000</f>
        <v>7.5075E7</v>
      </c>
      <c r="N92" s="23"/>
      <c r="O92" s="26" t="n">
        <f>222835400</f>
        <v>2.228354E8</v>
      </c>
      <c r="P92" s="27" t="str">
        <f>"－"</f>
        <v>－</v>
      </c>
      <c r="Q92" s="28" t="str">
        <f>"－"</f>
        <v>－</v>
      </c>
      <c r="R92" s="29" t="str">
        <f>"－"</f>
        <v>－</v>
      </c>
      <c r="S92" s="24"/>
      <c r="T92" s="25" t="n">
        <f>150</f>
        <v>150.0</v>
      </c>
      <c r="U92" s="23"/>
      <c r="V92" s="25" t="n">
        <f>150</f>
        <v>150.0</v>
      </c>
      <c r="W92" s="23"/>
      <c r="X92" s="26" t="n">
        <f>300</f>
        <v>300.0</v>
      </c>
      <c r="Y92" s="24"/>
      <c r="Z92" s="25" t="n">
        <f>84686</f>
        <v>84686.0</v>
      </c>
      <c r="AA92" s="23"/>
      <c r="AB92" s="25" t="n">
        <f>30784</f>
        <v>30784.0</v>
      </c>
      <c r="AC92" s="23"/>
      <c r="AD92" s="26" t="n">
        <f>115470</f>
        <v>115470.0</v>
      </c>
    </row>
    <row r="93">
      <c r="A93" s="30" t="s">
        <v>51</v>
      </c>
      <c r="B93" s="22" t="s">
        <v>63</v>
      </c>
      <c r="C93" s="22" t="s">
        <v>64</v>
      </c>
      <c r="D93" s="24"/>
      <c r="E93" s="25"/>
      <c r="F93" s="23"/>
      <c r="G93" s="25"/>
      <c r="H93" s="23"/>
      <c r="I93" s="26"/>
      <c r="J93" s="24"/>
      <c r="K93" s="25"/>
      <c r="L93" s="23"/>
      <c r="M93" s="25"/>
      <c r="N93" s="23"/>
      <c r="O93" s="26"/>
      <c r="P93" s="27"/>
      <c r="Q93" s="28"/>
      <c r="R93" s="29"/>
      <c r="S93" s="24"/>
      <c r="T93" s="25"/>
      <c r="U93" s="23"/>
      <c r="V93" s="25"/>
      <c r="W93" s="23"/>
      <c r="X93" s="26"/>
      <c r="Y93" s="24"/>
      <c r="Z93" s="25"/>
      <c r="AA93" s="23"/>
      <c r="AB93" s="25"/>
      <c r="AC93" s="23"/>
      <c r="AD93" s="26"/>
    </row>
    <row r="94">
      <c r="A94" s="30" t="s">
        <v>52</v>
      </c>
      <c r="B94" s="22" t="s">
        <v>63</v>
      </c>
      <c r="C94" s="22" t="s">
        <v>64</v>
      </c>
      <c r="D94" s="24"/>
      <c r="E94" s="25"/>
      <c r="F94" s="23"/>
      <c r="G94" s="25"/>
      <c r="H94" s="23"/>
      <c r="I94" s="26"/>
      <c r="J94" s="24"/>
      <c r="K94" s="25"/>
      <c r="L94" s="23"/>
      <c r="M94" s="25"/>
      <c r="N94" s="23"/>
      <c r="O94" s="26"/>
      <c r="P94" s="27"/>
      <c r="Q94" s="28"/>
      <c r="R94" s="29"/>
      <c r="S94" s="24"/>
      <c r="T94" s="25"/>
      <c r="U94" s="23"/>
      <c r="V94" s="25"/>
      <c r="W94" s="23"/>
      <c r="X94" s="26"/>
      <c r="Y94" s="24"/>
      <c r="Z94" s="25"/>
      <c r="AA94" s="23"/>
      <c r="AB94" s="25"/>
      <c r="AC94" s="23"/>
      <c r="AD94" s="26"/>
    </row>
    <row r="95">
      <c r="A95" s="30" t="s">
        <v>53</v>
      </c>
      <c r="B95" s="22" t="s">
        <v>63</v>
      </c>
      <c r="C95" s="22" t="s">
        <v>64</v>
      </c>
      <c r="D95" s="24"/>
      <c r="E95" s="25"/>
      <c r="F95" s="23"/>
      <c r="G95" s="25"/>
      <c r="H95" s="23"/>
      <c r="I95" s="26"/>
      <c r="J95" s="24"/>
      <c r="K95" s="25"/>
      <c r="L95" s="23"/>
      <c r="M95" s="25"/>
      <c r="N95" s="23"/>
      <c r="O95" s="26"/>
      <c r="P95" s="27"/>
      <c r="Q95" s="28"/>
      <c r="R95" s="29"/>
      <c r="S95" s="24"/>
      <c r="T95" s="25"/>
      <c r="U95" s="23"/>
      <c r="V95" s="25"/>
      <c r="W95" s="23"/>
      <c r="X95" s="26"/>
      <c r="Y95" s="24"/>
      <c r="Z95" s="25"/>
      <c r="AA95" s="23"/>
      <c r="AB95" s="25"/>
      <c r="AC95" s="23"/>
      <c r="AD95" s="26"/>
    </row>
    <row r="96">
      <c r="A96" s="30" t="s">
        <v>54</v>
      </c>
      <c r="B96" s="22" t="s">
        <v>63</v>
      </c>
      <c r="C96" s="22" t="s">
        <v>64</v>
      </c>
      <c r="D96" s="24"/>
      <c r="E96" s="25"/>
      <c r="F96" s="23"/>
      <c r="G96" s="25"/>
      <c r="H96" s="23"/>
      <c r="I96" s="26"/>
      <c r="J96" s="24"/>
      <c r="K96" s="25"/>
      <c r="L96" s="23"/>
      <c r="M96" s="25"/>
      <c r="N96" s="23"/>
      <c r="O96" s="26"/>
      <c r="P96" s="27"/>
      <c r="Q96" s="28"/>
      <c r="R96" s="29"/>
      <c r="S96" s="24"/>
      <c r="T96" s="25"/>
      <c r="U96" s="23"/>
      <c r="V96" s="25"/>
      <c r="W96" s="23"/>
      <c r="X96" s="26"/>
      <c r="Y96" s="24"/>
      <c r="Z96" s="25"/>
      <c r="AA96" s="23"/>
      <c r="AB96" s="25"/>
      <c r="AC96" s="23"/>
      <c r="AD96" s="26"/>
    </row>
    <row r="97">
      <c r="A97" s="30" t="s">
        <v>55</v>
      </c>
      <c r="B97" s="22" t="s">
        <v>63</v>
      </c>
      <c r="C97" s="22" t="s">
        <v>64</v>
      </c>
      <c r="D97" s="24" t="s">
        <v>37</v>
      </c>
      <c r="E97" s="25" t="n">
        <f>5551</f>
        <v>5551.0</v>
      </c>
      <c r="F97" s="23"/>
      <c r="G97" s="25" t="str">
        <f>"－"</f>
        <v>－</v>
      </c>
      <c r="H97" s="23" t="s">
        <v>37</v>
      </c>
      <c r="I97" s="26" t="n">
        <f>5551</f>
        <v>5551.0</v>
      </c>
      <c r="J97" s="24" t="s">
        <v>37</v>
      </c>
      <c r="K97" s="25" t="n">
        <f>918299070</f>
        <v>9.1829907E8</v>
      </c>
      <c r="L97" s="23"/>
      <c r="M97" s="25" t="str">
        <f>"－"</f>
        <v>－</v>
      </c>
      <c r="N97" s="23"/>
      <c r="O97" s="26" t="n">
        <f>918299070</f>
        <v>9.1829907E8</v>
      </c>
      <c r="P97" s="27" t="str">
        <f>"－"</f>
        <v>－</v>
      </c>
      <c r="Q97" s="28" t="str">
        <f>"－"</f>
        <v>－</v>
      </c>
      <c r="R97" s="29" t="str">
        <f>"－"</f>
        <v>－</v>
      </c>
      <c r="S97" s="24" t="s">
        <v>37</v>
      </c>
      <c r="T97" s="25" t="n">
        <f>5201</f>
        <v>5201.0</v>
      </c>
      <c r="U97" s="23"/>
      <c r="V97" s="25" t="str">
        <f>"－"</f>
        <v>－</v>
      </c>
      <c r="W97" s="23" t="s">
        <v>37</v>
      </c>
      <c r="X97" s="26" t="n">
        <f>5201</f>
        <v>5201.0</v>
      </c>
      <c r="Y97" s="24"/>
      <c r="Z97" s="25" t="n">
        <f>86491</f>
        <v>86491.0</v>
      </c>
      <c r="AA97" s="23"/>
      <c r="AB97" s="25" t="n">
        <f>30784</f>
        <v>30784.0</v>
      </c>
      <c r="AC97" s="23"/>
      <c r="AD97" s="26" t="n">
        <f>117275</f>
        <v>117275.0</v>
      </c>
    </row>
    <row r="98">
      <c r="A98" s="30" t="s">
        <v>56</v>
      </c>
      <c r="B98" s="22" t="s">
        <v>63</v>
      </c>
      <c r="C98" s="22" t="s">
        <v>64</v>
      </c>
      <c r="D98" s="24"/>
      <c r="E98" s="25" t="n">
        <f>100</f>
        <v>100.0</v>
      </c>
      <c r="F98" s="23"/>
      <c r="G98" s="25" t="str">
        <f>"－"</f>
        <v>－</v>
      </c>
      <c r="H98" s="23"/>
      <c r="I98" s="26" t="n">
        <f>100</f>
        <v>100.0</v>
      </c>
      <c r="J98" s="24"/>
      <c r="K98" s="25" t="n">
        <f>9980000</f>
        <v>9980000.0</v>
      </c>
      <c r="L98" s="23"/>
      <c r="M98" s="25" t="str">
        <f>"－"</f>
        <v>－</v>
      </c>
      <c r="N98" s="23"/>
      <c r="O98" s="26" t="n">
        <f>9980000</f>
        <v>9980000.0</v>
      </c>
      <c r="P98" s="27" t="str">
        <f>"－"</f>
        <v>－</v>
      </c>
      <c r="Q98" s="28" t="str">
        <f>"－"</f>
        <v>－</v>
      </c>
      <c r="R98" s="29" t="str">
        <f>"－"</f>
        <v>－</v>
      </c>
      <c r="S98" s="24"/>
      <c r="T98" s="25" t="str">
        <f>"－"</f>
        <v>－</v>
      </c>
      <c r="U98" s="23"/>
      <c r="V98" s="25" t="str">
        <f>"－"</f>
        <v>－</v>
      </c>
      <c r="W98" s="23"/>
      <c r="X98" s="26" t="str">
        <f>"－"</f>
        <v>－</v>
      </c>
      <c r="Y98" s="24"/>
      <c r="Z98" s="25" t="n">
        <f>86491</f>
        <v>86491.0</v>
      </c>
      <c r="AA98" s="23"/>
      <c r="AB98" s="25" t="n">
        <f>30784</f>
        <v>30784.0</v>
      </c>
      <c r="AC98" s="23"/>
      <c r="AD98" s="26" t="n">
        <f>117275</f>
        <v>117275.0</v>
      </c>
    </row>
    <row r="99">
      <c r="A99" s="30" t="s">
        <v>57</v>
      </c>
      <c r="B99" s="22" t="s">
        <v>63</v>
      </c>
      <c r="C99" s="22" t="s">
        <v>64</v>
      </c>
      <c r="D99" s="24"/>
      <c r="E99" s="25" t="n">
        <f>900</f>
        <v>900.0</v>
      </c>
      <c r="F99" s="23"/>
      <c r="G99" s="25" t="str">
        <f>"－"</f>
        <v>－</v>
      </c>
      <c r="H99" s="23"/>
      <c r="I99" s="26" t="n">
        <f>900</f>
        <v>900.0</v>
      </c>
      <c r="J99" s="24"/>
      <c r="K99" s="25" t="n">
        <f>163800000</f>
        <v>1.638E8</v>
      </c>
      <c r="L99" s="23"/>
      <c r="M99" s="25" t="str">
        <f>"－"</f>
        <v>－</v>
      </c>
      <c r="N99" s="23"/>
      <c r="O99" s="26" t="n">
        <f>163800000</f>
        <v>1.638E8</v>
      </c>
      <c r="P99" s="27" t="str">
        <f>"－"</f>
        <v>－</v>
      </c>
      <c r="Q99" s="28" t="str">
        <f>"－"</f>
        <v>－</v>
      </c>
      <c r="R99" s="29" t="str">
        <f>"－"</f>
        <v>－</v>
      </c>
      <c r="S99" s="24"/>
      <c r="T99" s="25" t="str">
        <f>"－"</f>
        <v>－</v>
      </c>
      <c r="U99" s="23"/>
      <c r="V99" s="25" t="str">
        <f>"－"</f>
        <v>－</v>
      </c>
      <c r="W99" s="23"/>
      <c r="X99" s="26" t="str">
        <f>"－"</f>
        <v>－</v>
      </c>
      <c r="Y99" s="24"/>
      <c r="Z99" s="25" t="n">
        <f>85591</f>
        <v>85591.0</v>
      </c>
      <c r="AA99" s="23"/>
      <c r="AB99" s="25" t="n">
        <f>30784</f>
        <v>30784.0</v>
      </c>
      <c r="AC99" s="23"/>
      <c r="AD99" s="26" t="n">
        <f>116375</f>
        <v>116375.0</v>
      </c>
    </row>
    <row r="100">
      <c r="A100" s="30" t="s">
        <v>58</v>
      </c>
      <c r="B100" s="22" t="s">
        <v>63</v>
      </c>
      <c r="C100" s="22" t="s">
        <v>64</v>
      </c>
      <c r="D100" s="24"/>
      <c r="E100" s="25" t="n">
        <f>1230</f>
        <v>1230.0</v>
      </c>
      <c r="F100" s="23"/>
      <c r="G100" s="25" t="str">
        <f>"－"</f>
        <v>－</v>
      </c>
      <c r="H100" s="23"/>
      <c r="I100" s="26" t="n">
        <f>1230</f>
        <v>1230.0</v>
      </c>
      <c r="J100" s="24"/>
      <c r="K100" s="25" t="n">
        <f>186972900</f>
        <v>1.869729E8</v>
      </c>
      <c r="L100" s="23"/>
      <c r="M100" s="25" t="str">
        <f>"－"</f>
        <v>－</v>
      </c>
      <c r="N100" s="23"/>
      <c r="O100" s="26" t="n">
        <f>186972900</f>
        <v>1.869729E8</v>
      </c>
      <c r="P100" s="27" t="str">
        <f>"－"</f>
        <v>－</v>
      </c>
      <c r="Q100" s="28" t="str">
        <f>"－"</f>
        <v>－</v>
      </c>
      <c r="R100" s="29" t="str">
        <f>"－"</f>
        <v>－</v>
      </c>
      <c r="S100" s="24"/>
      <c r="T100" s="25" t="n">
        <f>230</f>
        <v>230.0</v>
      </c>
      <c r="U100" s="23"/>
      <c r="V100" s="25" t="str">
        <f>"－"</f>
        <v>－</v>
      </c>
      <c r="W100" s="23"/>
      <c r="X100" s="26" t="n">
        <f>230</f>
        <v>230.0</v>
      </c>
      <c r="Y100" s="24"/>
      <c r="Z100" s="25" t="n">
        <f>84877</f>
        <v>84877.0</v>
      </c>
      <c r="AA100" s="23"/>
      <c r="AB100" s="25" t="n">
        <f>30784</f>
        <v>30784.0</v>
      </c>
      <c r="AC100" s="23"/>
      <c r="AD100" s="26" t="n">
        <f>115661</f>
        <v>115661.0</v>
      </c>
    </row>
    <row r="101">
      <c r="A101" s="30" t="s">
        <v>59</v>
      </c>
      <c r="B101" s="22" t="s">
        <v>63</v>
      </c>
      <c r="C101" s="22" t="s">
        <v>64</v>
      </c>
      <c r="D101" s="24"/>
      <c r="E101" s="25" t="n">
        <f>220</f>
        <v>220.0</v>
      </c>
      <c r="F101" s="23"/>
      <c r="G101" s="25" t="str">
        <f>"－"</f>
        <v>－</v>
      </c>
      <c r="H101" s="23"/>
      <c r="I101" s="26" t="n">
        <f>220</f>
        <v>220.0</v>
      </c>
      <c r="J101" s="24"/>
      <c r="K101" s="25" t="n">
        <f>75209900</f>
        <v>7.52099E7</v>
      </c>
      <c r="L101" s="23"/>
      <c r="M101" s="25" t="str">
        <f>"－"</f>
        <v>－</v>
      </c>
      <c r="N101" s="23"/>
      <c r="O101" s="26" t="n">
        <f>75209900</f>
        <v>7.52099E7</v>
      </c>
      <c r="P101" s="27" t="str">
        <f>"－"</f>
        <v>－</v>
      </c>
      <c r="Q101" s="28" t="str">
        <f>"－"</f>
        <v>－</v>
      </c>
      <c r="R101" s="29" t="str">
        <f>"－"</f>
        <v>－</v>
      </c>
      <c r="S101" s="24"/>
      <c r="T101" s="25" t="str">
        <f>"－"</f>
        <v>－</v>
      </c>
      <c r="U101" s="23"/>
      <c r="V101" s="25" t="str">
        <f>"－"</f>
        <v>－</v>
      </c>
      <c r="W101" s="23"/>
      <c r="X101" s="26" t="str">
        <f>"－"</f>
        <v>－</v>
      </c>
      <c r="Y101" s="24"/>
      <c r="Z101" s="25" t="n">
        <f>85097</f>
        <v>85097.0</v>
      </c>
      <c r="AA101" s="23"/>
      <c r="AB101" s="25" t="n">
        <f>30784</f>
        <v>30784.0</v>
      </c>
      <c r="AC101" s="23"/>
      <c r="AD101" s="26" t="n">
        <f>115881</f>
        <v>115881.0</v>
      </c>
    </row>
    <row r="102">
      <c r="A102" s="30" t="s">
        <v>60</v>
      </c>
      <c r="B102" s="22" t="s">
        <v>63</v>
      </c>
      <c r="C102" s="22" t="s">
        <v>64</v>
      </c>
      <c r="D102" s="24"/>
      <c r="E102" s="25"/>
      <c r="F102" s="23"/>
      <c r="G102" s="25"/>
      <c r="H102" s="23"/>
      <c r="I102" s="26"/>
      <c r="J102" s="24"/>
      <c r="K102" s="25"/>
      <c r="L102" s="23"/>
      <c r="M102" s="25"/>
      <c r="N102" s="23"/>
      <c r="O102" s="26"/>
      <c r="P102" s="27"/>
      <c r="Q102" s="28"/>
      <c r="R102" s="29"/>
      <c r="S102" s="24"/>
      <c r="T102" s="25"/>
      <c r="U102" s="23"/>
      <c r="V102" s="25"/>
      <c r="W102" s="23"/>
      <c r="X102" s="26"/>
      <c r="Y102" s="24"/>
      <c r="Z102" s="25"/>
      <c r="AA102" s="23"/>
      <c r="AB102" s="25"/>
      <c r="AC102" s="23"/>
      <c r="AD102" s="26"/>
    </row>
    <row r="103">
      <c r="A103" s="30" t="s">
        <v>26</v>
      </c>
      <c r="B103" s="22" t="s">
        <v>65</v>
      </c>
      <c r="C103" s="22" t="s">
        <v>66</v>
      </c>
      <c r="D103" s="24" t="s">
        <v>67</v>
      </c>
      <c r="E103" s="25" t="str">
        <f>"－"</f>
        <v>－</v>
      </c>
      <c r="F103" s="23" t="s">
        <v>67</v>
      </c>
      <c r="G103" s="25" t="str">
        <f>"－"</f>
        <v>－</v>
      </c>
      <c r="H103" s="23" t="s">
        <v>67</v>
      </c>
      <c r="I103" s="26" t="str">
        <f>"－"</f>
        <v>－</v>
      </c>
      <c r="J103" s="24" t="s">
        <v>67</v>
      </c>
      <c r="K103" s="25" t="str">
        <f>"－"</f>
        <v>－</v>
      </c>
      <c r="L103" s="23" t="s">
        <v>67</v>
      </c>
      <c r="M103" s="25" t="str">
        <f>"－"</f>
        <v>－</v>
      </c>
      <c r="N103" s="23" t="s">
        <v>67</v>
      </c>
      <c r="O103" s="26" t="str">
        <f>"－"</f>
        <v>－</v>
      </c>
      <c r="P103" s="27" t="str">
        <f>"－"</f>
        <v>－</v>
      </c>
      <c r="Q103" s="28" t="str">
        <f>"－"</f>
        <v>－</v>
      </c>
      <c r="R103" s="29" t="str">
        <f>"－"</f>
        <v>－</v>
      </c>
      <c r="S103" s="24" t="s">
        <v>67</v>
      </c>
      <c r="T103" s="25" t="str">
        <f>"－"</f>
        <v>－</v>
      </c>
      <c r="U103" s="23" t="s">
        <v>67</v>
      </c>
      <c r="V103" s="25" t="str">
        <f>"－"</f>
        <v>－</v>
      </c>
      <c r="W103" s="23" t="s">
        <v>67</v>
      </c>
      <c r="X103" s="26" t="str">
        <f>"－"</f>
        <v>－</v>
      </c>
      <c r="Y103" s="24" t="s">
        <v>67</v>
      </c>
      <c r="Z103" s="25" t="str">
        <f>"－"</f>
        <v>－</v>
      </c>
      <c r="AA103" s="23" t="s">
        <v>67</v>
      </c>
      <c r="AB103" s="25" t="str">
        <f>"－"</f>
        <v>－</v>
      </c>
      <c r="AC103" s="23" t="s">
        <v>67</v>
      </c>
      <c r="AD103" s="26" t="str">
        <f>"－"</f>
        <v>－</v>
      </c>
    </row>
    <row r="104">
      <c r="A104" s="30" t="s">
        <v>29</v>
      </c>
      <c r="B104" s="22" t="s">
        <v>65</v>
      </c>
      <c r="C104" s="22" t="s">
        <v>66</v>
      </c>
      <c r="D104" s="24"/>
      <c r="E104" s="25" t="str">
        <f>"－"</f>
        <v>－</v>
      </c>
      <c r="F104" s="23"/>
      <c r="G104" s="25" t="str">
        <f>"－"</f>
        <v>－</v>
      </c>
      <c r="H104" s="23"/>
      <c r="I104" s="26" t="str">
        <f>"－"</f>
        <v>－</v>
      </c>
      <c r="J104" s="24"/>
      <c r="K104" s="25" t="str">
        <f>"－"</f>
        <v>－</v>
      </c>
      <c r="L104" s="23"/>
      <c r="M104" s="25" t="str">
        <f>"－"</f>
        <v>－</v>
      </c>
      <c r="N104" s="23"/>
      <c r="O104" s="26" t="str">
        <f>"－"</f>
        <v>－</v>
      </c>
      <c r="P104" s="27" t="str">
        <f>"－"</f>
        <v>－</v>
      </c>
      <c r="Q104" s="28" t="str">
        <f>"－"</f>
        <v>－</v>
      </c>
      <c r="R104" s="29" t="str">
        <f>"－"</f>
        <v>－</v>
      </c>
      <c r="S104" s="24"/>
      <c r="T104" s="25" t="str">
        <f>"－"</f>
        <v>－</v>
      </c>
      <c r="U104" s="23"/>
      <c r="V104" s="25" t="str">
        <f>"－"</f>
        <v>－</v>
      </c>
      <c r="W104" s="23"/>
      <c r="X104" s="26" t="str">
        <f>"－"</f>
        <v>－</v>
      </c>
      <c r="Y104" s="24"/>
      <c r="Z104" s="25" t="str">
        <f>"－"</f>
        <v>－</v>
      </c>
      <c r="AA104" s="23"/>
      <c r="AB104" s="25" t="str">
        <f>"－"</f>
        <v>－</v>
      </c>
      <c r="AC104" s="23"/>
      <c r="AD104" s="26" t="str">
        <f>"－"</f>
        <v>－</v>
      </c>
    </row>
    <row r="105">
      <c r="A105" s="30" t="s">
        <v>30</v>
      </c>
      <c r="B105" s="22" t="s">
        <v>65</v>
      </c>
      <c r="C105" s="22" t="s">
        <v>66</v>
      </c>
      <c r="D105" s="24"/>
      <c r="E105" s="25"/>
      <c r="F105" s="23"/>
      <c r="G105" s="25"/>
      <c r="H105" s="23"/>
      <c r="I105" s="26"/>
      <c r="J105" s="24"/>
      <c r="K105" s="25"/>
      <c r="L105" s="23"/>
      <c r="M105" s="25"/>
      <c r="N105" s="23"/>
      <c r="O105" s="26"/>
      <c r="P105" s="27"/>
      <c r="Q105" s="28"/>
      <c r="R105" s="29"/>
      <c r="S105" s="24"/>
      <c r="T105" s="25"/>
      <c r="U105" s="23"/>
      <c r="V105" s="25"/>
      <c r="W105" s="23"/>
      <c r="X105" s="26"/>
      <c r="Y105" s="24"/>
      <c r="Z105" s="25"/>
      <c r="AA105" s="23"/>
      <c r="AB105" s="25"/>
      <c r="AC105" s="23"/>
      <c r="AD105" s="26"/>
    </row>
    <row r="106">
      <c r="A106" s="30" t="s">
        <v>31</v>
      </c>
      <c r="B106" s="22" t="s">
        <v>65</v>
      </c>
      <c r="C106" s="22" t="s">
        <v>66</v>
      </c>
      <c r="D106" s="24"/>
      <c r="E106" s="25"/>
      <c r="F106" s="23"/>
      <c r="G106" s="25"/>
      <c r="H106" s="23"/>
      <c r="I106" s="26"/>
      <c r="J106" s="24"/>
      <c r="K106" s="25"/>
      <c r="L106" s="23"/>
      <c r="M106" s="25"/>
      <c r="N106" s="23"/>
      <c r="O106" s="26"/>
      <c r="P106" s="27"/>
      <c r="Q106" s="28"/>
      <c r="R106" s="29"/>
      <c r="S106" s="24"/>
      <c r="T106" s="25"/>
      <c r="U106" s="23"/>
      <c r="V106" s="25"/>
      <c r="W106" s="23"/>
      <c r="X106" s="26"/>
      <c r="Y106" s="24"/>
      <c r="Z106" s="25"/>
      <c r="AA106" s="23"/>
      <c r="AB106" s="25"/>
      <c r="AC106" s="23"/>
      <c r="AD106" s="26"/>
    </row>
    <row r="107">
      <c r="A107" s="30" t="s">
        <v>32</v>
      </c>
      <c r="B107" s="22" t="s">
        <v>65</v>
      </c>
      <c r="C107" s="22" t="s">
        <v>66</v>
      </c>
      <c r="D107" s="24"/>
      <c r="E107" s="25" t="str">
        <f>"－"</f>
        <v>－</v>
      </c>
      <c r="F107" s="23"/>
      <c r="G107" s="25" t="str">
        <f>"－"</f>
        <v>－</v>
      </c>
      <c r="H107" s="23"/>
      <c r="I107" s="26" t="str">
        <f>"－"</f>
        <v>－</v>
      </c>
      <c r="J107" s="24"/>
      <c r="K107" s="25" t="str">
        <f>"－"</f>
        <v>－</v>
      </c>
      <c r="L107" s="23"/>
      <c r="M107" s="25" t="str">
        <f>"－"</f>
        <v>－</v>
      </c>
      <c r="N107" s="23"/>
      <c r="O107" s="26" t="str">
        <f>"－"</f>
        <v>－</v>
      </c>
      <c r="P107" s="27" t="str">
        <f>"－"</f>
        <v>－</v>
      </c>
      <c r="Q107" s="28" t="str">
        <f>"－"</f>
        <v>－</v>
      </c>
      <c r="R107" s="29" t="str">
        <f>"－"</f>
        <v>－</v>
      </c>
      <c r="S107" s="24"/>
      <c r="T107" s="25" t="str">
        <f>"－"</f>
        <v>－</v>
      </c>
      <c r="U107" s="23"/>
      <c r="V107" s="25" t="str">
        <f>"－"</f>
        <v>－</v>
      </c>
      <c r="W107" s="23"/>
      <c r="X107" s="26" t="str">
        <f>"－"</f>
        <v>－</v>
      </c>
      <c r="Y107" s="24"/>
      <c r="Z107" s="25" t="str">
        <f>"－"</f>
        <v>－</v>
      </c>
      <c r="AA107" s="23"/>
      <c r="AB107" s="25" t="str">
        <f>"－"</f>
        <v>－</v>
      </c>
      <c r="AC107" s="23"/>
      <c r="AD107" s="26" t="str">
        <f>"－"</f>
        <v>－</v>
      </c>
    </row>
    <row r="108">
      <c r="A108" s="30" t="s">
        <v>33</v>
      </c>
      <c r="B108" s="22" t="s">
        <v>65</v>
      </c>
      <c r="C108" s="22" t="s">
        <v>66</v>
      </c>
      <c r="D108" s="24"/>
      <c r="E108" s="25" t="str">
        <f>"－"</f>
        <v>－</v>
      </c>
      <c r="F108" s="23"/>
      <c r="G108" s="25" t="str">
        <f>"－"</f>
        <v>－</v>
      </c>
      <c r="H108" s="23"/>
      <c r="I108" s="26" t="str">
        <f>"－"</f>
        <v>－</v>
      </c>
      <c r="J108" s="24"/>
      <c r="K108" s="25" t="str">
        <f>"－"</f>
        <v>－</v>
      </c>
      <c r="L108" s="23"/>
      <c r="M108" s="25" t="str">
        <f>"－"</f>
        <v>－</v>
      </c>
      <c r="N108" s="23"/>
      <c r="O108" s="26" t="str">
        <f>"－"</f>
        <v>－</v>
      </c>
      <c r="P108" s="27" t="str">
        <f>"－"</f>
        <v>－</v>
      </c>
      <c r="Q108" s="28" t="str">
        <f>"－"</f>
        <v>－</v>
      </c>
      <c r="R108" s="29" t="str">
        <f>"－"</f>
        <v>－</v>
      </c>
      <c r="S108" s="24"/>
      <c r="T108" s="25" t="str">
        <f>"－"</f>
        <v>－</v>
      </c>
      <c r="U108" s="23"/>
      <c r="V108" s="25" t="str">
        <f>"－"</f>
        <v>－</v>
      </c>
      <c r="W108" s="23"/>
      <c r="X108" s="26" t="str">
        <f>"－"</f>
        <v>－</v>
      </c>
      <c r="Y108" s="24"/>
      <c r="Z108" s="25" t="str">
        <f>"－"</f>
        <v>－</v>
      </c>
      <c r="AA108" s="23"/>
      <c r="AB108" s="25" t="str">
        <f>"－"</f>
        <v>－</v>
      </c>
      <c r="AC108" s="23"/>
      <c r="AD108" s="26" t="str">
        <f>"－"</f>
        <v>－</v>
      </c>
    </row>
    <row r="109">
      <c r="A109" s="30" t="s">
        <v>35</v>
      </c>
      <c r="B109" s="22" t="s">
        <v>65</v>
      </c>
      <c r="C109" s="22" t="s">
        <v>66</v>
      </c>
      <c r="D109" s="24"/>
      <c r="E109" s="25" t="str">
        <f>"－"</f>
        <v>－</v>
      </c>
      <c r="F109" s="23"/>
      <c r="G109" s="25" t="str">
        <f>"－"</f>
        <v>－</v>
      </c>
      <c r="H109" s="23"/>
      <c r="I109" s="26" t="str">
        <f>"－"</f>
        <v>－</v>
      </c>
      <c r="J109" s="24"/>
      <c r="K109" s="25" t="str">
        <f>"－"</f>
        <v>－</v>
      </c>
      <c r="L109" s="23"/>
      <c r="M109" s="25" t="str">
        <f>"－"</f>
        <v>－</v>
      </c>
      <c r="N109" s="23"/>
      <c r="O109" s="26" t="str">
        <f>"－"</f>
        <v>－</v>
      </c>
      <c r="P109" s="27" t="str">
        <f>"－"</f>
        <v>－</v>
      </c>
      <c r="Q109" s="28" t="str">
        <f>"－"</f>
        <v>－</v>
      </c>
      <c r="R109" s="29" t="str">
        <f>"－"</f>
        <v>－</v>
      </c>
      <c r="S109" s="24"/>
      <c r="T109" s="25" t="str">
        <f>"－"</f>
        <v>－</v>
      </c>
      <c r="U109" s="23"/>
      <c r="V109" s="25" t="str">
        <f>"－"</f>
        <v>－</v>
      </c>
      <c r="W109" s="23"/>
      <c r="X109" s="26" t="str">
        <f>"－"</f>
        <v>－</v>
      </c>
      <c r="Y109" s="24"/>
      <c r="Z109" s="25" t="str">
        <f>"－"</f>
        <v>－</v>
      </c>
      <c r="AA109" s="23"/>
      <c r="AB109" s="25" t="str">
        <f>"－"</f>
        <v>－</v>
      </c>
      <c r="AC109" s="23"/>
      <c r="AD109" s="26" t="str">
        <f>"－"</f>
        <v>－</v>
      </c>
    </row>
    <row r="110">
      <c r="A110" s="30" t="s">
        <v>36</v>
      </c>
      <c r="B110" s="22" t="s">
        <v>65</v>
      </c>
      <c r="C110" s="22" t="s">
        <v>66</v>
      </c>
      <c r="D110" s="24"/>
      <c r="E110" s="25" t="str">
        <f>"－"</f>
        <v>－</v>
      </c>
      <c r="F110" s="23"/>
      <c r="G110" s="25" t="str">
        <f>"－"</f>
        <v>－</v>
      </c>
      <c r="H110" s="23"/>
      <c r="I110" s="26" t="str">
        <f>"－"</f>
        <v>－</v>
      </c>
      <c r="J110" s="24"/>
      <c r="K110" s="25" t="str">
        <f>"－"</f>
        <v>－</v>
      </c>
      <c r="L110" s="23"/>
      <c r="M110" s="25" t="str">
        <f>"－"</f>
        <v>－</v>
      </c>
      <c r="N110" s="23"/>
      <c r="O110" s="26" t="str">
        <f>"－"</f>
        <v>－</v>
      </c>
      <c r="P110" s="27" t="str">
        <f>"－"</f>
        <v>－</v>
      </c>
      <c r="Q110" s="28" t="str">
        <f>"－"</f>
        <v>－</v>
      </c>
      <c r="R110" s="29" t="str">
        <f>"－"</f>
        <v>－</v>
      </c>
      <c r="S110" s="24"/>
      <c r="T110" s="25" t="str">
        <f>"－"</f>
        <v>－</v>
      </c>
      <c r="U110" s="23"/>
      <c r="V110" s="25" t="str">
        <f>"－"</f>
        <v>－</v>
      </c>
      <c r="W110" s="23"/>
      <c r="X110" s="26" t="str">
        <f>"－"</f>
        <v>－</v>
      </c>
      <c r="Y110" s="24"/>
      <c r="Z110" s="25" t="str">
        <f>"－"</f>
        <v>－</v>
      </c>
      <c r="AA110" s="23"/>
      <c r="AB110" s="25" t="str">
        <f>"－"</f>
        <v>－</v>
      </c>
      <c r="AC110" s="23"/>
      <c r="AD110" s="26" t="str">
        <f>"－"</f>
        <v>－</v>
      </c>
    </row>
    <row r="111">
      <c r="A111" s="30" t="s">
        <v>38</v>
      </c>
      <c r="B111" s="22" t="s">
        <v>65</v>
      </c>
      <c r="C111" s="22" t="s">
        <v>66</v>
      </c>
      <c r="D111" s="24"/>
      <c r="E111" s="25" t="str">
        <f>"－"</f>
        <v>－</v>
      </c>
      <c r="F111" s="23"/>
      <c r="G111" s="25" t="str">
        <f>"－"</f>
        <v>－</v>
      </c>
      <c r="H111" s="23"/>
      <c r="I111" s="26" t="str">
        <f>"－"</f>
        <v>－</v>
      </c>
      <c r="J111" s="24"/>
      <c r="K111" s="25" t="str">
        <f>"－"</f>
        <v>－</v>
      </c>
      <c r="L111" s="23"/>
      <c r="M111" s="25" t="str">
        <f>"－"</f>
        <v>－</v>
      </c>
      <c r="N111" s="23"/>
      <c r="O111" s="26" t="str">
        <f>"－"</f>
        <v>－</v>
      </c>
      <c r="P111" s="27" t="str">
        <f>"－"</f>
        <v>－</v>
      </c>
      <c r="Q111" s="28" t="str">
        <f>"－"</f>
        <v>－</v>
      </c>
      <c r="R111" s="29" t="str">
        <f>"－"</f>
        <v>－</v>
      </c>
      <c r="S111" s="24"/>
      <c r="T111" s="25" t="str">
        <f>"－"</f>
        <v>－</v>
      </c>
      <c r="U111" s="23"/>
      <c r="V111" s="25" t="str">
        <f>"－"</f>
        <v>－</v>
      </c>
      <c r="W111" s="23"/>
      <c r="X111" s="26" t="str">
        <f>"－"</f>
        <v>－</v>
      </c>
      <c r="Y111" s="24"/>
      <c r="Z111" s="25" t="str">
        <f>"－"</f>
        <v>－</v>
      </c>
      <c r="AA111" s="23"/>
      <c r="AB111" s="25" t="str">
        <f>"－"</f>
        <v>－</v>
      </c>
      <c r="AC111" s="23"/>
      <c r="AD111" s="26" t="str">
        <f>"－"</f>
        <v>－</v>
      </c>
    </row>
    <row r="112">
      <c r="A112" s="30" t="s">
        <v>39</v>
      </c>
      <c r="B112" s="22" t="s">
        <v>65</v>
      </c>
      <c r="C112" s="22" t="s">
        <v>66</v>
      </c>
      <c r="D112" s="24"/>
      <c r="E112" s="25"/>
      <c r="F112" s="23"/>
      <c r="G112" s="25"/>
      <c r="H112" s="23"/>
      <c r="I112" s="26"/>
      <c r="J112" s="24"/>
      <c r="K112" s="25"/>
      <c r="L112" s="23"/>
      <c r="M112" s="25"/>
      <c r="N112" s="23"/>
      <c r="O112" s="26"/>
      <c r="P112" s="27"/>
      <c r="Q112" s="28"/>
      <c r="R112" s="29"/>
      <c r="S112" s="24"/>
      <c r="T112" s="25"/>
      <c r="U112" s="23"/>
      <c r="V112" s="25"/>
      <c r="W112" s="23"/>
      <c r="X112" s="26"/>
      <c r="Y112" s="24"/>
      <c r="Z112" s="25"/>
      <c r="AA112" s="23"/>
      <c r="AB112" s="25"/>
      <c r="AC112" s="23"/>
      <c r="AD112" s="26"/>
    </row>
    <row r="113">
      <c r="A113" s="30" t="s">
        <v>40</v>
      </c>
      <c r="B113" s="22" t="s">
        <v>65</v>
      </c>
      <c r="C113" s="22" t="s">
        <v>66</v>
      </c>
      <c r="D113" s="24"/>
      <c r="E113" s="25"/>
      <c r="F113" s="23"/>
      <c r="G113" s="25"/>
      <c r="H113" s="23"/>
      <c r="I113" s="26"/>
      <c r="J113" s="24"/>
      <c r="K113" s="25"/>
      <c r="L113" s="23"/>
      <c r="M113" s="25"/>
      <c r="N113" s="23"/>
      <c r="O113" s="26"/>
      <c r="P113" s="27"/>
      <c r="Q113" s="28"/>
      <c r="R113" s="29"/>
      <c r="S113" s="24"/>
      <c r="T113" s="25"/>
      <c r="U113" s="23"/>
      <c r="V113" s="25"/>
      <c r="W113" s="23"/>
      <c r="X113" s="26"/>
      <c r="Y113" s="24"/>
      <c r="Z113" s="25"/>
      <c r="AA113" s="23"/>
      <c r="AB113" s="25"/>
      <c r="AC113" s="23"/>
      <c r="AD113" s="26"/>
    </row>
    <row r="114">
      <c r="A114" s="30" t="s">
        <v>41</v>
      </c>
      <c r="B114" s="22" t="s">
        <v>65</v>
      </c>
      <c r="C114" s="22" t="s">
        <v>66</v>
      </c>
      <c r="D114" s="24"/>
      <c r="E114" s="25" t="str">
        <f>"－"</f>
        <v>－</v>
      </c>
      <c r="F114" s="23"/>
      <c r="G114" s="25" t="str">
        <f>"－"</f>
        <v>－</v>
      </c>
      <c r="H114" s="23"/>
      <c r="I114" s="26" t="str">
        <f>"－"</f>
        <v>－</v>
      </c>
      <c r="J114" s="24"/>
      <c r="K114" s="25" t="str">
        <f>"－"</f>
        <v>－</v>
      </c>
      <c r="L114" s="23"/>
      <c r="M114" s="25" t="str">
        <f>"－"</f>
        <v>－</v>
      </c>
      <c r="N114" s="23"/>
      <c r="O114" s="26" t="str">
        <f>"－"</f>
        <v>－</v>
      </c>
      <c r="P114" s="27" t="str">
        <f>"－"</f>
        <v>－</v>
      </c>
      <c r="Q114" s="28" t="str">
        <f>"－"</f>
        <v>－</v>
      </c>
      <c r="R114" s="29" t="str">
        <f>"－"</f>
        <v>－</v>
      </c>
      <c r="S114" s="24"/>
      <c r="T114" s="25" t="str">
        <f>"－"</f>
        <v>－</v>
      </c>
      <c r="U114" s="23"/>
      <c r="V114" s="25" t="str">
        <f>"－"</f>
        <v>－</v>
      </c>
      <c r="W114" s="23"/>
      <c r="X114" s="26" t="str">
        <f>"－"</f>
        <v>－</v>
      </c>
      <c r="Y114" s="24"/>
      <c r="Z114" s="25" t="str">
        <f>"－"</f>
        <v>－</v>
      </c>
      <c r="AA114" s="23"/>
      <c r="AB114" s="25" t="str">
        <f>"－"</f>
        <v>－</v>
      </c>
      <c r="AC114" s="23"/>
      <c r="AD114" s="26" t="str">
        <f>"－"</f>
        <v>－</v>
      </c>
    </row>
    <row r="115">
      <c r="A115" s="30" t="s">
        <v>42</v>
      </c>
      <c r="B115" s="22" t="s">
        <v>65</v>
      </c>
      <c r="C115" s="22" t="s">
        <v>66</v>
      </c>
      <c r="D115" s="24"/>
      <c r="E115" s="25" t="str">
        <f>"－"</f>
        <v>－</v>
      </c>
      <c r="F115" s="23"/>
      <c r="G115" s="25" t="str">
        <f>"－"</f>
        <v>－</v>
      </c>
      <c r="H115" s="23"/>
      <c r="I115" s="26" t="str">
        <f>"－"</f>
        <v>－</v>
      </c>
      <c r="J115" s="24"/>
      <c r="K115" s="25" t="str">
        <f>"－"</f>
        <v>－</v>
      </c>
      <c r="L115" s="23"/>
      <c r="M115" s="25" t="str">
        <f>"－"</f>
        <v>－</v>
      </c>
      <c r="N115" s="23"/>
      <c r="O115" s="26" t="str">
        <f>"－"</f>
        <v>－</v>
      </c>
      <c r="P115" s="27" t="str">
        <f>"－"</f>
        <v>－</v>
      </c>
      <c r="Q115" s="28" t="str">
        <f>"－"</f>
        <v>－</v>
      </c>
      <c r="R115" s="29" t="str">
        <f>"－"</f>
        <v>－</v>
      </c>
      <c r="S115" s="24"/>
      <c r="T115" s="25" t="str">
        <f>"－"</f>
        <v>－</v>
      </c>
      <c r="U115" s="23"/>
      <c r="V115" s="25" t="str">
        <f>"－"</f>
        <v>－</v>
      </c>
      <c r="W115" s="23"/>
      <c r="X115" s="26" t="str">
        <f>"－"</f>
        <v>－</v>
      </c>
      <c r="Y115" s="24"/>
      <c r="Z115" s="25" t="str">
        <f>"－"</f>
        <v>－</v>
      </c>
      <c r="AA115" s="23"/>
      <c r="AB115" s="25" t="str">
        <f>"－"</f>
        <v>－</v>
      </c>
      <c r="AC115" s="23"/>
      <c r="AD115" s="26" t="str">
        <f>"－"</f>
        <v>－</v>
      </c>
    </row>
    <row r="116">
      <c r="A116" s="30" t="s">
        <v>43</v>
      </c>
      <c r="B116" s="22" t="s">
        <v>65</v>
      </c>
      <c r="C116" s="22" t="s">
        <v>66</v>
      </c>
      <c r="D116" s="24"/>
      <c r="E116" s="25" t="str">
        <f>"－"</f>
        <v>－</v>
      </c>
      <c r="F116" s="23"/>
      <c r="G116" s="25" t="str">
        <f>"－"</f>
        <v>－</v>
      </c>
      <c r="H116" s="23"/>
      <c r="I116" s="26" t="str">
        <f>"－"</f>
        <v>－</v>
      </c>
      <c r="J116" s="24"/>
      <c r="K116" s="25" t="str">
        <f>"－"</f>
        <v>－</v>
      </c>
      <c r="L116" s="23"/>
      <c r="M116" s="25" t="str">
        <f>"－"</f>
        <v>－</v>
      </c>
      <c r="N116" s="23"/>
      <c r="O116" s="26" t="str">
        <f>"－"</f>
        <v>－</v>
      </c>
      <c r="P116" s="27" t="str">
        <f>"－"</f>
        <v>－</v>
      </c>
      <c r="Q116" s="28" t="str">
        <f>"－"</f>
        <v>－</v>
      </c>
      <c r="R116" s="29" t="str">
        <f>"－"</f>
        <v>－</v>
      </c>
      <c r="S116" s="24"/>
      <c r="T116" s="25" t="str">
        <f>"－"</f>
        <v>－</v>
      </c>
      <c r="U116" s="23"/>
      <c r="V116" s="25" t="str">
        <f>"－"</f>
        <v>－</v>
      </c>
      <c r="W116" s="23"/>
      <c r="X116" s="26" t="str">
        <f>"－"</f>
        <v>－</v>
      </c>
      <c r="Y116" s="24"/>
      <c r="Z116" s="25" t="str">
        <f>"－"</f>
        <v>－</v>
      </c>
      <c r="AA116" s="23"/>
      <c r="AB116" s="25" t="str">
        <f>"－"</f>
        <v>－</v>
      </c>
      <c r="AC116" s="23"/>
      <c r="AD116" s="26" t="str">
        <f>"－"</f>
        <v>－</v>
      </c>
    </row>
    <row r="117">
      <c r="A117" s="30" t="s">
        <v>44</v>
      </c>
      <c r="B117" s="22" t="s">
        <v>65</v>
      </c>
      <c r="C117" s="22" t="s">
        <v>66</v>
      </c>
      <c r="D117" s="24"/>
      <c r="E117" s="25" t="str">
        <f>"－"</f>
        <v>－</v>
      </c>
      <c r="F117" s="23"/>
      <c r="G117" s="25" t="str">
        <f>"－"</f>
        <v>－</v>
      </c>
      <c r="H117" s="23"/>
      <c r="I117" s="26" t="str">
        <f>"－"</f>
        <v>－</v>
      </c>
      <c r="J117" s="24"/>
      <c r="K117" s="25" t="str">
        <f>"－"</f>
        <v>－</v>
      </c>
      <c r="L117" s="23"/>
      <c r="M117" s="25" t="str">
        <f>"－"</f>
        <v>－</v>
      </c>
      <c r="N117" s="23"/>
      <c r="O117" s="26" t="str">
        <f>"－"</f>
        <v>－</v>
      </c>
      <c r="P117" s="27" t="str">
        <f>"－"</f>
        <v>－</v>
      </c>
      <c r="Q117" s="28" t="str">
        <f>"－"</f>
        <v>－</v>
      </c>
      <c r="R117" s="29" t="str">
        <f>"－"</f>
        <v>－</v>
      </c>
      <c r="S117" s="24"/>
      <c r="T117" s="25" t="str">
        <f>"－"</f>
        <v>－</v>
      </c>
      <c r="U117" s="23"/>
      <c r="V117" s="25" t="str">
        <f>"－"</f>
        <v>－</v>
      </c>
      <c r="W117" s="23"/>
      <c r="X117" s="26" t="str">
        <f>"－"</f>
        <v>－</v>
      </c>
      <c r="Y117" s="24"/>
      <c r="Z117" s="25" t="str">
        <f>"－"</f>
        <v>－</v>
      </c>
      <c r="AA117" s="23"/>
      <c r="AB117" s="25" t="str">
        <f>"－"</f>
        <v>－</v>
      </c>
      <c r="AC117" s="23"/>
      <c r="AD117" s="26" t="str">
        <f>"－"</f>
        <v>－</v>
      </c>
    </row>
    <row r="118">
      <c r="A118" s="30" t="s">
        <v>45</v>
      </c>
      <c r="B118" s="22" t="s">
        <v>65</v>
      </c>
      <c r="C118" s="22" t="s">
        <v>66</v>
      </c>
      <c r="D118" s="24"/>
      <c r="E118" s="25" t="str">
        <f>"－"</f>
        <v>－</v>
      </c>
      <c r="F118" s="23"/>
      <c r="G118" s="25" t="str">
        <f>"－"</f>
        <v>－</v>
      </c>
      <c r="H118" s="23"/>
      <c r="I118" s="26" t="str">
        <f>"－"</f>
        <v>－</v>
      </c>
      <c r="J118" s="24"/>
      <c r="K118" s="25" t="str">
        <f>"－"</f>
        <v>－</v>
      </c>
      <c r="L118" s="23"/>
      <c r="M118" s="25" t="str">
        <f>"－"</f>
        <v>－</v>
      </c>
      <c r="N118" s="23"/>
      <c r="O118" s="26" t="str">
        <f>"－"</f>
        <v>－</v>
      </c>
      <c r="P118" s="27" t="str">
        <f>"－"</f>
        <v>－</v>
      </c>
      <c r="Q118" s="28" t="str">
        <f>"－"</f>
        <v>－</v>
      </c>
      <c r="R118" s="29" t="str">
        <f>"－"</f>
        <v>－</v>
      </c>
      <c r="S118" s="24"/>
      <c r="T118" s="25" t="str">
        <f>"－"</f>
        <v>－</v>
      </c>
      <c r="U118" s="23"/>
      <c r="V118" s="25" t="str">
        <f>"－"</f>
        <v>－</v>
      </c>
      <c r="W118" s="23"/>
      <c r="X118" s="26" t="str">
        <f>"－"</f>
        <v>－</v>
      </c>
      <c r="Y118" s="24"/>
      <c r="Z118" s="25" t="str">
        <f>"－"</f>
        <v>－</v>
      </c>
      <c r="AA118" s="23"/>
      <c r="AB118" s="25" t="str">
        <f>"－"</f>
        <v>－</v>
      </c>
      <c r="AC118" s="23"/>
      <c r="AD118" s="26" t="str">
        <f>"－"</f>
        <v>－</v>
      </c>
    </row>
    <row r="119">
      <c r="A119" s="30" t="s">
        <v>46</v>
      </c>
      <c r="B119" s="22" t="s">
        <v>65</v>
      </c>
      <c r="C119" s="22" t="s">
        <v>66</v>
      </c>
      <c r="D119" s="24"/>
      <c r="E119" s="25"/>
      <c r="F119" s="23"/>
      <c r="G119" s="25"/>
      <c r="H119" s="23"/>
      <c r="I119" s="26"/>
      <c r="J119" s="24"/>
      <c r="K119" s="25"/>
      <c r="L119" s="23"/>
      <c r="M119" s="25"/>
      <c r="N119" s="23"/>
      <c r="O119" s="26"/>
      <c r="P119" s="27"/>
      <c r="Q119" s="28"/>
      <c r="R119" s="29"/>
      <c r="S119" s="24"/>
      <c r="T119" s="25"/>
      <c r="U119" s="23"/>
      <c r="V119" s="25"/>
      <c r="W119" s="23"/>
      <c r="X119" s="26"/>
      <c r="Y119" s="24"/>
      <c r="Z119" s="25"/>
      <c r="AA119" s="23"/>
      <c r="AB119" s="25"/>
      <c r="AC119" s="23"/>
      <c r="AD119" s="26"/>
    </row>
    <row r="120">
      <c r="A120" s="30" t="s">
        <v>47</v>
      </c>
      <c r="B120" s="22" t="s">
        <v>65</v>
      </c>
      <c r="C120" s="22" t="s">
        <v>66</v>
      </c>
      <c r="D120" s="24"/>
      <c r="E120" s="25"/>
      <c r="F120" s="23"/>
      <c r="G120" s="25"/>
      <c r="H120" s="23"/>
      <c r="I120" s="26"/>
      <c r="J120" s="24"/>
      <c r="K120" s="25"/>
      <c r="L120" s="23"/>
      <c r="M120" s="25"/>
      <c r="N120" s="23"/>
      <c r="O120" s="26"/>
      <c r="P120" s="27"/>
      <c r="Q120" s="28"/>
      <c r="R120" s="29"/>
      <c r="S120" s="24"/>
      <c r="T120" s="25"/>
      <c r="U120" s="23"/>
      <c r="V120" s="25"/>
      <c r="W120" s="23"/>
      <c r="X120" s="26"/>
      <c r="Y120" s="24"/>
      <c r="Z120" s="25"/>
      <c r="AA120" s="23"/>
      <c r="AB120" s="25"/>
      <c r="AC120" s="23"/>
      <c r="AD120" s="26"/>
    </row>
    <row r="121">
      <c r="A121" s="30" t="s">
        <v>48</v>
      </c>
      <c r="B121" s="22" t="s">
        <v>65</v>
      </c>
      <c r="C121" s="22" t="s">
        <v>66</v>
      </c>
      <c r="D121" s="24"/>
      <c r="E121" s="25" t="str">
        <f>"－"</f>
        <v>－</v>
      </c>
      <c r="F121" s="23"/>
      <c r="G121" s="25" t="str">
        <f>"－"</f>
        <v>－</v>
      </c>
      <c r="H121" s="23"/>
      <c r="I121" s="26" t="str">
        <f>"－"</f>
        <v>－</v>
      </c>
      <c r="J121" s="24"/>
      <c r="K121" s="25" t="str">
        <f>"－"</f>
        <v>－</v>
      </c>
      <c r="L121" s="23"/>
      <c r="M121" s="25" t="str">
        <f>"－"</f>
        <v>－</v>
      </c>
      <c r="N121" s="23"/>
      <c r="O121" s="26" t="str">
        <f>"－"</f>
        <v>－</v>
      </c>
      <c r="P121" s="27" t="str">
        <f>"－"</f>
        <v>－</v>
      </c>
      <c r="Q121" s="28" t="str">
        <f>"－"</f>
        <v>－</v>
      </c>
      <c r="R121" s="29" t="str">
        <f>"－"</f>
        <v>－</v>
      </c>
      <c r="S121" s="24"/>
      <c r="T121" s="25" t="str">
        <f>"－"</f>
        <v>－</v>
      </c>
      <c r="U121" s="23"/>
      <c r="V121" s="25" t="str">
        <f>"－"</f>
        <v>－</v>
      </c>
      <c r="W121" s="23"/>
      <c r="X121" s="26" t="str">
        <f>"－"</f>
        <v>－</v>
      </c>
      <c r="Y121" s="24"/>
      <c r="Z121" s="25" t="str">
        <f>"－"</f>
        <v>－</v>
      </c>
      <c r="AA121" s="23"/>
      <c r="AB121" s="25" t="str">
        <f>"－"</f>
        <v>－</v>
      </c>
      <c r="AC121" s="23"/>
      <c r="AD121" s="26" t="str">
        <f>"－"</f>
        <v>－</v>
      </c>
    </row>
    <row r="122">
      <c r="A122" s="30" t="s">
        <v>49</v>
      </c>
      <c r="B122" s="22" t="s">
        <v>65</v>
      </c>
      <c r="C122" s="22" t="s">
        <v>66</v>
      </c>
      <c r="D122" s="24"/>
      <c r="E122" s="25" t="str">
        <f>"－"</f>
        <v>－</v>
      </c>
      <c r="F122" s="23"/>
      <c r="G122" s="25" t="str">
        <f>"－"</f>
        <v>－</v>
      </c>
      <c r="H122" s="23"/>
      <c r="I122" s="26" t="str">
        <f>"－"</f>
        <v>－</v>
      </c>
      <c r="J122" s="24"/>
      <c r="K122" s="25" t="str">
        <f>"－"</f>
        <v>－</v>
      </c>
      <c r="L122" s="23"/>
      <c r="M122" s="25" t="str">
        <f>"－"</f>
        <v>－</v>
      </c>
      <c r="N122" s="23"/>
      <c r="O122" s="26" t="str">
        <f>"－"</f>
        <v>－</v>
      </c>
      <c r="P122" s="27" t="str">
        <f>"－"</f>
        <v>－</v>
      </c>
      <c r="Q122" s="28" t="str">
        <f>"－"</f>
        <v>－</v>
      </c>
      <c r="R122" s="29" t="str">
        <f>"－"</f>
        <v>－</v>
      </c>
      <c r="S122" s="24"/>
      <c r="T122" s="25" t="str">
        <f>"－"</f>
        <v>－</v>
      </c>
      <c r="U122" s="23"/>
      <c r="V122" s="25" t="str">
        <f>"－"</f>
        <v>－</v>
      </c>
      <c r="W122" s="23"/>
      <c r="X122" s="26" t="str">
        <f>"－"</f>
        <v>－</v>
      </c>
      <c r="Y122" s="24"/>
      <c r="Z122" s="25" t="str">
        <f>"－"</f>
        <v>－</v>
      </c>
      <c r="AA122" s="23"/>
      <c r="AB122" s="25" t="str">
        <f>"－"</f>
        <v>－</v>
      </c>
      <c r="AC122" s="23"/>
      <c r="AD122" s="26" t="str">
        <f>"－"</f>
        <v>－</v>
      </c>
    </row>
    <row r="123">
      <c r="A123" s="30" t="s">
        <v>50</v>
      </c>
      <c r="B123" s="22" t="s">
        <v>65</v>
      </c>
      <c r="C123" s="22" t="s">
        <v>66</v>
      </c>
      <c r="D123" s="24"/>
      <c r="E123" s="25" t="str">
        <f>"－"</f>
        <v>－</v>
      </c>
      <c r="F123" s="23"/>
      <c r="G123" s="25" t="str">
        <f>"－"</f>
        <v>－</v>
      </c>
      <c r="H123" s="23"/>
      <c r="I123" s="26" t="str">
        <f>"－"</f>
        <v>－</v>
      </c>
      <c r="J123" s="24"/>
      <c r="K123" s="25" t="str">
        <f>"－"</f>
        <v>－</v>
      </c>
      <c r="L123" s="23"/>
      <c r="M123" s="25" t="str">
        <f>"－"</f>
        <v>－</v>
      </c>
      <c r="N123" s="23"/>
      <c r="O123" s="26" t="str">
        <f>"－"</f>
        <v>－</v>
      </c>
      <c r="P123" s="27" t="str">
        <f>"－"</f>
        <v>－</v>
      </c>
      <c r="Q123" s="28" t="str">
        <f>"－"</f>
        <v>－</v>
      </c>
      <c r="R123" s="29" t="str">
        <f>"－"</f>
        <v>－</v>
      </c>
      <c r="S123" s="24"/>
      <c r="T123" s="25" t="str">
        <f>"－"</f>
        <v>－</v>
      </c>
      <c r="U123" s="23"/>
      <c r="V123" s="25" t="str">
        <f>"－"</f>
        <v>－</v>
      </c>
      <c r="W123" s="23"/>
      <c r="X123" s="26" t="str">
        <f>"－"</f>
        <v>－</v>
      </c>
      <c r="Y123" s="24"/>
      <c r="Z123" s="25" t="str">
        <f>"－"</f>
        <v>－</v>
      </c>
      <c r="AA123" s="23"/>
      <c r="AB123" s="25" t="str">
        <f>"－"</f>
        <v>－</v>
      </c>
      <c r="AC123" s="23"/>
      <c r="AD123" s="26" t="str">
        <f>"－"</f>
        <v>－</v>
      </c>
    </row>
    <row r="124">
      <c r="A124" s="30" t="s">
        <v>51</v>
      </c>
      <c r="B124" s="22" t="s">
        <v>65</v>
      </c>
      <c r="C124" s="22" t="s">
        <v>66</v>
      </c>
      <c r="D124" s="24"/>
      <c r="E124" s="25"/>
      <c r="F124" s="23"/>
      <c r="G124" s="25"/>
      <c r="H124" s="23"/>
      <c r="I124" s="26"/>
      <c r="J124" s="24"/>
      <c r="K124" s="25"/>
      <c r="L124" s="23"/>
      <c r="M124" s="25"/>
      <c r="N124" s="23"/>
      <c r="O124" s="26"/>
      <c r="P124" s="27"/>
      <c r="Q124" s="28"/>
      <c r="R124" s="29"/>
      <c r="S124" s="24"/>
      <c r="T124" s="25"/>
      <c r="U124" s="23"/>
      <c r="V124" s="25"/>
      <c r="W124" s="23"/>
      <c r="X124" s="26"/>
      <c r="Y124" s="24"/>
      <c r="Z124" s="25"/>
      <c r="AA124" s="23"/>
      <c r="AB124" s="25"/>
      <c r="AC124" s="23"/>
      <c r="AD124" s="26"/>
    </row>
    <row r="125">
      <c r="A125" s="30" t="s">
        <v>52</v>
      </c>
      <c r="B125" s="22" t="s">
        <v>65</v>
      </c>
      <c r="C125" s="22" t="s">
        <v>66</v>
      </c>
      <c r="D125" s="24"/>
      <c r="E125" s="25"/>
      <c r="F125" s="23"/>
      <c r="G125" s="25"/>
      <c r="H125" s="23"/>
      <c r="I125" s="26"/>
      <c r="J125" s="24"/>
      <c r="K125" s="25"/>
      <c r="L125" s="23"/>
      <c r="M125" s="25"/>
      <c r="N125" s="23"/>
      <c r="O125" s="26"/>
      <c r="P125" s="27"/>
      <c r="Q125" s="28"/>
      <c r="R125" s="29"/>
      <c r="S125" s="24"/>
      <c r="T125" s="25"/>
      <c r="U125" s="23"/>
      <c r="V125" s="25"/>
      <c r="W125" s="23"/>
      <c r="X125" s="26"/>
      <c r="Y125" s="24"/>
      <c r="Z125" s="25"/>
      <c r="AA125" s="23"/>
      <c r="AB125" s="25"/>
      <c r="AC125" s="23"/>
      <c r="AD125" s="26"/>
    </row>
    <row r="126">
      <c r="A126" s="30" t="s">
        <v>53</v>
      </c>
      <c r="B126" s="22" t="s">
        <v>65</v>
      </c>
      <c r="C126" s="22" t="s">
        <v>66</v>
      </c>
      <c r="D126" s="24"/>
      <c r="E126" s="25"/>
      <c r="F126" s="23"/>
      <c r="G126" s="25"/>
      <c r="H126" s="23"/>
      <c r="I126" s="26"/>
      <c r="J126" s="24"/>
      <c r="K126" s="25"/>
      <c r="L126" s="23"/>
      <c r="M126" s="25"/>
      <c r="N126" s="23"/>
      <c r="O126" s="26"/>
      <c r="P126" s="27"/>
      <c r="Q126" s="28"/>
      <c r="R126" s="29"/>
      <c r="S126" s="24"/>
      <c r="T126" s="25"/>
      <c r="U126" s="23"/>
      <c r="V126" s="25"/>
      <c r="W126" s="23"/>
      <c r="X126" s="26"/>
      <c r="Y126" s="24"/>
      <c r="Z126" s="25"/>
      <c r="AA126" s="23"/>
      <c r="AB126" s="25"/>
      <c r="AC126" s="23"/>
      <c r="AD126" s="26"/>
    </row>
    <row r="127">
      <c r="A127" s="30" t="s">
        <v>54</v>
      </c>
      <c r="B127" s="22" t="s">
        <v>65</v>
      </c>
      <c r="C127" s="22" t="s">
        <v>66</v>
      </c>
      <c r="D127" s="24"/>
      <c r="E127" s="25"/>
      <c r="F127" s="23"/>
      <c r="G127" s="25"/>
      <c r="H127" s="23"/>
      <c r="I127" s="26"/>
      <c r="J127" s="24"/>
      <c r="K127" s="25"/>
      <c r="L127" s="23"/>
      <c r="M127" s="25"/>
      <c r="N127" s="23"/>
      <c r="O127" s="26"/>
      <c r="P127" s="27"/>
      <c r="Q127" s="28"/>
      <c r="R127" s="29"/>
      <c r="S127" s="24"/>
      <c r="T127" s="25"/>
      <c r="U127" s="23"/>
      <c r="V127" s="25"/>
      <c r="W127" s="23"/>
      <c r="X127" s="26"/>
      <c r="Y127" s="24"/>
      <c r="Z127" s="25"/>
      <c r="AA127" s="23"/>
      <c r="AB127" s="25"/>
      <c r="AC127" s="23"/>
      <c r="AD127" s="26"/>
    </row>
    <row r="128">
      <c r="A128" s="30" t="s">
        <v>55</v>
      </c>
      <c r="B128" s="22" t="s">
        <v>65</v>
      </c>
      <c r="C128" s="22" t="s">
        <v>66</v>
      </c>
      <c r="D128" s="24"/>
      <c r="E128" s="25" t="str">
        <f>"－"</f>
        <v>－</v>
      </c>
      <c r="F128" s="23"/>
      <c r="G128" s="25" t="str">
        <f>"－"</f>
        <v>－</v>
      </c>
      <c r="H128" s="23"/>
      <c r="I128" s="26" t="str">
        <f>"－"</f>
        <v>－</v>
      </c>
      <c r="J128" s="24"/>
      <c r="K128" s="25" t="str">
        <f>"－"</f>
        <v>－</v>
      </c>
      <c r="L128" s="23"/>
      <c r="M128" s="25" t="str">
        <f>"－"</f>
        <v>－</v>
      </c>
      <c r="N128" s="23"/>
      <c r="O128" s="26" t="str">
        <f>"－"</f>
        <v>－</v>
      </c>
      <c r="P128" s="27" t="str">
        <f>"－"</f>
        <v>－</v>
      </c>
      <c r="Q128" s="28" t="str">
        <f>"－"</f>
        <v>－</v>
      </c>
      <c r="R128" s="29" t="str">
        <f>"－"</f>
        <v>－</v>
      </c>
      <c r="S128" s="24"/>
      <c r="T128" s="25" t="str">
        <f>"－"</f>
        <v>－</v>
      </c>
      <c r="U128" s="23"/>
      <c r="V128" s="25" t="str">
        <f>"－"</f>
        <v>－</v>
      </c>
      <c r="W128" s="23"/>
      <c r="X128" s="26" t="str">
        <f>"－"</f>
        <v>－</v>
      </c>
      <c r="Y128" s="24"/>
      <c r="Z128" s="25" t="str">
        <f>"－"</f>
        <v>－</v>
      </c>
      <c r="AA128" s="23"/>
      <c r="AB128" s="25" t="str">
        <f>"－"</f>
        <v>－</v>
      </c>
      <c r="AC128" s="23"/>
      <c r="AD128" s="26" t="str">
        <f>"－"</f>
        <v>－</v>
      </c>
    </row>
    <row r="129">
      <c r="A129" s="30" t="s">
        <v>56</v>
      </c>
      <c r="B129" s="22" t="s">
        <v>65</v>
      </c>
      <c r="C129" s="22" t="s">
        <v>66</v>
      </c>
      <c r="D129" s="24"/>
      <c r="E129" s="25" t="str">
        <f>"－"</f>
        <v>－</v>
      </c>
      <c r="F129" s="23"/>
      <c r="G129" s="25" t="str">
        <f>"－"</f>
        <v>－</v>
      </c>
      <c r="H129" s="23"/>
      <c r="I129" s="26" t="str">
        <f>"－"</f>
        <v>－</v>
      </c>
      <c r="J129" s="24"/>
      <c r="K129" s="25" t="str">
        <f>"－"</f>
        <v>－</v>
      </c>
      <c r="L129" s="23"/>
      <c r="M129" s="25" t="str">
        <f>"－"</f>
        <v>－</v>
      </c>
      <c r="N129" s="23"/>
      <c r="O129" s="26" t="str">
        <f>"－"</f>
        <v>－</v>
      </c>
      <c r="P129" s="27" t="str">
        <f>"－"</f>
        <v>－</v>
      </c>
      <c r="Q129" s="28" t="str">
        <f>"－"</f>
        <v>－</v>
      </c>
      <c r="R129" s="29" t="str">
        <f>"－"</f>
        <v>－</v>
      </c>
      <c r="S129" s="24"/>
      <c r="T129" s="25" t="str">
        <f>"－"</f>
        <v>－</v>
      </c>
      <c r="U129" s="23"/>
      <c r="V129" s="25" t="str">
        <f>"－"</f>
        <v>－</v>
      </c>
      <c r="W129" s="23"/>
      <c r="X129" s="26" t="str">
        <f>"－"</f>
        <v>－</v>
      </c>
      <c r="Y129" s="24"/>
      <c r="Z129" s="25" t="str">
        <f>"－"</f>
        <v>－</v>
      </c>
      <c r="AA129" s="23"/>
      <c r="AB129" s="25" t="str">
        <f>"－"</f>
        <v>－</v>
      </c>
      <c r="AC129" s="23"/>
      <c r="AD129" s="26" t="str">
        <f>"－"</f>
        <v>－</v>
      </c>
    </row>
    <row r="130">
      <c r="A130" s="30" t="s">
        <v>57</v>
      </c>
      <c r="B130" s="22" t="s">
        <v>65</v>
      </c>
      <c r="C130" s="22" t="s">
        <v>66</v>
      </c>
      <c r="D130" s="24"/>
      <c r="E130" s="25" t="str">
        <f>"－"</f>
        <v>－</v>
      </c>
      <c r="F130" s="23"/>
      <c r="G130" s="25" t="str">
        <f>"－"</f>
        <v>－</v>
      </c>
      <c r="H130" s="23"/>
      <c r="I130" s="26" t="str">
        <f>"－"</f>
        <v>－</v>
      </c>
      <c r="J130" s="24"/>
      <c r="K130" s="25" t="str">
        <f>"－"</f>
        <v>－</v>
      </c>
      <c r="L130" s="23"/>
      <c r="M130" s="25" t="str">
        <f>"－"</f>
        <v>－</v>
      </c>
      <c r="N130" s="23"/>
      <c r="O130" s="26" t="str">
        <f>"－"</f>
        <v>－</v>
      </c>
      <c r="P130" s="27" t="str">
        <f>"－"</f>
        <v>－</v>
      </c>
      <c r="Q130" s="28" t="str">
        <f>"－"</f>
        <v>－</v>
      </c>
      <c r="R130" s="29" t="str">
        <f>"－"</f>
        <v>－</v>
      </c>
      <c r="S130" s="24"/>
      <c r="T130" s="25" t="str">
        <f>"－"</f>
        <v>－</v>
      </c>
      <c r="U130" s="23"/>
      <c r="V130" s="25" t="str">
        <f>"－"</f>
        <v>－</v>
      </c>
      <c r="W130" s="23"/>
      <c r="X130" s="26" t="str">
        <f>"－"</f>
        <v>－</v>
      </c>
      <c r="Y130" s="24"/>
      <c r="Z130" s="25" t="str">
        <f>"－"</f>
        <v>－</v>
      </c>
      <c r="AA130" s="23"/>
      <c r="AB130" s="25" t="str">
        <f>"－"</f>
        <v>－</v>
      </c>
      <c r="AC130" s="23"/>
      <c r="AD130" s="26" t="str">
        <f>"－"</f>
        <v>－</v>
      </c>
    </row>
    <row r="131">
      <c r="A131" s="30" t="s">
        <v>58</v>
      </c>
      <c r="B131" s="22" t="s">
        <v>65</v>
      </c>
      <c r="C131" s="22" t="s">
        <v>66</v>
      </c>
      <c r="D131" s="24"/>
      <c r="E131" s="25" t="str">
        <f>"－"</f>
        <v>－</v>
      </c>
      <c r="F131" s="23"/>
      <c r="G131" s="25" t="str">
        <f>"－"</f>
        <v>－</v>
      </c>
      <c r="H131" s="23"/>
      <c r="I131" s="26" t="str">
        <f>"－"</f>
        <v>－</v>
      </c>
      <c r="J131" s="24"/>
      <c r="K131" s="25" t="str">
        <f>"－"</f>
        <v>－</v>
      </c>
      <c r="L131" s="23"/>
      <c r="M131" s="25" t="str">
        <f>"－"</f>
        <v>－</v>
      </c>
      <c r="N131" s="23"/>
      <c r="O131" s="26" t="str">
        <f>"－"</f>
        <v>－</v>
      </c>
      <c r="P131" s="27" t="str">
        <f>"－"</f>
        <v>－</v>
      </c>
      <c r="Q131" s="28" t="str">
        <f>"－"</f>
        <v>－</v>
      </c>
      <c r="R131" s="29" t="str">
        <f>"－"</f>
        <v>－</v>
      </c>
      <c r="S131" s="24"/>
      <c r="T131" s="25" t="str">
        <f>"－"</f>
        <v>－</v>
      </c>
      <c r="U131" s="23"/>
      <c r="V131" s="25" t="str">
        <f>"－"</f>
        <v>－</v>
      </c>
      <c r="W131" s="23"/>
      <c r="X131" s="26" t="str">
        <f>"－"</f>
        <v>－</v>
      </c>
      <c r="Y131" s="24"/>
      <c r="Z131" s="25" t="str">
        <f>"－"</f>
        <v>－</v>
      </c>
      <c r="AA131" s="23"/>
      <c r="AB131" s="25" t="str">
        <f>"－"</f>
        <v>－</v>
      </c>
      <c r="AC131" s="23"/>
      <c r="AD131" s="26" t="str">
        <f>"－"</f>
        <v>－</v>
      </c>
    </row>
    <row r="132">
      <c r="A132" s="30" t="s">
        <v>59</v>
      </c>
      <c r="B132" s="22" t="s">
        <v>65</v>
      </c>
      <c r="C132" s="22" t="s">
        <v>66</v>
      </c>
      <c r="D132" s="24"/>
      <c r="E132" s="25" t="str">
        <f>"－"</f>
        <v>－</v>
      </c>
      <c r="F132" s="23"/>
      <c r="G132" s="25" t="str">
        <f>"－"</f>
        <v>－</v>
      </c>
      <c r="H132" s="23"/>
      <c r="I132" s="26" t="str">
        <f>"－"</f>
        <v>－</v>
      </c>
      <c r="J132" s="24"/>
      <c r="K132" s="25" t="str">
        <f>"－"</f>
        <v>－</v>
      </c>
      <c r="L132" s="23"/>
      <c r="M132" s="25" t="str">
        <f>"－"</f>
        <v>－</v>
      </c>
      <c r="N132" s="23"/>
      <c r="O132" s="26" t="str">
        <f>"－"</f>
        <v>－</v>
      </c>
      <c r="P132" s="27" t="str">
        <f>"－"</f>
        <v>－</v>
      </c>
      <c r="Q132" s="28" t="str">
        <f>"－"</f>
        <v>－</v>
      </c>
      <c r="R132" s="29" t="str">
        <f>"－"</f>
        <v>－</v>
      </c>
      <c r="S132" s="24"/>
      <c r="T132" s="25" t="str">
        <f>"－"</f>
        <v>－</v>
      </c>
      <c r="U132" s="23"/>
      <c r="V132" s="25" t="str">
        <f>"－"</f>
        <v>－</v>
      </c>
      <c r="W132" s="23"/>
      <c r="X132" s="26" t="str">
        <f>"－"</f>
        <v>－</v>
      </c>
      <c r="Y132" s="24"/>
      <c r="Z132" s="25" t="str">
        <f>"－"</f>
        <v>－</v>
      </c>
      <c r="AA132" s="23"/>
      <c r="AB132" s="25" t="str">
        <f>"－"</f>
        <v>－</v>
      </c>
      <c r="AC132" s="23"/>
      <c r="AD132" s="26" t="str">
        <f>"－"</f>
        <v>－</v>
      </c>
    </row>
    <row r="133">
      <c r="A133" s="30" t="s">
        <v>60</v>
      </c>
      <c r="B133" s="22" t="s">
        <v>65</v>
      </c>
      <c r="C133" s="22" t="s">
        <v>66</v>
      </c>
      <c r="D133" s="24"/>
      <c r="E133" s="25"/>
      <c r="F133" s="23"/>
      <c r="G133" s="25"/>
      <c r="H133" s="23"/>
      <c r="I133" s="26"/>
      <c r="J133" s="24"/>
      <c r="K133" s="25"/>
      <c r="L133" s="23"/>
      <c r="M133" s="25"/>
      <c r="N133" s="23"/>
      <c r="O133" s="26"/>
      <c r="P133" s="27"/>
      <c r="Q133" s="28"/>
      <c r="R133" s="29"/>
      <c r="S133" s="24"/>
      <c r="T133" s="25"/>
      <c r="U133" s="23"/>
      <c r="V133" s="25"/>
      <c r="W133" s="23"/>
      <c r="X133" s="26"/>
      <c r="Y133" s="24"/>
      <c r="Z133" s="25"/>
      <c r="AA133" s="23"/>
      <c r="AB133" s="25"/>
      <c r="AC133" s="23"/>
      <c r="AD133" s="26"/>
    </row>
  </sheetData>
  <mergeCells count="38">
    <mergeCell ref="Y9:Z9"/>
    <mergeCell ref="L9:M9"/>
    <mergeCell ref="N9:O9"/>
    <mergeCell ref="S9:T9"/>
    <mergeCell ref="U9:V9"/>
    <mergeCell ref="W9:X9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BO_DM0032</vt:lpstr>
      <vt:lpstr>BO_DM0032!Print_Titles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2018-09-03T00:18:24Z</dcterms:created>
  <cp:lastPrinted>2018-09-03T04:46:34Z</cp:lastPrinted>
  <dcterms:modified xsi:type="dcterms:W3CDTF">2020-09-02T23:58:52Z</dcterms:modified>
</cp:coreProperties>
</file>