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<sst xmlns="http://schemas.openxmlformats.org/spreadsheetml/2006/main" count="512" uniqueCount="68">
  <si>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</si>
  <si>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</si>
  <si>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</si>
  <si>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</si>
  <si>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</si>
  <si>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</si>
  <si>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</si>
  <si>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</si>
  <si>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</si>
  <si>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</si>
  <si>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</si>
  <si>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</si>
  <si>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</si>
  <si>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</si>
  <si>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</si>
  <si>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</si>
  <si>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</si>
  <si>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</si>
  <si>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</si>
  <si>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</si>
  <si>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</si>
  <si>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</si>
  <si>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</si>
  <si>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</si>
  <si>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</si>
  <si>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</si>
  <si>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7.1</t>
  </si>
  <si>
    <t>日経225オプション</t>
  </si>
  <si>
    <t>Nikkei 225 Options</t>
  </si>
  <si>
    <t>2</t>
  </si>
  <si>
    <t>3</t>
  </si>
  <si>
    <t>4</t>
  </si>
  <si>
    <t>5</t>
  </si>
  <si>
    <t>6</t>
  </si>
  <si>
    <t>●</t>
  </si>
  <si>
    <t>7</t>
  </si>
  <si>
    <t>8</t>
  </si>
  <si>
    <t>◎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</si>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</sst>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33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60198</f>
        <v>60198.0</v>
      </c>
      <c r="F10" s="23"/>
      <c r="G10" s="25" t="n">
        <f>28334</f>
        <v>28334.0</v>
      </c>
      <c r="H10" s="23"/>
      <c r="I10" s="26" t="n">
        <f>88532</f>
        <v>88532.0</v>
      </c>
      <c r="J10" s="24"/>
      <c r="K10" s="25" t="n">
        <f>9178144400</f>
        <v>9.1781444E9</v>
      </c>
      <c r="L10" s="23"/>
      <c r="M10" s="25" t="n">
        <f>5096735600</f>
        <v>5.0967356E9</v>
      </c>
      <c r="N10" s="23"/>
      <c r="O10" s="26" t="n">
        <f>14274880000</f>
        <v>1.427488E10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8107</f>
        <v>8107.0</v>
      </c>
      <c r="U10" s="23"/>
      <c r="V10" s="25" t="n">
        <f>4053</f>
        <v>4053.0</v>
      </c>
      <c r="W10" s="23"/>
      <c r="X10" s="26" t="n">
        <f>12160</f>
        <v>12160.0</v>
      </c>
      <c r="Y10" s="24"/>
      <c r="Z10" s="25" t="n">
        <f>854451</f>
        <v>854451.0</v>
      </c>
      <c r="AA10" s="23"/>
      <c r="AB10" s="25" t="n">
        <f>534913</f>
        <v>534913.0</v>
      </c>
      <c r="AC10" s="23"/>
      <c r="AD10" s="26" t="n">
        <f>1389364</f>
        <v>1389364.0</v>
      </c>
    </row>
    <row r="11">
      <c r="A11" s="30" t="s">
        <v>29</v>
      </c>
      <c r="B11" s="22" t="s">
        <v>27</v>
      </c>
      <c r="C11" s="22" t="s">
        <v>28</v>
      </c>
      <c r="D11" s="24"/>
      <c r="E11" s="25" t="n">
        <f>46802</f>
        <v>46802.0</v>
      </c>
      <c r="F11" s="23"/>
      <c r="G11" s="25" t="n">
        <f>30475</f>
        <v>30475.0</v>
      </c>
      <c r="H11" s="23"/>
      <c r="I11" s="26" t="n">
        <f>77277</f>
        <v>77277.0</v>
      </c>
      <c r="J11" s="24"/>
      <c r="K11" s="25" t="n">
        <f>7634012900</f>
        <v>7.6340129E9</v>
      </c>
      <c r="L11" s="23"/>
      <c r="M11" s="25" t="n">
        <f>3178411400</f>
        <v>3.1784114E9</v>
      </c>
      <c r="N11" s="23"/>
      <c r="O11" s="26" t="n">
        <f>10812424300</f>
        <v>1.08124243E10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5317</f>
        <v>5317.0</v>
      </c>
      <c r="U11" s="23"/>
      <c r="V11" s="25" t="n">
        <f>3695</f>
        <v>3695.0</v>
      </c>
      <c r="W11" s="23"/>
      <c r="X11" s="26" t="n">
        <f>9012</f>
        <v>9012.0</v>
      </c>
      <c r="Y11" s="24"/>
      <c r="Z11" s="25" t="n">
        <f>863512</f>
        <v>863512.0</v>
      </c>
      <c r="AA11" s="23"/>
      <c r="AB11" s="25" t="n">
        <f>536587</f>
        <v>536587.0</v>
      </c>
      <c r="AC11" s="23"/>
      <c r="AD11" s="26" t="n">
        <f>1400099</f>
        <v>1400099.0</v>
      </c>
    </row>
    <row r="12">
      <c r="A12" s="30" t="s">
        <v>30</v>
      </c>
      <c r="B12" s="22" t="s">
        <v>27</v>
      </c>
      <c r="C12" s="22" t="s">
        <v>28</v>
      </c>
      <c r="D12" s="24"/>
      <c r="E12" s="25"/>
      <c r="F12" s="23"/>
      <c r="G12" s="25"/>
      <c r="H12" s="23"/>
      <c r="I12" s="26"/>
      <c r="J12" s="24"/>
      <c r="K12" s="25"/>
      <c r="L12" s="23"/>
      <c r="M12" s="25"/>
      <c r="N12" s="23"/>
      <c r="O12" s="26"/>
      <c r="P12" s="27"/>
      <c r="Q12" s="28"/>
      <c r="R12" s="29"/>
      <c r="S12" s="24"/>
      <c r="T12" s="25"/>
      <c r="U12" s="23"/>
      <c r="V12" s="25"/>
      <c r="W12" s="23"/>
      <c r="X12" s="26"/>
      <c r="Y12" s="24"/>
      <c r="Z12" s="25"/>
      <c r="AA12" s="23"/>
      <c r="AB12" s="25"/>
      <c r="AC12" s="23"/>
      <c r="AD12" s="26"/>
    </row>
    <row r="13">
      <c r="A13" s="30" t="s">
        <v>31</v>
      </c>
      <c r="B13" s="22" t="s">
        <v>27</v>
      </c>
      <c r="C13" s="22" t="s">
        <v>28</v>
      </c>
      <c r="D13" s="24"/>
      <c r="E13" s="25"/>
      <c r="F13" s="23"/>
      <c r="G13" s="25"/>
      <c r="H13" s="23"/>
      <c r="I13" s="26"/>
      <c r="J13" s="24"/>
      <c r="K13" s="25"/>
      <c r="L13" s="23"/>
      <c r="M13" s="25"/>
      <c r="N13" s="23"/>
      <c r="O13" s="26"/>
      <c r="P13" s="27"/>
      <c r="Q13" s="28"/>
      <c r="R13" s="29"/>
      <c r="S13" s="24"/>
      <c r="T13" s="25"/>
      <c r="U13" s="23"/>
      <c r="V13" s="25"/>
      <c r="W13" s="23"/>
      <c r="X13" s="26"/>
      <c r="Y13" s="24"/>
      <c r="Z13" s="25"/>
      <c r="AA13" s="23"/>
      <c r="AB13" s="25"/>
      <c r="AC13" s="23"/>
      <c r="AD13" s="26"/>
    </row>
    <row r="14">
      <c r="A14" s="30" t="s">
        <v>32</v>
      </c>
      <c r="B14" s="22" t="s">
        <v>27</v>
      </c>
      <c r="C14" s="22" t="s">
        <v>28</v>
      </c>
      <c r="D14" s="24"/>
      <c r="E14" s="25" t="n">
        <f>57900</f>
        <v>57900.0</v>
      </c>
      <c r="F14" s="23"/>
      <c r="G14" s="25" t="n">
        <f>42239</f>
        <v>42239.0</v>
      </c>
      <c r="H14" s="23"/>
      <c r="I14" s="26" t="n">
        <f>100139</f>
        <v>100139.0</v>
      </c>
      <c r="J14" s="24"/>
      <c r="K14" s="25" t="n">
        <f>10447048300</f>
        <v>1.04470483E10</v>
      </c>
      <c r="L14" s="23"/>
      <c r="M14" s="25" t="n">
        <f>4117063000</f>
        <v>4.117063E9</v>
      </c>
      <c r="N14" s="23"/>
      <c r="O14" s="26" t="n">
        <f>14564111300</f>
        <v>1.45641113E10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10605</f>
        <v>10605.0</v>
      </c>
      <c r="U14" s="23"/>
      <c r="V14" s="25" t="n">
        <f>5506</f>
        <v>5506.0</v>
      </c>
      <c r="W14" s="23"/>
      <c r="X14" s="26" t="n">
        <f>16111</f>
        <v>16111.0</v>
      </c>
      <c r="Y14" s="24"/>
      <c r="Z14" s="25" t="n">
        <f>871471</f>
        <v>871471.0</v>
      </c>
      <c r="AA14" s="23"/>
      <c r="AB14" s="25" t="n">
        <f>541786</f>
        <v>541786.0</v>
      </c>
      <c r="AC14" s="23"/>
      <c r="AD14" s="26" t="n">
        <f>1413257</f>
        <v>1413257.0</v>
      </c>
    </row>
    <row r="15">
      <c r="A15" s="30" t="s">
        <v>33</v>
      </c>
      <c r="B15" s="22" t="s">
        <v>27</v>
      </c>
      <c r="C15" s="22" t="s">
        <v>28</v>
      </c>
      <c r="D15" s="24"/>
      <c r="E15" s="25" t="n">
        <f>49468</f>
        <v>49468.0</v>
      </c>
      <c r="F15" s="23"/>
      <c r="G15" s="25" t="n">
        <f>27152</f>
        <v>27152.0</v>
      </c>
      <c r="H15" s="23"/>
      <c r="I15" s="26" t="n">
        <f>76620</f>
        <v>76620.0</v>
      </c>
      <c r="J15" s="24" t="s">
        <v>34</v>
      </c>
      <c r="K15" s="25" t="n">
        <f>5388439055</f>
        <v>5.388439055E9</v>
      </c>
      <c r="L15" s="23"/>
      <c r="M15" s="25" t="n">
        <f>3721854100</f>
        <v>3.7218541E9</v>
      </c>
      <c r="N15" s="23" t="s">
        <v>34</v>
      </c>
      <c r="O15" s="26" t="n">
        <f>9110293155</f>
        <v>9.110293155E9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9331</f>
        <v>9331.0</v>
      </c>
      <c r="U15" s="23"/>
      <c r="V15" s="25" t="n">
        <f>4371</f>
        <v>4371.0</v>
      </c>
      <c r="W15" s="23"/>
      <c r="X15" s="26" t="n">
        <f>13702</f>
        <v>13702.0</v>
      </c>
      <c r="Y15" s="24"/>
      <c r="Z15" s="25" t="n">
        <f>880335</f>
        <v>880335.0</v>
      </c>
      <c r="AA15" s="23"/>
      <c r="AB15" s="25" t="n">
        <f>543902</f>
        <v>543902.0</v>
      </c>
      <c r="AC15" s="23"/>
      <c r="AD15" s="26" t="n">
        <f>1424237</f>
        <v>1424237.0</v>
      </c>
    </row>
    <row r="16">
      <c r="A16" s="30" t="s">
        <v>35</v>
      </c>
      <c r="B16" s="22" t="s">
        <v>27</v>
      </c>
      <c r="C16" s="22" t="s">
        <v>28</v>
      </c>
      <c r="D16" s="24"/>
      <c r="E16" s="25" t="n">
        <f>73368</f>
        <v>73368.0</v>
      </c>
      <c r="F16" s="23"/>
      <c r="G16" s="25" t="n">
        <f>44432</f>
        <v>44432.0</v>
      </c>
      <c r="H16" s="23"/>
      <c r="I16" s="26" t="n">
        <f>117800</f>
        <v>117800.0</v>
      </c>
      <c r="J16" s="24"/>
      <c r="K16" s="25" t="n">
        <f>16675158430</f>
        <v>1.667515843E10</v>
      </c>
      <c r="L16" s="23"/>
      <c r="M16" s="25" t="n">
        <f>6344617930</f>
        <v>6.34461793E9</v>
      </c>
      <c r="N16" s="23"/>
      <c r="O16" s="26" t="n">
        <f>23019776360</f>
        <v>2.301977636E10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11222</f>
        <v>11222.0</v>
      </c>
      <c r="U16" s="23"/>
      <c r="V16" s="25" t="n">
        <f>7577</f>
        <v>7577.0</v>
      </c>
      <c r="W16" s="23"/>
      <c r="X16" s="26" t="n">
        <f>18799</f>
        <v>18799.0</v>
      </c>
      <c r="Y16" s="24"/>
      <c r="Z16" s="25" t="n">
        <f>889133</f>
        <v>889133.0</v>
      </c>
      <c r="AA16" s="23"/>
      <c r="AB16" s="25" t="n">
        <f>552833</f>
        <v>552833.0</v>
      </c>
      <c r="AC16" s="23"/>
      <c r="AD16" s="26" t="n">
        <f>1441966</f>
        <v>1441966.0</v>
      </c>
    </row>
    <row r="17">
      <c r="A17" s="30" t="s">
        <v>36</v>
      </c>
      <c r="B17" s="22" t="s">
        <v>27</v>
      </c>
      <c r="C17" s="22" t="s">
        <v>28</v>
      </c>
      <c r="D17" s="24"/>
      <c r="E17" s="25" t="n">
        <f>86383</f>
        <v>86383.0</v>
      </c>
      <c r="F17" s="23"/>
      <c r="G17" s="25" t="n">
        <f>43749</f>
        <v>43749.0</v>
      </c>
      <c r="H17" s="23"/>
      <c r="I17" s="26" t="n">
        <f>130132</f>
        <v>130132.0</v>
      </c>
      <c r="J17" s="24"/>
      <c r="K17" s="25" t="n">
        <f>17476980289</f>
        <v>1.7476980289E10</v>
      </c>
      <c r="L17" s="23"/>
      <c r="M17" s="25" t="n">
        <f>5289767700</f>
        <v>5.2897677E9</v>
      </c>
      <c r="N17" s="23"/>
      <c r="O17" s="26" t="n">
        <f>22766747989</f>
        <v>2.2766747989E10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13024</f>
        <v>13024.0</v>
      </c>
      <c r="U17" s="23"/>
      <c r="V17" s="25" t="n">
        <f>9989</f>
        <v>9989.0</v>
      </c>
      <c r="W17" s="23"/>
      <c r="X17" s="26" t="n">
        <f>23013</f>
        <v>23013.0</v>
      </c>
      <c r="Y17" s="24" t="s">
        <v>37</v>
      </c>
      <c r="Z17" s="25" t="n">
        <f>897910</f>
        <v>897910.0</v>
      </c>
      <c r="AA17" s="23" t="s">
        <v>37</v>
      </c>
      <c r="AB17" s="25" t="n">
        <f>563710</f>
        <v>563710.0</v>
      </c>
      <c r="AC17" s="23" t="s">
        <v>37</v>
      </c>
      <c r="AD17" s="26" t="n">
        <f>1461620</f>
        <v>1461620.0</v>
      </c>
    </row>
    <row r="18">
      <c r="A18" s="30" t="s">
        <v>38</v>
      </c>
      <c r="B18" s="22" t="s">
        <v>27</v>
      </c>
      <c r="C18" s="22" t="s">
        <v>28</v>
      </c>
      <c r="D18" s="24" t="s">
        <v>37</v>
      </c>
      <c r="E18" s="25" t="n">
        <f>91038</f>
        <v>91038.0</v>
      </c>
      <c r="F18" s="23" t="s">
        <v>37</v>
      </c>
      <c r="G18" s="25" t="n">
        <f>54634</f>
        <v>54634.0</v>
      </c>
      <c r="H18" s="23" t="s">
        <v>37</v>
      </c>
      <c r="I18" s="26" t="n">
        <f>145672</f>
        <v>145672.0</v>
      </c>
      <c r="J18" s="24" t="s">
        <v>37</v>
      </c>
      <c r="K18" s="25" t="n">
        <f>37288510180</f>
        <v>3.728851018E10</v>
      </c>
      <c r="L18" s="23"/>
      <c r="M18" s="25" t="n">
        <f>13043219410</f>
        <v>1.304321941E10</v>
      </c>
      <c r="N18" s="23" t="s">
        <v>37</v>
      </c>
      <c r="O18" s="26" t="n">
        <f>50331729590</f>
        <v>5.033172959E10</v>
      </c>
      <c r="P18" s="27" t="n">
        <f>30101</f>
        <v>30101.0</v>
      </c>
      <c r="Q18" s="28" t="n">
        <f>303</f>
        <v>303.0</v>
      </c>
      <c r="R18" s="29" t="n">
        <f>30404</f>
        <v>30404.0</v>
      </c>
      <c r="S18" s="24" t="s">
        <v>37</v>
      </c>
      <c r="T18" s="25" t="n">
        <f>25153</f>
        <v>25153.0</v>
      </c>
      <c r="U18" s="23"/>
      <c r="V18" s="25" t="n">
        <f>10150</f>
        <v>10150.0</v>
      </c>
      <c r="W18" s="23" t="s">
        <v>37</v>
      </c>
      <c r="X18" s="26" t="n">
        <f>35303</f>
        <v>35303.0</v>
      </c>
      <c r="Y18" s="24" t="s">
        <v>34</v>
      </c>
      <c r="Z18" s="25" t="n">
        <f>811801</f>
        <v>811801.0</v>
      </c>
      <c r="AA18" s="23" t="s">
        <v>34</v>
      </c>
      <c r="AB18" s="25" t="n">
        <f>484941</f>
        <v>484941.0</v>
      </c>
      <c r="AC18" s="23" t="s">
        <v>34</v>
      </c>
      <c r="AD18" s="26" t="n">
        <f>1296742</f>
        <v>1296742.0</v>
      </c>
    </row>
    <row r="19">
      <c r="A19" s="30" t="s">
        <v>39</v>
      </c>
      <c r="B19" s="22" t="s">
        <v>27</v>
      </c>
      <c r="C19" s="22" t="s">
        <v>28</v>
      </c>
      <c r="D19" s="24"/>
      <c r="E19" s="25"/>
      <c r="F19" s="23"/>
      <c r="G19" s="25"/>
      <c r="H19" s="23"/>
      <c r="I19" s="26"/>
      <c r="J19" s="24"/>
      <c r="K19" s="25"/>
      <c r="L19" s="23"/>
      <c r="M19" s="25"/>
      <c r="N19" s="23"/>
      <c r="O19" s="26"/>
      <c r="P19" s="27"/>
      <c r="Q19" s="28"/>
      <c r="R19" s="29"/>
      <c r="S19" s="24"/>
      <c r="T19" s="25"/>
      <c r="U19" s="23"/>
      <c r="V19" s="25"/>
      <c r="W19" s="23"/>
      <c r="X19" s="26"/>
      <c r="Y19" s="24"/>
      <c r="Z19" s="25"/>
      <c r="AA19" s="23"/>
      <c r="AB19" s="25"/>
      <c r="AC19" s="23"/>
      <c r="AD19" s="26"/>
    </row>
    <row r="20">
      <c r="A20" s="30" t="s">
        <v>40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41</v>
      </c>
      <c r="B21" s="22" t="s">
        <v>27</v>
      </c>
      <c r="C21" s="22" t="s">
        <v>28</v>
      </c>
      <c r="D21" s="24"/>
      <c r="E21" s="25" t="n">
        <f>53875</f>
        <v>53875.0</v>
      </c>
      <c r="F21" s="23"/>
      <c r="G21" s="25" t="n">
        <f>47178</f>
        <v>47178.0</v>
      </c>
      <c r="H21" s="23"/>
      <c r="I21" s="26" t="n">
        <f>101053</f>
        <v>101053.0</v>
      </c>
      <c r="J21" s="24"/>
      <c r="K21" s="25" t="n">
        <f>13931561250</f>
        <v>1.393156125E10</v>
      </c>
      <c r="L21" s="23"/>
      <c r="M21" s="25" t="n">
        <f>8042078850</f>
        <v>8.04207885E9</v>
      </c>
      <c r="N21" s="23"/>
      <c r="O21" s="26" t="n">
        <f>21973640100</f>
        <v>2.19736401E10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4"/>
      <c r="T21" s="25" t="n">
        <f>6929</f>
        <v>6929.0</v>
      </c>
      <c r="U21" s="23" t="s">
        <v>37</v>
      </c>
      <c r="V21" s="25" t="n">
        <f>11586</f>
        <v>11586.0</v>
      </c>
      <c r="W21" s="23"/>
      <c r="X21" s="26" t="n">
        <f>18515</f>
        <v>18515.0</v>
      </c>
      <c r="Y21" s="24"/>
      <c r="Z21" s="25" t="n">
        <f>824110</f>
        <v>824110.0</v>
      </c>
      <c r="AA21" s="23"/>
      <c r="AB21" s="25" t="n">
        <f>489485</f>
        <v>489485.0</v>
      </c>
      <c r="AC21" s="23"/>
      <c r="AD21" s="26" t="n">
        <f>1313595</f>
        <v>1313595.0</v>
      </c>
    </row>
    <row r="22">
      <c r="A22" s="30" t="s">
        <v>42</v>
      </c>
      <c r="B22" s="22" t="s">
        <v>27</v>
      </c>
      <c r="C22" s="22" t="s">
        <v>28</v>
      </c>
      <c r="D22" s="24"/>
      <c r="E22" s="25" t="n">
        <f>38720</f>
        <v>38720.0</v>
      </c>
      <c r="F22" s="23"/>
      <c r="G22" s="25" t="n">
        <f>29025</f>
        <v>29025.0</v>
      </c>
      <c r="H22" s="23"/>
      <c r="I22" s="26" t="n">
        <f>67745</f>
        <v>67745.0</v>
      </c>
      <c r="J22" s="24"/>
      <c r="K22" s="25" t="n">
        <f>9116207600</f>
        <v>9.1162076E9</v>
      </c>
      <c r="L22" s="23"/>
      <c r="M22" s="25" t="n">
        <f>7568457730</f>
        <v>7.56845773E9</v>
      </c>
      <c r="N22" s="23"/>
      <c r="O22" s="26" t="n">
        <f>16684665330</f>
        <v>1.668466533E10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/>
      <c r="T22" s="25" t="n">
        <f>7602</f>
        <v>7602.0</v>
      </c>
      <c r="U22" s="23"/>
      <c r="V22" s="25" t="n">
        <f>2832</f>
        <v>2832.0</v>
      </c>
      <c r="W22" s="23"/>
      <c r="X22" s="26" t="n">
        <f>10434</f>
        <v>10434.0</v>
      </c>
      <c r="Y22" s="24"/>
      <c r="Z22" s="25" t="n">
        <f>829344</f>
        <v>829344.0</v>
      </c>
      <c r="AA22" s="23"/>
      <c r="AB22" s="25" t="n">
        <f>494690</f>
        <v>494690.0</v>
      </c>
      <c r="AC22" s="23"/>
      <c r="AD22" s="26" t="n">
        <f>1324034</f>
        <v>1324034.0</v>
      </c>
    </row>
    <row r="23">
      <c r="A23" s="30" t="s">
        <v>43</v>
      </c>
      <c r="B23" s="22" t="s">
        <v>27</v>
      </c>
      <c r="C23" s="22" t="s">
        <v>28</v>
      </c>
      <c r="D23" s="24" t="s">
        <v>34</v>
      </c>
      <c r="E23" s="25" t="n">
        <f>27748</f>
        <v>27748.0</v>
      </c>
      <c r="F23" s="23"/>
      <c r="G23" s="25" t="n">
        <f>29446</f>
        <v>29446.0</v>
      </c>
      <c r="H23" s="23"/>
      <c r="I23" s="26" t="n">
        <f>57194</f>
        <v>57194.0</v>
      </c>
      <c r="J23" s="24"/>
      <c r="K23" s="25" t="n">
        <f>8682946500</f>
        <v>8.6829465E9</v>
      </c>
      <c r="L23" s="23" t="s">
        <v>37</v>
      </c>
      <c r="M23" s="25" t="n">
        <f>16689507300</f>
        <v>1.66895073E10</v>
      </c>
      <c r="N23" s="23"/>
      <c r="O23" s="26" t="n">
        <f>25372453800</f>
        <v>2.53724538E10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4"/>
      <c r="T23" s="25" t="n">
        <f>4726</f>
        <v>4726.0</v>
      </c>
      <c r="U23" s="23"/>
      <c r="V23" s="25" t="n">
        <f>10594</f>
        <v>10594.0</v>
      </c>
      <c r="W23" s="23"/>
      <c r="X23" s="26" t="n">
        <f>15320</f>
        <v>15320.0</v>
      </c>
      <c r="Y23" s="24"/>
      <c r="Z23" s="25" t="n">
        <f>832885</f>
        <v>832885.0</v>
      </c>
      <c r="AA23" s="23"/>
      <c r="AB23" s="25" t="n">
        <f>506281</f>
        <v>506281.0</v>
      </c>
      <c r="AC23" s="23"/>
      <c r="AD23" s="26" t="n">
        <f>1339166</f>
        <v>1339166.0</v>
      </c>
    </row>
    <row r="24">
      <c r="A24" s="30" t="s">
        <v>44</v>
      </c>
      <c r="B24" s="22" t="s">
        <v>27</v>
      </c>
      <c r="C24" s="22" t="s">
        <v>28</v>
      </c>
      <c r="D24" s="24"/>
      <c r="E24" s="25" t="n">
        <f>35110</f>
        <v>35110.0</v>
      </c>
      <c r="F24" s="23"/>
      <c r="G24" s="25" t="n">
        <f>22514</f>
        <v>22514.0</v>
      </c>
      <c r="H24" s="23"/>
      <c r="I24" s="26" t="n">
        <f>57624</f>
        <v>57624.0</v>
      </c>
      <c r="J24" s="24"/>
      <c r="K24" s="25" t="n">
        <f>8061317940</f>
        <v>8.06131794E9</v>
      </c>
      <c r="L24" s="23"/>
      <c r="M24" s="25" t="n">
        <f>6512102800</f>
        <v>6.5121028E9</v>
      </c>
      <c r="N24" s="23"/>
      <c r="O24" s="26" t="n">
        <f>14573420740</f>
        <v>1.457342074E10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4870</f>
        <v>4870.0</v>
      </c>
      <c r="U24" s="23"/>
      <c r="V24" s="25" t="n">
        <f>3492</f>
        <v>3492.0</v>
      </c>
      <c r="W24" s="23"/>
      <c r="X24" s="26" t="n">
        <f>8362</f>
        <v>8362.0</v>
      </c>
      <c r="Y24" s="24"/>
      <c r="Z24" s="25" t="n">
        <f>838417</f>
        <v>838417.0</v>
      </c>
      <c r="AA24" s="23"/>
      <c r="AB24" s="25" t="n">
        <f>510535</f>
        <v>510535.0</v>
      </c>
      <c r="AC24" s="23"/>
      <c r="AD24" s="26" t="n">
        <f>1348952</f>
        <v>1348952.0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41633</f>
        <v>41633.0</v>
      </c>
      <c r="F25" s="23"/>
      <c r="G25" s="25" t="n">
        <f>35363</f>
        <v>35363.0</v>
      </c>
      <c r="H25" s="23"/>
      <c r="I25" s="26" t="n">
        <f>76996</f>
        <v>76996.0</v>
      </c>
      <c r="J25" s="24"/>
      <c r="K25" s="25" t="n">
        <f>12412698972</f>
        <v>1.2412698972E10</v>
      </c>
      <c r="L25" s="23"/>
      <c r="M25" s="25" t="n">
        <f>7460874400</f>
        <v>7.4608744E9</v>
      </c>
      <c r="N25" s="23"/>
      <c r="O25" s="26" t="n">
        <f>19873573372</f>
        <v>1.9873573372E10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7762</f>
        <v>7762.0</v>
      </c>
      <c r="U25" s="23"/>
      <c r="V25" s="25" t="n">
        <f>7906</f>
        <v>7906.0</v>
      </c>
      <c r="W25" s="23"/>
      <c r="X25" s="26" t="n">
        <f>15668</f>
        <v>15668.0</v>
      </c>
      <c r="Y25" s="24"/>
      <c r="Z25" s="25" t="n">
        <f>843340</f>
        <v>843340.0</v>
      </c>
      <c r="AA25" s="23"/>
      <c r="AB25" s="25" t="n">
        <f>516332</f>
        <v>516332.0</v>
      </c>
      <c r="AC25" s="23"/>
      <c r="AD25" s="26" t="n">
        <f>1359672</f>
        <v>1359672.0</v>
      </c>
    </row>
    <row r="26">
      <c r="A26" s="30" t="s">
        <v>46</v>
      </c>
      <c r="B26" s="22" t="s">
        <v>27</v>
      </c>
      <c r="C26" s="22" t="s">
        <v>28</v>
      </c>
      <c r="D26" s="24"/>
      <c r="E26" s="25"/>
      <c r="F26" s="23"/>
      <c r="G26" s="25"/>
      <c r="H26" s="23"/>
      <c r="I26" s="26"/>
      <c r="J26" s="24"/>
      <c r="K26" s="25"/>
      <c r="L26" s="23"/>
      <c r="M26" s="25"/>
      <c r="N26" s="23"/>
      <c r="O26" s="26"/>
      <c r="P26" s="27"/>
      <c r="Q26" s="28"/>
      <c r="R26" s="29"/>
      <c r="S26" s="24"/>
      <c r="T26" s="25"/>
      <c r="U26" s="23"/>
      <c r="V26" s="25"/>
      <c r="W26" s="23"/>
      <c r="X26" s="26"/>
      <c r="Y26" s="24"/>
      <c r="Z26" s="25"/>
      <c r="AA26" s="23"/>
      <c r="AB26" s="25"/>
      <c r="AC26" s="23"/>
      <c r="AD26" s="26"/>
    </row>
    <row r="27">
      <c r="A27" s="30" t="s">
        <v>47</v>
      </c>
      <c r="B27" s="22" t="s">
        <v>27</v>
      </c>
      <c r="C27" s="22" t="s">
        <v>28</v>
      </c>
      <c r="D27" s="24"/>
      <c r="E27" s="25"/>
      <c r="F27" s="23"/>
      <c r="G27" s="25"/>
      <c r="H27" s="23"/>
      <c r="I27" s="26"/>
      <c r="J27" s="24"/>
      <c r="K27" s="25"/>
      <c r="L27" s="23"/>
      <c r="M27" s="25"/>
      <c r="N27" s="23"/>
      <c r="O27" s="26"/>
      <c r="P27" s="27"/>
      <c r="Q27" s="28"/>
      <c r="R27" s="29"/>
      <c r="S27" s="24"/>
      <c r="T27" s="25"/>
      <c r="U27" s="23"/>
      <c r="V27" s="25"/>
      <c r="W27" s="23"/>
      <c r="X27" s="26"/>
      <c r="Y27" s="24"/>
      <c r="Z27" s="25"/>
      <c r="AA27" s="23"/>
      <c r="AB27" s="25"/>
      <c r="AC27" s="23"/>
      <c r="AD27" s="26"/>
    </row>
    <row r="28">
      <c r="A28" s="30" t="s">
        <v>48</v>
      </c>
      <c r="B28" s="22" t="s">
        <v>27</v>
      </c>
      <c r="C28" s="22" t="s">
        <v>28</v>
      </c>
      <c r="D28" s="24"/>
      <c r="E28" s="25" t="n">
        <f>50945</f>
        <v>50945.0</v>
      </c>
      <c r="F28" s="23"/>
      <c r="G28" s="25" t="n">
        <f>38398</f>
        <v>38398.0</v>
      </c>
      <c r="H28" s="23"/>
      <c r="I28" s="26" t="n">
        <f>89343</f>
        <v>89343.0</v>
      </c>
      <c r="J28" s="24"/>
      <c r="K28" s="25" t="n">
        <f>15161475800</f>
        <v>1.51614758E10</v>
      </c>
      <c r="L28" s="23"/>
      <c r="M28" s="25" t="n">
        <f>7409360500</f>
        <v>7.4093605E9</v>
      </c>
      <c r="N28" s="23"/>
      <c r="O28" s="26" t="n">
        <f>22570836300</f>
        <v>2.25708363E10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5525</f>
        <v>5525.0</v>
      </c>
      <c r="U28" s="23"/>
      <c r="V28" s="25" t="n">
        <f>3858</f>
        <v>3858.0</v>
      </c>
      <c r="W28" s="23"/>
      <c r="X28" s="26" t="n">
        <f>9383</f>
        <v>9383.0</v>
      </c>
      <c r="Y28" s="24"/>
      <c r="Z28" s="25" t="n">
        <f>870469</f>
        <v>870469.0</v>
      </c>
      <c r="AA28" s="23"/>
      <c r="AB28" s="25" t="n">
        <f>535740</f>
        <v>535740.0</v>
      </c>
      <c r="AC28" s="23"/>
      <c r="AD28" s="26" t="n">
        <f>1406209</f>
        <v>1406209.0</v>
      </c>
    </row>
    <row r="29">
      <c r="A29" s="30" t="s">
        <v>49</v>
      </c>
      <c r="B29" s="22" t="s">
        <v>27</v>
      </c>
      <c r="C29" s="22" t="s">
        <v>28</v>
      </c>
      <c r="D29" s="24"/>
      <c r="E29" s="25" t="n">
        <f>75756</f>
        <v>75756.0</v>
      </c>
      <c r="F29" s="23"/>
      <c r="G29" s="25" t="n">
        <f>47116</f>
        <v>47116.0</v>
      </c>
      <c r="H29" s="23"/>
      <c r="I29" s="26" t="n">
        <f>122872</f>
        <v>122872.0</v>
      </c>
      <c r="J29" s="24"/>
      <c r="K29" s="25" t="n">
        <f>21733942795</f>
        <v>2.1733942795E10</v>
      </c>
      <c r="L29" s="23"/>
      <c r="M29" s="25" t="n">
        <f>8587757250</f>
        <v>8.58775725E9</v>
      </c>
      <c r="N29" s="23"/>
      <c r="O29" s="26" t="n">
        <f>30321700045</f>
        <v>3.0321700045E10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11923</f>
        <v>11923.0</v>
      </c>
      <c r="U29" s="23"/>
      <c r="V29" s="25" t="n">
        <f>5977</f>
        <v>5977.0</v>
      </c>
      <c r="W29" s="23"/>
      <c r="X29" s="26" t="n">
        <f>17900</f>
        <v>17900.0</v>
      </c>
      <c r="Y29" s="24"/>
      <c r="Z29" s="25" t="n">
        <f>859463</f>
        <v>859463.0</v>
      </c>
      <c r="AA29" s="23"/>
      <c r="AB29" s="25" t="n">
        <f>524885</f>
        <v>524885.0</v>
      </c>
      <c r="AC29" s="23"/>
      <c r="AD29" s="26" t="n">
        <f>1384348</f>
        <v>1384348.0</v>
      </c>
    </row>
    <row r="30">
      <c r="A30" s="30" t="s">
        <v>50</v>
      </c>
      <c r="B30" s="22" t="s">
        <v>27</v>
      </c>
      <c r="C30" s="22" t="s">
        <v>28</v>
      </c>
      <c r="D30" s="24"/>
      <c r="E30" s="25" t="n">
        <f>46996</f>
        <v>46996.0</v>
      </c>
      <c r="F30" s="23"/>
      <c r="G30" s="25" t="n">
        <f>42447</f>
        <v>42447.0</v>
      </c>
      <c r="H30" s="23"/>
      <c r="I30" s="26" t="n">
        <f>89443</f>
        <v>89443.0</v>
      </c>
      <c r="J30" s="24"/>
      <c r="K30" s="25" t="n">
        <f>13047354050</f>
        <v>1.304735405E10</v>
      </c>
      <c r="L30" s="23"/>
      <c r="M30" s="25" t="n">
        <f>7934149200</f>
        <v>7.9341492E9</v>
      </c>
      <c r="N30" s="23"/>
      <c r="O30" s="26" t="n">
        <f>20981503250</f>
        <v>2.098150325E10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/>
      <c r="T30" s="25" t="n">
        <f>6191</f>
        <v>6191.0</v>
      </c>
      <c r="U30" s="23"/>
      <c r="V30" s="25" t="n">
        <f>7964</f>
        <v>7964.0</v>
      </c>
      <c r="W30" s="23"/>
      <c r="X30" s="26" t="n">
        <f>14155</f>
        <v>14155.0</v>
      </c>
      <c r="Y30" s="24"/>
      <c r="Z30" s="25" t="n">
        <f>865234</f>
        <v>865234.0</v>
      </c>
      <c r="AA30" s="23"/>
      <c r="AB30" s="25" t="n">
        <f>534190</f>
        <v>534190.0</v>
      </c>
      <c r="AC30" s="23"/>
      <c r="AD30" s="26" t="n">
        <f>1399424</f>
        <v>1399424.0</v>
      </c>
    </row>
    <row r="31">
      <c r="A31" s="30" t="s">
        <v>51</v>
      </c>
      <c r="B31" s="22" t="s">
        <v>27</v>
      </c>
      <c r="C31" s="22" t="s">
        <v>28</v>
      </c>
      <c r="D31" s="24"/>
      <c r="E31" s="25"/>
      <c r="F31" s="23"/>
      <c r="G31" s="25"/>
      <c r="H31" s="23"/>
      <c r="I31" s="26"/>
      <c r="J31" s="24"/>
      <c r="K31" s="25"/>
      <c r="L31" s="23"/>
      <c r="M31" s="25"/>
      <c r="N31" s="23"/>
      <c r="O31" s="26"/>
      <c r="P31" s="27"/>
      <c r="Q31" s="28"/>
      <c r="R31" s="29"/>
      <c r="S31" s="24"/>
      <c r="T31" s="25"/>
      <c r="U31" s="23"/>
      <c r="V31" s="25"/>
      <c r="W31" s="23"/>
      <c r="X31" s="26"/>
      <c r="Y31" s="24"/>
      <c r="Z31" s="25"/>
      <c r="AA31" s="23"/>
      <c r="AB31" s="25"/>
      <c r="AC31" s="23"/>
      <c r="AD31" s="26"/>
    </row>
    <row r="32">
      <c r="A32" s="30" t="s">
        <v>52</v>
      </c>
      <c r="B32" s="22" t="s">
        <v>27</v>
      </c>
      <c r="C32" s="22" t="s">
        <v>28</v>
      </c>
      <c r="D32" s="24"/>
      <c r="E32" s="25"/>
      <c r="F32" s="23"/>
      <c r="G32" s="25"/>
      <c r="H32" s="23"/>
      <c r="I32" s="26"/>
      <c r="J32" s="24"/>
      <c r="K32" s="25"/>
      <c r="L32" s="23"/>
      <c r="M32" s="25"/>
      <c r="N32" s="23"/>
      <c r="O32" s="26"/>
      <c r="P32" s="27"/>
      <c r="Q32" s="28"/>
      <c r="R32" s="29"/>
      <c r="S32" s="24"/>
      <c r="T32" s="25"/>
      <c r="U32" s="23"/>
      <c r="V32" s="25"/>
      <c r="W32" s="23"/>
      <c r="X32" s="26"/>
      <c r="Y32" s="24"/>
      <c r="Z32" s="25"/>
      <c r="AA32" s="23"/>
      <c r="AB32" s="25"/>
      <c r="AC32" s="23"/>
      <c r="AD32" s="26"/>
    </row>
    <row r="33">
      <c r="A33" s="30" t="s">
        <v>53</v>
      </c>
      <c r="B33" s="22" t="s">
        <v>27</v>
      </c>
      <c r="C33" s="22" t="s">
        <v>28</v>
      </c>
      <c r="D33" s="24"/>
      <c r="E33" s="25"/>
      <c r="F33" s="23"/>
      <c r="G33" s="25"/>
      <c r="H33" s="23"/>
      <c r="I33" s="26"/>
      <c r="J33" s="24"/>
      <c r="K33" s="25"/>
      <c r="L33" s="23"/>
      <c r="M33" s="25"/>
      <c r="N33" s="23"/>
      <c r="O33" s="26"/>
      <c r="P33" s="27"/>
      <c r="Q33" s="28"/>
      <c r="R33" s="29"/>
      <c r="S33" s="24"/>
      <c r="T33" s="25"/>
      <c r="U33" s="23"/>
      <c r="V33" s="25"/>
      <c r="W33" s="23"/>
      <c r="X33" s="26"/>
      <c r="Y33" s="24"/>
      <c r="Z33" s="25"/>
      <c r="AA33" s="23"/>
      <c r="AB33" s="25"/>
      <c r="AC33" s="23"/>
      <c r="AD33" s="26"/>
    </row>
    <row r="34">
      <c r="A34" s="30" t="s">
        <v>54</v>
      </c>
      <c r="B34" s="22" t="s">
        <v>27</v>
      </c>
      <c r="C34" s="22" t="s">
        <v>28</v>
      </c>
      <c r="D34" s="24"/>
      <c r="E34" s="25"/>
      <c r="F34" s="23"/>
      <c r="G34" s="25"/>
      <c r="H34" s="23"/>
      <c r="I34" s="26"/>
      <c r="J34" s="24"/>
      <c r="K34" s="25"/>
      <c r="L34" s="23"/>
      <c r="M34" s="25"/>
      <c r="N34" s="23"/>
      <c r="O34" s="26"/>
      <c r="P34" s="27"/>
      <c r="Q34" s="28"/>
      <c r="R34" s="29"/>
      <c r="S34" s="24"/>
      <c r="T34" s="25"/>
      <c r="U34" s="23"/>
      <c r="V34" s="25"/>
      <c r="W34" s="23"/>
      <c r="X34" s="26"/>
      <c r="Y34" s="24"/>
      <c r="Z34" s="25"/>
      <c r="AA34" s="23"/>
      <c r="AB34" s="25"/>
      <c r="AC34" s="23"/>
      <c r="AD34" s="26"/>
    </row>
    <row r="35">
      <c r="A35" s="30" t="s">
        <v>55</v>
      </c>
      <c r="B35" s="22" t="s">
        <v>27</v>
      </c>
      <c r="C35" s="22" t="s">
        <v>28</v>
      </c>
      <c r="D35" s="24"/>
      <c r="E35" s="25" t="n">
        <f>43699</f>
        <v>43699.0</v>
      </c>
      <c r="F35" s="23"/>
      <c r="G35" s="25" t="n">
        <f>28491</f>
        <v>28491.0</v>
      </c>
      <c r="H35" s="23"/>
      <c r="I35" s="26" t="n">
        <f>72190</f>
        <v>72190.0</v>
      </c>
      <c r="J35" s="24"/>
      <c r="K35" s="25" t="n">
        <f>9681359200</f>
        <v>9.6813592E9</v>
      </c>
      <c r="L35" s="23"/>
      <c r="M35" s="25" t="n">
        <f>5110840200</f>
        <v>5.1108402E9</v>
      </c>
      <c r="N35" s="23"/>
      <c r="O35" s="26" t="n">
        <f>14792199400</f>
        <v>1.47921994E10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9579</f>
        <v>9579.0</v>
      </c>
      <c r="U35" s="23"/>
      <c r="V35" s="25" t="n">
        <f>3728</f>
        <v>3728.0</v>
      </c>
      <c r="W35" s="23"/>
      <c r="X35" s="26" t="n">
        <f>13307</f>
        <v>13307.0</v>
      </c>
      <c r="Y35" s="24"/>
      <c r="Z35" s="25" t="n">
        <f>867856</f>
        <v>867856.0</v>
      </c>
      <c r="AA35" s="23"/>
      <c r="AB35" s="25" t="n">
        <f>538385</f>
        <v>538385.0</v>
      </c>
      <c r="AC35" s="23"/>
      <c r="AD35" s="26" t="n">
        <f>1406241</f>
        <v>1406241.0</v>
      </c>
    </row>
    <row r="36">
      <c r="A36" s="30" t="s">
        <v>56</v>
      </c>
      <c r="B36" s="22" t="s">
        <v>27</v>
      </c>
      <c r="C36" s="22" t="s">
        <v>28</v>
      </c>
      <c r="D36" s="24"/>
      <c r="E36" s="25" t="n">
        <f>32846</f>
        <v>32846.0</v>
      </c>
      <c r="F36" s="23"/>
      <c r="G36" s="25" t="n">
        <f>23333</f>
        <v>23333.0</v>
      </c>
      <c r="H36" s="23" t="s">
        <v>34</v>
      </c>
      <c r="I36" s="26" t="n">
        <f>56179</f>
        <v>56179.0</v>
      </c>
      <c r="J36" s="24"/>
      <c r="K36" s="25" t="n">
        <f>7520098150</f>
        <v>7.52009815E9</v>
      </c>
      <c r="L36" s="23"/>
      <c r="M36" s="25" t="n">
        <f>3248786300</f>
        <v>3.2487863E9</v>
      </c>
      <c r="N36" s="23"/>
      <c r="O36" s="26" t="n">
        <f>10768884450</f>
        <v>1.076888445E10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 t="s">
        <v>34</v>
      </c>
      <c r="T36" s="25" t="n">
        <f>3453</f>
        <v>3453.0</v>
      </c>
      <c r="U36" s="23"/>
      <c r="V36" s="25" t="n">
        <f>5765</f>
        <v>5765.0</v>
      </c>
      <c r="W36" s="23"/>
      <c r="X36" s="26" t="n">
        <f>9218</f>
        <v>9218.0</v>
      </c>
      <c r="Y36" s="24"/>
      <c r="Z36" s="25" t="n">
        <f>870605</f>
        <v>870605.0</v>
      </c>
      <c r="AA36" s="23"/>
      <c r="AB36" s="25" t="n">
        <f>540148</f>
        <v>540148.0</v>
      </c>
      <c r="AC36" s="23"/>
      <c r="AD36" s="26" t="n">
        <f>1410753</f>
        <v>1410753.0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70788</f>
        <v>70788.0</v>
      </c>
      <c r="F37" s="23"/>
      <c r="G37" s="25" t="n">
        <f>38154</f>
        <v>38154.0</v>
      </c>
      <c r="H37" s="23"/>
      <c r="I37" s="26" t="n">
        <f>108942</f>
        <v>108942.0</v>
      </c>
      <c r="J37" s="24"/>
      <c r="K37" s="25" t="n">
        <f>18802792890</f>
        <v>1.880279289E10</v>
      </c>
      <c r="L37" s="23"/>
      <c r="M37" s="25" t="n">
        <f>6560583500</f>
        <v>6.5605835E9</v>
      </c>
      <c r="N37" s="23"/>
      <c r="O37" s="26" t="n">
        <f>25363376390</f>
        <v>2.536337639E10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21844</f>
        <v>21844.0</v>
      </c>
      <c r="U37" s="23"/>
      <c r="V37" s="25" t="n">
        <f>3652</f>
        <v>3652.0</v>
      </c>
      <c r="W37" s="23"/>
      <c r="X37" s="26" t="n">
        <f>25496</f>
        <v>25496.0</v>
      </c>
      <c r="Y37" s="24"/>
      <c r="Z37" s="25" t="n">
        <f>885043</f>
        <v>885043.0</v>
      </c>
      <c r="AA37" s="23"/>
      <c r="AB37" s="25" t="n">
        <f>547071</f>
        <v>547071.0</v>
      </c>
      <c r="AC37" s="23"/>
      <c r="AD37" s="26" t="n">
        <f>1432114</f>
        <v>1432114.0</v>
      </c>
    </row>
    <row r="38">
      <c r="A38" s="30" t="s">
        <v>58</v>
      </c>
      <c r="B38" s="22" t="s">
        <v>27</v>
      </c>
      <c r="C38" s="22" t="s">
        <v>28</v>
      </c>
      <c r="D38" s="24"/>
      <c r="E38" s="25" t="n">
        <f>42921</f>
        <v>42921.0</v>
      </c>
      <c r="F38" s="23" t="s">
        <v>34</v>
      </c>
      <c r="G38" s="25" t="n">
        <f>20619</f>
        <v>20619.0</v>
      </c>
      <c r="H38" s="23"/>
      <c r="I38" s="26" t="n">
        <f>63540</f>
        <v>63540.0</v>
      </c>
      <c r="J38" s="24"/>
      <c r="K38" s="25" t="n">
        <f>11075610400</f>
        <v>1.10756104E10</v>
      </c>
      <c r="L38" s="23" t="s">
        <v>34</v>
      </c>
      <c r="M38" s="25" t="n">
        <f>2198624290</f>
        <v>2.19862429E9</v>
      </c>
      <c r="N38" s="23"/>
      <c r="O38" s="26" t="n">
        <f>13274234690</f>
        <v>1.327423469E10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4635</f>
        <v>4635.0</v>
      </c>
      <c r="U38" s="23" t="s">
        <v>34</v>
      </c>
      <c r="V38" s="25" t="n">
        <f>2006</f>
        <v>2006.0</v>
      </c>
      <c r="W38" s="23" t="s">
        <v>34</v>
      </c>
      <c r="X38" s="26" t="n">
        <f>6641</f>
        <v>6641.0</v>
      </c>
      <c r="Y38" s="24"/>
      <c r="Z38" s="25" t="n">
        <f>886114</f>
        <v>886114.0</v>
      </c>
      <c r="AA38" s="23"/>
      <c r="AB38" s="25" t="n">
        <f>547074</f>
        <v>547074.0</v>
      </c>
      <c r="AC38" s="23"/>
      <c r="AD38" s="26" t="n">
        <f>1433188</f>
        <v>1433188.0</v>
      </c>
    </row>
    <row r="39">
      <c r="A39" s="30" t="s">
        <v>59</v>
      </c>
      <c r="B39" s="22" t="s">
        <v>27</v>
      </c>
      <c r="C39" s="22" t="s">
        <v>28</v>
      </c>
      <c r="D39" s="24"/>
      <c r="E39" s="25" t="n">
        <f>81465</f>
        <v>81465.0</v>
      </c>
      <c r="F39" s="23"/>
      <c r="G39" s="25" t="n">
        <f>42822</f>
        <v>42822.0</v>
      </c>
      <c r="H39" s="23"/>
      <c r="I39" s="26" t="n">
        <f>124287</f>
        <v>124287.0</v>
      </c>
      <c r="J39" s="24"/>
      <c r="K39" s="25" t="n">
        <f>19850659901</f>
        <v>1.9850659901E10</v>
      </c>
      <c r="L39" s="23"/>
      <c r="M39" s="25" t="n">
        <f>5873883480</f>
        <v>5.87388348E9</v>
      </c>
      <c r="N39" s="23"/>
      <c r="O39" s="26" t="n">
        <f>25724543381</f>
        <v>2.5724543381E10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22246</f>
        <v>22246.0</v>
      </c>
      <c r="U39" s="23"/>
      <c r="V39" s="25" t="n">
        <f>5591</f>
        <v>5591.0</v>
      </c>
      <c r="W39" s="23"/>
      <c r="X39" s="26" t="n">
        <f>27837</f>
        <v>27837.0</v>
      </c>
      <c r="Y39" s="24"/>
      <c r="Z39" s="25" t="n">
        <f>896221</f>
        <v>896221.0</v>
      </c>
      <c r="AA39" s="23"/>
      <c r="AB39" s="25" t="n">
        <f>553114</f>
        <v>553114.0</v>
      </c>
      <c r="AC39" s="23"/>
      <c r="AD39" s="26" t="n">
        <f>1449335</f>
        <v>1449335.0</v>
      </c>
    </row>
    <row r="40">
      <c r="A40" s="30" t="s">
        <v>60</v>
      </c>
      <c r="B40" s="22" t="s">
        <v>27</v>
      </c>
      <c r="C40" s="22" t="s">
        <v>28</v>
      </c>
      <c r="D40" s="24"/>
      <c r="E40" s="25"/>
      <c r="F40" s="23"/>
      <c r="G40" s="25"/>
      <c r="H40" s="23"/>
      <c r="I40" s="26"/>
      <c r="J40" s="24"/>
      <c r="K40" s="25"/>
      <c r="L40" s="23"/>
      <c r="M40" s="25"/>
      <c r="N40" s="23"/>
      <c r="O40" s="26"/>
      <c r="P40" s="27"/>
      <c r="Q40" s="28"/>
      <c r="R40" s="29"/>
      <c r="S40" s="24"/>
      <c r="T40" s="25"/>
      <c r="U40" s="23"/>
      <c r="V40" s="25"/>
      <c r="W40" s="23"/>
      <c r="X40" s="26"/>
      <c r="Y40" s="24"/>
      <c r="Z40" s="25"/>
      <c r="AA40" s="23"/>
      <c r="AB40" s="25"/>
      <c r="AC40" s="23"/>
      <c r="AD40" s="26"/>
    </row>
    <row r="41">
      <c r="A41" s="30" t="s">
        <v>26</v>
      </c>
      <c r="B41" s="22" t="s">
        <v>61</v>
      </c>
      <c r="C41" s="22" t="s">
        <v>62</v>
      </c>
      <c r="D41" s="24"/>
      <c r="E41" s="25" t="n">
        <f>1579</f>
        <v>1579.0</v>
      </c>
      <c r="F41" s="23"/>
      <c r="G41" s="25" t="n">
        <f>1375</f>
        <v>1375.0</v>
      </c>
      <c r="H41" s="23"/>
      <c r="I41" s="26" t="n">
        <f>2954</f>
        <v>2954.0</v>
      </c>
      <c r="J41" s="24"/>
      <c r="K41" s="25" t="n">
        <f>42445000</f>
        <v>4.2445E7</v>
      </c>
      <c r="L41" s="23"/>
      <c r="M41" s="25" t="n">
        <f>23803000</f>
        <v>2.3803E7</v>
      </c>
      <c r="N41" s="23"/>
      <c r="O41" s="26" t="n">
        <f>66248000</f>
        <v>6.6248E7</v>
      </c>
      <c r="P41" s="27" t="str">
        <f>"－"</f>
        <v>－</v>
      </c>
      <c r="Q41" s="28" t="str">
        <f>"－"</f>
        <v>－</v>
      </c>
      <c r="R41" s="29" t="str">
        <f>"－"</f>
        <v>－</v>
      </c>
      <c r="S41" s="24"/>
      <c r="T41" s="25" t="n">
        <f>113</f>
        <v>113.0</v>
      </c>
      <c r="U41" s="23"/>
      <c r="V41" s="25" t="n">
        <f>98</f>
        <v>98.0</v>
      </c>
      <c r="W41" s="23"/>
      <c r="X41" s="26" t="n">
        <f>211</f>
        <v>211.0</v>
      </c>
      <c r="Y41" s="24"/>
      <c r="Z41" s="25" t="n">
        <f>3507</f>
        <v>3507.0</v>
      </c>
      <c r="AA41" s="23"/>
      <c r="AB41" s="25" t="n">
        <f>3905</f>
        <v>3905.0</v>
      </c>
      <c r="AC41" s="23"/>
      <c r="AD41" s="26" t="n">
        <f>7412</f>
        <v>7412.0</v>
      </c>
    </row>
    <row r="42">
      <c r="A42" s="30" t="s">
        <v>29</v>
      </c>
      <c r="B42" s="22" t="s">
        <v>61</v>
      </c>
      <c r="C42" s="22" t="s">
        <v>62</v>
      </c>
      <c r="D42" s="24" t="s">
        <v>34</v>
      </c>
      <c r="E42" s="25" t="n">
        <f>71</f>
        <v>71.0</v>
      </c>
      <c r="F42" s="23"/>
      <c r="G42" s="25" t="n">
        <f>299</f>
        <v>299.0</v>
      </c>
      <c r="H42" s="23"/>
      <c r="I42" s="26" t="n">
        <f>370</f>
        <v>370.0</v>
      </c>
      <c r="J42" s="24" t="s">
        <v>34</v>
      </c>
      <c r="K42" s="25" t="n">
        <f>6061000</f>
        <v>6061000.0</v>
      </c>
      <c r="L42" s="23"/>
      <c r="M42" s="25" t="n">
        <f>60192000</f>
        <v>6.0192E7</v>
      </c>
      <c r="N42" s="23"/>
      <c r="O42" s="26" t="n">
        <f>66253000</f>
        <v>6.6253E7</v>
      </c>
      <c r="P42" s="27" t="n">
        <f>362</f>
        <v>362.0</v>
      </c>
      <c r="Q42" s="28" t="n">
        <f>19</f>
        <v>19.0</v>
      </c>
      <c r="R42" s="29" t="n">
        <f>381</f>
        <v>381.0</v>
      </c>
      <c r="S42" s="24"/>
      <c r="T42" s="25" t="n">
        <f>25</f>
        <v>25.0</v>
      </c>
      <c r="U42" s="23"/>
      <c r="V42" s="25" t="n">
        <f>283</f>
        <v>283.0</v>
      </c>
      <c r="W42" s="23"/>
      <c r="X42" s="26" t="n">
        <f>308</f>
        <v>308.0</v>
      </c>
      <c r="Y42" s="24" t="s">
        <v>34</v>
      </c>
      <c r="Z42" s="25" t="n">
        <f>91</f>
        <v>91.0</v>
      </c>
      <c r="AA42" s="23" t="s">
        <v>34</v>
      </c>
      <c r="AB42" s="25" t="n">
        <f>1134</f>
        <v>1134.0</v>
      </c>
      <c r="AC42" s="23" t="s">
        <v>34</v>
      </c>
      <c r="AD42" s="26" t="n">
        <f>1225</f>
        <v>1225.0</v>
      </c>
    </row>
    <row r="43">
      <c r="A43" s="30" t="s">
        <v>30</v>
      </c>
      <c r="B43" s="22" t="s">
        <v>61</v>
      </c>
      <c r="C43" s="22" t="s">
        <v>62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31</v>
      </c>
      <c r="B44" s="22" t="s">
        <v>61</v>
      </c>
      <c r="C44" s="22" t="s">
        <v>62</v>
      </c>
      <c r="D44" s="24"/>
      <c r="E44" s="25"/>
      <c r="F44" s="23"/>
      <c r="G44" s="25"/>
      <c r="H44" s="23"/>
      <c r="I44" s="26"/>
      <c r="J44" s="24"/>
      <c r="K44" s="25"/>
      <c r="L44" s="23"/>
      <c r="M44" s="25"/>
      <c r="N44" s="23"/>
      <c r="O44" s="26"/>
      <c r="P44" s="27"/>
      <c r="Q44" s="28"/>
      <c r="R44" s="29"/>
      <c r="S44" s="24"/>
      <c r="T44" s="25"/>
      <c r="U44" s="23"/>
      <c r="V44" s="25"/>
      <c r="W44" s="23"/>
      <c r="X44" s="26"/>
      <c r="Y44" s="24"/>
      <c r="Z44" s="25"/>
      <c r="AA44" s="23"/>
      <c r="AB44" s="25"/>
      <c r="AC44" s="23"/>
      <c r="AD44" s="26"/>
    </row>
    <row r="45">
      <c r="A45" s="30" t="s">
        <v>32</v>
      </c>
      <c r="B45" s="22" t="s">
        <v>61</v>
      </c>
      <c r="C45" s="22" t="s">
        <v>62</v>
      </c>
      <c r="D45" s="24"/>
      <c r="E45" s="25" t="n">
        <f>86</f>
        <v>86.0</v>
      </c>
      <c r="F45" s="23" t="s">
        <v>34</v>
      </c>
      <c r="G45" s="25" t="n">
        <f>132</f>
        <v>132.0</v>
      </c>
      <c r="H45" s="23" t="s">
        <v>34</v>
      </c>
      <c r="I45" s="26" t="n">
        <f>218</f>
        <v>218.0</v>
      </c>
      <c r="J45" s="24"/>
      <c r="K45" s="25" t="n">
        <f>9614000</f>
        <v>9614000.0</v>
      </c>
      <c r="L45" s="23" t="s">
        <v>34</v>
      </c>
      <c r="M45" s="25" t="n">
        <f>5592000</f>
        <v>5592000.0</v>
      </c>
      <c r="N45" s="23" t="s">
        <v>34</v>
      </c>
      <c r="O45" s="26" t="n">
        <f>15206000</f>
        <v>1.5206E7</v>
      </c>
      <c r="P45" s="27" t="str">
        <f>"－"</f>
        <v>－</v>
      </c>
      <c r="Q45" s="28" t="str">
        <f>"－"</f>
        <v>－</v>
      </c>
      <c r="R45" s="29" t="str">
        <f>"－"</f>
        <v>－</v>
      </c>
      <c r="S45" s="24"/>
      <c r="T45" s="25" t="n">
        <f>12</f>
        <v>12.0</v>
      </c>
      <c r="U45" s="23"/>
      <c r="V45" s="25" t="n">
        <f>27</f>
        <v>27.0</v>
      </c>
      <c r="W45" s="23"/>
      <c r="X45" s="26" t="n">
        <f>39</f>
        <v>39.0</v>
      </c>
      <c r="Y45" s="24"/>
      <c r="Z45" s="25" t="n">
        <f>156</f>
        <v>156.0</v>
      </c>
      <c r="AA45" s="23"/>
      <c r="AB45" s="25" t="n">
        <f>1179</f>
        <v>1179.0</v>
      </c>
      <c r="AC45" s="23"/>
      <c r="AD45" s="26" t="n">
        <f>1335</f>
        <v>1335.0</v>
      </c>
    </row>
    <row r="46">
      <c r="A46" s="30" t="s">
        <v>33</v>
      </c>
      <c r="B46" s="22" t="s">
        <v>61</v>
      </c>
      <c r="C46" s="22" t="s">
        <v>62</v>
      </c>
      <c r="D46" s="24"/>
      <c r="E46" s="25" t="n">
        <f>203</f>
        <v>203.0</v>
      </c>
      <c r="F46" s="23"/>
      <c r="G46" s="25" t="n">
        <f>182</f>
        <v>182.0</v>
      </c>
      <c r="H46" s="23"/>
      <c r="I46" s="26" t="n">
        <f>385</f>
        <v>385.0</v>
      </c>
      <c r="J46" s="24"/>
      <c r="K46" s="25" t="n">
        <f>19028000</f>
        <v>1.9028E7</v>
      </c>
      <c r="L46" s="23"/>
      <c r="M46" s="25" t="n">
        <f>11744000</f>
        <v>1.1744E7</v>
      </c>
      <c r="N46" s="23"/>
      <c r="O46" s="26" t="n">
        <f>30772000</f>
        <v>3.0772E7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/>
      <c r="T46" s="25" t="n">
        <f>41</f>
        <v>41.0</v>
      </c>
      <c r="U46" s="23"/>
      <c r="V46" s="25" t="n">
        <f>105</f>
        <v>105.0</v>
      </c>
      <c r="W46" s="23"/>
      <c r="X46" s="26" t="n">
        <f>146</f>
        <v>146.0</v>
      </c>
      <c r="Y46" s="24"/>
      <c r="Z46" s="25" t="n">
        <f>234</f>
        <v>234.0</v>
      </c>
      <c r="AA46" s="23"/>
      <c r="AB46" s="25" t="n">
        <f>1170</f>
        <v>1170.0</v>
      </c>
      <c r="AC46" s="23"/>
      <c r="AD46" s="26" t="n">
        <f>1404</f>
        <v>1404.0</v>
      </c>
    </row>
    <row r="47">
      <c r="A47" s="30" t="s">
        <v>35</v>
      </c>
      <c r="B47" s="22" t="s">
        <v>61</v>
      </c>
      <c r="C47" s="22" t="s">
        <v>62</v>
      </c>
      <c r="D47" s="24"/>
      <c r="E47" s="25" t="n">
        <f>462</f>
        <v>462.0</v>
      </c>
      <c r="F47" s="23"/>
      <c r="G47" s="25" t="n">
        <f>483</f>
        <v>483.0</v>
      </c>
      <c r="H47" s="23"/>
      <c r="I47" s="26" t="n">
        <f>945</f>
        <v>945.0</v>
      </c>
      <c r="J47" s="24"/>
      <c r="K47" s="25" t="n">
        <f>76534000</f>
        <v>7.6534E7</v>
      </c>
      <c r="L47" s="23"/>
      <c r="M47" s="25" t="n">
        <f>51336000</f>
        <v>5.1336E7</v>
      </c>
      <c r="N47" s="23"/>
      <c r="O47" s="26" t="n">
        <f>127870000</f>
        <v>1.2787E8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 t="s">
        <v>34</v>
      </c>
      <c r="T47" s="25" t="n">
        <f>7</f>
        <v>7.0</v>
      </c>
      <c r="U47" s="23"/>
      <c r="V47" s="25" t="n">
        <f>21</f>
        <v>21.0</v>
      </c>
      <c r="W47" s="23"/>
      <c r="X47" s="26" t="n">
        <f>28</f>
        <v>28.0</v>
      </c>
      <c r="Y47" s="24"/>
      <c r="Z47" s="25" t="n">
        <f>553</f>
        <v>553.0</v>
      </c>
      <c r="AA47" s="23"/>
      <c r="AB47" s="25" t="n">
        <f>1313</f>
        <v>1313.0</v>
      </c>
      <c r="AC47" s="23"/>
      <c r="AD47" s="26" t="n">
        <f>1866</f>
        <v>1866.0</v>
      </c>
    </row>
    <row r="48">
      <c r="A48" s="30" t="s">
        <v>36</v>
      </c>
      <c r="B48" s="22" t="s">
        <v>61</v>
      </c>
      <c r="C48" s="22" t="s">
        <v>62</v>
      </c>
      <c r="D48" s="24"/>
      <c r="E48" s="25" t="n">
        <f>412</f>
        <v>412.0</v>
      </c>
      <c r="F48" s="23"/>
      <c r="G48" s="25" t="n">
        <f>459</f>
        <v>459.0</v>
      </c>
      <c r="H48" s="23"/>
      <c r="I48" s="26" t="n">
        <f>871</f>
        <v>871.0</v>
      </c>
      <c r="J48" s="24"/>
      <c r="K48" s="25" t="n">
        <f>64588000</f>
        <v>6.4588E7</v>
      </c>
      <c r="L48" s="23"/>
      <c r="M48" s="25" t="n">
        <f>49870000</f>
        <v>4.987E7</v>
      </c>
      <c r="N48" s="23"/>
      <c r="O48" s="26" t="n">
        <f>114458000</f>
        <v>1.14458E8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/>
      <c r="T48" s="25" t="n">
        <f>8</f>
        <v>8.0</v>
      </c>
      <c r="U48" s="23" t="s">
        <v>34</v>
      </c>
      <c r="V48" s="25" t="n">
        <f>8</f>
        <v>8.0</v>
      </c>
      <c r="W48" s="23" t="s">
        <v>34</v>
      </c>
      <c r="X48" s="26" t="n">
        <f>16</f>
        <v>16.0</v>
      </c>
      <c r="Y48" s="24"/>
      <c r="Z48" s="25" t="n">
        <f>837</f>
        <v>837.0</v>
      </c>
      <c r="AA48" s="23"/>
      <c r="AB48" s="25" t="n">
        <f>1644</f>
        <v>1644.0</v>
      </c>
      <c r="AC48" s="23"/>
      <c r="AD48" s="26" t="n">
        <f>2481</f>
        <v>2481.0</v>
      </c>
    </row>
    <row r="49">
      <c r="A49" s="30" t="s">
        <v>38</v>
      </c>
      <c r="B49" s="22" t="s">
        <v>61</v>
      </c>
      <c r="C49" s="22" t="s">
        <v>62</v>
      </c>
      <c r="D49" s="24"/>
      <c r="E49" s="25" t="n">
        <f>1196</f>
        <v>1196.0</v>
      </c>
      <c r="F49" s="23"/>
      <c r="G49" s="25" t="n">
        <f>3033</f>
        <v>3033.0</v>
      </c>
      <c r="H49" s="23"/>
      <c r="I49" s="26" t="n">
        <f>4229</f>
        <v>4229.0</v>
      </c>
      <c r="J49" s="24" t="s">
        <v>37</v>
      </c>
      <c r="K49" s="25" t="n">
        <f>301180000</f>
        <v>3.0118E8</v>
      </c>
      <c r="L49" s="23" t="s">
        <v>37</v>
      </c>
      <c r="M49" s="25" t="n">
        <f>429910000</f>
        <v>4.2991E8</v>
      </c>
      <c r="N49" s="23" t="s">
        <v>37</v>
      </c>
      <c r="O49" s="26" t="n">
        <f>731090000</f>
        <v>7.3109E8</v>
      </c>
      <c r="P49" s="27" t="str">
        <f>"－"</f>
        <v>－</v>
      </c>
      <c r="Q49" s="28" t="str">
        <f>"－"</f>
        <v>－</v>
      </c>
      <c r="R49" s="29" t="str">
        <f>"－"</f>
        <v>－</v>
      </c>
      <c r="S49" s="24"/>
      <c r="T49" s="25" t="n">
        <f>46</f>
        <v>46.0</v>
      </c>
      <c r="U49" s="23" t="s">
        <v>37</v>
      </c>
      <c r="V49" s="25" t="n">
        <f>842</f>
        <v>842.0</v>
      </c>
      <c r="W49" s="23" t="s">
        <v>37</v>
      </c>
      <c r="X49" s="26" t="n">
        <f>888</f>
        <v>888.0</v>
      </c>
      <c r="Y49" s="24"/>
      <c r="Z49" s="25" t="n">
        <f>1199</f>
        <v>1199.0</v>
      </c>
      <c r="AA49" s="23"/>
      <c r="AB49" s="25" t="n">
        <f>3260</f>
        <v>3260.0</v>
      </c>
      <c r="AC49" s="23"/>
      <c r="AD49" s="26" t="n">
        <f>4459</f>
        <v>4459.0</v>
      </c>
    </row>
    <row r="50">
      <c r="A50" s="30" t="s">
        <v>39</v>
      </c>
      <c r="B50" s="22" t="s">
        <v>61</v>
      </c>
      <c r="C50" s="22" t="s">
        <v>62</v>
      </c>
      <c r="D50" s="24"/>
      <c r="E50" s="25"/>
      <c r="F50" s="23"/>
      <c r="G50" s="25"/>
      <c r="H50" s="23"/>
      <c r="I50" s="26"/>
      <c r="J50" s="24"/>
      <c r="K50" s="25"/>
      <c r="L50" s="23"/>
      <c r="M50" s="25"/>
      <c r="N50" s="23"/>
      <c r="O50" s="26"/>
      <c r="P50" s="27"/>
      <c r="Q50" s="28"/>
      <c r="R50" s="29"/>
      <c r="S50" s="24"/>
      <c r="T50" s="25"/>
      <c r="U50" s="23"/>
      <c r="V50" s="25"/>
      <c r="W50" s="23"/>
      <c r="X50" s="26"/>
      <c r="Y50" s="24"/>
      <c r="Z50" s="25"/>
      <c r="AA50" s="23"/>
      <c r="AB50" s="25"/>
      <c r="AC50" s="23"/>
      <c r="AD50" s="26"/>
    </row>
    <row r="51">
      <c r="A51" s="30" t="s">
        <v>40</v>
      </c>
      <c r="B51" s="22" t="s">
        <v>61</v>
      </c>
      <c r="C51" s="22" t="s">
        <v>62</v>
      </c>
      <c r="D51" s="24"/>
      <c r="E51" s="25"/>
      <c r="F51" s="23"/>
      <c r="G51" s="25"/>
      <c r="H51" s="23"/>
      <c r="I51" s="26"/>
      <c r="J51" s="24"/>
      <c r="K51" s="25"/>
      <c r="L51" s="23"/>
      <c r="M51" s="25"/>
      <c r="N51" s="23"/>
      <c r="O51" s="26"/>
      <c r="P51" s="27"/>
      <c r="Q51" s="28"/>
      <c r="R51" s="29"/>
      <c r="S51" s="24"/>
      <c r="T51" s="25"/>
      <c r="U51" s="23"/>
      <c r="V51" s="25"/>
      <c r="W51" s="23"/>
      <c r="X51" s="26"/>
      <c r="Y51" s="24"/>
      <c r="Z51" s="25"/>
      <c r="AA51" s="23"/>
      <c r="AB51" s="25"/>
      <c r="AC51" s="23"/>
      <c r="AD51" s="26"/>
    </row>
    <row r="52">
      <c r="A52" s="30" t="s">
        <v>41</v>
      </c>
      <c r="B52" s="22" t="s">
        <v>61</v>
      </c>
      <c r="C52" s="22" t="s">
        <v>62</v>
      </c>
      <c r="D52" s="24"/>
      <c r="E52" s="25" t="n">
        <f>1768</f>
        <v>1768.0</v>
      </c>
      <c r="F52" s="23"/>
      <c r="G52" s="25" t="n">
        <f>2794</f>
        <v>2794.0</v>
      </c>
      <c r="H52" s="23"/>
      <c r="I52" s="26" t="n">
        <f>4562</f>
        <v>4562.0</v>
      </c>
      <c r="J52" s="24"/>
      <c r="K52" s="25" t="n">
        <f>103601000</f>
        <v>1.03601E8</v>
      </c>
      <c r="L52" s="23"/>
      <c r="M52" s="25" t="n">
        <f>222778000</f>
        <v>2.22778E8</v>
      </c>
      <c r="N52" s="23"/>
      <c r="O52" s="26" t="n">
        <f>326379000</f>
        <v>3.26379E8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136</f>
        <v>136.0</v>
      </c>
      <c r="U52" s="23"/>
      <c r="V52" s="25" t="n">
        <f>520</f>
        <v>520.0</v>
      </c>
      <c r="W52" s="23"/>
      <c r="X52" s="26" t="n">
        <f>656</f>
        <v>656.0</v>
      </c>
      <c r="Y52" s="24"/>
      <c r="Z52" s="25" t="n">
        <f>1801</f>
        <v>1801.0</v>
      </c>
      <c r="AA52" s="23"/>
      <c r="AB52" s="25" t="n">
        <f>4209</f>
        <v>4209.0</v>
      </c>
      <c r="AC52" s="23"/>
      <c r="AD52" s="26" t="n">
        <f>6010</f>
        <v>6010.0</v>
      </c>
    </row>
    <row r="53">
      <c r="A53" s="30" t="s">
        <v>42</v>
      </c>
      <c r="B53" s="22" t="s">
        <v>61</v>
      </c>
      <c r="C53" s="22" t="s">
        <v>62</v>
      </c>
      <c r="D53" s="24"/>
      <c r="E53" s="25" t="n">
        <f>1811</f>
        <v>1811.0</v>
      </c>
      <c r="F53" s="23"/>
      <c r="G53" s="25" t="n">
        <f>1947</f>
        <v>1947.0</v>
      </c>
      <c r="H53" s="23"/>
      <c r="I53" s="26" t="n">
        <f>3758</f>
        <v>3758.0</v>
      </c>
      <c r="J53" s="24"/>
      <c r="K53" s="25" t="n">
        <f>70861000</f>
        <v>7.0861E7</v>
      </c>
      <c r="L53" s="23"/>
      <c r="M53" s="25" t="n">
        <f>158307000</f>
        <v>1.58307E8</v>
      </c>
      <c r="N53" s="23"/>
      <c r="O53" s="26" t="n">
        <f>229168000</f>
        <v>2.29168E8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136</f>
        <v>136.0</v>
      </c>
      <c r="U53" s="23"/>
      <c r="V53" s="25" t="n">
        <f>68</f>
        <v>68.0</v>
      </c>
      <c r="W53" s="23"/>
      <c r="X53" s="26" t="n">
        <f>204</f>
        <v>204.0</v>
      </c>
      <c r="Y53" s="24"/>
      <c r="Z53" s="25" t="n">
        <f>2473</f>
        <v>2473.0</v>
      </c>
      <c r="AA53" s="23"/>
      <c r="AB53" s="25" t="n">
        <f>5121</f>
        <v>5121.0</v>
      </c>
      <c r="AC53" s="23"/>
      <c r="AD53" s="26" t="n">
        <f>7594</f>
        <v>7594.0</v>
      </c>
    </row>
    <row r="54">
      <c r="A54" s="30" t="s">
        <v>43</v>
      </c>
      <c r="B54" s="22" t="s">
        <v>61</v>
      </c>
      <c r="C54" s="22" t="s">
        <v>62</v>
      </c>
      <c r="D54" s="24"/>
      <c r="E54" s="25" t="n">
        <f>2186</f>
        <v>2186.0</v>
      </c>
      <c r="F54" s="23"/>
      <c r="G54" s="25" t="n">
        <f>1328</f>
        <v>1328.0</v>
      </c>
      <c r="H54" s="23"/>
      <c r="I54" s="26" t="n">
        <f>3514</f>
        <v>3514.0</v>
      </c>
      <c r="J54" s="24"/>
      <c r="K54" s="25" t="n">
        <f>87913000</f>
        <v>8.7913E7</v>
      </c>
      <c r="L54" s="23"/>
      <c r="M54" s="25" t="n">
        <f>70949000</f>
        <v>7.0949E7</v>
      </c>
      <c r="N54" s="23"/>
      <c r="O54" s="26" t="n">
        <f>158862000</f>
        <v>1.58862E8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135</f>
        <v>135.0</v>
      </c>
      <c r="U54" s="23"/>
      <c r="V54" s="25" t="n">
        <f>97</f>
        <v>97.0</v>
      </c>
      <c r="W54" s="23"/>
      <c r="X54" s="26" t="n">
        <f>232</f>
        <v>232.0</v>
      </c>
      <c r="Y54" s="24"/>
      <c r="Z54" s="25" t="n">
        <f>3637</f>
        <v>3637.0</v>
      </c>
      <c r="AA54" s="23"/>
      <c r="AB54" s="25" t="n">
        <f>5638</f>
        <v>5638.0</v>
      </c>
      <c r="AC54" s="23"/>
      <c r="AD54" s="26" t="n">
        <f>9275</f>
        <v>9275.0</v>
      </c>
    </row>
    <row r="55">
      <c r="A55" s="30" t="s">
        <v>44</v>
      </c>
      <c r="B55" s="22" t="s">
        <v>61</v>
      </c>
      <c r="C55" s="22" t="s">
        <v>62</v>
      </c>
      <c r="D55" s="24"/>
      <c r="E55" s="25" t="n">
        <f>3186</f>
        <v>3186.0</v>
      </c>
      <c r="F55" s="23"/>
      <c r="G55" s="25" t="n">
        <f>3021</f>
        <v>3021.0</v>
      </c>
      <c r="H55" s="23"/>
      <c r="I55" s="26" t="n">
        <f>6207</f>
        <v>6207.0</v>
      </c>
      <c r="J55" s="24"/>
      <c r="K55" s="25" t="n">
        <f>160477000</f>
        <v>1.60477E8</v>
      </c>
      <c r="L55" s="23"/>
      <c r="M55" s="25" t="n">
        <f>118439000</f>
        <v>1.18439E8</v>
      </c>
      <c r="N55" s="23"/>
      <c r="O55" s="26" t="n">
        <f>278916000</f>
        <v>2.78916E8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264</f>
        <v>264.0</v>
      </c>
      <c r="U55" s="23"/>
      <c r="V55" s="25" t="n">
        <f>246</f>
        <v>246.0</v>
      </c>
      <c r="W55" s="23"/>
      <c r="X55" s="26" t="n">
        <f>510</f>
        <v>510.0</v>
      </c>
      <c r="Y55" s="24" t="s">
        <v>37</v>
      </c>
      <c r="Z55" s="25" t="n">
        <f>4457</f>
        <v>4457.0</v>
      </c>
      <c r="AA55" s="23" t="s">
        <v>37</v>
      </c>
      <c r="AB55" s="25" t="n">
        <f>6345</f>
        <v>6345.0</v>
      </c>
      <c r="AC55" s="23" t="s">
        <v>37</v>
      </c>
      <c r="AD55" s="26" t="n">
        <f>10802</f>
        <v>10802.0</v>
      </c>
    </row>
    <row r="56">
      <c r="A56" s="30" t="s">
        <v>45</v>
      </c>
      <c r="B56" s="22" t="s">
        <v>61</v>
      </c>
      <c r="C56" s="22" t="s">
        <v>62</v>
      </c>
      <c r="D56" s="24"/>
      <c r="E56" s="25" t="n">
        <f>1444</f>
        <v>1444.0</v>
      </c>
      <c r="F56" s="23"/>
      <c r="G56" s="25" t="n">
        <f>2057</f>
        <v>2057.0</v>
      </c>
      <c r="H56" s="23"/>
      <c r="I56" s="26" t="n">
        <f>3501</f>
        <v>3501.0</v>
      </c>
      <c r="J56" s="24"/>
      <c r="K56" s="25" t="n">
        <f>99765000</f>
        <v>9.9765E7</v>
      </c>
      <c r="L56" s="23"/>
      <c r="M56" s="25" t="n">
        <f>130849000</f>
        <v>1.30849E8</v>
      </c>
      <c r="N56" s="23"/>
      <c r="O56" s="26" t="n">
        <f>230614000</f>
        <v>2.30614E8</v>
      </c>
      <c r="P56" s="27" t="n">
        <f>1553</f>
        <v>1553.0</v>
      </c>
      <c r="Q56" s="28" t="n">
        <f>318</f>
        <v>318.0</v>
      </c>
      <c r="R56" s="29" t="n">
        <f>1871</f>
        <v>1871.0</v>
      </c>
      <c r="S56" s="24"/>
      <c r="T56" s="25" t="n">
        <f>121</f>
        <v>121.0</v>
      </c>
      <c r="U56" s="23"/>
      <c r="V56" s="25" t="n">
        <f>167</f>
        <v>167.0</v>
      </c>
      <c r="W56" s="23"/>
      <c r="X56" s="26" t="n">
        <f>288</f>
        <v>288.0</v>
      </c>
      <c r="Y56" s="24"/>
      <c r="Z56" s="25" t="n">
        <f>1380</f>
        <v>1380.0</v>
      </c>
      <c r="AA56" s="23"/>
      <c r="AB56" s="25" t="n">
        <f>3721</f>
        <v>3721.0</v>
      </c>
      <c r="AC56" s="23"/>
      <c r="AD56" s="26" t="n">
        <f>5101</f>
        <v>5101.0</v>
      </c>
    </row>
    <row r="57">
      <c r="A57" s="30" t="s">
        <v>46</v>
      </c>
      <c r="B57" s="22" t="s">
        <v>61</v>
      </c>
      <c r="C57" s="22" t="s">
        <v>62</v>
      </c>
      <c r="D57" s="24"/>
      <c r="E57" s="25"/>
      <c r="F57" s="23"/>
      <c r="G57" s="25"/>
      <c r="H57" s="23"/>
      <c r="I57" s="26"/>
      <c r="J57" s="24"/>
      <c r="K57" s="25"/>
      <c r="L57" s="23"/>
      <c r="M57" s="25"/>
      <c r="N57" s="23"/>
      <c r="O57" s="26"/>
      <c r="P57" s="27"/>
      <c r="Q57" s="28"/>
      <c r="R57" s="29"/>
      <c r="S57" s="24"/>
      <c r="T57" s="25"/>
      <c r="U57" s="23"/>
      <c r="V57" s="25"/>
      <c r="W57" s="23"/>
      <c r="X57" s="26"/>
      <c r="Y57" s="24"/>
      <c r="Z57" s="25"/>
      <c r="AA57" s="23"/>
      <c r="AB57" s="25"/>
      <c r="AC57" s="23"/>
      <c r="AD57" s="26"/>
    </row>
    <row r="58">
      <c r="A58" s="30" t="s">
        <v>47</v>
      </c>
      <c r="B58" s="22" t="s">
        <v>61</v>
      </c>
      <c r="C58" s="22" t="s">
        <v>62</v>
      </c>
      <c r="D58" s="24"/>
      <c r="E58" s="25"/>
      <c r="F58" s="23"/>
      <c r="G58" s="25"/>
      <c r="H58" s="23"/>
      <c r="I58" s="26"/>
      <c r="J58" s="24"/>
      <c r="K58" s="25"/>
      <c r="L58" s="23"/>
      <c r="M58" s="25"/>
      <c r="N58" s="23"/>
      <c r="O58" s="26"/>
      <c r="P58" s="27"/>
      <c r="Q58" s="28"/>
      <c r="R58" s="29"/>
      <c r="S58" s="24"/>
      <c r="T58" s="25"/>
      <c r="U58" s="23"/>
      <c r="V58" s="25"/>
      <c r="W58" s="23"/>
      <c r="X58" s="26"/>
      <c r="Y58" s="24"/>
      <c r="Z58" s="25"/>
      <c r="AA58" s="23"/>
      <c r="AB58" s="25"/>
      <c r="AC58" s="23"/>
      <c r="AD58" s="26"/>
    </row>
    <row r="59">
      <c r="A59" s="30" t="s">
        <v>48</v>
      </c>
      <c r="B59" s="22" t="s">
        <v>61</v>
      </c>
      <c r="C59" s="22" t="s">
        <v>62</v>
      </c>
      <c r="D59" s="24"/>
      <c r="E59" s="25" t="n">
        <f>2374</f>
        <v>2374.0</v>
      </c>
      <c r="F59" s="23"/>
      <c r="G59" s="25" t="n">
        <f>2503</f>
        <v>2503.0</v>
      </c>
      <c r="H59" s="23"/>
      <c r="I59" s="26" t="n">
        <f>4877</f>
        <v>4877.0</v>
      </c>
      <c r="J59" s="24"/>
      <c r="K59" s="25" t="n">
        <f>157673000</f>
        <v>1.57673E8</v>
      </c>
      <c r="L59" s="23"/>
      <c r="M59" s="25" t="n">
        <f>88919000</f>
        <v>8.8919E7</v>
      </c>
      <c r="N59" s="23"/>
      <c r="O59" s="26" t="n">
        <f>246592000</f>
        <v>2.46592E8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/>
      <c r="T59" s="25" t="n">
        <f>131</f>
        <v>131.0</v>
      </c>
      <c r="U59" s="23"/>
      <c r="V59" s="25" t="n">
        <f>154</f>
        <v>154.0</v>
      </c>
      <c r="W59" s="23"/>
      <c r="X59" s="26" t="n">
        <f>285</f>
        <v>285.0</v>
      </c>
      <c r="Y59" s="24"/>
      <c r="Z59" s="25" t="n">
        <f>2961</f>
        <v>2961.0</v>
      </c>
      <c r="AA59" s="23"/>
      <c r="AB59" s="25" t="n">
        <f>5085</f>
        <v>5085.0</v>
      </c>
      <c r="AC59" s="23"/>
      <c r="AD59" s="26" t="n">
        <f>8046</f>
        <v>8046.0</v>
      </c>
    </row>
    <row r="60">
      <c r="A60" s="30" t="s">
        <v>49</v>
      </c>
      <c r="B60" s="22" t="s">
        <v>61</v>
      </c>
      <c r="C60" s="22" t="s">
        <v>62</v>
      </c>
      <c r="D60" s="24" t="s">
        <v>37</v>
      </c>
      <c r="E60" s="25" t="n">
        <f>3471</f>
        <v>3471.0</v>
      </c>
      <c r="F60" s="23" t="s">
        <v>37</v>
      </c>
      <c r="G60" s="25" t="n">
        <f>3282</f>
        <v>3282.0</v>
      </c>
      <c r="H60" s="23" t="s">
        <v>37</v>
      </c>
      <c r="I60" s="26" t="n">
        <f>6753</f>
        <v>6753.0</v>
      </c>
      <c r="J60" s="24"/>
      <c r="K60" s="25" t="n">
        <f>259553000</f>
        <v>2.59553E8</v>
      </c>
      <c r="L60" s="23"/>
      <c r="M60" s="25" t="n">
        <f>140620000</f>
        <v>1.4062E8</v>
      </c>
      <c r="N60" s="23"/>
      <c r="O60" s="26" t="n">
        <f>400173000</f>
        <v>4.00173E8</v>
      </c>
      <c r="P60" s="27" t="str">
        <f>"－"</f>
        <v>－</v>
      </c>
      <c r="Q60" s="28" t="str">
        <f>"－"</f>
        <v>－</v>
      </c>
      <c r="R60" s="29" t="str">
        <f>"－"</f>
        <v>－</v>
      </c>
      <c r="S60" s="24" t="s">
        <v>37</v>
      </c>
      <c r="T60" s="25" t="n">
        <f>273</f>
        <v>273.0</v>
      </c>
      <c r="U60" s="23"/>
      <c r="V60" s="25" t="n">
        <f>410</f>
        <v>410.0</v>
      </c>
      <c r="W60" s="23"/>
      <c r="X60" s="26" t="n">
        <f>683</f>
        <v>683.0</v>
      </c>
      <c r="Y60" s="24"/>
      <c r="Z60" s="25" t="n">
        <f>3068</f>
        <v>3068.0</v>
      </c>
      <c r="AA60" s="23"/>
      <c r="AB60" s="25" t="n">
        <f>5605</f>
        <v>5605.0</v>
      </c>
      <c r="AC60" s="23"/>
      <c r="AD60" s="26" t="n">
        <f>8673</f>
        <v>8673.0</v>
      </c>
    </row>
    <row r="61">
      <c r="A61" s="30" t="s">
        <v>50</v>
      </c>
      <c r="B61" s="22" t="s">
        <v>61</v>
      </c>
      <c r="C61" s="22" t="s">
        <v>62</v>
      </c>
      <c r="D61" s="24"/>
      <c r="E61" s="25" t="n">
        <f>922</f>
        <v>922.0</v>
      </c>
      <c r="F61" s="23"/>
      <c r="G61" s="25" t="n">
        <f>1913</f>
        <v>1913.0</v>
      </c>
      <c r="H61" s="23"/>
      <c r="I61" s="26" t="n">
        <f>2835</f>
        <v>2835.0</v>
      </c>
      <c r="J61" s="24"/>
      <c r="K61" s="25" t="n">
        <f>136922000</f>
        <v>1.36922E8</v>
      </c>
      <c r="L61" s="23"/>
      <c r="M61" s="25" t="n">
        <f>185936000</f>
        <v>1.85936E8</v>
      </c>
      <c r="N61" s="23"/>
      <c r="O61" s="26" t="n">
        <f>322858000</f>
        <v>3.22858E8</v>
      </c>
      <c r="P61" s="27" t="n">
        <f>271</f>
        <v>271.0</v>
      </c>
      <c r="Q61" s="28" t="n">
        <f>426</f>
        <v>426.0</v>
      </c>
      <c r="R61" s="29" t="n">
        <f>697</f>
        <v>697.0</v>
      </c>
      <c r="S61" s="24"/>
      <c r="T61" s="25" t="n">
        <f>43</f>
        <v>43.0</v>
      </c>
      <c r="U61" s="23"/>
      <c r="V61" s="25" t="n">
        <f>87</f>
        <v>87.0</v>
      </c>
      <c r="W61" s="23"/>
      <c r="X61" s="26" t="n">
        <f>130</f>
        <v>130.0</v>
      </c>
      <c r="Y61" s="24"/>
      <c r="Z61" s="25" t="n">
        <f>905</f>
        <v>905.0</v>
      </c>
      <c r="AA61" s="23"/>
      <c r="AB61" s="25" t="n">
        <f>3034</f>
        <v>3034.0</v>
      </c>
      <c r="AC61" s="23"/>
      <c r="AD61" s="26" t="n">
        <f>3939</f>
        <v>3939.0</v>
      </c>
    </row>
    <row r="62">
      <c r="A62" s="30" t="s">
        <v>51</v>
      </c>
      <c r="B62" s="22" t="s">
        <v>61</v>
      </c>
      <c r="C62" s="22" t="s">
        <v>62</v>
      </c>
      <c r="D62" s="24"/>
      <c r="E62" s="25"/>
      <c r="F62" s="23"/>
      <c r="G62" s="25"/>
      <c r="H62" s="23"/>
      <c r="I62" s="26"/>
      <c r="J62" s="24"/>
      <c r="K62" s="25"/>
      <c r="L62" s="23"/>
      <c r="M62" s="25"/>
      <c r="N62" s="23"/>
      <c r="O62" s="26"/>
      <c r="P62" s="27"/>
      <c r="Q62" s="28"/>
      <c r="R62" s="29"/>
      <c r="S62" s="24"/>
      <c r="T62" s="25"/>
      <c r="U62" s="23"/>
      <c r="V62" s="25"/>
      <c r="W62" s="23"/>
      <c r="X62" s="26"/>
      <c r="Y62" s="24"/>
      <c r="Z62" s="25"/>
      <c r="AA62" s="23"/>
      <c r="AB62" s="25"/>
      <c r="AC62" s="23"/>
      <c r="AD62" s="26"/>
    </row>
    <row r="63">
      <c r="A63" s="30" t="s">
        <v>52</v>
      </c>
      <c r="B63" s="22" t="s">
        <v>61</v>
      </c>
      <c r="C63" s="22" t="s">
        <v>62</v>
      </c>
      <c r="D63" s="24"/>
      <c r="E63" s="25"/>
      <c r="F63" s="23"/>
      <c r="G63" s="25"/>
      <c r="H63" s="23"/>
      <c r="I63" s="26"/>
      <c r="J63" s="24"/>
      <c r="K63" s="25"/>
      <c r="L63" s="23"/>
      <c r="M63" s="25"/>
      <c r="N63" s="23"/>
      <c r="O63" s="26"/>
      <c r="P63" s="27"/>
      <c r="Q63" s="28"/>
      <c r="R63" s="29"/>
      <c r="S63" s="24"/>
      <c r="T63" s="25"/>
      <c r="U63" s="23"/>
      <c r="V63" s="25"/>
      <c r="W63" s="23"/>
      <c r="X63" s="26"/>
      <c r="Y63" s="24"/>
      <c r="Z63" s="25"/>
      <c r="AA63" s="23"/>
      <c r="AB63" s="25"/>
      <c r="AC63" s="23"/>
      <c r="AD63" s="26"/>
    </row>
    <row r="64">
      <c r="A64" s="30" t="s">
        <v>53</v>
      </c>
      <c r="B64" s="22" t="s">
        <v>61</v>
      </c>
      <c r="C64" s="22" t="s">
        <v>62</v>
      </c>
      <c r="D64" s="24"/>
      <c r="E64" s="25"/>
      <c r="F64" s="23"/>
      <c r="G64" s="25"/>
      <c r="H64" s="23"/>
      <c r="I64" s="26"/>
      <c r="J64" s="24"/>
      <c r="K64" s="25"/>
      <c r="L64" s="23"/>
      <c r="M64" s="25"/>
      <c r="N64" s="23"/>
      <c r="O64" s="26"/>
      <c r="P64" s="27"/>
      <c r="Q64" s="28"/>
      <c r="R64" s="29"/>
      <c r="S64" s="24"/>
      <c r="T64" s="25"/>
      <c r="U64" s="23"/>
      <c r="V64" s="25"/>
      <c r="W64" s="23"/>
      <c r="X64" s="26"/>
      <c r="Y64" s="24"/>
      <c r="Z64" s="25"/>
      <c r="AA64" s="23"/>
      <c r="AB64" s="25"/>
      <c r="AC64" s="23"/>
      <c r="AD64" s="26"/>
    </row>
    <row r="65">
      <c r="A65" s="30" t="s">
        <v>54</v>
      </c>
      <c r="B65" s="22" t="s">
        <v>61</v>
      </c>
      <c r="C65" s="22" t="s">
        <v>62</v>
      </c>
      <c r="D65" s="24"/>
      <c r="E65" s="25"/>
      <c r="F65" s="23"/>
      <c r="G65" s="25"/>
      <c r="H65" s="23"/>
      <c r="I65" s="26"/>
      <c r="J65" s="24"/>
      <c r="K65" s="25"/>
      <c r="L65" s="23"/>
      <c r="M65" s="25"/>
      <c r="N65" s="23"/>
      <c r="O65" s="26"/>
      <c r="P65" s="27"/>
      <c r="Q65" s="28"/>
      <c r="R65" s="29"/>
      <c r="S65" s="24"/>
      <c r="T65" s="25"/>
      <c r="U65" s="23"/>
      <c r="V65" s="25"/>
      <c r="W65" s="23"/>
      <c r="X65" s="26"/>
      <c r="Y65" s="24"/>
      <c r="Z65" s="25"/>
      <c r="AA65" s="23"/>
      <c r="AB65" s="25"/>
      <c r="AC65" s="23"/>
      <c r="AD65" s="26"/>
    </row>
    <row r="66">
      <c r="A66" s="30" t="s">
        <v>55</v>
      </c>
      <c r="B66" s="22" t="s">
        <v>61</v>
      </c>
      <c r="C66" s="22" t="s">
        <v>62</v>
      </c>
      <c r="D66" s="24"/>
      <c r="E66" s="25" t="n">
        <f>1955</f>
        <v>1955.0</v>
      </c>
      <c r="F66" s="23"/>
      <c r="G66" s="25" t="n">
        <f>1423</f>
        <v>1423.0</v>
      </c>
      <c r="H66" s="23"/>
      <c r="I66" s="26" t="n">
        <f>3378</f>
        <v>3378.0</v>
      </c>
      <c r="J66" s="24"/>
      <c r="K66" s="25" t="n">
        <f>114423000</f>
        <v>1.14423E8</v>
      </c>
      <c r="L66" s="23"/>
      <c r="M66" s="25" t="n">
        <f>126772000</f>
        <v>1.26772E8</v>
      </c>
      <c r="N66" s="23"/>
      <c r="O66" s="26" t="n">
        <f>241195000</f>
        <v>2.41195E8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118</f>
        <v>118.0</v>
      </c>
      <c r="U66" s="23"/>
      <c r="V66" s="25" t="n">
        <f>389</f>
        <v>389.0</v>
      </c>
      <c r="W66" s="23"/>
      <c r="X66" s="26" t="n">
        <f>507</f>
        <v>507.0</v>
      </c>
      <c r="Y66" s="24"/>
      <c r="Z66" s="25" t="n">
        <f>1871</f>
        <v>1871.0</v>
      </c>
      <c r="AA66" s="23"/>
      <c r="AB66" s="25" t="n">
        <f>3547</f>
        <v>3547.0</v>
      </c>
      <c r="AC66" s="23"/>
      <c r="AD66" s="26" t="n">
        <f>5418</f>
        <v>5418.0</v>
      </c>
    </row>
    <row r="67">
      <c r="A67" s="30" t="s">
        <v>56</v>
      </c>
      <c r="B67" s="22" t="s">
        <v>61</v>
      </c>
      <c r="C67" s="22" t="s">
        <v>62</v>
      </c>
      <c r="D67" s="24"/>
      <c r="E67" s="25" t="n">
        <f>1553</f>
        <v>1553.0</v>
      </c>
      <c r="F67" s="23"/>
      <c r="G67" s="25" t="n">
        <f>1097</f>
        <v>1097.0</v>
      </c>
      <c r="H67" s="23"/>
      <c r="I67" s="26" t="n">
        <f>2650</f>
        <v>2650.0</v>
      </c>
      <c r="J67" s="24"/>
      <c r="K67" s="25" t="n">
        <f>79975000</f>
        <v>7.9975E7</v>
      </c>
      <c r="L67" s="23"/>
      <c r="M67" s="25" t="n">
        <f>63182000</f>
        <v>6.3182E7</v>
      </c>
      <c r="N67" s="23"/>
      <c r="O67" s="26" t="n">
        <f>143157000</f>
        <v>1.43157E8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/>
      <c r="T67" s="25" t="n">
        <f>119</f>
        <v>119.0</v>
      </c>
      <c r="U67" s="23"/>
      <c r="V67" s="25" t="n">
        <f>155</f>
        <v>155.0</v>
      </c>
      <c r="W67" s="23"/>
      <c r="X67" s="26" t="n">
        <f>274</f>
        <v>274.0</v>
      </c>
      <c r="Y67" s="24"/>
      <c r="Z67" s="25" t="n">
        <f>2287</f>
        <v>2287.0</v>
      </c>
      <c r="AA67" s="23"/>
      <c r="AB67" s="25" t="n">
        <f>3636</f>
        <v>3636.0</v>
      </c>
      <c r="AC67" s="23"/>
      <c r="AD67" s="26" t="n">
        <f>5923</f>
        <v>5923.0</v>
      </c>
    </row>
    <row r="68">
      <c r="A68" s="30" t="s">
        <v>57</v>
      </c>
      <c r="B68" s="22" t="s">
        <v>61</v>
      </c>
      <c r="C68" s="22" t="s">
        <v>62</v>
      </c>
      <c r="D68" s="24"/>
      <c r="E68" s="25" t="n">
        <f>2442</f>
        <v>2442.0</v>
      </c>
      <c r="F68" s="23"/>
      <c r="G68" s="25" t="n">
        <f>2034</f>
        <v>2034.0</v>
      </c>
      <c r="H68" s="23"/>
      <c r="I68" s="26" t="n">
        <f>4476</f>
        <v>4476.0</v>
      </c>
      <c r="J68" s="24"/>
      <c r="K68" s="25" t="n">
        <f>150353000</f>
        <v>1.50353E8</v>
      </c>
      <c r="L68" s="23"/>
      <c r="M68" s="25" t="n">
        <f>85532000</f>
        <v>8.5532E7</v>
      </c>
      <c r="N68" s="23"/>
      <c r="O68" s="26" t="n">
        <f>235885000</f>
        <v>2.35885E8</v>
      </c>
      <c r="P68" s="27" t="str">
        <f>"－"</f>
        <v>－</v>
      </c>
      <c r="Q68" s="28" t="str">
        <f>"－"</f>
        <v>－</v>
      </c>
      <c r="R68" s="29" t="str">
        <f>"－"</f>
        <v>－</v>
      </c>
      <c r="S68" s="24"/>
      <c r="T68" s="25" t="n">
        <f>112</f>
        <v>112.0</v>
      </c>
      <c r="U68" s="23"/>
      <c r="V68" s="25" t="n">
        <f>122</f>
        <v>122.0</v>
      </c>
      <c r="W68" s="23"/>
      <c r="X68" s="26" t="n">
        <f>234</f>
        <v>234.0</v>
      </c>
      <c r="Y68" s="24"/>
      <c r="Z68" s="25" t="n">
        <f>3078</f>
        <v>3078.0</v>
      </c>
      <c r="AA68" s="23"/>
      <c r="AB68" s="25" t="n">
        <f>4139</f>
        <v>4139.0</v>
      </c>
      <c r="AC68" s="23"/>
      <c r="AD68" s="26" t="n">
        <f>7217</f>
        <v>7217.0</v>
      </c>
    </row>
    <row r="69">
      <c r="A69" s="30" t="s">
        <v>58</v>
      </c>
      <c r="B69" s="22" t="s">
        <v>61</v>
      </c>
      <c r="C69" s="22" t="s">
        <v>62</v>
      </c>
      <c r="D69" s="24"/>
      <c r="E69" s="25" t="n">
        <f>2660</f>
        <v>2660.0</v>
      </c>
      <c r="F69" s="23"/>
      <c r="G69" s="25" t="n">
        <f>1587</f>
        <v>1587.0</v>
      </c>
      <c r="H69" s="23"/>
      <c r="I69" s="26" t="n">
        <f>4247</f>
        <v>4247.0</v>
      </c>
      <c r="J69" s="24"/>
      <c r="K69" s="25" t="n">
        <f>81990000</f>
        <v>8.199E7</v>
      </c>
      <c r="L69" s="23"/>
      <c r="M69" s="25" t="n">
        <f>63701000</f>
        <v>6.3701E7</v>
      </c>
      <c r="N69" s="23"/>
      <c r="O69" s="26" t="n">
        <f>145691000</f>
        <v>1.45691E8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n">
        <f>182</f>
        <v>182.0</v>
      </c>
      <c r="U69" s="23"/>
      <c r="V69" s="25" t="n">
        <f>121</f>
        <v>121.0</v>
      </c>
      <c r="W69" s="23"/>
      <c r="X69" s="26" t="n">
        <f>303</f>
        <v>303.0</v>
      </c>
      <c r="Y69" s="24"/>
      <c r="Z69" s="25" t="n">
        <f>3468</f>
        <v>3468.0</v>
      </c>
      <c r="AA69" s="23"/>
      <c r="AB69" s="25" t="n">
        <f>4387</f>
        <v>4387.0</v>
      </c>
      <c r="AC69" s="23"/>
      <c r="AD69" s="26" t="n">
        <f>7855</f>
        <v>7855.0</v>
      </c>
    </row>
    <row r="70">
      <c r="A70" s="30" t="s">
        <v>59</v>
      </c>
      <c r="B70" s="22" t="s">
        <v>61</v>
      </c>
      <c r="C70" s="22" t="s">
        <v>62</v>
      </c>
      <c r="D70" s="24"/>
      <c r="E70" s="25" t="n">
        <f>645</f>
        <v>645.0</v>
      </c>
      <c r="F70" s="23"/>
      <c r="G70" s="25" t="n">
        <f>1748</f>
        <v>1748.0</v>
      </c>
      <c r="H70" s="23"/>
      <c r="I70" s="26" t="n">
        <f>2393</f>
        <v>2393.0</v>
      </c>
      <c r="J70" s="24"/>
      <c r="K70" s="25" t="n">
        <f>58807000</f>
        <v>5.8807E7</v>
      </c>
      <c r="L70" s="23"/>
      <c r="M70" s="25" t="n">
        <f>191868000</f>
        <v>1.91868E8</v>
      </c>
      <c r="N70" s="23"/>
      <c r="O70" s="26" t="n">
        <f>250675000</f>
        <v>2.50675E8</v>
      </c>
      <c r="P70" s="27" t="n">
        <f>60</f>
        <v>60.0</v>
      </c>
      <c r="Q70" s="28" t="n">
        <f>72</f>
        <v>72.0</v>
      </c>
      <c r="R70" s="29" t="n">
        <f>132</f>
        <v>132.0</v>
      </c>
      <c r="S70" s="24"/>
      <c r="T70" s="25" t="n">
        <f>29</f>
        <v>29.0</v>
      </c>
      <c r="U70" s="23"/>
      <c r="V70" s="25" t="n">
        <f>394</f>
        <v>394.0</v>
      </c>
      <c r="W70" s="23"/>
      <c r="X70" s="26" t="n">
        <f>423</f>
        <v>423.0</v>
      </c>
      <c r="Y70" s="24"/>
      <c r="Z70" s="25" t="n">
        <f>729</f>
        <v>729.0</v>
      </c>
      <c r="AA70" s="23"/>
      <c r="AB70" s="25" t="n">
        <f>2258</f>
        <v>2258.0</v>
      </c>
      <c r="AC70" s="23"/>
      <c r="AD70" s="26" t="n">
        <f>2987</f>
        <v>2987.0</v>
      </c>
    </row>
    <row r="71">
      <c r="A71" s="30" t="s">
        <v>60</v>
      </c>
      <c r="B71" s="22" t="s">
        <v>61</v>
      </c>
      <c r="C71" s="22" t="s">
        <v>62</v>
      </c>
      <c r="D71" s="24"/>
      <c r="E71" s="25"/>
      <c r="F71" s="23"/>
      <c r="G71" s="25"/>
      <c r="H71" s="23"/>
      <c r="I71" s="26"/>
      <c r="J71" s="24"/>
      <c r="K71" s="25"/>
      <c r="L71" s="23"/>
      <c r="M71" s="25"/>
      <c r="N71" s="23"/>
      <c r="O71" s="26"/>
      <c r="P71" s="27"/>
      <c r="Q71" s="28"/>
      <c r="R71" s="29"/>
      <c r="S71" s="24"/>
      <c r="T71" s="25"/>
      <c r="U71" s="23"/>
      <c r="V71" s="25"/>
      <c r="W71" s="23"/>
      <c r="X71" s="26"/>
      <c r="Y71" s="24"/>
      <c r="Z71" s="25"/>
      <c r="AA71" s="23"/>
      <c r="AB71" s="25"/>
      <c r="AC71" s="23"/>
      <c r="AD71" s="26"/>
    </row>
    <row r="72">
      <c r="A72" s="30" t="s">
        <v>26</v>
      </c>
      <c r="B72" s="22" t="s">
        <v>63</v>
      </c>
      <c r="C72" s="22" t="s">
        <v>64</v>
      </c>
      <c r="D72" s="24"/>
      <c r="E72" s="25" t="n">
        <f>1121</f>
        <v>1121.0</v>
      </c>
      <c r="F72" s="23" t="s">
        <v>34</v>
      </c>
      <c r="G72" s="25" t="str">
        <f>"－"</f>
        <v>－</v>
      </c>
      <c r="H72" s="23"/>
      <c r="I72" s="26" t="n">
        <f>1121</f>
        <v>1121.0</v>
      </c>
      <c r="J72" s="24"/>
      <c r="K72" s="25" t="n">
        <f>113847600</f>
        <v>1.138476E8</v>
      </c>
      <c r="L72" s="23" t="s">
        <v>34</v>
      </c>
      <c r="M72" s="25" t="str">
        <f>"－"</f>
        <v>－</v>
      </c>
      <c r="N72" s="23"/>
      <c r="O72" s="26" t="n">
        <f>113847600</f>
        <v>1.138476E8</v>
      </c>
      <c r="P72" s="27" t="str">
        <f>"－"</f>
        <v>－</v>
      </c>
      <c r="Q72" s="28" t="str">
        <f>"－"</f>
        <v>－</v>
      </c>
      <c r="R72" s="29" t="str">
        <f>"－"</f>
        <v>－</v>
      </c>
      <c r="S72" s="24" t="s">
        <v>34</v>
      </c>
      <c r="T72" s="25" t="str">
        <f>"－"</f>
        <v>－</v>
      </c>
      <c r="U72" s="23" t="s">
        <v>34</v>
      </c>
      <c r="V72" s="25" t="str">
        <f>"－"</f>
        <v>－</v>
      </c>
      <c r="W72" s="23" t="s">
        <v>34</v>
      </c>
      <c r="X72" s="26" t="str">
        <f>"－"</f>
        <v>－</v>
      </c>
      <c r="Y72" s="24"/>
      <c r="Z72" s="25" t="n">
        <f>88523</f>
        <v>88523.0</v>
      </c>
      <c r="AA72" s="23"/>
      <c r="AB72" s="25" t="n">
        <f>30562</f>
        <v>30562.0</v>
      </c>
      <c r="AC72" s="23"/>
      <c r="AD72" s="26" t="n">
        <f>119085</f>
        <v>119085.0</v>
      </c>
    </row>
    <row r="73">
      <c r="A73" s="30" t="s">
        <v>29</v>
      </c>
      <c r="B73" s="22" t="s">
        <v>63</v>
      </c>
      <c r="C73" s="22" t="s">
        <v>64</v>
      </c>
      <c r="D73" s="24"/>
      <c r="E73" s="25" t="n">
        <f>370</f>
        <v>370.0</v>
      </c>
      <c r="F73" s="23"/>
      <c r="G73" s="25" t="n">
        <f>200</f>
        <v>200.0</v>
      </c>
      <c r="H73" s="23"/>
      <c r="I73" s="26" t="n">
        <f>570</f>
        <v>570.0</v>
      </c>
      <c r="J73" s="24"/>
      <c r="K73" s="25" t="n">
        <f>124458800</f>
        <v>1.244588E8</v>
      </c>
      <c r="L73" s="23"/>
      <c r="M73" s="25" t="n">
        <f>80000000</f>
        <v>8.0E7</v>
      </c>
      <c r="N73" s="23"/>
      <c r="O73" s="26" t="n">
        <f>204458800</f>
        <v>2.044588E8</v>
      </c>
      <c r="P73" s="27" t="str">
        <f>"－"</f>
        <v>－</v>
      </c>
      <c r="Q73" s="28" t="str">
        <f>"－"</f>
        <v>－</v>
      </c>
      <c r="R73" s="29" t="str">
        <f>"－"</f>
        <v>－</v>
      </c>
      <c r="S73" s="24"/>
      <c r="T73" s="25" t="str">
        <f>"－"</f>
        <v>－</v>
      </c>
      <c r="U73" s="23"/>
      <c r="V73" s="25" t="str">
        <f>"－"</f>
        <v>－</v>
      </c>
      <c r="W73" s="23"/>
      <c r="X73" s="26" t="str">
        <f>"－"</f>
        <v>－</v>
      </c>
      <c r="Y73" s="24"/>
      <c r="Z73" s="25" t="n">
        <f>88743</f>
        <v>88743.0</v>
      </c>
      <c r="AA73" s="23"/>
      <c r="AB73" s="25" t="n">
        <f>30562</f>
        <v>30562.0</v>
      </c>
      <c r="AC73" s="23"/>
      <c r="AD73" s="26" t="n">
        <f>119305</f>
        <v>119305.0</v>
      </c>
    </row>
    <row r="74">
      <c r="A74" s="30" t="s">
        <v>30</v>
      </c>
      <c r="B74" s="22" t="s">
        <v>63</v>
      </c>
      <c r="C74" s="22" t="s">
        <v>64</v>
      </c>
      <c r="D74" s="24"/>
      <c r="E74" s="25"/>
      <c r="F74" s="23"/>
      <c r="G74" s="25"/>
      <c r="H74" s="23"/>
      <c r="I74" s="26"/>
      <c r="J74" s="24"/>
      <c r="K74" s="25"/>
      <c r="L74" s="23"/>
      <c r="M74" s="25"/>
      <c r="N74" s="23"/>
      <c r="O74" s="26"/>
      <c r="P74" s="27"/>
      <c r="Q74" s="28"/>
      <c r="R74" s="29"/>
      <c r="S74" s="24"/>
      <c r="T74" s="25"/>
      <c r="U74" s="23"/>
      <c r="V74" s="25"/>
      <c r="W74" s="23"/>
      <c r="X74" s="26"/>
      <c r="Y74" s="24"/>
      <c r="Z74" s="25"/>
      <c r="AA74" s="23"/>
      <c r="AB74" s="25"/>
      <c r="AC74" s="23"/>
      <c r="AD74" s="26"/>
    </row>
    <row r="75">
      <c r="A75" s="30" t="s">
        <v>31</v>
      </c>
      <c r="B75" s="22" t="s">
        <v>63</v>
      </c>
      <c r="C75" s="22" t="s">
        <v>64</v>
      </c>
      <c r="D75" s="24"/>
      <c r="E75" s="25"/>
      <c r="F75" s="23"/>
      <c r="G75" s="25"/>
      <c r="H75" s="23"/>
      <c r="I75" s="26"/>
      <c r="J75" s="24"/>
      <c r="K75" s="25"/>
      <c r="L75" s="23"/>
      <c r="M75" s="25"/>
      <c r="N75" s="23"/>
      <c r="O75" s="26"/>
      <c r="P75" s="27"/>
      <c r="Q75" s="28"/>
      <c r="R75" s="29"/>
      <c r="S75" s="24"/>
      <c r="T75" s="25"/>
      <c r="U75" s="23"/>
      <c r="V75" s="25"/>
      <c r="W75" s="23"/>
      <c r="X75" s="26"/>
      <c r="Y75" s="24"/>
      <c r="Z75" s="25"/>
      <c r="AA75" s="23"/>
      <c r="AB75" s="25"/>
      <c r="AC75" s="23"/>
      <c r="AD75" s="26"/>
    </row>
    <row r="76">
      <c r="A76" s="30" t="s">
        <v>32</v>
      </c>
      <c r="B76" s="22" t="s">
        <v>63</v>
      </c>
      <c r="C76" s="22" t="s">
        <v>64</v>
      </c>
      <c r="D76" s="24" t="s">
        <v>34</v>
      </c>
      <c r="E76" s="25" t="str">
        <f>"－"</f>
        <v>－</v>
      </c>
      <c r="F76" s="23"/>
      <c r="G76" s="25" t="str">
        <f>"－"</f>
        <v>－</v>
      </c>
      <c r="H76" s="23" t="s">
        <v>34</v>
      </c>
      <c r="I76" s="26" t="str">
        <f>"－"</f>
        <v>－</v>
      </c>
      <c r="J76" s="24" t="s">
        <v>34</v>
      </c>
      <c r="K76" s="25" t="str">
        <f>"－"</f>
        <v>－</v>
      </c>
      <c r="L76" s="23"/>
      <c r="M76" s="25" t="str">
        <f>"－"</f>
        <v>－</v>
      </c>
      <c r="N76" s="23" t="s">
        <v>34</v>
      </c>
      <c r="O76" s="26" t="str">
        <f>"－"</f>
        <v>－</v>
      </c>
      <c r="P76" s="27" t="str">
        <f>"－"</f>
        <v>－</v>
      </c>
      <c r="Q76" s="28" t="str">
        <f>"－"</f>
        <v>－</v>
      </c>
      <c r="R76" s="29" t="str">
        <f>"－"</f>
        <v>－</v>
      </c>
      <c r="S76" s="24"/>
      <c r="T76" s="25" t="str">
        <f>"－"</f>
        <v>－</v>
      </c>
      <c r="U76" s="23"/>
      <c r="V76" s="25" t="str">
        <f>"－"</f>
        <v>－</v>
      </c>
      <c r="W76" s="23"/>
      <c r="X76" s="26" t="str">
        <f>"－"</f>
        <v>－</v>
      </c>
      <c r="Y76" s="24"/>
      <c r="Z76" s="25" t="n">
        <f>88743</f>
        <v>88743.0</v>
      </c>
      <c r="AA76" s="23"/>
      <c r="AB76" s="25" t="n">
        <f>30562</f>
        <v>30562.0</v>
      </c>
      <c r="AC76" s="23"/>
      <c r="AD76" s="26" t="n">
        <f>119305</f>
        <v>119305.0</v>
      </c>
    </row>
    <row r="77">
      <c r="A77" s="30" t="s">
        <v>33</v>
      </c>
      <c r="B77" s="22" t="s">
        <v>63</v>
      </c>
      <c r="C77" s="22" t="s">
        <v>64</v>
      </c>
      <c r="D77" s="24"/>
      <c r="E77" s="25" t="n">
        <f>300</f>
        <v>300.0</v>
      </c>
      <c r="F77" s="23"/>
      <c r="G77" s="25" t="str">
        <f>"－"</f>
        <v>－</v>
      </c>
      <c r="H77" s="23"/>
      <c r="I77" s="26" t="n">
        <f>300</f>
        <v>300.0</v>
      </c>
      <c r="J77" s="24"/>
      <c r="K77" s="25" t="n">
        <f>76350000</f>
        <v>7.635E7</v>
      </c>
      <c r="L77" s="23"/>
      <c r="M77" s="25" t="str">
        <f>"－"</f>
        <v>－</v>
      </c>
      <c r="N77" s="23"/>
      <c r="O77" s="26" t="n">
        <f>76350000</f>
        <v>7.635E7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/>
      <c r="T77" s="25" t="str">
        <f>"－"</f>
        <v>－</v>
      </c>
      <c r="U77" s="23"/>
      <c r="V77" s="25" t="str">
        <f>"－"</f>
        <v>－</v>
      </c>
      <c r="W77" s="23"/>
      <c r="X77" s="26" t="str">
        <f>"－"</f>
        <v>－</v>
      </c>
      <c r="Y77" s="24"/>
      <c r="Z77" s="25" t="n">
        <f>89043</f>
        <v>89043.0</v>
      </c>
      <c r="AA77" s="23"/>
      <c r="AB77" s="25" t="n">
        <f>30562</f>
        <v>30562.0</v>
      </c>
      <c r="AC77" s="23"/>
      <c r="AD77" s="26" t="n">
        <f>119605</f>
        <v>119605.0</v>
      </c>
    </row>
    <row r="78">
      <c r="A78" s="30" t="s">
        <v>35</v>
      </c>
      <c r="B78" s="22" t="s">
        <v>63</v>
      </c>
      <c r="C78" s="22" t="s">
        <v>64</v>
      </c>
      <c r="D78" s="24"/>
      <c r="E78" s="25" t="n">
        <f>1764</f>
        <v>1764.0</v>
      </c>
      <c r="F78" s="23"/>
      <c r="G78" s="25" t="str">
        <f>"－"</f>
        <v>－</v>
      </c>
      <c r="H78" s="23"/>
      <c r="I78" s="26" t="n">
        <f>1764</f>
        <v>1764.0</v>
      </c>
      <c r="J78" s="24"/>
      <c r="K78" s="25" t="n">
        <f>271604844</f>
        <v>2.71604844E8</v>
      </c>
      <c r="L78" s="23"/>
      <c r="M78" s="25" t="str">
        <f>"－"</f>
        <v>－</v>
      </c>
      <c r="N78" s="23"/>
      <c r="O78" s="26" t="n">
        <f>271604844</f>
        <v>2.71604844E8</v>
      </c>
      <c r="P78" s="27" t="str">
        <f>"－"</f>
        <v>－</v>
      </c>
      <c r="Q78" s="28" t="str">
        <f>"－"</f>
        <v>－</v>
      </c>
      <c r="R78" s="29" t="str">
        <f>"－"</f>
        <v>－</v>
      </c>
      <c r="S78" s="24"/>
      <c r="T78" s="25" t="str">
        <f>"－"</f>
        <v>－</v>
      </c>
      <c r="U78" s="23"/>
      <c r="V78" s="25" t="str">
        <f>"－"</f>
        <v>－</v>
      </c>
      <c r="W78" s="23"/>
      <c r="X78" s="26" t="str">
        <f>"－"</f>
        <v>－</v>
      </c>
      <c r="Y78" s="24"/>
      <c r="Z78" s="25" t="n">
        <f>90807</f>
        <v>90807.0</v>
      </c>
      <c r="AA78" s="23"/>
      <c r="AB78" s="25" t="n">
        <f>30562</f>
        <v>30562.0</v>
      </c>
      <c r="AC78" s="23"/>
      <c r="AD78" s="26" t="n">
        <f>121369</f>
        <v>121369.0</v>
      </c>
    </row>
    <row r="79">
      <c r="A79" s="30" t="s">
        <v>36</v>
      </c>
      <c r="B79" s="22" t="s">
        <v>63</v>
      </c>
      <c r="C79" s="22" t="s">
        <v>64</v>
      </c>
      <c r="D79" s="24"/>
      <c r="E79" s="25" t="n">
        <f>180</f>
        <v>180.0</v>
      </c>
      <c r="F79" s="23"/>
      <c r="G79" s="25" t="n">
        <f>180</f>
        <v>180.0</v>
      </c>
      <c r="H79" s="23"/>
      <c r="I79" s="26" t="n">
        <f>360</f>
        <v>360.0</v>
      </c>
      <c r="J79" s="24"/>
      <c r="K79" s="25" t="n">
        <f>288000000</f>
        <v>2.88E8</v>
      </c>
      <c r="L79" s="23"/>
      <c r="M79" s="25" t="n">
        <f>211500000</f>
        <v>2.115E8</v>
      </c>
      <c r="N79" s="23"/>
      <c r="O79" s="26" t="n">
        <f>499500000</f>
        <v>4.995E8</v>
      </c>
      <c r="P79" s="27" t="str">
        <f>"－"</f>
        <v>－</v>
      </c>
      <c r="Q79" s="28" t="str">
        <f>"－"</f>
        <v>－</v>
      </c>
      <c r="R79" s="29" t="str">
        <f>"－"</f>
        <v>－</v>
      </c>
      <c r="S79" s="24"/>
      <c r="T79" s="25" t="str">
        <f>"－"</f>
        <v>－</v>
      </c>
      <c r="U79" s="23"/>
      <c r="V79" s="25" t="str">
        <f>"－"</f>
        <v>－</v>
      </c>
      <c r="W79" s="23"/>
      <c r="X79" s="26" t="str">
        <f>"－"</f>
        <v>－</v>
      </c>
      <c r="Y79" s="24" t="s">
        <v>37</v>
      </c>
      <c r="Z79" s="25" t="n">
        <f>90987</f>
        <v>90987.0</v>
      </c>
      <c r="AA79" s="23"/>
      <c r="AB79" s="25" t="n">
        <f>30742</f>
        <v>30742.0</v>
      </c>
      <c r="AC79" s="23" t="s">
        <v>37</v>
      </c>
      <c r="AD79" s="26" t="n">
        <f>121729</f>
        <v>121729.0</v>
      </c>
    </row>
    <row r="80">
      <c r="A80" s="30" t="s">
        <v>38</v>
      </c>
      <c r="B80" s="22" t="s">
        <v>63</v>
      </c>
      <c r="C80" s="22" t="s">
        <v>64</v>
      </c>
      <c r="D80" s="24"/>
      <c r="E80" s="25" t="str">
        <f>"－"</f>
        <v>－</v>
      </c>
      <c r="F80" s="23"/>
      <c r="G80" s="25" t="n">
        <f>894</f>
        <v>894.0</v>
      </c>
      <c r="H80" s="23"/>
      <c r="I80" s="26" t="n">
        <f>894</f>
        <v>894.0</v>
      </c>
      <c r="J80" s="24"/>
      <c r="K80" s="25" t="str">
        <f>"－"</f>
        <v>－</v>
      </c>
      <c r="L80" s="23" t="s">
        <v>37</v>
      </c>
      <c r="M80" s="25" t="n">
        <f>1310358150</f>
        <v>1.31035815E9</v>
      </c>
      <c r="N80" s="23" t="s">
        <v>37</v>
      </c>
      <c r="O80" s="26" t="n">
        <f>1310358150</f>
        <v>1.31035815E9</v>
      </c>
      <c r="P80" s="27" t="n">
        <f>1495</f>
        <v>1495.0</v>
      </c>
      <c r="Q80" s="28" t="str">
        <f>"－"</f>
        <v>－</v>
      </c>
      <c r="R80" s="29" t="n">
        <f>1495</f>
        <v>1495.0</v>
      </c>
      <c r="S80" s="24"/>
      <c r="T80" s="25" t="str">
        <f>"－"</f>
        <v>－</v>
      </c>
      <c r="U80" s="23" t="s">
        <v>37</v>
      </c>
      <c r="V80" s="25" t="n">
        <f>894</f>
        <v>894.0</v>
      </c>
      <c r="W80" s="23"/>
      <c r="X80" s="26" t="n">
        <f>894</f>
        <v>894.0</v>
      </c>
      <c r="Y80" s="24"/>
      <c r="Z80" s="25" t="n">
        <f>81702</f>
        <v>81702.0</v>
      </c>
      <c r="AA80" s="23" t="s">
        <v>34</v>
      </c>
      <c r="AB80" s="25" t="n">
        <f>27553</f>
        <v>27553.0</v>
      </c>
      <c r="AC80" s="23"/>
      <c r="AD80" s="26" t="n">
        <f>109255</f>
        <v>109255.0</v>
      </c>
    </row>
    <row r="81">
      <c r="A81" s="30" t="s">
        <v>39</v>
      </c>
      <c r="B81" s="22" t="s">
        <v>63</v>
      </c>
      <c r="C81" s="22" t="s">
        <v>64</v>
      </c>
      <c r="D81" s="24"/>
      <c r="E81" s="25"/>
      <c r="F81" s="23"/>
      <c r="G81" s="25"/>
      <c r="H81" s="23"/>
      <c r="I81" s="26"/>
      <c r="J81" s="24"/>
      <c r="K81" s="25"/>
      <c r="L81" s="23"/>
      <c r="M81" s="25"/>
      <c r="N81" s="23"/>
      <c r="O81" s="26"/>
      <c r="P81" s="27"/>
      <c r="Q81" s="28"/>
      <c r="R81" s="29"/>
      <c r="S81" s="24"/>
      <c r="T81" s="25"/>
      <c r="U81" s="23"/>
      <c r="V81" s="25"/>
      <c r="W81" s="23"/>
      <c r="X81" s="26"/>
      <c r="Y81" s="24"/>
      <c r="Z81" s="25"/>
      <c r="AA81" s="23"/>
      <c r="AB81" s="25"/>
      <c r="AC81" s="23"/>
      <c r="AD81" s="26"/>
    </row>
    <row r="82">
      <c r="A82" s="30" t="s">
        <v>40</v>
      </c>
      <c r="B82" s="22" t="s">
        <v>63</v>
      </c>
      <c r="C82" s="22" t="s">
        <v>64</v>
      </c>
      <c r="D82" s="24"/>
      <c r="E82" s="25"/>
      <c r="F82" s="23"/>
      <c r="G82" s="25"/>
      <c r="H82" s="23"/>
      <c r="I82" s="26"/>
      <c r="J82" s="24"/>
      <c r="K82" s="25"/>
      <c r="L82" s="23"/>
      <c r="M82" s="25"/>
      <c r="N82" s="23"/>
      <c r="O82" s="26"/>
      <c r="P82" s="27"/>
      <c r="Q82" s="28"/>
      <c r="R82" s="29"/>
      <c r="S82" s="24"/>
      <c r="T82" s="25"/>
      <c r="U82" s="23"/>
      <c r="V82" s="25"/>
      <c r="W82" s="23"/>
      <c r="X82" s="26"/>
      <c r="Y82" s="24"/>
      <c r="Z82" s="25"/>
      <c r="AA82" s="23"/>
      <c r="AB82" s="25"/>
      <c r="AC82" s="23"/>
      <c r="AD82" s="26"/>
    </row>
    <row r="83">
      <c r="A83" s="30" t="s">
        <v>41</v>
      </c>
      <c r="B83" s="22" t="s">
        <v>63</v>
      </c>
      <c r="C83" s="22" t="s">
        <v>64</v>
      </c>
      <c r="D83" s="24"/>
      <c r="E83" s="25" t="n">
        <f>1519</f>
        <v>1519.0</v>
      </c>
      <c r="F83" s="23"/>
      <c r="G83" s="25" t="str">
        <f>"－"</f>
        <v>－</v>
      </c>
      <c r="H83" s="23"/>
      <c r="I83" s="26" t="n">
        <f>1519</f>
        <v>1519.0</v>
      </c>
      <c r="J83" s="24"/>
      <c r="K83" s="25" t="n">
        <f>217339990</f>
        <v>2.1733999E8</v>
      </c>
      <c r="L83" s="23"/>
      <c r="M83" s="25" t="str">
        <f>"－"</f>
        <v>－</v>
      </c>
      <c r="N83" s="23"/>
      <c r="O83" s="26" t="n">
        <f>217339990</f>
        <v>2.1733999E8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n">
        <f>1519</f>
        <v>1519.0</v>
      </c>
      <c r="U83" s="23"/>
      <c r="V83" s="25" t="str">
        <f>"－"</f>
        <v>－</v>
      </c>
      <c r="W83" s="23"/>
      <c r="X83" s="26" t="n">
        <f>1519</f>
        <v>1519.0</v>
      </c>
      <c r="Y83" s="24" t="s">
        <v>34</v>
      </c>
      <c r="Z83" s="25" t="n">
        <f>81114</f>
        <v>81114.0</v>
      </c>
      <c r="AA83" s="23"/>
      <c r="AB83" s="25" t="n">
        <f>27553</f>
        <v>27553.0</v>
      </c>
      <c r="AC83" s="23" t="s">
        <v>34</v>
      </c>
      <c r="AD83" s="26" t="n">
        <f>108667</f>
        <v>108667.0</v>
      </c>
    </row>
    <row r="84">
      <c r="A84" s="30" t="s">
        <v>42</v>
      </c>
      <c r="B84" s="22" t="s">
        <v>63</v>
      </c>
      <c r="C84" s="22" t="s">
        <v>64</v>
      </c>
      <c r="D84" s="24"/>
      <c r="E84" s="25" t="str">
        <f>"－"</f>
        <v>－</v>
      </c>
      <c r="F84" s="23"/>
      <c r="G84" s="25" t="str">
        <f>"－"</f>
        <v>－</v>
      </c>
      <c r="H84" s="23"/>
      <c r="I84" s="26" t="str">
        <f>"－"</f>
        <v>－</v>
      </c>
      <c r="J84" s="24"/>
      <c r="K84" s="25" t="str">
        <f>"－"</f>
        <v>－</v>
      </c>
      <c r="L84" s="23"/>
      <c r="M84" s="25" t="str">
        <f>"－"</f>
        <v>－</v>
      </c>
      <c r="N84" s="23"/>
      <c r="O84" s="26" t="str">
        <f>"－"</f>
        <v>－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str">
        <f>"－"</f>
        <v>－</v>
      </c>
      <c r="U84" s="23"/>
      <c r="V84" s="25" t="str">
        <f>"－"</f>
        <v>－</v>
      </c>
      <c r="W84" s="23"/>
      <c r="X84" s="26" t="str">
        <f>"－"</f>
        <v>－</v>
      </c>
      <c r="Y84" s="24"/>
      <c r="Z84" s="25" t="n">
        <f>81114</f>
        <v>81114.0</v>
      </c>
      <c r="AA84" s="23"/>
      <c r="AB84" s="25" t="n">
        <f>27553</f>
        <v>27553.0</v>
      </c>
      <c r="AC84" s="23"/>
      <c r="AD84" s="26" t="n">
        <f>108667</f>
        <v>108667.0</v>
      </c>
    </row>
    <row r="85">
      <c r="A85" s="30" t="s">
        <v>43</v>
      </c>
      <c r="B85" s="22" t="s">
        <v>63</v>
      </c>
      <c r="C85" s="22" t="s">
        <v>64</v>
      </c>
      <c r="D85" s="24"/>
      <c r="E85" s="25" t="n">
        <f>2225</f>
        <v>2225.0</v>
      </c>
      <c r="F85" s="23"/>
      <c r="G85" s="25" t="n">
        <f>843</f>
        <v>843.0</v>
      </c>
      <c r="H85" s="23"/>
      <c r="I85" s="26" t="n">
        <f>3068</f>
        <v>3068.0</v>
      </c>
      <c r="J85" s="24"/>
      <c r="K85" s="25" t="n">
        <f>400384825</f>
        <v>4.00384825E8</v>
      </c>
      <c r="L85" s="23"/>
      <c r="M85" s="25" t="n">
        <f>40070000</f>
        <v>4.007E7</v>
      </c>
      <c r="N85" s="23"/>
      <c r="O85" s="26" t="n">
        <f>440454825</f>
        <v>4.40454825E8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n">
        <f>1825</f>
        <v>1825.0</v>
      </c>
      <c r="U85" s="23"/>
      <c r="V85" s="25" t="n">
        <f>843</f>
        <v>843.0</v>
      </c>
      <c r="W85" s="23"/>
      <c r="X85" s="26" t="n">
        <f>2668</f>
        <v>2668.0</v>
      </c>
      <c r="Y85" s="24"/>
      <c r="Z85" s="25" t="n">
        <f>83139</f>
        <v>83139.0</v>
      </c>
      <c r="AA85" s="23"/>
      <c r="AB85" s="25" t="n">
        <f>28396</f>
        <v>28396.0</v>
      </c>
      <c r="AC85" s="23"/>
      <c r="AD85" s="26" t="n">
        <f>111535</f>
        <v>111535.0</v>
      </c>
    </row>
    <row r="86">
      <c r="A86" s="30" t="s">
        <v>44</v>
      </c>
      <c r="B86" s="22" t="s">
        <v>63</v>
      </c>
      <c r="C86" s="22" t="s">
        <v>64</v>
      </c>
      <c r="D86" s="24"/>
      <c r="E86" s="25" t="n">
        <f>1963</f>
        <v>1963.0</v>
      </c>
      <c r="F86" s="23" t="s">
        <v>37</v>
      </c>
      <c r="G86" s="25" t="n">
        <f>1963</f>
        <v>1963.0</v>
      </c>
      <c r="H86" s="23"/>
      <c r="I86" s="26" t="n">
        <f>3926</f>
        <v>3926.0</v>
      </c>
      <c r="J86" s="24"/>
      <c r="K86" s="25" t="n">
        <f>364026200</f>
        <v>3.640262E8</v>
      </c>
      <c r="L86" s="23"/>
      <c r="M86" s="25" t="n">
        <f>128546280</f>
        <v>1.2854628E8</v>
      </c>
      <c r="N86" s="23"/>
      <c r="O86" s="26" t="n">
        <f>492572480</f>
        <v>4.9257248E8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str">
        <f>"－"</f>
        <v>－</v>
      </c>
      <c r="U86" s="23"/>
      <c r="V86" s="25" t="str">
        <f>"－"</f>
        <v>－</v>
      </c>
      <c r="W86" s="23"/>
      <c r="X86" s="26" t="str">
        <f>"－"</f>
        <v>－</v>
      </c>
      <c r="Y86" s="24"/>
      <c r="Z86" s="25" t="n">
        <f>84602</f>
        <v>84602.0</v>
      </c>
      <c r="AA86" s="23"/>
      <c r="AB86" s="25" t="n">
        <f>30359</f>
        <v>30359.0</v>
      </c>
      <c r="AC86" s="23"/>
      <c r="AD86" s="26" t="n">
        <f>114961</f>
        <v>114961.0</v>
      </c>
    </row>
    <row r="87">
      <c r="A87" s="30" t="s">
        <v>45</v>
      </c>
      <c r="B87" s="22" t="s">
        <v>63</v>
      </c>
      <c r="C87" s="22" t="s">
        <v>64</v>
      </c>
      <c r="D87" s="24"/>
      <c r="E87" s="25" t="n">
        <f>425</f>
        <v>425.0</v>
      </c>
      <c r="F87" s="23"/>
      <c r="G87" s="25" t="n">
        <f>425</f>
        <v>425.0</v>
      </c>
      <c r="H87" s="23"/>
      <c r="I87" s="26" t="n">
        <f>850</f>
        <v>850.0</v>
      </c>
      <c r="J87" s="24"/>
      <c r="K87" s="25" t="n">
        <f>78667500</f>
        <v>7.86675E7</v>
      </c>
      <c r="L87" s="23"/>
      <c r="M87" s="25" t="n">
        <f>48875000</f>
        <v>4.8875E7</v>
      </c>
      <c r="N87" s="23"/>
      <c r="O87" s="26" t="n">
        <f>127542500</f>
        <v>1.275425E8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n">
        <f>425</f>
        <v>425.0</v>
      </c>
      <c r="U87" s="23"/>
      <c r="V87" s="25" t="n">
        <f>425</f>
        <v>425.0</v>
      </c>
      <c r="W87" s="23"/>
      <c r="X87" s="26" t="n">
        <f>850</f>
        <v>850.0</v>
      </c>
      <c r="Y87" s="24"/>
      <c r="Z87" s="25" t="n">
        <f>85027</f>
        <v>85027.0</v>
      </c>
      <c r="AA87" s="23" t="s">
        <v>37</v>
      </c>
      <c r="AB87" s="25" t="n">
        <f>30784</f>
        <v>30784.0</v>
      </c>
      <c r="AC87" s="23"/>
      <c r="AD87" s="26" t="n">
        <f>115811</f>
        <v>115811.0</v>
      </c>
    </row>
    <row r="88">
      <c r="A88" s="30" t="s">
        <v>46</v>
      </c>
      <c r="B88" s="22" t="s">
        <v>63</v>
      </c>
      <c r="C88" s="22" t="s">
        <v>64</v>
      </c>
      <c r="D88" s="24"/>
      <c r="E88" s="25"/>
      <c r="F88" s="23"/>
      <c r="G88" s="25"/>
      <c r="H88" s="23"/>
      <c r="I88" s="26"/>
      <c r="J88" s="24"/>
      <c r="K88" s="25"/>
      <c r="L88" s="23"/>
      <c r="M88" s="25"/>
      <c r="N88" s="23"/>
      <c r="O88" s="26"/>
      <c r="P88" s="27"/>
      <c r="Q88" s="28"/>
      <c r="R88" s="29"/>
      <c r="S88" s="24"/>
      <c r="T88" s="25"/>
      <c r="U88" s="23"/>
      <c r="V88" s="25"/>
      <c r="W88" s="23"/>
      <c r="X88" s="26"/>
      <c r="Y88" s="24"/>
      <c r="Z88" s="25"/>
      <c r="AA88" s="23"/>
      <c r="AB88" s="25"/>
      <c r="AC88" s="23"/>
      <c r="AD88" s="26"/>
    </row>
    <row r="89">
      <c r="A89" s="30" t="s">
        <v>47</v>
      </c>
      <c r="B89" s="22" t="s">
        <v>63</v>
      </c>
      <c r="C89" s="22" t="s">
        <v>64</v>
      </c>
      <c r="D89" s="24"/>
      <c r="E89" s="25"/>
      <c r="F89" s="23"/>
      <c r="G89" s="25"/>
      <c r="H89" s="23"/>
      <c r="I89" s="26"/>
      <c r="J89" s="24"/>
      <c r="K89" s="25"/>
      <c r="L89" s="23"/>
      <c r="M89" s="25"/>
      <c r="N89" s="23"/>
      <c r="O89" s="26"/>
      <c r="P89" s="27"/>
      <c r="Q89" s="28"/>
      <c r="R89" s="29"/>
      <c r="S89" s="24"/>
      <c r="T89" s="25"/>
      <c r="U89" s="23"/>
      <c r="V89" s="25"/>
      <c r="W89" s="23"/>
      <c r="X89" s="26"/>
      <c r="Y89" s="24"/>
      <c r="Z89" s="25"/>
      <c r="AA89" s="23"/>
      <c r="AB89" s="25"/>
      <c r="AC89" s="23"/>
      <c r="AD89" s="26"/>
    </row>
    <row r="90">
      <c r="A90" s="30" t="s">
        <v>48</v>
      </c>
      <c r="B90" s="22" t="s">
        <v>63</v>
      </c>
      <c r="C90" s="22" t="s">
        <v>64</v>
      </c>
      <c r="D90" s="24"/>
      <c r="E90" s="25" t="str">
        <f>"－"</f>
        <v>－</v>
      </c>
      <c r="F90" s="23"/>
      <c r="G90" s="25" t="str">
        <f>"－"</f>
        <v>－</v>
      </c>
      <c r="H90" s="23"/>
      <c r="I90" s="26" t="str">
        <f>"－"</f>
        <v>－</v>
      </c>
      <c r="J90" s="24"/>
      <c r="K90" s="25" t="str">
        <f>"－"</f>
        <v>－</v>
      </c>
      <c r="L90" s="23"/>
      <c r="M90" s="25" t="str">
        <f>"－"</f>
        <v>－</v>
      </c>
      <c r="N90" s="23"/>
      <c r="O90" s="26" t="str">
        <f>"－"</f>
        <v>－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str">
        <f>"－"</f>
        <v>－</v>
      </c>
      <c r="U90" s="23"/>
      <c r="V90" s="25" t="str">
        <f>"－"</f>
        <v>－</v>
      </c>
      <c r="W90" s="23"/>
      <c r="X90" s="26" t="str">
        <f>"－"</f>
        <v>－</v>
      </c>
      <c r="Y90" s="24"/>
      <c r="Z90" s="25" t="n">
        <f>85027</f>
        <v>85027.0</v>
      </c>
      <c r="AA90" s="23"/>
      <c r="AB90" s="25" t="n">
        <f>30784</f>
        <v>30784.0</v>
      </c>
      <c r="AC90" s="23"/>
      <c r="AD90" s="26" t="n">
        <f>115811</f>
        <v>115811.0</v>
      </c>
    </row>
    <row r="91">
      <c r="A91" s="30" t="s">
        <v>49</v>
      </c>
      <c r="B91" s="22" t="s">
        <v>63</v>
      </c>
      <c r="C91" s="22" t="s">
        <v>64</v>
      </c>
      <c r="D91" s="24"/>
      <c r="E91" s="25" t="n">
        <f>829</f>
        <v>829.0</v>
      </c>
      <c r="F91" s="23"/>
      <c r="G91" s="25" t="str">
        <f>"－"</f>
        <v>－</v>
      </c>
      <c r="H91" s="23"/>
      <c r="I91" s="26" t="n">
        <f>829</f>
        <v>829.0</v>
      </c>
      <c r="J91" s="24"/>
      <c r="K91" s="25" t="n">
        <f>230884200</f>
        <v>2.308842E8</v>
      </c>
      <c r="L91" s="23"/>
      <c r="M91" s="25" t="str">
        <f>"－"</f>
        <v>－</v>
      </c>
      <c r="N91" s="23"/>
      <c r="O91" s="26" t="n">
        <f>230884200</f>
        <v>2.308842E8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n">
        <f>729</f>
        <v>729.0</v>
      </c>
      <c r="U91" s="23"/>
      <c r="V91" s="25" t="str">
        <f>"－"</f>
        <v>－</v>
      </c>
      <c r="W91" s="23"/>
      <c r="X91" s="26" t="n">
        <f>729</f>
        <v>729.0</v>
      </c>
      <c r="Y91" s="24"/>
      <c r="Z91" s="25" t="n">
        <f>84466</f>
        <v>84466.0</v>
      </c>
      <c r="AA91" s="23"/>
      <c r="AB91" s="25" t="n">
        <f>30784</f>
        <v>30784.0</v>
      </c>
      <c r="AC91" s="23"/>
      <c r="AD91" s="26" t="n">
        <f>115250</f>
        <v>115250.0</v>
      </c>
    </row>
    <row r="92">
      <c r="A92" s="30" t="s">
        <v>50</v>
      </c>
      <c r="B92" s="22" t="s">
        <v>63</v>
      </c>
      <c r="C92" s="22" t="s">
        <v>64</v>
      </c>
      <c r="D92" s="24"/>
      <c r="E92" s="25" t="n">
        <f>370</f>
        <v>370.0</v>
      </c>
      <c r="F92" s="23"/>
      <c r="G92" s="25" t="n">
        <f>150</f>
        <v>150.0</v>
      </c>
      <c r="H92" s="23"/>
      <c r="I92" s="26" t="n">
        <f>520</f>
        <v>520.0</v>
      </c>
      <c r="J92" s="24"/>
      <c r="K92" s="25" t="n">
        <f>147760400</f>
        <v>1.477604E8</v>
      </c>
      <c r="L92" s="23"/>
      <c r="M92" s="25" t="n">
        <f>75075000</f>
        <v>7.5075E7</v>
      </c>
      <c r="N92" s="23"/>
      <c r="O92" s="26" t="n">
        <f>222835400</f>
        <v>2.228354E8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n">
        <f>150</f>
        <v>150.0</v>
      </c>
      <c r="U92" s="23"/>
      <c r="V92" s="25" t="n">
        <f>150</f>
        <v>150.0</v>
      </c>
      <c r="W92" s="23"/>
      <c r="X92" s="26" t="n">
        <f>300</f>
        <v>300.0</v>
      </c>
      <c r="Y92" s="24"/>
      <c r="Z92" s="25" t="n">
        <f>84686</f>
        <v>84686.0</v>
      </c>
      <c r="AA92" s="23"/>
      <c r="AB92" s="25" t="n">
        <f>30784</f>
        <v>30784.0</v>
      </c>
      <c r="AC92" s="23"/>
      <c r="AD92" s="26" t="n">
        <f>115470</f>
        <v>115470.0</v>
      </c>
    </row>
    <row r="93">
      <c r="A93" s="30" t="s">
        <v>51</v>
      </c>
      <c r="B93" s="22" t="s">
        <v>63</v>
      </c>
      <c r="C93" s="22" t="s">
        <v>64</v>
      </c>
      <c r="D93" s="24"/>
      <c r="E93" s="25"/>
      <c r="F93" s="23"/>
      <c r="G93" s="25"/>
      <c r="H93" s="23"/>
      <c r="I93" s="26"/>
      <c r="J93" s="24"/>
      <c r="K93" s="25"/>
      <c r="L93" s="23"/>
      <c r="M93" s="25"/>
      <c r="N93" s="23"/>
      <c r="O93" s="26"/>
      <c r="P93" s="27"/>
      <c r="Q93" s="28"/>
      <c r="R93" s="29"/>
      <c r="S93" s="24"/>
      <c r="T93" s="25"/>
      <c r="U93" s="23"/>
      <c r="V93" s="25"/>
      <c r="W93" s="23"/>
      <c r="X93" s="26"/>
      <c r="Y93" s="24"/>
      <c r="Z93" s="25"/>
      <c r="AA93" s="23"/>
      <c r="AB93" s="25"/>
      <c r="AC93" s="23"/>
      <c r="AD93" s="26"/>
    </row>
    <row r="94">
      <c r="A94" s="30" t="s">
        <v>52</v>
      </c>
      <c r="B94" s="22" t="s">
        <v>63</v>
      </c>
      <c r="C94" s="22" t="s">
        <v>64</v>
      </c>
      <c r="D94" s="24"/>
      <c r="E94" s="25"/>
      <c r="F94" s="23"/>
      <c r="G94" s="25"/>
      <c r="H94" s="23"/>
      <c r="I94" s="26"/>
      <c r="J94" s="24"/>
      <c r="K94" s="25"/>
      <c r="L94" s="23"/>
      <c r="M94" s="25"/>
      <c r="N94" s="23"/>
      <c r="O94" s="26"/>
      <c r="P94" s="27"/>
      <c r="Q94" s="28"/>
      <c r="R94" s="29"/>
      <c r="S94" s="24"/>
      <c r="T94" s="25"/>
      <c r="U94" s="23"/>
      <c r="V94" s="25"/>
      <c r="W94" s="23"/>
      <c r="X94" s="26"/>
      <c r="Y94" s="24"/>
      <c r="Z94" s="25"/>
      <c r="AA94" s="23"/>
      <c r="AB94" s="25"/>
      <c r="AC94" s="23"/>
      <c r="AD94" s="26"/>
    </row>
    <row r="95">
      <c r="A95" s="30" t="s">
        <v>53</v>
      </c>
      <c r="B95" s="22" t="s">
        <v>63</v>
      </c>
      <c r="C95" s="22" t="s">
        <v>64</v>
      </c>
      <c r="D95" s="24"/>
      <c r="E95" s="25"/>
      <c r="F95" s="23"/>
      <c r="G95" s="25"/>
      <c r="H95" s="23"/>
      <c r="I95" s="26"/>
      <c r="J95" s="24"/>
      <c r="K95" s="25"/>
      <c r="L95" s="23"/>
      <c r="M95" s="25"/>
      <c r="N95" s="23"/>
      <c r="O95" s="26"/>
      <c r="P95" s="27"/>
      <c r="Q95" s="28"/>
      <c r="R95" s="29"/>
      <c r="S95" s="24"/>
      <c r="T95" s="25"/>
      <c r="U95" s="23"/>
      <c r="V95" s="25"/>
      <c r="W95" s="23"/>
      <c r="X95" s="26"/>
      <c r="Y95" s="24"/>
      <c r="Z95" s="25"/>
      <c r="AA95" s="23"/>
      <c r="AB95" s="25"/>
      <c r="AC95" s="23"/>
      <c r="AD95" s="26"/>
    </row>
    <row r="96">
      <c r="A96" s="30" t="s">
        <v>54</v>
      </c>
      <c r="B96" s="22" t="s">
        <v>63</v>
      </c>
      <c r="C96" s="22" t="s">
        <v>64</v>
      </c>
      <c r="D96" s="24"/>
      <c r="E96" s="25"/>
      <c r="F96" s="23"/>
      <c r="G96" s="25"/>
      <c r="H96" s="23"/>
      <c r="I96" s="26"/>
      <c r="J96" s="24"/>
      <c r="K96" s="25"/>
      <c r="L96" s="23"/>
      <c r="M96" s="25"/>
      <c r="N96" s="23"/>
      <c r="O96" s="26"/>
      <c r="P96" s="27"/>
      <c r="Q96" s="28"/>
      <c r="R96" s="29"/>
      <c r="S96" s="24"/>
      <c r="T96" s="25"/>
      <c r="U96" s="23"/>
      <c r="V96" s="25"/>
      <c r="W96" s="23"/>
      <c r="X96" s="26"/>
      <c r="Y96" s="24"/>
      <c r="Z96" s="25"/>
      <c r="AA96" s="23"/>
      <c r="AB96" s="25"/>
      <c r="AC96" s="23"/>
      <c r="AD96" s="26"/>
    </row>
    <row r="97">
      <c r="A97" s="30" t="s">
        <v>55</v>
      </c>
      <c r="B97" s="22" t="s">
        <v>63</v>
      </c>
      <c r="C97" s="22" t="s">
        <v>64</v>
      </c>
      <c r="D97" s="24" t="s">
        <v>37</v>
      </c>
      <c r="E97" s="25" t="n">
        <f>5551</f>
        <v>5551.0</v>
      </c>
      <c r="F97" s="23"/>
      <c r="G97" s="25" t="str">
        <f>"－"</f>
        <v>－</v>
      </c>
      <c r="H97" s="23" t="s">
        <v>37</v>
      </c>
      <c r="I97" s="26" t="n">
        <f>5551</f>
        <v>5551.0</v>
      </c>
      <c r="J97" s="24" t="s">
        <v>37</v>
      </c>
      <c r="K97" s="25" t="n">
        <f>918299070</f>
        <v>9.1829907E8</v>
      </c>
      <c r="L97" s="23"/>
      <c r="M97" s="25" t="str">
        <f>"－"</f>
        <v>－</v>
      </c>
      <c r="N97" s="23"/>
      <c r="O97" s="26" t="n">
        <f>918299070</f>
        <v>9.1829907E8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 t="s">
        <v>37</v>
      </c>
      <c r="T97" s="25" t="n">
        <f>5201</f>
        <v>5201.0</v>
      </c>
      <c r="U97" s="23"/>
      <c r="V97" s="25" t="str">
        <f>"－"</f>
        <v>－</v>
      </c>
      <c r="W97" s="23" t="s">
        <v>37</v>
      </c>
      <c r="X97" s="26" t="n">
        <f>5201</f>
        <v>5201.0</v>
      </c>
      <c r="Y97" s="24"/>
      <c r="Z97" s="25" t="n">
        <f>86491</f>
        <v>86491.0</v>
      </c>
      <c r="AA97" s="23"/>
      <c r="AB97" s="25" t="n">
        <f>30784</f>
        <v>30784.0</v>
      </c>
      <c r="AC97" s="23"/>
      <c r="AD97" s="26" t="n">
        <f>117275</f>
        <v>117275.0</v>
      </c>
    </row>
    <row r="98">
      <c r="A98" s="30" t="s">
        <v>56</v>
      </c>
      <c r="B98" s="22" t="s">
        <v>63</v>
      </c>
      <c r="C98" s="22" t="s">
        <v>64</v>
      </c>
      <c r="D98" s="24"/>
      <c r="E98" s="25" t="n">
        <f>100</f>
        <v>100.0</v>
      </c>
      <c r="F98" s="23"/>
      <c r="G98" s="25" t="str">
        <f>"－"</f>
        <v>－</v>
      </c>
      <c r="H98" s="23"/>
      <c r="I98" s="26" t="n">
        <f>100</f>
        <v>100.0</v>
      </c>
      <c r="J98" s="24"/>
      <c r="K98" s="25" t="n">
        <f>9980000</f>
        <v>9980000.0</v>
      </c>
      <c r="L98" s="23"/>
      <c r="M98" s="25" t="str">
        <f>"－"</f>
        <v>－</v>
      </c>
      <c r="N98" s="23"/>
      <c r="O98" s="26" t="n">
        <f>9980000</f>
        <v>9980000.0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str">
        <f>"－"</f>
        <v>－</v>
      </c>
      <c r="U98" s="23"/>
      <c r="V98" s="25" t="str">
        <f>"－"</f>
        <v>－</v>
      </c>
      <c r="W98" s="23"/>
      <c r="X98" s="26" t="str">
        <f>"－"</f>
        <v>－</v>
      </c>
      <c r="Y98" s="24"/>
      <c r="Z98" s="25" t="n">
        <f>86491</f>
        <v>86491.0</v>
      </c>
      <c r="AA98" s="23"/>
      <c r="AB98" s="25" t="n">
        <f>30784</f>
        <v>30784.0</v>
      </c>
      <c r="AC98" s="23"/>
      <c r="AD98" s="26" t="n">
        <f>117275</f>
        <v>117275.0</v>
      </c>
    </row>
    <row r="99">
      <c r="A99" s="30" t="s">
        <v>57</v>
      </c>
      <c r="B99" s="22" t="s">
        <v>63</v>
      </c>
      <c r="C99" s="22" t="s">
        <v>64</v>
      </c>
      <c r="D99" s="24"/>
      <c r="E99" s="25" t="n">
        <f>900</f>
        <v>900.0</v>
      </c>
      <c r="F99" s="23"/>
      <c r="G99" s="25" t="str">
        <f>"－"</f>
        <v>－</v>
      </c>
      <c r="H99" s="23"/>
      <c r="I99" s="26" t="n">
        <f>900</f>
        <v>900.0</v>
      </c>
      <c r="J99" s="24"/>
      <c r="K99" s="25" t="n">
        <f>163800000</f>
        <v>1.638E8</v>
      </c>
      <c r="L99" s="23"/>
      <c r="M99" s="25" t="str">
        <f>"－"</f>
        <v>－</v>
      </c>
      <c r="N99" s="23"/>
      <c r="O99" s="26" t="n">
        <f>163800000</f>
        <v>1.638E8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str">
        <f>"－"</f>
        <v>－</v>
      </c>
      <c r="U99" s="23"/>
      <c r="V99" s="25" t="str">
        <f>"－"</f>
        <v>－</v>
      </c>
      <c r="W99" s="23"/>
      <c r="X99" s="26" t="str">
        <f>"－"</f>
        <v>－</v>
      </c>
      <c r="Y99" s="24"/>
      <c r="Z99" s="25" t="n">
        <f>85591</f>
        <v>85591.0</v>
      </c>
      <c r="AA99" s="23"/>
      <c r="AB99" s="25" t="n">
        <f>30784</f>
        <v>30784.0</v>
      </c>
      <c r="AC99" s="23"/>
      <c r="AD99" s="26" t="n">
        <f>116375</f>
        <v>116375.0</v>
      </c>
    </row>
    <row r="100">
      <c r="A100" s="30" t="s">
        <v>58</v>
      </c>
      <c r="B100" s="22" t="s">
        <v>63</v>
      </c>
      <c r="C100" s="22" t="s">
        <v>64</v>
      </c>
      <c r="D100" s="24"/>
      <c r="E100" s="25" t="n">
        <f>1230</f>
        <v>1230.0</v>
      </c>
      <c r="F100" s="23"/>
      <c r="G100" s="25" t="str">
        <f>"－"</f>
        <v>－</v>
      </c>
      <c r="H100" s="23"/>
      <c r="I100" s="26" t="n">
        <f>1230</f>
        <v>1230.0</v>
      </c>
      <c r="J100" s="24"/>
      <c r="K100" s="25" t="n">
        <f>186972900</f>
        <v>1.869729E8</v>
      </c>
      <c r="L100" s="23"/>
      <c r="M100" s="25" t="str">
        <f>"－"</f>
        <v>－</v>
      </c>
      <c r="N100" s="23"/>
      <c r="O100" s="26" t="n">
        <f>186972900</f>
        <v>1.869729E8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/>
      <c r="T100" s="25" t="n">
        <f>230</f>
        <v>230.0</v>
      </c>
      <c r="U100" s="23"/>
      <c r="V100" s="25" t="str">
        <f>"－"</f>
        <v>－</v>
      </c>
      <c r="W100" s="23"/>
      <c r="X100" s="26" t="n">
        <f>230</f>
        <v>230.0</v>
      </c>
      <c r="Y100" s="24"/>
      <c r="Z100" s="25" t="n">
        <f>84877</f>
        <v>84877.0</v>
      </c>
      <c r="AA100" s="23"/>
      <c r="AB100" s="25" t="n">
        <f>30784</f>
        <v>30784.0</v>
      </c>
      <c r="AC100" s="23"/>
      <c r="AD100" s="26" t="n">
        <f>115661</f>
        <v>115661.0</v>
      </c>
    </row>
    <row r="101">
      <c r="A101" s="30" t="s">
        <v>59</v>
      </c>
      <c r="B101" s="22" t="s">
        <v>63</v>
      </c>
      <c r="C101" s="22" t="s">
        <v>64</v>
      </c>
      <c r="D101" s="24"/>
      <c r="E101" s="25" t="n">
        <f>220</f>
        <v>220.0</v>
      </c>
      <c r="F101" s="23"/>
      <c r="G101" s="25" t="str">
        <f>"－"</f>
        <v>－</v>
      </c>
      <c r="H101" s="23"/>
      <c r="I101" s="26" t="n">
        <f>220</f>
        <v>220.0</v>
      </c>
      <c r="J101" s="24"/>
      <c r="K101" s="25" t="n">
        <f>75209900</f>
        <v>7.52099E7</v>
      </c>
      <c r="L101" s="23"/>
      <c r="M101" s="25" t="str">
        <f>"－"</f>
        <v>－</v>
      </c>
      <c r="N101" s="23"/>
      <c r="O101" s="26" t="n">
        <f>75209900</f>
        <v>7.52099E7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str">
        <f>"－"</f>
        <v>－</v>
      </c>
      <c r="W101" s="23"/>
      <c r="X101" s="26" t="str">
        <f>"－"</f>
        <v>－</v>
      </c>
      <c r="Y101" s="24"/>
      <c r="Z101" s="25" t="n">
        <f>85097</f>
        <v>85097.0</v>
      </c>
      <c r="AA101" s="23"/>
      <c r="AB101" s="25" t="n">
        <f>30784</f>
        <v>30784.0</v>
      </c>
      <c r="AC101" s="23"/>
      <c r="AD101" s="26" t="n">
        <f>115881</f>
        <v>115881.0</v>
      </c>
    </row>
    <row r="102">
      <c r="A102" s="30" t="s">
        <v>60</v>
      </c>
      <c r="B102" s="22" t="s">
        <v>63</v>
      </c>
      <c r="C102" s="22" t="s">
        <v>64</v>
      </c>
      <c r="D102" s="24"/>
      <c r="E102" s="25"/>
      <c r="F102" s="23"/>
      <c r="G102" s="25"/>
      <c r="H102" s="23"/>
      <c r="I102" s="26"/>
      <c r="J102" s="24"/>
      <c r="K102" s="25"/>
      <c r="L102" s="23"/>
      <c r="M102" s="25"/>
      <c r="N102" s="23"/>
      <c r="O102" s="26"/>
      <c r="P102" s="27"/>
      <c r="Q102" s="28"/>
      <c r="R102" s="29"/>
      <c r="S102" s="24"/>
      <c r="T102" s="25"/>
      <c r="U102" s="23"/>
      <c r="V102" s="25"/>
      <c r="W102" s="23"/>
      <c r="X102" s="26"/>
      <c r="Y102" s="24"/>
      <c r="Z102" s="25"/>
      <c r="AA102" s="23"/>
      <c r="AB102" s="25"/>
      <c r="AC102" s="23"/>
      <c r="AD102" s="26"/>
    </row>
    <row r="103">
      <c r="A103" s="30" t="s">
        <v>26</v>
      </c>
      <c r="B103" s="22" t="s">
        <v>65</v>
      </c>
      <c r="C103" s="22" t="s">
        <v>66</v>
      </c>
      <c r="D103" s="24" t="s">
        <v>67</v>
      </c>
      <c r="E103" s="25" t="str">
        <f>"－"</f>
        <v>－</v>
      </c>
      <c r="F103" s="23" t="s">
        <v>67</v>
      </c>
      <c r="G103" s="25" t="str">
        <f>"－"</f>
        <v>－</v>
      </c>
      <c r="H103" s="23" t="s">
        <v>67</v>
      </c>
      <c r="I103" s="26" t="str">
        <f>"－"</f>
        <v>－</v>
      </c>
      <c r="J103" s="24" t="s">
        <v>67</v>
      </c>
      <c r="K103" s="25" t="str">
        <f>"－"</f>
        <v>－</v>
      </c>
      <c r="L103" s="23" t="s">
        <v>67</v>
      </c>
      <c r="M103" s="25" t="str">
        <f>"－"</f>
        <v>－</v>
      </c>
      <c r="N103" s="23" t="s">
        <v>67</v>
      </c>
      <c r="O103" s="26" t="str">
        <f>"－"</f>
        <v>－</v>
      </c>
      <c r="P103" s="27" t="str">
        <f>"－"</f>
        <v>－</v>
      </c>
      <c r="Q103" s="28" t="str">
        <f>"－"</f>
        <v>－</v>
      </c>
      <c r="R103" s="29" t="str">
        <f>"－"</f>
        <v>－</v>
      </c>
      <c r="S103" s="24" t="s">
        <v>67</v>
      </c>
      <c r="T103" s="25" t="str">
        <f>"－"</f>
        <v>－</v>
      </c>
      <c r="U103" s="23" t="s">
        <v>67</v>
      </c>
      <c r="V103" s="25" t="str">
        <f>"－"</f>
        <v>－</v>
      </c>
      <c r="W103" s="23" t="s">
        <v>67</v>
      </c>
      <c r="X103" s="26" t="str">
        <f>"－"</f>
        <v>－</v>
      </c>
      <c r="Y103" s="24" t="s">
        <v>67</v>
      </c>
      <c r="Z103" s="25" t="str">
        <f>"－"</f>
        <v>－</v>
      </c>
      <c r="AA103" s="23" t="s">
        <v>67</v>
      </c>
      <c r="AB103" s="25" t="str">
        <f>"－"</f>
        <v>－</v>
      </c>
      <c r="AC103" s="23" t="s">
        <v>67</v>
      </c>
      <c r="AD103" s="26" t="str">
        <f>"－"</f>
        <v>－</v>
      </c>
    </row>
    <row r="104">
      <c r="A104" s="30" t="s">
        <v>29</v>
      </c>
      <c r="B104" s="22" t="s">
        <v>65</v>
      </c>
      <c r="C104" s="22" t="s">
        <v>66</v>
      </c>
      <c r="D104" s="24"/>
      <c r="E104" s="25" t="str">
        <f>"－"</f>
        <v>－</v>
      </c>
      <c r="F104" s="23"/>
      <c r="G104" s="25" t="str">
        <f>"－"</f>
        <v>－</v>
      </c>
      <c r="H104" s="23"/>
      <c r="I104" s="26" t="str">
        <f>"－"</f>
        <v>－</v>
      </c>
      <c r="J104" s="24"/>
      <c r="K104" s="25" t="str">
        <f>"－"</f>
        <v>－</v>
      </c>
      <c r="L104" s="23"/>
      <c r="M104" s="25" t="str">
        <f>"－"</f>
        <v>－</v>
      </c>
      <c r="N104" s="23"/>
      <c r="O104" s="26" t="str">
        <f>"－"</f>
        <v>－</v>
      </c>
      <c r="P104" s="27" t="str">
        <f>"－"</f>
        <v>－</v>
      </c>
      <c r="Q104" s="28" t="str">
        <f>"－"</f>
        <v>－</v>
      </c>
      <c r="R104" s="29" t="str">
        <f>"－"</f>
        <v>－</v>
      </c>
      <c r="S104" s="24"/>
      <c r="T104" s="25" t="str">
        <f>"－"</f>
        <v>－</v>
      </c>
      <c r="U104" s="23"/>
      <c r="V104" s="25" t="str">
        <f>"－"</f>
        <v>－</v>
      </c>
      <c r="W104" s="23"/>
      <c r="X104" s="26" t="str">
        <f>"－"</f>
        <v>－</v>
      </c>
      <c r="Y104" s="24"/>
      <c r="Z104" s="25" t="str">
        <f>"－"</f>
        <v>－</v>
      </c>
      <c r="AA104" s="23"/>
      <c r="AB104" s="25" t="str">
        <f>"－"</f>
        <v>－</v>
      </c>
      <c r="AC104" s="23"/>
      <c r="AD104" s="26" t="str">
        <f>"－"</f>
        <v>－</v>
      </c>
    </row>
    <row r="105">
      <c r="A105" s="30" t="s">
        <v>30</v>
      </c>
      <c r="B105" s="22" t="s">
        <v>65</v>
      </c>
      <c r="C105" s="22" t="s">
        <v>66</v>
      </c>
      <c r="D105" s="24"/>
      <c r="E105" s="25"/>
      <c r="F105" s="23"/>
      <c r="G105" s="25"/>
      <c r="H105" s="23"/>
      <c r="I105" s="26"/>
      <c r="J105" s="24"/>
      <c r="K105" s="25"/>
      <c r="L105" s="23"/>
      <c r="M105" s="25"/>
      <c r="N105" s="23"/>
      <c r="O105" s="26"/>
      <c r="P105" s="27"/>
      <c r="Q105" s="28"/>
      <c r="R105" s="29"/>
      <c r="S105" s="24"/>
      <c r="T105" s="25"/>
      <c r="U105" s="23"/>
      <c r="V105" s="25"/>
      <c r="W105" s="23"/>
      <c r="X105" s="26"/>
      <c r="Y105" s="24"/>
      <c r="Z105" s="25"/>
      <c r="AA105" s="23"/>
      <c r="AB105" s="25"/>
      <c r="AC105" s="23"/>
      <c r="AD105" s="26"/>
    </row>
    <row r="106">
      <c r="A106" s="30" t="s">
        <v>31</v>
      </c>
      <c r="B106" s="22" t="s">
        <v>65</v>
      </c>
      <c r="C106" s="22" t="s">
        <v>66</v>
      </c>
      <c r="D106" s="24"/>
      <c r="E106" s="25"/>
      <c r="F106" s="23"/>
      <c r="G106" s="25"/>
      <c r="H106" s="23"/>
      <c r="I106" s="26"/>
      <c r="J106" s="24"/>
      <c r="K106" s="25"/>
      <c r="L106" s="23"/>
      <c r="M106" s="25"/>
      <c r="N106" s="23"/>
      <c r="O106" s="26"/>
      <c r="P106" s="27"/>
      <c r="Q106" s="28"/>
      <c r="R106" s="29"/>
      <c r="S106" s="24"/>
      <c r="T106" s="25"/>
      <c r="U106" s="23"/>
      <c r="V106" s="25"/>
      <c r="W106" s="23"/>
      <c r="X106" s="26"/>
      <c r="Y106" s="24"/>
      <c r="Z106" s="25"/>
      <c r="AA106" s="23"/>
      <c r="AB106" s="25"/>
      <c r="AC106" s="23"/>
      <c r="AD106" s="26"/>
    </row>
    <row r="107">
      <c r="A107" s="30" t="s">
        <v>32</v>
      </c>
      <c r="B107" s="22" t="s">
        <v>65</v>
      </c>
      <c r="C107" s="22" t="s">
        <v>66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33</v>
      </c>
      <c r="B108" s="22" t="s">
        <v>65</v>
      </c>
      <c r="C108" s="22" t="s">
        <v>66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35</v>
      </c>
      <c r="B109" s="22" t="s">
        <v>65</v>
      </c>
      <c r="C109" s="22" t="s">
        <v>66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36</v>
      </c>
      <c r="B110" s="22" t="s">
        <v>65</v>
      </c>
      <c r="C110" s="22" t="s">
        <v>66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38</v>
      </c>
      <c r="B111" s="22" t="s">
        <v>65</v>
      </c>
      <c r="C111" s="22" t="s">
        <v>66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39</v>
      </c>
      <c r="B112" s="22" t="s">
        <v>65</v>
      </c>
      <c r="C112" s="22" t="s">
        <v>66</v>
      </c>
      <c r="D112" s="24"/>
      <c r="E112" s="25"/>
      <c r="F112" s="23"/>
      <c r="G112" s="25"/>
      <c r="H112" s="23"/>
      <c r="I112" s="26"/>
      <c r="J112" s="24"/>
      <c r="K112" s="25"/>
      <c r="L112" s="23"/>
      <c r="M112" s="25"/>
      <c r="N112" s="23"/>
      <c r="O112" s="26"/>
      <c r="P112" s="27"/>
      <c r="Q112" s="28"/>
      <c r="R112" s="29"/>
      <c r="S112" s="24"/>
      <c r="T112" s="25"/>
      <c r="U112" s="23"/>
      <c r="V112" s="25"/>
      <c r="W112" s="23"/>
      <c r="X112" s="26"/>
      <c r="Y112" s="24"/>
      <c r="Z112" s="25"/>
      <c r="AA112" s="23"/>
      <c r="AB112" s="25"/>
      <c r="AC112" s="23"/>
      <c r="AD112" s="26"/>
    </row>
    <row r="113">
      <c r="A113" s="30" t="s">
        <v>40</v>
      </c>
      <c r="B113" s="22" t="s">
        <v>65</v>
      </c>
      <c r="C113" s="22" t="s">
        <v>66</v>
      </c>
      <c r="D113" s="24"/>
      <c r="E113" s="25"/>
      <c r="F113" s="23"/>
      <c r="G113" s="25"/>
      <c r="H113" s="23"/>
      <c r="I113" s="26"/>
      <c r="J113" s="24"/>
      <c r="K113" s="25"/>
      <c r="L113" s="23"/>
      <c r="M113" s="25"/>
      <c r="N113" s="23"/>
      <c r="O113" s="26"/>
      <c r="P113" s="27"/>
      <c r="Q113" s="28"/>
      <c r="R113" s="29"/>
      <c r="S113" s="24"/>
      <c r="T113" s="25"/>
      <c r="U113" s="23"/>
      <c r="V113" s="25"/>
      <c r="W113" s="23"/>
      <c r="X113" s="26"/>
      <c r="Y113" s="24"/>
      <c r="Z113" s="25"/>
      <c r="AA113" s="23"/>
      <c r="AB113" s="25"/>
      <c r="AC113" s="23"/>
      <c r="AD113" s="26"/>
    </row>
    <row r="114">
      <c r="A114" s="30" t="s">
        <v>41</v>
      </c>
      <c r="B114" s="22" t="s">
        <v>65</v>
      </c>
      <c r="C114" s="22" t="s">
        <v>66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42</v>
      </c>
      <c r="B115" s="22" t="s">
        <v>65</v>
      </c>
      <c r="C115" s="22" t="s">
        <v>66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43</v>
      </c>
      <c r="B116" s="22" t="s">
        <v>65</v>
      </c>
      <c r="C116" s="22" t="s">
        <v>66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44</v>
      </c>
      <c r="B117" s="22" t="s">
        <v>65</v>
      </c>
      <c r="C117" s="22" t="s">
        <v>66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45</v>
      </c>
      <c r="B118" s="22" t="s">
        <v>65</v>
      </c>
      <c r="C118" s="22" t="s">
        <v>66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46</v>
      </c>
      <c r="B119" s="22" t="s">
        <v>65</v>
      </c>
      <c r="C119" s="22" t="s">
        <v>66</v>
      </c>
      <c r="D119" s="24"/>
      <c r="E119" s="25"/>
      <c r="F119" s="23"/>
      <c r="G119" s="25"/>
      <c r="H119" s="23"/>
      <c r="I119" s="26"/>
      <c r="J119" s="24"/>
      <c r="K119" s="25"/>
      <c r="L119" s="23"/>
      <c r="M119" s="25"/>
      <c r="N119" s="23"/>
      <c r="O119" s="26"/>
      <c r="P119" s="27"/>
      <c r="Q119" s="28"/>
      <c r="R119" s="29"/>
      <c r="S119" s="24"/>
      <c r="T119" s="25"/>
      <c r="U119" s="23"/>
      <c r="V119" s="25"/>
      <c r="W119" s="23"/>
      <c r="X119" s="26"/>
      <c r="Y119" s="24"/>
      <c r="Z119" s="25"/>
      <c r="AA119" s="23"/>
      <c r="AB119" s="25"/>
      <c r="AC119" s="23"/>
      <c r="AD119" s="26"/>
    </row>
    <row r="120">
      <c r="A120" s="30" t="s">
        <v>47</v>
      </c>
      <c r="B120" s="22" t="s">
        <v>65</v>
      </c>
      <c r="C120" s="22" t="s">
        <v>66</v>
      </c>
      <c r="D120" s="24"/>
      <c r="E120" s="25"/>
      <c r="F120" s="23"/>
      <c r="G120" s="25"/>
      <c r="H120" s="23"/>
      <c r="I120" s="26"/>
      <c r="J120" s="24"/>
      <c r="K120" s="25"/>
      <c r="L120" s="23"/>
      <c r="M120" s="25"/>
      <c r="N120" s="23"/>
      <c r="O120" s="26"/>
      <c r="P120" s="27"/>
      <c r="Q120" s="28"/>
      <c r="R120" s="29"/>
      <c r="S120" s="24"/>
      <c r="T120" s="25"/>
      <c r="U120" s="23"/>
      <c r="V120" s="25"/>
      <c r="W120" s="23"/>
      <c r="X120" s="26"/>
      <c r="Y120" s="24"/>
      <c r="Z120" s="25"/>
      <c r="AA120" s="23"/>
      <c r="AB120" s="25"/>
      <c r="AC120" s="23"/>
      <c r="AD120" s="26"/>
    </row>
    <row r="121">
      <c r="A121" s="30" t="s">
        <v>48</v>
      </c>
      <c r="B121" s="22" t="s">
        <v>65</v>
      </c>
      <c r="C121" s="22" t="s">
        <v>66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49</v>
      </c>
      <c r="B122" s="22" t="s">
        <v>65</v>
      </c>
      <c r="C122" s="22" t="s">
        <v>66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50</v>
      </c>
      <c r="B123" s="22" t="s">
        <v>65</v>
      </c>
      <c r="C123" s="22" t="s">
        <v>66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51</v>
      </c>
      <c r="B124" s="22" t="s">
        <v>65</v>
      </c>
      <c r="C124" s="22" t="s">
        <v>66</v>
      </c>
      <c r="D124" s="24"/>
      <c r="E124" s="25"/>
      <c r="F124" s="23"/>
      <c r="G124" s="25"/>
      <c r="H124" s="23"/>
      <c r="I124" s="26"/>
      <c r="J124" s="24"/>
      <c r="K124" s="25"/>
      <c r="L124" s="23"/>
      <c r="M124" s="25"/>
      <c r="N124" s="23"/>
      <c r="O124" s="26"/>
      <c r="P124" s="27"/>
      <c r="Q124" s="28"/>
      <c r="R124" s="29"/>
      <c r="S124" s="24"/>
      <c r="T124" s="25"/>
      <c r="U124" s="23"/>
      <c r="V124" s="25"/>
      <c r="W124" s="23"/>
      <c r="X124" s="26"/>
      <c r="Y124" s="24"/>
      <c r="Z124" s="25"/>
      <c r="AA124" s="23"/>
      <c r="AB124" s="25"/>
      <c r="AC124" s="23"/>
      <c r="AD124" s="26"/>
    </row>
    <row r="125">
      <c r="A125" s="30" t="s">
        <v>52</v>
      </c>
      <c r="B125" s="22" t="s">
        <v>65</v>
      </c>
      <c r="C125" s="22" t="s">
        <v>66</v>
      </c>
      <c r="D125" s="24"/>
      <c r="E125" s="25"/>
      <c r="F125" s="23"/>
      <c r="G125" s="25"/>
      <c r="H125" s="23"/>
      <c r="I125" s="26"/>
      <c r="J125" s="24"/>
      <c r="K125" s="25"/>
      <c r="L125" s="23"/>
      <c r="M125" s="25"/>
      <c r="N125" s="23"/>
      <c r="O125" s="26"/>
      <c r="P125" s="27"/>
      <c r="Q125" s="28"/>
      <c r="R125" s="29"/>
      <c r="S125" s="24"/>
      <c r="T125" s="25"/>
      <c r="U125" s="23"/>
      <c r="V125" s="25"/>
      <c r="W125" s="23"/>
      <c r="X125" s="26"/>
      <c r="Y125" s="24"/>
      <c r="Z125" s="25"/>
      <c r="AA125" s="23"/>
      <c r="AB125" s="25"/>
      <c r="AC125" s="23"/>
      <c r="AD125" s="26"/>
    </row>
    <row r="126">
      <c r="A126" s="30" t="s">
        <v>53</v>
      </c>
      <c r="B126" s="22" t="s">
        <v>65</v>
      </c>
      <c r="C126" s="22" t="s">
        <v>66</v>
      </c>
      <c r="D126" s="24"/>
      <c r="E126" s="25"/>
      <c r="F126" s="23"/>
      <c r="G126" s="25"/>
      <c r="H126" s="23"/>
      <c r="I126" s="26"/>
      <c r="J126" s="24"/>
      <c r="K126" s="25"/>
      <c r="L126" s="23"/>
      <c r="M126" s="25"/>
      <c r="N126" s="23"/>
      <c r="O126" s="26"/>
      <c r="P126" s="27"/>
      <c r="Q126" s="28"/>
      <c r="R126" s="29"/>
      <c r="S126" s="24"/>
      <c r="T126" s="25"/>
      <c r="U126" s="23"/>
      <c r="V126" s="25"/>
      <c r="W126" s="23"/>
      <c r="X126" s="26"/>
      <c r="Y126" s="24"/>
      <c r="Z126" s="25"/>
      <c r="AA126" s="23"/>
      <c r="AB126" s="25"/>
      <c r="AC126" s="23"/>
      <c r="AD126" s="26"/>
    </row>
    <row r="127">
      <c r="A127" s="30" t="s">
        <v>54</v>
      </c>
      <c r="B127" s="22" t="s">
        <v>65</v>
      </c>
      <c r="C127" s="22" t="s">
        <v>66</v>
      </c>
      <c r="D127" s="24"/>
      <c r="E127" s="25"/>
      <c r="F127" s="23"/>
      <c r="G127" s="25"/>
      <c r="H127" s="23"/>
      <c r="I127" s="26"/>
      <c r="J127" s="24"/>
      <c r="K127" s="25"/>
      <c r="L127" s="23"/>
      <c r="M127" s="25"/>
      <c r="N127" s="23"/>
      <c r="O127" s="26"/>
      <c r="P127" s="27"/>
      <c r="Q127" s="28"/>
      <c r="R127" s="29"/>
      <c r="S127" s="24"/>
      <c r="T127" s="25"/>
      <c r="U127" s="23"/>
      <c r="V127" s="25"/>
      <c r="W127" s="23"/>
      <c r="X127" s="26"/>
      <c r="Y127" s="24"/>
      <c r="Z127" s="25"/>
      <c r="AA127" s="23"/>
      <c r="AB127" s="25"/>
      <c r="AC127" s="23"/>
      <c r="AD127" s="26"/>
    </row>
    <row r="128">
      <c r="A128" s="30" t="s">
        <v>55</v>
      </c>
      <c r="B128" s="22" t="s">
        <v>65</v>
      </c>
      <c r="C128" s="22" t="s">
        <v>66</v>
      </c>
      <c r="D128" s="24"/>
      <c r="E128" s="25" t="str">
        <f>"－"</f>
        <v>－</v>
      </c>
      <c r="F128" s="23"/>
      <c r="G128" s="25" t="str">
        <f>"－"</f>
        <v>－</v>
      </c>
      <c r="H128" s="23"/>
      <c r="I128" s="26" t="str">
        <f>"－"</f>
        <v>－</v>
      </c>
      <c r="J128" s="24"/>
      <c r="K128" s="25" t="str">
        <f>"－"</f>
        <v>－</v>
      </c>
      <c r="L128" s="23"/>
      <c r="M128" s="25" t="str">
        <f>"－"</f>
        <v>－</v>
      </c>
      <c r="N128" s="23"/>
      <c r="O128" s="26" t="str">
        <f>"－"</f>
        <v>－</v>
      </c>
      <c r="P128" s="27" t="str">
        <f>"－"</f>
        <v>－</v>
      </c>
      <c r="Q128" s="28" t="str">
        <f>"－"</f>
        <v>－</v>
      </c>
      <c r="R128" s="29" t="str">
        <f>"－"</f>
        <v>－</v>
      </c>
      <c r="S128" s="24"/>
      <c r="T128" s="25" t="str">
        <f>"－"</f>
        <v>－</v>
      </c>
      <c r="U128" s="23"/>
      <c r="V128" s="25" t="str">
        <f>"－"</f>
        <v>－</v>
      </c>
      <c r="W128" s="23"/>
      <c r="X128" s="26" t="str">
        <f>"－"</f>
        <v>－</v>
      </c>
      <c r="Y128" s="24"/>
      <c r="Z128" s="25" t="str">
        <f>"－"</f>
        <v>－</v>
      </c>
      <c r="AA128" s="23"/>
      <c r="AB128" s="25" t="str">
        <f>"－"</f>
        <v>－</v>
      </c>
      <c r="AC128" s="23"/>
      <c r="AD128" s="26" t="str">
        <f>"－"</f>
        <v>－</v>
      </c>
    </row>
    <row r="129">
      <c r="A129" s="30" t="s">
        <v>56</v>
      </c>
      <c r="B129" s="22" t="s">
        <v>65</v>
      </c>
      <c r="C129" s="22" t="s">
        <v>66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  <row r="130">
      <c r="A130" s="30" t="s">
        <v>57</v>
      </c>
      <c r="B130" s="22" t="s">
        <v>65</v>
      </c>
      <c r="C130" s="22" t="s">
        <v>66</v>
      </c>
      <c r="D130" s="24"/>
      <c r="E130" s="25" t="str">
        <f>"－"</f>
        <v>－</v>
      </c>
      <c r="F130" s="23"/>
      <c r="G130" s="25" t="str">
        <f>"－"</f>
        <v>－</v>
      </c>
      <c r="H130" s="23"/>
      <c r="I130" s="26" t="str">
        <f>"－"</f>
        <v>－</v>
      </c>
      <c r="J130" s="24"/>
      <c r="K130" s="25" t="str">
        <f>"－"</f>
        <v>－</v>
      </c>
      <c r="L130" s="23"/>
      <c r="M130" s="25" t="str">
        <f>"－"</f>
        <v>－</v>
      </c>
      <c r="N130" s="23"/>
      <c r="O130" s="26" t="str">
        <f>"－"</f>
        <v>－</v>
      </c>
      <c r="P130" s="27" t="str">
        <f>"－"</f>
        <v>－</v>
      </c>
      <c r="Q130" s="28" t="str">
        <f>"－"</f>
        <v>－</v>
      </c>
      <c r="R130" s="29" t="str">
        <f>"－"</f>
        <v>－</v>
      </c>
      <c r="S130" s="24"/>
      <c r="T130" s="25" t="str">
        <f>"－"</f>
        <v>－</v>
      </c>
      <c r="U130" s="23"/>
      <c r="V130" s="25" t="str">
        <f>"－"</f>
        <v>－</v>
      </c>
      <c r="W130" s="23"/>
      <c r="X130" s="26" t="str">
        <f>"－"</f>
        <v>－</v>
      </c>
      <c r="Y130" s="24"/>
      <c r="Z130" s="25" t="str">
        <f>"－"</f>
        <v>－</v>
      </c>
      <c r="AA130" s="23"/>
      <c r="AB130" s="25" t="str">
        <f>"－"</f>
        <v>－</v>
      </c>
      <c r="AC130" s="23"/>
      <c r="AD130" s="26" t="str">
        <f>"－"</f>
        <v>－</v>
      </c>
    </row>
    <row r="131">
      <c r="A131" s="30" t="s">
        <v>58</v>
      </c>
      <c r="B131" s="22" t="s">
        <v>65</v>
      </c>
      <c r="C131" s="22" t="s">
        <v>66</v>
      </c>
      <c r="D131" s="24"/>
      <c r="E131" s="25" t="str">
        <f>"－"</f>
        <v>－</v>
      </c>
      <c r="F131" s="23"/>
      <c r="G131" s="25" t="str">
        <f>"－"</f>
        <v>－</v>
      </c>
      <c r="H131" s="23"/>
      <c r="I131" s="26" t="str">
        <f>"－"</f>
        <v>－</v>
      </c>
      <c r="J131" s="24"/>
      <c r="K131" s="25" t="str">
        <f>"－"</f>
        <v>－</v>
      </c>
      <c r="L131" s="23"/>
      <c r="M131" s="25" t="str">
        <f>"－"</f>
        <v>－</v>
      </c>
      <c r="N131" s="23"/>
      <c r="O131" s="26" t="str">
        <f>"－"</f>
        <v>－</v>
      </c>
      <c r="P131" s="27" t="str">
        <f>"－"</f>
        <v>－</v>
      </c>
      <c r="Q131" s="28" t="str">
        <f>"－"</f>
        <v>－</v>
      </c>
      <c r="R131" s="29" t="str">
        <f>"－"</f>
        <v>－</v>
      </c>
      <c r="S131" s="24"/>
      <c r="T131" s="25" t="str">
        <f>"－"</f>
        <v>－</v>
      </c>
      <c r="U131" s="23"/>
      <c r="V131" s="25" t="str">
        <f>"－"</f>
        <v>－</v>
      </c>
      <c r="W131" s="23"/>
      <c r="X131" s="26" t="str">
        <f>"－"</f>
        <v>－</v>
      </c>
      <c r="Y131" s="24"/>
      <c r="Z131" s="25" t="str">
        <f>"－"</f>
        <v>－</v>
      </c>
      <c r="AA131" s="23"/>
      <c r="AB131" s="25" t="str">
        <f>"－"</f>
        <v>－</v>
      </c>
      <c r="AC131" s="23"/>
      <c r="AD131" s="26" t="str">
        <f>"－"</f>
        <v>－</v>
      </c>
    </row>
    <row r="132">
      <c r="A132" s="30" t="s">
        <v>59</v>
      </c>
      <c r="B132" s="22" t="s">
        <v>65</v>
      </c>
      <c r="C132" s="22" t="s">
        <v>66</v>
      </c>
      <c r="D132" s="24"/>
      <c r="E132" s="25" t="str">
        <f>"－"</f>
        <v>－</v>
      </c>
      <c r="F132" s="23"/>
      <c r="G132" s="25" t="str">
        <f>"－"</f>
        <v>－</v>
      </c>
      <c r="H132" s="23"/>
      <c r="I132" s="26" t="str">
        <f>"－"</f>
        <v>－</v>
      </c>
      <c r="J132" s="24"/>
      <c r="K132" s="25" t="str">
        <f>"－"</f>
        <v>－</v>
      </c>
      <c r="L132" s="23"/>
      <c r="M132" s="25" t="str">
        <f>"－"</f>
        <v>－</v>
      </c>
      <c r="N132" s="23"/>
      <c r="O132" s="26" t="str">
        <f>"－"</f>
        <v>－</v>
      </c>
      <c r="P132" s="27" t="str">
        <f>"－"</f>
        <v>－</v>
      </c>
      <c r="Q132" s="28" t="str">
        <f>"－"</f>
        <v>－</v>
      </c>
      <c r="R132" s="29" t="str">
        <f>"－"</f>
        <v>－</v>
      </c>
      <c r="S132" s="24"/>
      <c r="T132" s="25" t="str">
        <f>"－"</f>
        <v>－</v>
      </c>
      <c r="U132" s="23"/>
      <c r="V132" s="25" t="str">
        <f>"－"</f>
        <v>－</v>
      </c>
      <c r="W132" s="23"/>
      <c r="X132" s="26" t="str">
        <f>"－"</f>
        <v>－</v>
      </c>
      <c r="Y132" s="24"/>
      <c r="Z132" s="25" t="str">
        <f>"－"</f>
        <v>－</v>
      </c>
      <c r="AA132" s="23"/>
      <c r="AB132" s="25" t="str">
        <f>"－"</f>
        <v>－</v>
      </c>
      <c r="AC132" s="23"/>
      <c r="AD132" s="26" t="str">
        <f>"－"</f>
        <v>－</v>
      </c>
    </row>
    <row r="133">
      <c r="A133" s="30" t="s">
        <v>60</v>
      </c>
      <c r="B133" s="22" t="s">
        <v>65</v>
      </c>
      <c r="C133" s="22" t="s">
        <v>66</v>
      </c>
      <c r="D133" s="24"/>
      <c r="E133" s="25"/>
      <c r="F133" s="23"/>
      <c r="G133" s="25"/>
      <c r="H133" s="23"/>
      <c r="I133" s="26"/>
      <c r="J133" s="24"/>
      <c r="K133" s="25"/>
      <c r="L133" s="23"/>
      <c r="M133" s="25"/>
      <c r="N133" s="23"/>
      <c r="O133" s="26"/>
      <c r="P133" s="27"/>
      <c r="Q133" s="28"/>
      <c r="R133" s="29"/>
      <c r="S133" s="24"/>
      <c r="T133" s="25"/>
      <c r="U133" s="23"/>
      <c r="V133" s="25"/>
      <c r="W133" s="23"/>
      <c r="X133" s="26"/>
      <c r="Y133" s="24"/>
      <c r="Z133" s="25"/>
      <c r="AA133" s="23"/>
      <c r="AB133" s="25"/>
      <c r="AC133" s="23"/>
      <c r="AD133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