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DM0033" r:id="rId1" sheetId="1"/>
  </sheets>
  <definedNames>
    <definedName localSheetId="0" name="_xlnm.Print_Titles">BO_DM0033!$4:$9</definedName>
  </definedNames>
  <calcPr calcId="145621"/>
</workbook>
</file>

<file path=xl/sharedStrings.xml><?xml version="1.0" encoding="utf-8"?>
<sst xmlns="http://schemas.openxmlformats.org/spreadsheetml/2006/main" count="173" uniqueCount="61">
  <si>
    <t>国 債 先 物 オ プ シ ョ ン 取 引 取 引 状 況（日別）</t>
    <rPh eb="1" sb="0">
      <t>クニ</t>
    </rPh>
    <rPh eb="3" sb="2">
      <t>サイ</t>
    </rPh>
    <rPh eb="5" sb="4">
      <t>サキ</t>
    </rPh>
    <rPh eb="7" sb="6">
      <t>モノ</t>
    </rPh>
    <rPh eb="19" sb="18">
      <t>トリ</t>
    </rPh>
    <rPh eb="21" sb="20">
      <t>イン</t>
    </rPh>
    <rPh eb="23" sb="22">
      <t>トリ</t>
    </rPh>
    <rPh eb="25" sb="24">
      <t>イン</t>
    </rPh>
    <rPh eb="27" sb="26">
      <t>ジョウ</t>
    </rPh>
    <rPh eb="29" sb="28">
      <t>キョウ</t>
    </rPh>
    <rPh eb="31" sb="30">
      <t>ヒ</t>
    </rPh>
    <rPh eb="32" sb="31">
      <t>ベツ</t>
    </rPh>
    <phoneticPr fontId="5"/>
  </si>
  <si>
    <t>Trading of Options on JGB Futures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</si>
  <si>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5"/>
  </si>
  <si>
    <t>（単位 units. 円 ￥.）</t>
    <phoneticPr fontId="5"/>
  </si>
  <si>
    <t>月日</t>
  </si>
  <si>
    <t>商品等</t>
    <rPh eb="2" sb="0">
      <t>ショウヒン</t>
    </rPh>
    <rPh eb="3" sb="2">
      <t>ナド</t>
    </rPh>
    <phoneticPr fontId="5"/>
  </si>
  <si>
    <t>Products</t>
    <phoneticPr fontId="5"/>
  </si>
  <si>
    <t>取　引　高</t>
    <phoneticPr fontId="5"/>
  </si>
  <si>
    <t>取　引　高</t>
  </si>
  <si>
    <t>取　　　引　　　金　　　額</t>
    <phoneticPr fontId="5"/>
  </si>
  <si>
    <t>権　　利　　行　　使　　数　　量</t>
    <phoneticPr fontId="5"/>
  </si>
  <si>
    <t>ギ　ブ　・　ア　ッ　プ　数　量</t>
    <phoneticPr fontId="5"/>
  </si>
  <si>
    <t>建　　玉　　現　　在　　高</t>
    <phoneticPr fontId="5"/>
  </si>
  <si>
    <t>プットオプション</t>
    <phoneticPr fontId="5"/>
  </si>
  <si>
    <t>コールオプション</t>
    <phoneticPr fontId="5"/>
  </si>
  <si>
    <t>合計</t>
    <rPh eb="2" sb="0">
      <t>ゴウケイ</t>
    </rPh>
    <phoneticPr fontId="5"/>
  </si>
  <si>
    <t>合計</t>
    <phoneticPr fontId="5"/>
  </si>
  <si>
    <t>Date</t>
  </si>
  <si>
    <t>Trading Volume</t>
    <phoneticPr fontId="5"/>
  </si>
  <si>
    <t>Trading Value</t>
    <phoneticPr fontId="5"/>
  </si>
  <si>
    <t>Contracts Exercised</t>
    <phoneticPr fontId="5"/>
  </si>
  <si>
    <t>Give Up Volume</t>
    <phoneticPr fontId="5"/>
  </si>
  <si>
    <t>Open Interest</t>
    <phoneticPr fontId="5"/>
  </si>
  <si>
    <t>Put Options</t>
    <phoneticPr fontId="5"/>
  </si>
  <si>
    <t>Call Options</t>
    <phoneticPr fontId="5"/>
  </si>
  <si>
    <t>Total</t>
    <phoneticPr fontId="5"/>
  </si>
  <si>
    <t>8.1</t>
  </si>
  <si>
    <t>長期国債先物オプション</t>
  </si>
  <si>
    <t>Options on 10-year JGB Futures</t>
  </si>
  <si>
    <t>2</t>
  </si>
  <si>
    <t>●</t>
  </si>
  <si>
    <t>3</t>
  </si>
  <si>
    <t>◎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</si>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</sst>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/>
    <xf borderId="0" fillId="0" fontId="2" numFmtId="0">
      <alignment vertical="center"/>
    </xf>
    <xf applyAlignment="0" applyBorder="0" applyFill="0" applyFont="0" applyProtection="0" borderId="0" fillId="0" fontId="9" numFmtId="9"/>
    <xf borderId="0" fillId="0" fontId="12" numFmtId="0"/>
    <xf borderId="0" fillId="0" fontId="7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8" fontId="13" numFmtId="0"/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11" fontId="13" numFmtId="0"/>
    <xf applyAlignment="0" applyBorder="0" applyNumberFormat="0" applyProtection="0" borderId="0" fillId="6" fontId="13" numFmtId="0"/>
    <xf applyAlignment="0" applyBorder="0" applyNumberFormat="0" applyProtection="0" borderId="0" fillId="9" fontId="13" numFmtId="0"/>
    <xf applyAlignment="0" applyBorder="0" applyNumberFormat="0" applyProtection="0" borderId="0" fillId="12" fontId="13" numFmtId="0"/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3" fontId="15" numFmtId="0"/>
    <xf applyAlignment="0" applyBorder="0" applyNumberFormat="0" applyProtection="0" borderId="0" fillId="10" fontId="15" numFmtId="0"/>
    <xf applyAlignment="0" applyBorder="0" applyNumberFormat="0" applyProtection="0" borderId="0" fillId="11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6" fontId="15" numFmtId="0"/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9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20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4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8" numFmtId="177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5" fillId="22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5" fontId="27" numFmtId="0"/>
    <xf applyAlignment="0" applyBorder="0" applyNumberFormat="0" applyProtection="0" borderId="0" fillId="23" fontId="28" numFmtId="38"/>
    <xf borderId="0" fillId="24" fontId="29" numFmtId="0"/>
    <xf applyAlignment="0" applyNumberFormat="0" applyProtection="0" borderId="3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applyAlignment="0" applyFill="0" applyNumberFormat="0" applyProtection="0" borderId="37" fillId="0" fontId="31" numFmtId="0"/>
    <xf applyAlignment="0" applyFill="0" applyNumberFormat="0" applyProtection="0" borderId="38" fillId="0" fontId="32" numFmtId="0"/>
    <xf applyAlignment="0" applyFill="0" applyNumberFormat="0" applyProtection="0" borderId="39" fillId="0" fontId="33" numFmtId="0"/>
    <xf applyAlignment="0" applyBorder="0" applyFill="0" applyNumberFormat="0" applyProtection="0" borderId="0" fillId="0" fontId="33" numFmtId="0"/>
    <xf applyBorder="0" borderId="0" fillId="0" fontId="8" numFmtId="0"/>
    <xf applyAlignment="0" applyNumberFormat="0" applyProtection="0" borderId="34" fillId="8" fontId="34" numFmtId="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borderId="0" fillId="0" fontId="8" numFmtId="0"/>
    <xf applyAlignment="0" applyFill="0" applyNumberFormat="0" applyProtection="0" borderId="41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6" fontId="37" numFmtId="0"/>
    <xf borderId="0" fillId="0" fontId="38" numFmtId="37"/>
    <xf borderId="0" fillId="0" fontId="39" numFmtId="182"/>
    <xf borderId="0" fillId="0" fontId="8" numFmtId="183"/>
    <xf borderId="0" fillId="0" fontId="8" numFmtId="183"/>
    <xf borderId="0" fillId="0" fontId="39" numFmtId="182"/>
    <xf borderId="0" fillId="0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44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borderId="0" fillId="0" fontId="53" numFmtId="0"/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46" fillId="28" fontId="71" numFmtId="49"/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64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9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4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8" numFmtId="0">
      <alignment vertical="center"/>
    </xf>
    <xf borderId="0" fillId="0" fontId="83" numFmtId="0"/>
    <xf borderId="0" fillId="0" fontId="66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7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4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7" numFmtId="0"/>
    <xf borderId="0" fillId="0" fontId="7" numFmtId="0"/>
    <xf borderId="0" fillId="0" fontId="83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83" numFmtId="0"/>
    <xf borderId="0" fillId="0" fontId="7" numFmtId="0"/>
    <xf borderId="0" fillId="0" fontId="83" numFmtId="0"/>
    <xf borderId="0" fillId="0" fontId="1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4" numFmtId="0">
      <alignment vertical="center"/>
    </xf>
    <xf borderId="0" fillId="0" fontId="7" numFmtId="0"/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7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8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borderId="0" fillId="0" fontId="7" numFmtId="0"/>
  </cellStyleXfs>
  <cellXfs count="50">
    <xf borderId="0" fillId="0" fontId="0" numFmtId="0" xfId="0"/>
    <xf applyFont="1" borderId="0" fillId="0" fontId="6" numFmtId="0" xfId="1">
      <alignment vertical="center"/>
    </xf>
    <xf applyBorder="1" applyFont="1" borderId="0" fillId="0" fontId="6" numFmtId="0" xfId="1">
      <alignment vertical="center"/>
    </xf>
    <xf applyAlignment="1" applyFont="1" borderId="0" fillId="0" fontId="7" numFmtId="0" xfId="0">
      <alignment vertical="center"/>
    </xf>
    <xf applyAlignment="1" applyFont="1" borderId="0" fillId="0" fontId="11" numFmtId="0" xfId="0">
      <alignment vertical="center"/>
    </xf>
    <xf applyFont="1" borderId="0" fillId="0" fontId="9" numFmtId="0" xfId="1">
      <alignment vertical="center"/>
    </xf>
    <xf applyAlignment="1" applyFont="1" borderId="0" fillId="0" fontId="9" numFmtId="0" xfId="0">
      <alignment vertical="center"/>
    </xf>
    <xf applyAlignment="1" applyFill="1" applyFont="1" applyNumberFormat="1" borderId="0" fillId="0" fontId="3" numFmtId="0" xfId="1">
      <alignment vertical="center"/>
    </xf>
    <xf applyAlignment="1" applyBorder="1" applyFill="1" applyFont="1" applyNumberFormat="1" borderId="0" fillId="0" fontId="3" numFmtId="0" xfId="1">
      <alignment vertical="center"/>
    </xf>
    <xf applyAlignment="1" applyBorder="1" applyFill="1" applyFont="1" applyNumberFormat="1" borderId="2" fillId="0" fontId="8" numFmtId="0" xfId="0">
      <alignment vertical="center"/>
    </xf>
    <xf applyAlignment="1" applyFill="1" applyFont="1" borderId="0" fillId="0" fontId="9" numFmtId="0" xfId="0">
      <alignment vertical="center"/>
    </xf>
    <xf applyAlignment="1" applyFill="1" applyFont="1" borderId="0" fillId="0" fontId="9" numFmtId="0" xfId="0">
      <alignment horizontal="right" vertical="center"/>
    </xf>
    <xf applyAlignment="1" applyBorder="1" applyFill="1" applyFont="1" applyNumberFormat="1" borderId="10" fillId="0" fontId="8" numFmtId="0" xfId="0">
      <alignment horizontal="center" vertical="center" wrapText="1"/>
    </xf>
    <xf applyAlignment="1" applyBorder="1" applyFill="1" applyFont="1" applyNumberFormat="1" borderId="14" fillId="0" fontId="8" numFmtId="0" xfId="0">
      <alignment horizontal="center" vertical="center" wrapText="1"/>
    </xf>
    <xf applyAlignment="1" applyBorder="1" applyFill="1" applyFont="1" applyNumberFormat="1" borderId="13" fillId="0" fontId="8" numFmtId="0" xfId="0">
      <alignment horizontal="center" vertical="center" wrapText="1"/>
    </xf>
    <xf applyAlignment="1" applyBorder="1" applyFill="1" applyFont="1" applyNumberFormat="1" borderId="15" fillId="0" fontId="8" numFmtId="0" xfId="0">
      <alignment horizontal="center" vertical="center" wrapText="1"/>
    </xf>
    <xf applyAlignment="1" applyBorder="1" applyFill="1" applyFont="1" applyNumberFormat="1" borderId="16" fillId="0" fontId="8" numFmtId="0" xfId="0">
      <alignment horizontal="center" vertical="center" wrapText="1"/>
    </xf>
    <xf applyAlignment="1" applyBorder="1" applyFill="1" applyFont="1" applyNumberFormat="1" borderId="17" fillId="0" fontId="8" numFmtId="0" xfId="0">
      <alignment horizontal="center" vertical="center" wrapText="1"/>
    </xf>
    <xf applyAlignment="1" applyBorder="1" applyFill="1" applyFont="1" applyNumberFormat="1" borderId="2" fillId="0" fontId="8" numFmtId="0" xfId="0">
      <alignment horizontal="center" vertical="center" wrapText="1"/>
    </xf>
    <xf applyAlignment="1" applyBorder="1" applyFill="1" applyFont="1" applyNumberFormat="1" borderId="26" fillId="0" fontId="8" numFmtId="0" xfId="0">
      <alignment horizontal="center" vertical="center" wrapText="1"/>
    </xf>
    <xf applyAlignment="1" applyBorder="1" applyFill="1" applyFont="1" applyNumberFormat="1" borderId="25" fillId="0" fontId="8" numFmtId="0" xfId="0">
      <alignment horizontal="center" vertical="center" wrapText="1"/>
    </xf>
    <xf applyAlignment="1" applyBorder="1" applyFont="1" applyNumberFormat="1" borderId="27" fillId="0" fontId="10" numFmtId="49" xfId="0">
      <alignment horizontal="right" vertical="top" wrapText="1"/>
    </xf>
    <xf applyAlignment="1" applyBorder="1" applyFont="1" applyNumberFormat="1" borderId="27" fillId="0" fontId="10" numFmtId="49" xfId="0">
      <alignment horizontal="left" vertical="top" wrapText="1"/>
    </xf>
    <xf applyAlignment="1" applyBorder="1" applyFont="1" applyNumberFormat="1" borderId="28" fillId="0" fontId="10" numFmtId="49" xfId="0">
      <alignment horizontal="center" vertical="top" wrapText="1"/>
    </xf>
    <xf applyAlignment="1" applyBorder="1" applyFont="1" applyNumberFormat="1" borderId="30" fillId="0" fontId="10" numFmtId="49" xfId="0">
      <alignment horizontal="center" vertical="top" wrapText="1"/>
    </xf>
    <xf applyAlignment="1" applyBorder="1" applyFont="1" applyNumberFormat="1" borderId="31" fillId="0" fontId="10" numFmtId="49" xfId="0">
      <alignment horizontal="center" vertical="top" wrapText="1"/>
    </xf>
    <xf applyAlignment="1" applyBorder="1" applyFont="1" applyNumberFormat="1" borderId="29" fillId="0" fontId="10" numFmtId="3" quotePrefix="1" xfId="1">
      <alignment horizontal="right" vertical="top" wrapText="1"/>
    </xf>
    <xf applyAlignment="1" applyBorder="1" applyFont="1" applyNumberFormat="1" borderId="32" fillId="0" fontId="10" numFmtId="3" quotePrefix="1" xfId="1">
      <alignment horizontal="right" vertical="top" wrapText="1"/>
    </xf>
    <xf applyAlignment="1" applyBorder="1" applyFont="1" applyNumberFormat="1" borderId="30" fillId="0" fontId="10" numFmtId="3" quotePrefix="1" xfId="1">
      <alignment horizontal="right" vertical="top" wrapText="1"/>
    </xf>
    <xf applyAlignment="1" applyBorder="1" applyFont="1" applyNumberFormat="1" borderId="33" fillId="0" fontId="10" numFmtId="3" quotePrefix="1" xfId="1">
      <alignment horizontal="right" vertical="top" wrapText="1"/>
    </xf>
    <xf applyAlignment="1" applyBorder="1" applyFill="1" applyFont="1" applyNumberFormat="1" borderId="22" fillId="0" fontId="8" numFmtId="0" xfId="0">
      <alignment horizontal="center" vertical="center" wrapText="1"/>
    </xf>
    <xf applyAlignment="1" applyBorder="1" applyFill="1" applyFont="1" applyNumberFormat="1" borderId="2" fillId="0" fontId="8" numFmtId="0" xfId="0">
      <alignment horizontal="center" vertical="center" wrapText="1"/>
    </xf>
    <xf applyAlignment="1" applyBorder="1" applyFill="1" applyFont="1" applyNumberFormat="1" borderId="4" fillId="0" fontId="8" numFmtId="0" xfId="0">
      <alignment horizontal="center" vertical="center" wrapText="1"/>
    </xf>
    <xf applyAlignment="1" applyBorder="1" applyFill="1" applyFont="1" applyNumberFormat="1" borderId="5" fillId="0" fontId="8" numFmtId="0" xfId="0">
      <alignment horizontal="center" vertical="center" wrapText="1"/>
    </xf>
    <xf applyAlignment="1" applyBorder="1" applyFill="1" applyFont="1" applyNumberFormat="1" borderId="6" fillId="0" fontId="8" numFmtId="0" xfId="0">
      <alignment horizontal="center" vertical="center" wrapText="1"/>
    </xf>
    <xf applyAlignment="1" applyBorder="1" applyFill="1" applyFont="1" applyNumberFormat="1" borderId="9" fillId="0" fontId="8" numFmtId="0" xfId="0">
      <alignment horizontal="center" vertical="center" wrapText="1"/>
    </xf>
    <xf applyAlignment="1" applyBorder="1" applyFill="1" applyFont="1" applyNumberFormat="1" borderId="10" fillId="0" fontId="8" numFmtId="0" xfId="0">
      <alignment horizontal="center" vertical="center" wrapText="1"/>
    </xf>
    <xf applyAlignment="1" applyBorder="1" applyFill="1" applyFont="1" applyNumberFormat="1" borderId="11" fillId="0" fontId="8" numFmtId="0" xfId="0">
      <alignment horizontal="center" vertical="center" wrapText="1"/>
    </xf>
    <xf applyAlignment="1" applyBorder="1" applyFill="1" applyFont="1" applyNumberFormat="1" borderId="12" fillId="0" fontId="8" numFmtId="0" xfId="0">
      <alignment horizontal="center" vertical="center" wrapText="1"/>
    </xf>
    <xf applyAlignment="1" applyBorder="1" applyFill="1" applyFont="1" applyNumberFormat="1" borderId="13" fillId="0" fontId="8" numFmtId="0" xfId="0">
      <alignment horizontal="center" vertical="center" wrapText="1"/>
    </xf>
    <xf applyAlignment="1" applyBorder="1" applyFill="1" applyFont="1" applyNumberFormat="1" borderId="7" fillId="0" fontId="8" numFmtId="0" xfId="0">
      <alignment horizontal="center" vertical="center" wrapText="1"/>
    </xf>
    <xf applyAlignment="1" applyBorder="1" applyFill="1" applyFont="1" applyNumberFormat="1" borderId="21" fillId="0" fontId="8" numFmtId="0" xfId="0">
      <alignment horizontal="center" vertical="center" wrapText="1"/>
    </xf>
    <xf applyAlignment="1" applyBorder="1" applyFill="1" applyFont="1" applyNumberFormat="1" borderId="18" fillId="0" fontId="8" numFmtId="0" xfId="0">
      <alignment horizontal="center" vertical="center" wrapText="1"/>
    </xf>
    <xf applyAlignment="1" applyBorder="1" applyFill="1" applyFont="1" applyNumberFormat="1" borderId="19" fillId="0" fontId="8" numFmtId="0" xfId="0">
      <alignment horizontal="center" vertical="center" wrapText="1"/>
    </xf>
    <xf applyAlignment="1" applyBorder="1" applyFill="1" applyFont="1" applyNumberFormat="1" borderId="20" fillId="0" fontId="8" numFmtId="0" xfId="0">
      <alignment horizontal="center" vertical="center" wrapText="1"/>
    </xf>
    <xf applyAlignment="1" applyBorder="1" applyFill="1" applyFont="1" applyNumberFormat="1" borderId="3" fillId="0" fontId="8" numFmtId="0" xfId="0">
      <alignment horizontal="center" vertical="center" wrapText="1"/>
    </xf>
    <xf applyAlignment="1" applyBorder="1" applyFill="1" applyFont="1" applyNumberFormat="1" borderId="8" fillId="0" fontId="8" numFmtId="0" xfId="0">
      <alignment horizontal="center" vertical="center" wrapText="1"/>
    </xf>
    <xf applyAlignment="1" applyBorder="1" applyFill="1" applyFont="1" applyNumberFormat="1" borderId="23" fillId="0" fontId="8" numFmtId="0" xfId="0">
      <alignment horizontal="center" vertical="center" wrapText="1"/>
    </xf>
    <xf applyAlignment="1" applyBorder="1" applyFill="1" applyFont="1" applyNumberFormat="1" borderId="24" fillId="0" fontId="8" numFmtId="0" xfId="0">
      <alignment horizontal="center" vertical="center" wrapText="1"/>
    </xf>
    <xf applyAlignment="1" applyBorder="1" applyFill="1" applyFont="1" applyNumberFormat="1" borderId="25" fillId="0" fontId="8" numFmtId="0" xfId="0">
      <alignment horizontal="center" vertical="center" wrapText="1"/>
    </xf>
  </cellXfs>
  <cellStyles count="1940">
    <cellStyle name="_x000c_ーセン_x000c_" xfId="2"/>
    <cellStyle name="_x000d__x000a_JournalTemplate=C:\COMFO\CTALK\JOURSTD.TPL_x000d__x000a_LbStateAddress=3 3 0 251 1 89 2 311_x000d__x000a_LbStateJou" xfId="3"/>
    <cellStyle name="0,0_x000d__x000a_NA_x000d_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アクセント 1 2" xfId="11"/>
    <cellStyle name="20% - アクセント 1 3" xfId="12"/>
    <cellStyle name="20% - アクセント 1 4" xfId="13"/>
    <cellStyle name="20% - アクセント 1 5" xfId="14"/>
    <cellStyle name="20% - アクセント 1 6" xfId="15"/>
    <cellStyle name="20% - アクセント 1 7" xfId="16"/>
    <cellStyle name="20% - アクセント 1 8" xfId="17"/>
    <cellStyle name="20% - アクセント 1 9" xfId="18"/>
    <cellStyle name="20% - アクセント 2 2" xfId="19"/>
    <cellStyle name="20% - アクセント 2 3" xfId="20"/>
    <cellStyle name="20% - アクセント 2 4" xfId="21"/>
    <cellStyle name="20% - アクセント 2 5" xfId="22"/>
    <cellStyle name="20% - アクセント 2 6" xfId="23"/>
    <cellStyle name="20% - アクセント 2 7" xfId="24"/>
    <cellStyle name="20% - アクセント 2 8" xfId="25"/>
    <cellStyle name="20% - アクセント 2 9" xfId="26"/>
    <cellStyle name="20% - アクセント 3 2" xfId="27"/>
    <cellStyle name="20% - アクセント 3 3" xfId="28"/>
    <cellStyle name="20% - アクセント 3 4" xfId="29"/>
    <cellStyle name="20% - アクセント 3 5" xfId="30"/>
    <cellStyle name="20% - アクセント 3 6" xfId="31"/>
    <cellStyle name="20% - アクセント 3 7" xfId="32"/>
    <cellStyle name="20% - アクセント 3 8" xfId="33"/>
    <cellStyle name="20% - アクセント 3 9" xfId="34"/>
    <cellStyle name="20% - アクセント 4 2" xfId="35"/>
    <cellStyle name="20% - アクセント 4 3" xfId="36"/>
    <cellStyle name="20% - アクセント 4 4" xfId="37"/>
    <cellStyle name="20% - アクセント 4 5" xfId="38"/>
    <cellStyle name="20% - アクセント 4 6" xfId="39"/>
    <cellStyle name="20% - アクセント 4 7" xfId="40"/>
    <cellStyle name="20% - アクセント 4 8" xfId="41"/>
    <cellStyle name="20% - アクセント 4 9" xfId="42"/>
    <cellStyle name="20% - アクセント 5 2" xfId="43"/>
    <cellStyle name="20% - アクセント 5 3" xfId="44"/>
    <cellStyle name="20% - アクセント 5 4" xfId="45"/>
    <cellStyle name="20% - アクセント 5 5" xfId="46"/>
    <cellStyle name="20% - アクセント 5 6" xfId="47"/>
    <cellStyle name="20% - アクセント 5 7" xfId="48"/>
    <cellStyle name="20% - アクセント 5 8" xfId="49"/>
    <cellStyle name="20% - アクセント 5 9" xfId="50"/>
    <cellStyle name="20% - アクセント 6 2" xfId="51"/>
    <cellStyle name="20% - アクセント 6 3" xfId="52"/>
    <cellStyle name="20% - アクセント 6 4" xfId="53"/>
    <cellStyle name="20% - アクセント 6 5" xfId="54"/>
    <cellStyle name="20% - アクセント 6 6" xfId="55"/>
    <cellStyle name="20% - アクセント 6 7" xfId="56"/>
    <cellStyle name="20% - アクセント 6 8" xfId="57"/>
    <cellStyle name="20% - アクセント 6 9" xfId="58"/>
    <cellStyle name="40% - Accent1" xfId="59"/>
    <cellStyle name="40% - Accent2" xfId="60"/>
    <cellStyle name="40% - Accent3" xfId="61"/>
    <cellStyle name="40% - Accent4" xfId="62"/>
    <cellStyle name="40% - Accent5" xfId="63"/>
    <cellStyle name="40% - Accent6" xfId="64"/>
    <cellStyle name="40% - アクセント 1 2" xfId="65"/>
    <cellStyle name="40% - アクセント 1 3" xfId="66"/>
    <cellStyle name="40% - アクセント 1 4" xfId="67"/>
    <cellStyle name="40% - アクセント 1 5" xfId="68"/>
    <cellStyle name="40% - アクセント 1 6" xfId="69"/>
    <cellStyle name="40% - アクセント 1 7" xfId="70"/>
    <cellStyle name="40% - アクセント 1 8" xfId="71"/>
    <cellStyle name="40% - アクセント 1 9" xfId="72"/>
    <cellStyle name="40% - アクセント 2 2" xfId="73"/>
    <cellStyle name="40% - アクセント 2 3" xfId="74"/>
    <cellStyle name="40% - アクセント 2 4" xfId="75"/>
    <cellStyle name="40% - アクセント 2 5" xfId="76"/>
    <cellStyle name="40% - アクセント 2 6" xfId="77"/>
    <cellStyle name="40% - アクセント 2 7" xfId="78"/>
    <cellStyle name="40% - アクセント 2 8" xfId="79"/>
    <cellStyle name="40% - アクセント 2 9" xfId="80"/>
    <cellStyle name="40% - アクセント 3 2" xfId="81"/>
    <cellStyle name="40% - アクセント 3 3" xfId="82"/>
    <cellStyle name="40% - アクセント 3 4" xfId="83"/>
    <cellStyle name="40% - アクセント 3 5" xfId="84"/>
    <cellStyle name="40% - アクセント 3 6" xfId="85"/>
    <cellStyle name="40% - アクセント 3 7" xfId="86"/>
    <cellStyle name="40% - アクセント 3 8" xfId="87"/>
    <cellStyle name="40% - アクセント 3 9" xfId="88"/>
    <cellStyle name="40% - アクセント 4 2" xfId="89"/>
    <cellStyle name="40% - アクセント 4 3" xfId="90"/>
    <cellStyle name="40% - アクセント 4 4" xfId="91"/>
    <cellStyle name="40% - アクセント 4 5" xfId="92"/>
    <cellStyle name="40% - アクセント 4 6" xfId="93"/>
    <cellStyle name="40% - アクセント 4 7" xfId="94"/>
    <cellStyle name="40% - アクセント 4 8" xfId="95"/>
    <cellStyle name="40% - アクセント 4 9" xfId="96"/>
    <cellStyle name="40% - アクセント 5 2" xfId="97"/>
    <cellStyle name="40% - アクセント 5 3" xfId="98"/>
    <cellStyle name="40% - アクセント 5 4" xfId="99"/>
    <cellStyle name="40% - アクセント 5 5" xfId="100"/>
    <cellStyle name="40% - アクセント 5 6" xfId="101"/>
    <cellStyle name="40% - アクセント 5 7" xfId="102"/>
    <cellStyle name="40% - アクセント 5 8" xfId="103"/>
    <cellStyle name="40% - アクセント 5 9" xfId="104"/>
    <cellStyle name="40% - アクセント 6 2" xfId="105"/>
    <cellStyle name="40% - アクセント 6 3" xfId="106"/>
    <cellStyle name="40% - アクセント 6 4" xfId="107"/>
    <cellStyle name="40% - アクセント 6 5" xfId="108"/>
    <cellStyle name="40% - アクセント 6 6" xfId="109"/>
    <cellStyle name="40% - アクセント 6 7" xfId="110"/>
    <cellStyle name="40% - アクセント 6 8" xfId="111"/>
    <cellStyle name="40% - アクセント 6 9" xfId="112"/>
    <cellStyle name="60% - Accent1" xfId="113"/>
    <cellStyle name="60% - Accent2" xfId="114"/>
    <cellStyle name="60% - Accent3" xfId="115"/>
    <cellStyle name="60% - Accent4" xfId="116"/>
    <cellStyle name="60% - Accent5" xfId="117"/>
    <cellStyle name="60% - Accent6" xfId="118"/>
    <cellStyle name="60% - アクセント 1 2" xfId="119"/>
    <cellStyle name="60% - アクセント 1 3" xfId="120"/>
    <cellStyle name="60% - アクセント 1 4" xfId="121"/>
    <cellStyle name="60% - アクセント 1 5" xfId="122"/>
    <cellStyle name="60% - アクセント 1 6" xfId="123"/>
    <cellStyle name="60% - アクセント 1 7" xfId="124"/>
    <cellStyle name="60% - アクセント 1 8" xfId="125"/>
    <cellStyle name="60% - アクセント 1 9" xfId="126"/>
    <cellStyle name="60% - アクセント 2 2" xfId="127"/>
    <cellStyle name="60% - アクセント 2 3" xfId="128"/>
    <cellStyle name="60% - アクセント 2 4" xfId="129"/>
    <cellStyle name="60% - アクセント 2 5" xfId="130"/>
    <cellStyle name="60% - アクセント 2 6" xfId="131"/>
    <cellStyle name="60% - アクセント 2 7" xfId="132"/>
    <cellStyle name="60% - アクセント 2 8" xfId="133"/>
    <cellStyle name="60% - アクセント 2 9" xfId="134"/>
    <cellStyle name="60% - アクセント 3 2" xfId="135"/>
    <cellStyle name="60% - アクセント 3 3" xfId="136"/>
    <cellStyle name="60% - アクセント 3 4" xfId="137"/>
    <cellStyle name="60% - アクセント 3 5" xfId="138"/>
    <cellStyle name="60% - アクセント 3 6" xfId="139"/>
    <cellStyle name="60% - アクセント 3 7" xfId="140"/>
    <cellStyle name="60% - アクセント 3 8" xfId="141"/>
    <cellStyle name="60% - アクセント 3 9" xfId="142"/>
    <cellStyle name="60% - アクセント 4 2" xfId="143"/>
    <cellStyle name="60% - アクセント 4 3" xfId="144"/>
    <cellStyle name="60% - アクセント 4 4" xfId="145"/>
    <cellStyle name="60% - アクセント 4 5" xfId="146"/>
    <cellStyle name="60% - アクセント 4 6" xfId="147"/>
    <cellStyle name="60% - アクセント 4 7" xfId="148"/>
    <cellStyle name="60% - アクセント 4 8" xfId="149"/>
    <cellStyle name="60% - アクセント 4 9" xfId="150"/>
    <cellStyle name="60% - アクセント 5 2" xfId="151"/>
    <cellStyle name="60% - アクセント 5 3" xfId="152"/>
    <cellStyle name="60% - アクセント 5 4" xfId="153"/>
    <cellStyle name="60% - アクセント 5 5" xfId="154"/>
    <cellStyle name="60% - アクセント 5 6" xfId="155"/>
    <cellStyle name="60% - アクセント 5 7" xfId="156"/>
    <cellStyle name="60% - アクセント 5 8" xfId="157"/>
    <cellStyle name="60% - アクセント 5 9" xfId="158"/>
    <cellStyle name="60% - アクセント 6 2" xfId="159"/>
    <cellStyle name="60% - アクセント 6 3" xfId="160"/>
    <cellStyle name="60% - アクセント 6 4" xfId="161"/>
    <cellStyle name="60% - アクセント 6 5" xfId="162"/>
    <cellStyle name="60% - アクセント 6 6" xfId="163"/>
    <cellStyle name="60% - アクセント 6 7" xfId="164"/>
    <cellStyle name="60% - アクセント 6 8" xfId="165"/>
    <cellStyle name="60% - アクセント 6 9" xfId="166"/>
    <cellStyle name="Accent1" xfId="167"/>
    <cellStyle name="Accent2" xfId="168"/>
    <cellStyle name="Accent3" xfId="169"/>
    <cellStyle name="Accent4" xfId="170"/>
    <cellStyle name="Accent5" xfId="171"/>
    <cellStyle name="Accent6" xfId="172"/>
    <cellStyle name="args.style" xfId="173"/>
    <cellStyle name="B10" xfId="174"/>
    <cellStyle name="Bad" xfId="175"/>
    <cellStyle name="Body" xfId="176"/>
    <cellStyle name="Calc Currency (0)" xfId="177"/>
    <cellStyle name="Calc Currency (0) 2" xfId="178"/>
    <cellStyle name="Calculation" xfId="179"/>
    <cellStyle name="Calculation 2" xfId="180"/>
    <cellStyle name="Calculation 2 2" xfId="181"/>
    <cellStyle name="Calculation 2 2 2" xfId="182"/>
    <cellStyle name="Calculation 2 3" xfId="183"/>
    <cellStyle name="Calculation 2 3 2" xfId="184"/>
    <cellStyle name="Calculation 2 4" xfId="185"/>
    <cellStyle name="Calculation 2 4 2" xfId="186"/>
    <cellStyle name="Calculation 2 5" xfId="187"/>
    <cellStyle name="Calculation 2 5 2" xfId="188"/>
    <cellStyle name="Calculation 2 6" xfId="189"/>
    <cellStyle name="Calculation 2 6 2" xfId="190"/>
    <cellStyle name="Calculation 2 7" xfId="191"/>
    <cellStyle name="Calculation 3" xfId="192"/>
    <cellStyle name="Calculation 3 2" xfId="193"/>
    <cellStyle name="Calculation 4" xfId="194"/>
    <cellStyle name="Check Cell" xfId="195"/>
    <cellStyle name="Column Heading" xfId="196"/>
    <cellStyle name="Comma [0]_laroux" xfId="197"/>
    <cellStyle name="Comma_laroux" xfId="198"/>
    <cellStyle name="Currency [0]_laroux" xfId="199"/>
    <cellStyle name="Currency_laroux" xfId="200"/>
    <cellStyle name="entry" xfId="201"/>
    <cellStyle name="Explanatory Text" xfId="202"/>
    <cellStyle name="Good" xfId="203"/>
    <cellStyle name="Grey" xfId="204"/>
    <cellStyle name="Head 1" xfId="205"/>
    <cellStyle name="Header1" xfId="206"/>
    <cellStyle name="Header2" xfId="207"/>
    <cellStyle name="Header2 2" xfId="208"/>
    <cellStyle name="Header2 2 2" xfId="209"/>
    <cellStyle name="Header2 2 2 2" xfId="210"/>
    <cellStyle name="Header2 2 2 3" xfId="211"/>
    <cellStyle name="Header2 2 2 4" xfId="212"/>
    <cellStyle name="Header2 2 2 5" xfId="213"/>
    <cellStyle name="Header2 2 2 6" xfId="214"/>
    <cellStyle name="Header2 2 2 7" xfId="215"/>
    <cellStyle name="Header2 2 2 7 2" xfId="216"/>
    <cellStyle name="Header2 2 3" xfId="217"/>
    <cellStyle name="Header2 2 3 2" xfId="218"/>
    <cellStyle name="Header2 2 3 3" xfId="219"/>
    <cellStyle name="Header2 3" xfId="220"/>
    <cellStyle name="Header2 3 2" xfId="221"/>
    <cellStyle name="Header2 3 2 2" xfId="222"/>
    <cellStyle name="Header2 3 2 3" xfId="223"/>
    <cellStyle name="Header2 3 2 4" xfId="224"/>
    <cellStyle name="Header2 3 2 5" xfId="225"/>
    <cellStyle name="Header2 3 2 6" xfId="226"/>
    <cellStyle name="Header2 3 2 7" xfId="227"/>
    <cellStyle name="Header2 3 2 7 2" xfId="228"/>
    <cellStyle name="Header2 3 3" xfId="229"/>
    <cellStyle name="Header2 3 4" xfId="230"/>
    <cellStyle name="Header2 3 5" xfId="231"/>
    <cellStyle name="Header2 3 6" xfId="232"/>
    <cellStyle name="Header2 3 7" xfId="233"/>
    <cellStyle name="Header2 3 8" xfId="234"/>
    <cellStyle name="Header2 3 9" xfId="235"/>
    <cellStyle name="Header2 3 9 2" xfId="236"/>
    <cellStyle name="Header2 3 9 3" xfId="237"/>
    <cellStyle name="Header2 4" xfId="238"/>
    <cellStyle name="Header2 4 2" xfId="239"/>
    <cellStyle name="Header2 4 3" xfId="240"/>
    <cellStyle name="Header2 4 4" xfId="241"/>
    <cellStyle name="Header2 4 5" xfId="242"/>
    <cellStyle name="Header2 4 6" xfId="243"/>
    <cellStyle name="Header2 4 7" xfId="244"/>
    <cellStyle name="Header2 4 7 2" xfId="245"/>
    <cellStyle name="Header2 5" xfId="246"/>
    <cellStyle name="Header2 6" xfId="247"/>
    <cellStyle name="Header2 7" xfId="248"/>
    <cellStyle name="Header2 7 2" xfId="249"/>
    <cellStyle name="Header2 7 3" xfId="250"/>
    <cellStyle name="Heading 1" xfId="251"/>
    <cellStyle name="Heading 2" xfId="252"/>
    <cellStyle name="Heading 3" xfId="253"/>
    <cellStyle name="Heading 4" xfId="254"/>
    <cellStyle name="IBM(401K)" xfId="255"/>
    <cellStyle name="Input" xfId="256"/>
    <cellStyle name="Input [yellow]" xfId="257"/>
    <cellStyle name="Input [yellow] 2" xfId="258"/>
    <cellStyle name="Input [yellow] 2 2" xfId="259"/>
    <cellStyle name="Input [yellow] 2 2 2" xfId="260"/>
    <cellStyle name="Input [yellow] 2 2 3" xfId="261"/>
    <cellStyle name="Input [yellow] 2 2 4" xfId="262"/>
    <cellStyle name="Input [yellow] 2 2 5" xfId="263"/>
    <cellStyle name="Input [yellow] 2 2 6" xfId="264"/>
    <cellStyle name="Input [yellow] 2 2 7" xfId="265"/>
    <cellStyle name="Input [yellow] 2 2 8" xfId="266"/>
    <cellStyle name="Input [yellow] 2 2 9" xfId="267"/>
    <cellStyle name="Input [yellow] 2 3" xfId="268"/>
    <cellStyle name="Input [yellow] 2 3 2" xfId="269"/>
    <cellStyle name="Input [yellow] 2 3 3" xfId="270"/>
    <cellStyle name="Input [yellow] 3" xfId="271"/>
    <cellStyle name="Input [yellow] 3 2" xfId="272"/>
    <cellStyle name="Input [yellow] 3 2 2" xfId="273"/>
    <cellStyle name="Input [yellow] 3 2 3" xfId="274"/>
    <cellStyle name="Input [yellow] 3 2 4" xfId="275"/>
    <cellStyle name="Input [yellow] 3 2 5" xfId="276"/>
    <cellStyle name="Input [yellow] 3 2 6" xfId="277"/>
    <cellStyle name="Input [yellow] 3 2 7" xfId="278"/>
    <cellStyle name="Input [yellow] 3 2 8" xfId="279"/>
    <cellStyle name="Input [yellow] 3 2 9" xfId="280"/>
    <cellStyle name="Input [yellow] 3 3" xfId="281"/>
    <cellStyle name="Input [yellow] 3 4" xfId="282"/>
    <cellStyle name="Input [yellow] 3 5" xfId="283"/>
    <cellStyle name="Input [yellow] 3 6" xfId="284"/>
    <cellStyle name="Input [yellow] 3 7" xfId="285"/>
    <cellStyle name="Input [yellow] 3 8" xfId="286"/>
    <cellStyle name="Input [yellow] 3 9" xfId="287"/>
    <cellStyle name="Input [yellow] 3 9 2" xfId="288"/>
    <cellStyle name="Input [yellow] 3 9 3" xfId="289"/>
    <cellStyle name="Input [yellow] 4" xfId="290"/>
    <cellStyle name="Input [yellow] 4 2" xfId="291"/>
    <cellStyle name="Input [yellow] 4 3" xfId="292"/>
    <cellStyle name="Input [yellow] 4 4" xfId="293"/>
    <cellStyle name="Input [yellow] 4 5" xfId="294"/>
    <cellStyle name="Input [yellow] 4 6" xfId="295"/>
    <cellStyle name="Input [yellow] 4 7" xfId="296"/>
    <cellStyle name="Input [yellow] 4 8" xfId="297"/>
    <cellStyle name="Input [yellow] 4 8 2" xfId="298"/>
    <cellStyle name="Input [yellow] 4 8 3" xfId="299"/>
    <cellStyle name="Input [yellow] 5" xfId="300"/>
    <cellStyle name="Input [yellow] 6" xfId="301"/>
    <cellStyle name="Input [yellow] 7" xfId="302"/>
    <cellStyle name="Input [yellow] 7 2" xfId="303"/>
    <cellStyle name="Input [yellow] 7 3" xfId="304"/>
    <cellStyle name="Input 10" xfId="305"/>
    <cellStyle name="Input 10 2" xfId="306"/>
    <cellStyle name="Input 11" xfId="307"/>
    <cellStyle name="Input 11 2" xfId="308"/>
    <cellStyle name="Input 12" xfId="309"/>
    <cellStyle name="Input 12 2" xfId="310"/>
    <cellStyle name="Input 13" xfId="311"/>
    <cellStyle name="Input 13 2" xfId="312"/>
    <cellStyle name="Input 14" xfId="313"/>
    <cellStyle name="Input 14 2" xfId="314"/>
    <cellStyle name="Input 15" xfId="315"/>
    <cellStyle name="Input 15 2" xfId="316"/>
    <cellStyle name="Input 16" xfId="317"/>
    <cellStyle name="Input 16 2" xfId="318"/>
    <cellStyle name="Input 17" xfId="319"/>
    <cellStyle name="Input 17 2" xfId="320"/>
    <cellStyle name="Input 18" xfId="321"/>
    <cellStyle name="Input 19" xfId="322"/>
    <cellStyle name="Input 2" xfId="323"/>
    <cellStyle name="Input 2 2" xfId="324"/>
    <cellStyle name="Input 2 2 2" xfId="325"/>
    <cellStyle name="Input 2 3" xfId="326"/>
    <cellStyle name="Input 2 3 2" xfId="327"/>
    <cellStyle name="Input 2 4" xfId="328"/>
    <cellStyle name="Input 2 4 2" xfId="329"/>
    <cellStyle name="Input 2 5" xfId="330"/>
    <cellStyle name="Input 2 5 2" xfId="331"/>
    <cellStyle name="Input 2 6" xfId="332"/>
    <cellStyle name="Input 2 6 2" xfId="333"/>
    <cellStyle name="Input 2 7" xfId="334"/>
    <cellStyle name="Input 20" xfId="335"/>
    <cellStyle name="Input 21" xfId="336"/>
    <cellStyle name="Input 22" xfId="337"/>
    <cellStyle name="Input 23" xfId="338"/>
    <cellStyle name="Input 24" xfId="339"/>
    <cellStyle name="Input 25" xfId="340"/>
    <cellStyle name="Input 26" xfId="341"/>
    <cellStyle name="Input 3" xfId="342"/>
    <cellStyle name="Input 3 2" xfId="343"/>
    <cellStyle name="Input 4" xfId="344"/>
    <cellStyle name="Input 4 2" xfId="345"/>
    <cellStyle name="Input 5" xfId="346"/>
    <cellStyle name="Input 5 2" xfId="347"/>
    <cellStyle name="Input 6" xfId="348"/>
    <cellStyle name="Input 6 2" xfId="349"/>
    <cellStyle name="Input 7" xfId="350"/>
    <cellStyle name="Input 7 2" xfId="351"/>
    <cellStyle name="Input 8" xfId="352"/>
    <cellStyle name="Input 8 2" xfId="353"/>
    <cellStyle name="Input 9" xfId="354"/>
    <cellStyle name="Input 9 2" xfId="355"/>
    <cellStyle name="J401K" xfId="356"/>
    <cellStyle name="Linked Cell" xfId="357"/>
    <cellStyle name="Millares [0]_Compra" xfId="358"/>
    <cellStyle name="Millares_Compra" xfId="359"/>
    <cellStyle name="Moneda [0]_Compra" xfId="360"/>
    <cellStyle name="Moneda_Compra" xfId="361"/>
    <cellStyle name="Neutral" xfId="362"/>
    <cellStyle name="no dec" xfId="363"/>
    <cellStyle name="Normal - Style1" xfId="364"/>
    <cellStyle name="Normal - Style1 2" xfId="365"/>
    <cellStyle name="Normal - Style1 2 2" xfId="366"/>
    <cellStyle name="Normal - Style1 2 3" xfId="367"/>
    <cellStyle name="Normal_#18-Internet" xfId="368"/>
    <cellStyle name="Note" xfId="369"/>
    <cellStyle name="Note 2" xfId="370"/>
    <cellStyle name="Note 2 2" xfId="371"/>
    <cellStyle name="Note 2 2 2" xfId="372"/>
    <cellStyle name="Note 2 2 2 2" xfId="373"/>
    <cellStyle name="Note 2 2 3" xfId="374"/>
    <cellStyle name="Note 2 2 3 2" xfId="375"/>
    <cellStyle name="Note 2 2 4" xfId="376"/>
    <cellStyle name="Note 2 2 4 2" xfId="377"/>
    <cellStyle name="Note 2 2 5" xfId="378"/>
    <cellStyle name="Note 2 2 5 2" xfId="379"/>
    <cellStyle name="Note 2 2 6" xfId="380"/>
    <cellStyle name="Note 2 2 6 2" xfId="381"/>
    <cellStyle name="Note 2 2 7" xfId="382"/>
    <cellStyle name="Note 2 3" xfId="383"/>
    <cellStyle name="Note 2 3 2" xfId="384"/>
    <cellStyle name="Note 2 4" xfId="385"/>
    <cellStyle name="Note 3" xfId="386"/>
    <cellStyle name="Note 3 2" xfId="387"/>
    <cellStyle name="Note 3 2 2" xfId="388"/>
    <cellStyle name="Note 3 2 2 2" xfId="389"/>
    <cellStyle name="Note 3 2 3" xfId="390"/>
    <cellStyle name="Note 3 2 3 2" xfId="391"/>
    <cellStyle name="Note 3 2 4" xfId="392"/>
    <cellStyle name="Note 3 2 4 2" xfId="393"/>
    <cellStyle name="Note 3 2 5" xfId="394"/>
    <cellStyle name="Note 3 2 5 2" xfId="395"/>
    <cellStyle name="Note 3 2 6" xfId="396"/>
    <cellStyle name="Note 3 2 6 2" xfId="397"/>
    <cellStyle name="Note 3 2 7" xfId="398"/>
    <cellStyle name="Note 3 3" xfId="399"/>
    <cellStyle name="Note 3 3 2" xfId="400"/>
    <cellStyle name="Note 3 4" xfId="401"/>
    <cellStyle name="Note 3 4 2" xfId="402"/>
    <cellStyle name="Note 3 5" xfId="403"/>
    <cellStyle name="Note 3 5 2" xfId="404"/>
    <cellStyle name="Note 3 6" xfId="405"/>
    <cellStyle name="Note 3 6 2" xfId="406"/>
    <cellStyle name="Note 3 7" xfId="407"/>
    <cellStyle name="Note 3 7 2" xfId="408"/>
    <cellStyle name="Note 3 8" xfId="409"/>
    <cellStyle name="Note 4" xfId="410"/>
    <cellStyle name="Note 4 2" xfId="411"/>
    <cellStyle name="Note 4 2 2" xfId="412"/>
    <cellStyle name="Note 4 3" xfId="413"/>
    <cellStyle name="Note 4 3 2" xfId="414"/>
    <cellStyle name="Note 4 4" xfId="415"/>
    <cellStyle name="Note 4 4 2" xfId="416"/>
    <cellStyle name="Note 4 5" xfId="417"/>
    <cellStyle name="Note 4 5 2" xfId="418"/>
    <cellStyle name="Note 4 6" xfId="419"/>
    <cellStyle name="Note 4 6 2" xfId="420"/>
    <cellStyle name="Note 4 7" xfId="421"/>
    <cellStyle name="Note 5" xfId="422"/>
    <cellStyle name="Note 5 2" xfId="423"/>
    <cellStyle name="Output" xfId="424"/>
    <cellStyle name="Output 2" xfId="425"/>
    <cellStyle name="Output 2 2" xfId="426"/>
    <cellStyle name="Output 2 2 2" xfId="427"/>
    <cellStyle name="Output 2 3" xfId="428"/>
    <cellStyle name="Output 2 3 2" xfId="429"/>
    <cellStyle name="Output 2 4" xfId="430"/>
    <cellStyle name="Output 2 4 2" xfId="431"/>
    <cellStyle name="Output 2 5" xfId="432"/>
    <cellStyle name="Output 2 5 2" xfId="433"/>
    <cellStyle name="Output 2 6" xfId="434"/>
    <cellStyle name="Output 2 6 2" xfId="435"/>
    <cellStyle name="Output 2 7" xfId="436"/>
    <cellStyle name="Output 3" xfId="437"/>
    <cellStyle name="Output 3 2" xfId="438"/>
    <cellStyle name="per.style" xfId="439"/>
    <cellStyle name="Percent [2]" xfId="440"/>
    <cellStyle name="price" xfId="441"/>
    <cellStyle name="PSChar" xfId="442"/>
    <cellStyle name="PSHeading" xfId="443"/>
    <cellStyle name="QDF" xfId="444"/>
    <cellStyle name="revised" xfId="445"/>
    <cellStyle name="section" xfId="446"/>
    <cellStyle name="subhead" xfId="447"/>
    <cellStyle name="title" xfId="448"/>
    <cellStyle name="Total" xfId="449"/>
    <cellStyle name="Total 2" xfId="450"/>
    <cellStyle name="Total 2 2" xfId="451"/>
    <cellStyle name="Total 2 2 2" xfId="452"/>
    <cellStyle name="Total 2 3" xfId="453"/>
    <cellStyle name="Total 2 3 2" xfId="454"/>
    <cellStyle name="Total 2 4" xfId="455"/>
    <cellStyle name="Total 2 4 2" xfId="456"/>
    <cellStyle name="Total 2 5" xfId="457"/>
    <cellStyle name="Total 2 5 2" xfId="458"/>
    <cellStyle name="Total 2 6" xfId="459"/>
    <cellStyle name="Total 2 6 2" xfId="460"/>
    <cellStyle name="Total 2 7" xfId="461"/>
    <cellStyle name="Total 3" xfId="462"/>
    <cellStyle name="Total 3 2" xfId="463"/>
    <cellStyle name="Warning Text" xfId="464"/>
    <cellStyle name="アクセント 1 2" xfId="465"/>
    <cellStyle name="アクセント 1 3" xfId="466"/>
    <cellStyle name="アクセント 1 4" xfId="467"/>
    <cellStyle name="アクセント 1 5" xfId="468"/>
    <cellStyle name="アクセント 1 6" xfId="469"/>
    <cellStyle name="アクセント 1 7" xfId="470"/>
    <cellStyle name="アクセント 1 8" xfId="471"/>
    <cellStyle name="アクセント 1 9" xfId="472"/>
    <cellStyle name="アクセント 2 2" xfId="473"/>
    <cellStyle name="アクセント 2 3" xfId="474"/>
    <cellStyle name="アクセント 2 4" xfId="475"/>
    <cellStyle name="アクセント 2 5" xfId="476"/>
    <cellStyle name="アクセント 2 6" xfId="477"/>
    <cellStyle name="アクセント 2 7" xfId="478"/>
    <cellStyle name="アクセント 2 8" xfId="479"/>
    <cellStyle name="アクセント 2 9" xfId="480"/>
    <cellStyle name="アクセント 3 2" xfId="481"/>
    <cellStyle name="アクセント 3 3" xfId="482"/>
    <cellStyle name="アクセント 3 4" xfId="483"/>
    <cellStyle name="アクセント 3 5" xfId="484"/>
    <cellStyle name="アクセント 3 6" xfId="485"/>
    <cellStyle name="アクセント 3 7" xfId="486"/>
    <cellStyle name="アクセント 3 8" xfId="487"/>
    <cellStyle name="アクセント 3 9" xfId="488"/>
    <cellStyle name="アクセント 4 2" xfId="489"/>
    <cellStyle name="アクセント 4 3" xfId="490"/>
    <cellStyle name="アクセント 4 4" xfId="491"/>
    <cellStyle name="アクセント 4 5" xfId="492"/>
    <cellStyle name="アクセント 4 6" xfId="493"/>
    <cellStyle name="アクセント 4 7" xfId="494"/>
    <cellStyle name="アクセント 4 8" xfId="495"/>
    <cellStyle name="アクセント 4 9" xfId="496"/>
    <cellStyle name="アクセント 5 2" xfId="497"/>
    <cellStyle name="アクセント 5 3" xfId="498"/>
    <cellStyle name="アクセント 5 4" xfId="499"/>
    <cellStyle name="アクセント 5 5" xfId="500"/>
    <cellStyle name="アクセント 5 6" xfId="501"/>
    <cellStyle name="アクセント 5 7" xfId="502"/>
    <cellStyle name="アクセント 5 8" xfId="503"/>
    <cellStyle name="アクセント 5 9" xfId="504"/>
    <cellStyle name="アクセント 6 2" xfId="505"/>
    <cellStyle name="アクセント 6 3" xfId="506"/>
    <cellStyle name="アクセント 6 4" xfId="507"/>
    <cellStyle name="アクセント 6 5" xfId="508"/>
    <cellStyle name="アクセント 6 6" xfId="509"/>
    <cellStyle name="アクセント 6 7" xfId="510"/>
    <cellStyle name="アクセント 6 8" xfId="511"/>
    <cellStyle name="アクセント 6 9" xfId="512"/>
    <cellStyle name="センター" xfId="513"/>
    <cellStyle name="タイトル 2" xfId="514"/>
    <cellStyle name="タイトル 3" xfId="515"/>
    <cellStyle name="タイトル 4" xfId="516"/>
    <cellStyle name="タイトル 5" xfId="517"/>
    <cellStyle name="タイトル 6" xfId="518"/>
    <cellStyle name="タイトル 7" xfId="519"/>
    <cellStyle name="タイトル 8" xfId="520"/>
    <cellStyle name="タイトル 9" xfId="521"/>
    <cellStyle name="チェック セル 2" xfId="522"/>
    <cellStyle name="チェック セル 3" xfId="523"/>
    <cellStyle name="チェック セル 4" xfId="524"/>
    <cellStyle name="チェック セル 5" xfId="525"/>
    <cellStyle name="チェック セル 6" xfId="526"/>
    <cellStyle name="チェック セル 7" xfId="527"/>
    <cellStyle name="チェック セル 8" xfId="528"/>
    <cellStyle name="チェック セル 9" xfId="529"/>
    <cellStyle name="チャート" xfId="530"/>
    <cellStyle name="どちらでもない 2" xfId="531"/>
    <cellStyle name="どちらでもない 3" xfId="532"/>
    <cellStyle name="どちらでもない 4" xfId="533"/>
    <cellStyle name="どちらでもない 5" xfId="534"/>
    <cellStyle name="どちらでもない 6" xfId="535"/>
    <cellStyle name="どちらでもない 7" xfId="536"/>
    <cellStyle name="どちらでもない 8" xfId="537"/>
    <cellStyle name="どちらでもない 9" xfId="538"/>
    <cellStyle name="パーセント 2" xfId="539"/>
    <cellStyle name="パーセント 2 2" xfId="540"/>
    <cellStyle name="パーセント 3" xfId="541"/>
    <cellStyle name="ハイパーリンク 2" xfId="542"/>
    <cellStyle name="ハイパーリンク 2 2" xfId="543"/>
    <cellStyle name="ハイパーリンク 2 3" xfId="544"/>
    <cellStyle name="ハイパーリンク 3" xfId="545"/>
    <cellStyle name="メモ 10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1092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3" xfId="1167"/>
    <cellStyle name="標準 136" xfId="1168"/>
    <cellStyle name="標準 14" xfId="1169"/>
    <cellStyle name="標準 14 2" xfId="1170"/>
    <cellStyle name="標準 14 2 2" xfId="1171"/>
    <cellStyle name="標準 14 2 3" xfId="1172"/>
    <cellStyle name="標準 14 3" xfId="1173"/>
    <cellStyle name="標準 14 4" xfId="1174"/>
    <cellStyle name="標準 15" xfId="1175"/>
    <cellStyle name="標準 15 2" xfId="1176"/>
    <cellStyle name="標準 15 2 2" xfId="1177"/>
    <cellStyle name="標準 15 2 3" xfId="1178"/>
    <cellStyle name="標準 15 3" xfId="1179"/>
    <cellStyle name="標準 15 4" xfId="1180"/>
    <cellStyle name="標準 15 5" xfId="1181"/>
    <cellStyle name="標準 15 6" xfId="1182"/>
    <cellStyle name="標準 16" xfId="1183"/>
    <cellStyle name="標準 16 2" xfId="1184"/>
    <cellStyle name="標準 16 2 2" xfId="1185"/>
    <cellStyle name="標準 16 2 3" xfId="1186"/>
    <cellStyle name="標準 16 3" xfId="1187"/>
    <cellStyle name="標準 16 4" xfId="1188"/>
    <cellStyle name="標準 16 5" xfId="1189"/>
    <cellStyle name="標準 17" xfId="1190"/>
    <cellStyle name="標準 17 2" xfId="1191"/>
    <cellStyle name="標準 17 2 2" xfId="1192"/>
    <cellStyle name="標準 17 2 3" xfId="1193"/>
    <cellStyle name="標準 17 3" xfId="1194"/>
    <cellStyle name="標準 17 4" xfId="1195"/>
    <cellStyle name="標準 17 5" xfId="1196"/>
    <cellStyle name="標準 18" xfId="1197"/>
    <cellStyle name="標準 18 2" xfId="1198"/>
    <cellStyle name="標準 18 2 2" xfId="1199"/>
    <cellStyle name="標準 18 2 3" xfId="1200"/>
    <cellStyle name="標準 18 2 4" xfId="1201"/>
    <cellStyle name="標準 18 3" xfId="1202"/>
    <cellStyle name="標準 18 4" xfId="1203"/>
    <cellStyle name="標準 18 5" xfId="1204"/>
    <cellStyle name="標準 18 6" xfId="1205"/>
    <cellStyle name="標準 19" xfId="1206"/>
    <cellStyle name="標準 19 2" xfId="1207"/>
    <cellStyle name="標準 19 3" xfId="1208"/>
    <cellStyle name="標準 2" xfId="1209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E40"/>
  <sheetViews>
    <sheetView showGridLines="0" tabSelected="1" view="pageBreakPreview" workbookViewId="0" zoomScaleNormal="70" zoomScaleSheetLayoutView="100">
      <pane activePane="bottomLeft" state="frozen" topLeftCell="A10" ySplit="9"/>
      <selection activeCell="A10" pane="bottomLeft" sqref="A10"/>
    </sheetView>
  </sheetViews>
  <sheetFormatPr defaultRowHeight="13.5"/>
  <cols>
    <col min="1" max="1" customWidth="true" style="5" width="6.5" collapsed="false"/>
    <col min="2" max="2" customWidth="true" style="5" width="30.625" collapsed="false"/>
    <col min="3" max="3" customWidth="true" style="6" width="30.625" collapsed="false"/>
    <col min="4" max="4" customWidth="true" style="5" width="4.625" collapsed="false"/>
    <col min="5" max="5" customWidth="true" style="5" width="22.625" collapsed="false"/>
    <col min="6" max="6" customWidth="true" style="5" width="4.625" collapsed="false"/>
    <col min="7" max="7" customWidth="true" style="5" width="22.625" collapsed="false"/>
    <col min="8" max="8" customWidth="true" style="5" width="4.625" collapsed="false"/>
    <col min="9" max="9" customWidth="true" style="5" width="22.625" collapsed="false"/>
    <col min="10" max="10" customWidth="true" style="5" width="4.625" collapsed="false"/>
    <col min="11" max="11" customWidth="true" style="5" width="22.625" collapsed="false"/>
    <col min="12" max="12" customWidth="true" style="5" width="4.625" collapsed="false"/>
    <col min="13" max="13" customWidth="true" style="5" width="22.625" collapsed="false"/>
    <col min="14" max="14" customWidth="true" style="5" width="4.625" collapsed="false"/>
    <col min="15" max="18" customWidth="true" style="5" width="22.625" collapsed="false"/>
    <col min="19" max="19" customWidth="true" style="5" width="4.625" collapsed="false"/>
    <col min="20" max="20" customWidth="true" style="5" width="22.625" collapsed="false"/>
    <col min="21" max="21" customWidth="true" style="5" width="4.625" collapsed="false"/>
    <col min="22" max="22" customWidth="true" style="5" width="22.625" collapsed="false"/>
    <col min="23" max="23" customWidth="true" style="5" width="4.625" collapsed="false"/>
    <col min="24" max="24" customWidth="true" style="5" width="22.625" collapsed="false"/>
    <col min="25" max="25" customWidth="true" style="5" width="4.625" collapsed="false"/>
    <col min="26" max="26" customWidth="true" style="5" width="22.625" collapsed="false"/>
    <col min="27" max="27" customWidth="true" style="5" width="4.625" collapsed="false"/>
    <col min="28" max="28" customWidth="true" style="5" width="22.625" collapsed="false"/>
    <col min="29" max="29" customWidth="true" style="5" width="4.625" collapsed="false"/>
    <col min="30" max="30" customWidth="true" style="5" width="22.625" collapsed="false"/>
    <col min="31" max="31" customWidth="true" style="1" width="9.0" collapsed="false"/>
    <col min="32" max="16384" style="1" width="9.0" collapsed="false"/>
  </cols>
  <sheetData>
    <row customHeight="1" ht="30" r="1" spans="1:3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customFormat="1" customHeight="1" ht="30" r="2" s="2" spans="1:3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customFormat="1" customHeight="1" ht="15" r="3" s="2" spans="1:30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customFormat="1" customHeight="1" ht="17.100000000000001" r="4" s="3" spans="1:30">
      <c r="A4" s="9" t="s">
        <v>2</v>
      </c>
      <c r="B4" s="9"/>
      <c r="C4" s="9"/>
      <c r="D4" s="9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1" t="s">
        <v>3</v>
      </c>
    </row>
    <row customFormat="1" customHeight="1" ht="17.100000000000001" r="5" s="3" spans="1:30">
      <c r="A5" s="45" t="s">
        <v>4</v>
      </c>
      <c r="B5" s="45" t="s">
        <v>5</v>
      </c>
      <c r="C5" s="32" t="s">
        <v>6</v>
      </c>
      <c r="D5" s="32" t="s">
        <v>7</v>
      </c>
      <c r="E5" s="33"/>
      <c r="F5" s="33" t="s">
        <v>8</v>
      </c>
      <c r="G5" s="33"/>
      <c r="H5" s="33" t="s">
        <v>8</v>
      </c>
      <c r="I5" s="34"/>
      <c r="J5" s="32" t="s">
        <v>9</v>
      </c>
      <c r="K5" s="33"/>
      <c r="L5" s="33" t="s">
        <v>8</v>
      </c>
      <c r="M5" s="33"/>
      <c r="N5" s="33" t="s">
        <v>8</v>
      </c>
      <c r="O5" s="34"/>
      <c r="P5" s="33" t="s">
        <v>10</v>
      </c>
      <c r="Q5" s="33"/>
      <c r="R5" s="34"/>
      <c r="S5" s="32" t="s">
        <v>11</v>
      </c>
      <c r="T5" s="33"/>
      <c r="U5" s="33" t="s">
        <v>8</v>
      </c>
      <c r="V5" s="33"/>
      <c r="W5" s="33" t="s">
        <v>8</v>
      </c>
      <c r="X5" s="34"/>
      <c r="Y5" s="32" t="s">
        <v>12</v>
      </c>
      <c r="Z5" s="33"/>
      <c r="AA5" s="33" t="s">
        <v>8</v>
      </c>
      <c r="AB5" s="33"/>
      <c r="AC5" s="33" t="s">
        <v>8</v>
      </c>
      <c r="AD5" s="34"/>
    </row>
    <row customFormat="1" customHeight="1" ht="17.100000000000001" r="6" s="3" spans="1:30">
      <c r="A6" s="40"/>
      <c r="B6" s="40"/>
      <c r="C6" s="46"/>
      <c r="D6" s="35" t="s">
        <v>13</v>
      </c>
      <c r="E6" s="36"/>
      <c r="F6" s="37" t="s">
        <v>14</v>
      </c>
      <c r="G6" s="38"/>
      <c r="H6" s="36" t="s">
        <v>15</v>
      </c>
      <c r="I6" s="39"/>
      <c r="J6" s="35" t="s">
        <v>13</v>
      </c>
      <c r="K6" s="36"/>
      <c r="L6" s="37" t="s">
        <v>14</v>
      </c>
      <c r="M6" s="38"/>
      <c r="N6" s="36" t="s">
        <v>15</v>
      </c>
      <c r="O6" s="39"/>
      <c r="P6" s="12" t="s">
        <v>13</v>
      </c>
      <c r="Q6" s="13" t="s">
        <v>14</v>
      </c>
      <c r="R6" s="14" t="s">
        <v>16</v>
      </c>
      <c r="S6" s="35" t="s">
        <v>13</v>
      </c>
      <c r="T6" s="36"/>
      <c r="U6" s="37" t="s">
        <v>14</v>
      </c>
      <c r="V6" s="38"/>
      <c r="W6" s="36" t="s">
        <v>15</v>
      </c>
      <c r="X6" s="39"/>
      <c r="Y6" s="35" t="s">
        <v>13</v>
      </c>
      <c r="Z6" s="36"/>
      <c r="AA6" s="37" t="s">
        <v>14</v>
      </c>
      <c r="AB6" s="38"/>
      <c r="AC6" s="36" t="s">
        <v>15</v>
      </c>
      <c r="AD6" s="39"/>
    </row>
    <row customFormat="1" customHeight="1" ht="1.5" r="7" s="3" spans="1:30">
      <c r="A7" s="15"/>
      <c r="B7" s="40"/>
      <c r="C7" s="4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7"/>
    </row>
    <row customFormat="1" customHeight="1" ht="17.100000000000001" r="8" s="3" spans="1:30">
      <c r="A8" s="40" t="s">
        <v>17</v>
      </c>
      <c r="B8" s="40"/>
      <c r="C8" s="46"/>
      <c r="D8" s="42" t="s">
        <v>18</v>
      </c>
      <c r="E8" s="43"/>
      <c r="F8" s="43"/>
      <c r="G8" s="43"/>
      <c r="H8" s="43"/>
      <c r="I8" s="44"/>
      <c r="J8" s="42" t="s">
        <v>19</v>
      </c>
      <c r="K8" s="43"/>
      <c r="L8" s="43"/>
      <c r="M8" s="43"/>
      <c r="N8" s="43"/>
      <c r="O8" s="44"/>
      <c r="P8" s="43" t="s">
        <v>20</v>
      </c>
      <c r="Q8" s="43"/>
      <c r="R8" s="44"/>
      <c r="S8" s="42" t="s">
        <v>21</v>
      </c>
      <c r="T8" s="43"/>
      <c r="U8" s="43"/>
      <c r="V8" s="43"/>
      <c r="W8" s="43"/>
      <c r="X8" s="44"/>
      <c r="Y8" s="42" t="s">
        <v>22</v>
      </c>
      <c r="Z8" s="43"/>
      <c r="AA8" s="43"/>
      <c r="AB8" s="43"/>
      <c r="AC8" s="43"/>
      <c r="AD8" s="44"/>
    </row>
    <row customFormat="1" customHeight="1" ht="17.100000000000001" r="9" s="3" spans="1:30">
      <c r="A9" s="41"/>
      <c r="B9" s="41"/>
      <c r="C9" s="30"/>
      <c r="D9" s="30" t="s">
        <v>23</v>
      </c>
      <c r="E9" s="31"/>
      <c r="F9" s="47" t="s">
        <v>24</v>
      </c>
      <c r="G9" s="48"/>
      <c r="H9" s="31" t="s">
        <v>25</v>
      </c>
      <c r="I9" s="49"/>
      <c r="J9" s="30" t="s">
        <v>23</v>
      </c>
      <c r="K9" s="31"/>
      <c r="L9" s="47" t="s">
        <v>24</v>
      </c>
      <c r="M9" s="48"/>
      <c r="N9" s="31" t="s">
        <v>25</v>
      </c>
      <c r="O9" s="49"/>
      <c r="P9" s="18" t="s">
        <v>23</v>
      </c>
      <c r="Q9" s="19" t="s">
        <v>24</v>
      </c>
      <c r="R9" s="20" t="s">
        <v>25</v>
      </c>
      <c r="S9" s="30" t="s">
        <v>23</v>
      </c>
      <c r="T9" s="31"/>
      <c r="U9" s="47" t="s">
        <v>24</v>
      </c>
      <c r="V9" s="48"/>
      <c r="W9" s="31" t="s">
        <v>25</v>
      </c>
      <c r="X9" s="49"/>
      <c r="Y9" s="30" t="s">
        <v>23</v>
      </c>
      <c r="Z9" s="31"/>
      <c r="AA9" s="47" t="s">
        <v>24</v>
      </c>
      <c r="AB9" s="48"/>
      <c r="AC9" s="31" t="s">
        <v>25</v>
      </c>
      <c r="AD9" s="49"/>
    </row>
    <row customFormat="1" customHeight="1" ht="13.5" r="10" s="4" spans="1:30">
      <c r="A10" s="21" t="s">
        <v>26</v>
      </c>
      <c r="B10" s="22" t="s">
        <v>27</v>
      </c>
      <c r="C10" s="22" t="s">
        <v>28</v>
      </c>
      <c r="D10" s="23"/>
      <c r="E10" s="26"/>
      <c r="F10" s="24"/>
      <c r="G10" s="26"/>
      <c r="H10" s="25"/>
      <c r="I10" s="26"/>
      <c r="J10" s="23"/>
      <c r="K10" s="26"/>
      <c r="L10" s="24"/>
      <c r="M10" s="26"/>
      <c r="N10" s="25"/>
      <c r="O10" s="26"/>
      <c r="P10" s="27"/>
      <c r="Q10" s="28"/>
      <c r="R10" s="29"/>
      <c r="S10" s="23"/>
      <c r="T10" s="26"/>
      <c r="U10" s="24"/>
      <c r="V10" s="26"/>
      <c r="W10" s="25"/>
      <c r="X10" s="26"/>
      <c r="Y10" s="23"/>
      <c r="Z10" s="26"/>
      <c r="AA10" s="24"/>
      <c r="AB10" s="26"/>
      <c r="AC10" s="25"/>
      <c r="AD10" s="26"/>
    </row>
    <row r="11">
      <c r="A11" s="21" t="s">
        <v>29</v>
      </c>
      <c r="B11" s="22" t="s">
        <v>27</v>
      </c>
      <c r="C11" s="22" t="s">
        <v>28</v>
      </c>
      <c r="D11" s="23"/>
      <c r="E11" s="26" t="n">
        <f>241</f>
        <v>241.0</v>
      </c>
      <c r="F11" s="24"/>
      <c r="G11" s="26" t="n">
        <f>317</f>
        <v>317.0</v>
      </c>
      <c r="H11" s="25"/>
      <c r="I11" s="26" t="n">
        <f>558</f>
        <v>558.0</v>
      </c>
      <c r="J11" s="23"/>
      <c r="K11" s="26" t="n">
        <f>15000000</f>
        <v>1.5E7</v>
      </c>
      <c r="L11" s="24"/>
      <c r="M11" s="26" t="n">
        <f>23080000</f>
        <v>2.308E7</v>
      </c>
      <c r="N11" s="25"/>
      <c r="O11" s="26" t="n">
        <f>38080000</f>
        <v>3.808E7</v>
      </c>
      <c r="P11" s="27" t="str">
        <f>"－"</f>
        <v>－</v>
      </c>
      <c r="Q11" s="28" t="str">
        <f>"－"</f>
        <v>－</v>
      </c>
      <c r="R11" s="29" t="str">
        <f>"－"</f>
        <v>－</v>
      </c>
      <c r="S11" s="23" t="s">
        <v>30</v>
      </c>
      <c r="T11" s="26" t="str">
        <f>"－"</f>
        <v>－</v>
      </c>
      <c r="U11" s="24" t="s">
        <v>30</v>
      </c>
      <c r="V11" s="26" t="str">
        <f>"－"</f>
        <v>－</v>
      </c>
      <c r="W11" s="25" t="s">
        <v>30</v>
      </c>
      <c r="X11" s="26" t="str">
        <f>"－"</f>
        <v>－</v>
      </c>
      <c r="Y11" s="23"/>
      <c r="Z11" s="26" t="n">
        <f>1004</f>
        <v>1004.0</v>
      </c>
      <c r="AA11" s="24"/>
      <c r="AB11" s="26" t="n">
        <f>739</f>
        <v>739.0</v>
      </c>
      <c r="AC11" s="25"/>
      <c r="AD11" s="26" t="n">
        <f>1743</f>
        <v>1743.0</v>
      </c>
    </row>
    <row r="12">
      <c r="A12" s="21" t="s">
        <v>31</v>
      </c>
      <c r="B12" s="22" t="s">
        <v>27</v>
      </c>
      <c r="C12" s="22" t="s">
        <v>28</v>
      </c>
      <c r="D12" s="23"/>
      <c r="E12" s="26" t="n">
        <f>346</f>
        <v>346.0</v>
      </c>
      <c r="F12" s="24" t="s">
        <v>32</v>
      </c>
      <c r="G12" s="26" t="n">
        <f>1623</f>
        <v>1623.0</v>
      </c>
      <c r="H12" s="25" t="s">
        <v>32</v>
      </c>
      <c r="I12" s="26" t="n">
        <f>1969</f>
        <v>1969.0</v>
      </c>
      <c r="J12" s="23"/>
      <c r="K12" s="26" t="n">
        <f>23080000</f>
        <v>2.308E7</v>
      </c>
      <c r="L12" s="24" t="s">
        <v>32</v>
      </c>
      <c r="M12" s="26" t="n">
        <f>161830000</f>
        <v>1.6183E8</v>
      </c>
      <c r="N12" s="25" t="s">
        <v>32</v>
      </c>
      <c r="O12" s="26" t="n">
        <f>184910000</f>
        <v>1.8491E8</v>
      </c>
      <c r="P12" s="27" t="str">
        <f>"－"</f>
        <v>－</v>
      </c>
      <c r="Q12" s="28" t="str">
        <f>"－"</f>
        <v>－</v>
      </c>
      <c r="R12" s="29" t="str">
        <f>"－"</f>
        <v>－</v>
      </c>
      <c r="S12" s="23"/>
      <c r="T12" s="26" t="str">
        <f>"－"</f>
        <v>－</v>
      </c>
      <c r="U12" s="24"/>
      <c r="V12" s="26" t="n">
        <f>103</f>
        <v>103.0</v>
      </c>
      <c r="W12" s="25"/>
      <c r="X12" s="26" t="n">
        <f>103</f>
        <v>103.0</v>
      </c>
      <c r="Y12" s="23"/>
      <c r="Z12" s="26" t="n">
        <f>1129</f>
        <v>1129.0</v>
      </c>
      <c r="AA12" s="24"/>
      <c r="AB12" s="26" t="n">
        <f>2094</f>
        <v>2094.0</v>
      </c>
      <c r="AC12" s="25"/>
      <c r="AD12" s="26" t="n">
        <f>3223</f>
        <v>3223.0</v>
      </c>
    </row>
    <row r="13">
      <c r="A13" s="21" t="s">
        <v>33</v>
      </c>
      <c r="B13" s="22" t="s">
        <v>27</v>
      </c>
      <c r="C13" s="22" t="s">
        <v>28</v>
      </c>
      <c r="D13" s="23"/>
      <c r="E13" s="26" t="n">
        <f>220</f>
        <v>220.0</v>
      </c>
      <c r="F13" s="24"/>
      <c r="G13" s="26" t="n">
        <f>108</f>
        <v>108.0</v>
      </c>
      <c r="H13" s="25"/>
      <c r="I13" s="26" t="n">
        <f>328</f>
        <v>328.0</v>
      </c>
      <c r="J13" s="23"/>
      <c r="K13" s="26" t="n">
        <f>18410000</f>
        <v>1.841E7</v>
      </c>
      <c r="L13" s="24"/>
      <c r="M13" s="26" t="n">
        <f>6770000</f>
        <v>6770000.0</v>
      </c>
      <c r="N13" s="25"/>
      <c r="O13" s="26" t="n">
        <f>25180000</f>
        <v>2.518E7</v>
      </c>
      <c r="P13" s="27" t="str">
        <f>"－"</f>
        <v>－</v>
      </c>
      <c r="Q13" s="28" t="str">
        <f>"－"</f>
        <v>－</v>
      </c>
      <c r="R13" s="29" t="str">
        <f>"－"</f>
        <v>－</v>
      </c>
      <c r="S13" s="23"/>
      <c r="T13" s="26" t="str">
        <f>"－"</f>
        <v>－</v>
      </c>
      <c r="U13" s="24"/>
      <c r="V13" s="26" t="str">
        <f>"－"</f>
        <v>－</v>
      </c>
      <c r="W13" s="25"/>
      <c r="X13" s="26" t="str">
        <f>"－"</f>
        <v>－</v>
      </c>
      <c r="Y13" s="23"/>
      <c r="Z13" s="26" t="n">
        <f>1315</f>
        <v>1315.0</v>
      </c>
      <c r="AA13" s="24"/>
      <c r="AB13" s="26" t="n">
        <f>2154</f>
        <v>2154.0</v>
      </c>
      <c r="AC13" s="25"/>
      <c r="AD13" s="26" t="n">
        <f>3469</f>
        <v>3469.0</v>
      </c>
    </row>
    <row r="14">
      <c r="A14" s="21" t="s">
        <v>34</v>
      </c>
      <c r="B14" s="22" t="s">
        <v>27</v>
      </c>
      <c r="C14" s="22" t="s">
        <v>28</v>
      </c>
      <c r="D14" s="23"/>
      <c r="E14" s="26" t="n">
        <f>153</f>
        <v>153.0</v>
      </c>
      <c r="F14" s="24"/>
      <c r="G14" s="26" t="n">
        <f>34</f>
        <v>34.0</v>
      </c>
      <c r="H14" s="25"/>
      <c r="I14" s="26" t="n">
        <f>187</f>
        <v>187.0</v>
      </c>
      <c r="J14" s="23"/>
      <c r="K14" s="26" t="n">
        <f>8630000</f>
        <v>8630000.0</v>
      </c>
      <c r="L14" s="24"/>
      <c r="M14" s="26" t="n">
        <f>3720000</f>
        <v>3720000.0</v>
      </c>
      <c r="N14" s="25"/>
      <c r="O14" s="26" t="n">
        <f>12350000</f>
        <v>1.235E7</v>
      </c>
      <c r="P14" s="27" t="str">
        <f>"－"</f>
        <v>－</v>
      </c>
      <c r="Q14" s="28" t="str">
        <f>"－"</f>
        <v>－</v>
      </c>
      <c r="R14" s="29" t="str">
        <f>"－"</f>
        <v>－</v>
      </c>
      <c r="S14" s="23"/>
      <c r="T14" s="26" t="str">
        <f>"－"</f>
        <v>－</v>
      </c>
      <c r="U14" s="24"/>
      <c r="V14" s="26" t="str">
        <f>"－"</f>
        <v>－</v>
      </c>
      <c r="W14" s="25"/>
      <c r="X14" s="26" t="str">
        <f>"－"</f>
        <v>－</v>
      </c>
      <c r="Y14" s="23"/>
      <c r="Z14" s="26" t="n">
        <f>1412</f>
        <v>1412.0</v>
      </c>
      <c r="AA14" s="24"/>
      <c r="AB14" s="26" t="n">
        <f>2184</f>
        <v>2184.0</v>
      </c>
      <c r="AC14" s="25"/>
      <c r="AD14" s="26" t="n">
        <f>3596</f>
        <v>3596.0</v>
      </c>
    </row>
    <row r="15">
      <c r="A15" s="21" t="s">
        <v>35</v>
      </c>
      <c r="B15" s="22" t="s">
        <v>27</v>
      </c>
      <c r="C15" s="22" t="s">
        <v>28</v>
      </c>
      <c r="D15" s="23"/>
      <c r="E15" s="26" t="n">
        <f>232</f>
        <v>232.0</v>
      </c>
      <c r="F15" s="24"/>
      <c r="G15" s="26" t="n">
        <f>170</f>
        <v>170.0</v>
      </c>
      <c r="H15" s="25"/>
      <c r="I15" s="26" t="n">
        <f>402</f>
        <v>402.0</v>
      </c>
      <c r="J15" s="23"/>
      <c r="K15" s="26" t="n">
        <f>17140000</f>
        <v>1.714E7</v>
      </c>
      <c r="L15" s="24"/>
      <c r="M15" s="26" t="n">
        <f>16900000</f>
        <v>1.69E7</v>
      </c>
      <c r="N15" s="25"/>
      <c r="O15" s="26" t="n">
        <f>34040000</f>
        <v>3.404E7</v>
      </c>
      <c r="P15" s="27" t="str">
        <f>"－"</f>
        <v>－</v>
      </c>
      <c r="Q15" s="28" t="str">
        <f>"－"</f>
        <v>－</v>
      </c>
      <c r="R15" s="29" t="str">
        <f>"－"</f>
        <v>－</v>
      </c>
      <c r="S15" s="23"/>
      <c r="T15" s="26" t="str">
        <f>"－"</f>
        <v>－</v>
      </c>
      <c r="U15" s="24"/>
      <c r="V15" s="26" t="str">
        <f>"－"</f>
        <v>－</v>
      </c>
      <c r="W15" s="25"/>
      <c r="X15" s="26" t="str">
        <f>"－"</f>
        <v>－</v>
      </c>
      <c r="Y15" s="23"/>
      <c r="Z15" s="26" t="n">
        <f>1604</f>
        <v>1604.0</v>
      </c>
      <c r="AA15" s="24"/>
      <c r="AB15" s="26" t="n">
        <f>2301</f>
        <v>2301.0</v>
      </c>
      <c r="AC15" s="25"/>
      <c r="AD15" s="26" t="n">
        <f>3905</f>
        <v>3905.0</v>
      </c>
    </row>
    <row r="16">
      <c r="A16" s="21" t="s">
        <v>36</v>
      </c>
      <c r="B16" s="22" t="s">
        <v>27</v>
      </c>
      <c r="C16" s="22" t="s">
        <v>28</v>
      </c>
      <c r="D16" s="23"/>
      <c r="E16" s="26"/>
      <c r="F16" s="24"/>
      <c r="G16" s="26"/>
      <c r="H16" s="25"/>
      <c r="I16" s="26"/>
      <c r="J16" s="23"/>
      <c r="K16" s="26"/>
      <c r="L16" s="24"/>
      <c r="M16" s="26"/>
      <c r="N16" s="25"/>
      <c r="O16" s="26"/>
      <c r="P16" s="27"/>
      <c r="Q16" s="28"/>
      <c r="R16" s="29"/>
      <c r="S16" s="23"/>
      <c r="T16" s="26"/>
      <c r="U16" s="24"/>
      <c r="V16" s="26"/>
      <c r="W16" s="25"/>
      <c r="X16" s="26"/>
      <c r="Y16" s="23"/>
      <c r="Z16" s="26"/>
      <c r="AA16" s="24"/>
      <c r="AB16" s="26"/>
      <c r="AC16" s="25"/>
      <c r="AD16" s="26"/>
    </row>
    <row r="17">
      <c r="A17" s="21" t="s">
        <v>37</v>
      </c>
      <c r="B17" s="22" t="s">
        <v>27</v>
      </c>
      <c r="C17" s="22" t="s">
        <v>28</v>
      </c>
      <c r="D17" s="23"/>
      <c r="E17" s="26"/>
      <c r="F17" s="24"/>
      <c r="G17" s="26"/>
      <c r="H17" s="25"/>
      <c r="I17" s="26"/>
      <c r="J17" s="23"/>
      <c r="K17" s="26"/>
      <c r="L17" s="24"/>
      <c r="M17" s="26"/>
      <c r="N17" s="25"/>
      <c r="O17" s="26"/>
      <c r="P17" s="27"/>
      <c r="Q17" s="28"/>
      <c r="R17" s="29"/>
      <c r="S17" s="23"/>
      <c r="T17" s="26"/>
      <c r="U17" s="24"/>
      <c r="V17" s="26"/>
      <c r="W17" s="25"/>
      <c r="X17" s="26"/>
      <c r="Y17" s="23"/>
      <c r="Z17" s="26"/>
      <c r="AA17" s="24"/>
      <c r="AB17" s="26"/>
      <c r="AC17" s="25"/>
      <c r="AD17" s="26"/>
    </row>
    <row r="18">
      <c r="A18" s="21" t="s">
        <v>38</v>
      </c>
      <c r="B18" s="22" t="s">
        <v>27</v>
      </c>
      <c r="C18" s="22" t="s">
        <v>28</v>
      </c>
      <c r="D18" s="23"/>
      <c r="E18" s="26"/>
      <c r="F18" s="24"/>
      <c r="G18" s="26"/>
      <c r="H18" s="25"/>
      <c r="I18" s="26"/>
      <c r="J18" s="23"/>
      <c r="K18" s="26"/>
      <c r="L18" s="24"/>
      <c r="M18" s="26"/>
      <c r="N18" s="25"/>
      <c r="O18" s="26"/>
      <c r="P18" s="27"/>
      <c r="Q18" s="28"/>
      <c r="R18" s="29"/>
      <c r="S18" s="23"/>
      <c r="T18" s="26"/>
      <c r="U18" s="24"/>
      <c r="V18" s="26"/>
      <c r="W18" s="25"/>
      <c r="X18" s="26"/>
      <c r="Y18" s="23"/>
      <c r="Z18" s="26"/>
      <c r="AA18" s="24"/>
      <c r="AB18" s="26"/>
      <c r="AC18" s="25"/>
      <c r="AD18" s="26"/>
    </row>
    <row r="19">
      <c r="A19" s="21" t="s">
        <v>39</v>
      </c>
      <c r="B19" s="22" t="s">
        <v>27</v>
      </c>
      <c r="C19" s="22" t="s">
        <v>28</v>
      </c>
      <c r="D19" s="23"/>
      <c r="E19" s="26" t="n">
        <f>644</f>
        <v>644.0</v>
      </c>
      <c r="F19" s="24"/>
      <c r="G19" s="26" t="n">
        <f>649</f>
        <v>649.0</v>
      </c>
      <c r="H19" s="25"/>
      <c r="I19" s="26" t="n">
        <f>1293</f>
        <v>1293.0</v>
      </c>
      <c r="J19" s="23"/>
      <c r="K19" s="26" t="n">
        <f>48210000</f>
        <v>4.821E7</v>
      </c>
      <c r="L19" s="24"/>
      <c r="M19" s="26" t="n">
        <f>33950000</f>
        <v>3.395E7</v>
      </c>
      <c r="N19" s="25"/>
      <c r="O19" s="26" t="n">
        <f>82160000</f>
        <v>8.216E7</v>
      </c>
      <c r="P19" s="27" t="str">
        <f>"－"</f>
        <v>－</v>
      </c>
      <c r="Q19" s="28" t="str">
        <f>"－"</f>
        <v>－</v>
      </c>
      <c r="R19" s="29" t="str">
        <f>"－"</f>
        <v>－</v>
      </c>
      <c r="S19" s="23"/>
      <c r="T19" s="26" t="n">
        <f>2</f>
        <v>2.0</v>
      </c>
      <c r="U19" s="24"/>
      <c r="V19" s="26" t="n">
        <f>3</f>
        <v>3.0</v>
      </c>
      <c r="W19" s="25"/>
      <c r="X19" s="26" t="n">
        <f>5</f>
        <v>5.0</v>
      </c>
      <c r="Y19" s="23"/>
      <c r="Z19" s="26" t="n">
        <f>1801</f>
        <v>1801.0</v>
      </c>
      <c r="AA19" s="24"/>
      <c r="AB19" s="26" t="n">
        <f>2336</f>
        <v>2336.0</v>
      </c>
      <c r="AC19" s="25"/>
      <c r="AD19" s="26" t="n">
        <f>4137</f>
        <v>4137.0</v>
      </c>
    </row>
    <row r="20">
      <c r="A20" s="21" t="s">
        <v>40</v>
      </c>
      <c r="B20" s="22" t="s">
        <v>27</v>
      </c>
      <c r="C20" s="22" t="s">
        <v>28</v>
      </c>
      <c r="D20" s="23"/>
      <c r="E20" s="26" t="n">
        <f>270</f>
        <v>270.0</v>
      </c>
      <c r="F20" s="24"/>
      <c r="G20" s="26" t="n">
        <f>236</f>
        <v>236.0</v>
      </c>
      <c r="H20" s="25"/>
      <c r="I20" s="26" t="n">
        <f>506</f>
        <v>506.0</v>
      </c>
      <c r="J20" s="23"/>
      <c r="K20" s="26" t="n">
        <f>35200000</f>
        <v>3.52E7</v>
      </c>
      <c r="L20" s="24"/>
      <c r="M20" s="26" t="n">
        <f>18380000</f>
        <v>1.838E7</v>
      </c>
      <c r="N20" s="25"/>
      <c r="O20" s="26" t="n">
        <f>53580000</f>
        <v>5.358E7</v>
      </c>
      <c r="P20" s="27" t="str">
        <f>"－"</f>
        <v>－</v>
      </c>
      <c r="Q20" s="28" t="str">
        <f>"－"</f>
        <v>－</v>
      </c>
      <c r="R20" s="29" t="str">
        <f>"－"</f>
        <v>－</v>
      </c>
      <c r="S20" s="23"/>
      <c r="T20" s="26" t="n">
        <f>20</f>
        <v>20.0</v>
      </c>
      <c r="U20" s="24"/>
      <c r="V20" s="26" t="n">
        <f>80</f>
        <v>80.0</v>
      </c>
      <c r="W20" s="25"/>
      <c r="X20" s="26" t="n">
        <f>100</f>
        <v>100.0</v>
      </c>
      <c r="Y20" s="23"/>
      <c r="Z20" s="26" t="n">
        <f>1754</f>
        <v>1754.0</v>
      </c>
      <c r="AA20" s="24"/>
      <c r="AB20" s="26" t="n">
        <f>2507</f>
        <v>2507.0</v>
      </c>
      <c r="AC20" s="25"/>
      <c r="AD20" s="26" t="n">
        <f>4261</f>
        <v>4261.0</v>
      </c>
    </row>
    <row r="21">
      <c r="A21" s="21" t="s">
        <v>41</v>
      </c>
      <c r="B21" s="22" t="s">
        <v>27</v>
      </c>
      <c r="C21" s="22" t="s">
        <v>28</v>
      </c>
      <c r="D21" s="23"/>
      <c r="E21" s="26" t="n">
        <f>353</f>
        <v>353.0</v>
      </c>
      <c r="F21" s="24"/>
      <c r="G21" s="26" t="n">
        <f>51</f>
        <v>51.0</v>
      </c>
      <c r="H21" s="25"/>
      <c r="I21" s="26" t="n">
        <f>404</f>
        <v>404.0</v>
      </c>
      <c r="J21" s="23"/>
      <c r="K21" s="26" t="n">
        <f>24990000</f>
        <v>2.499E7</v>
      </c>
      <c r="L21" s="24"/>
      <c r="M21" s="26" t="n">
        <f>2550000</f>
        <v>2550000.0</v>
      </c>
      <c r="N21" s="25"/>
      <c r="O21" s="26" t="n">
        <f>27540000</f>
        <v>2.754E7</v>
      </c>
      <c r="P21" s="27" t="str">
        <f>"－"</f>
        <v>－</v>
      </c>
      <c r="Q21" s="28" t="str">
        <f>"－"</f>
        <v>－</v>
      </c>
      <c r="R21" s="29" t="str">
        <f>"－"</f>
        <v>－</v>
      </c>
      <c r="S21" s="23"/>
      <c r="T21" s="26" t="str">
        <f>"－"</f>
        <v>－</v>
      </c>
      <c r="U21" s="24"/>
      <c r="V21" s="26" t="str">
        <f>"－"</f>
        <v>－</v>
      </c>
      <c r="W21" s="25"/>
      <c r="X21" s="26" t="str">
        <f>"－"</f>
        <v>－</v>
      </c>
      <c r="Y21" s="23"/>
      <c r="Z21" s="26" t="n">
        <f>2036</f>
        <v>2036.0</v>
      </c>
      <c r="AA21" s="24"/>
      <c r="AB21" s="26" t="n">
        <f>2513</f>
        <v>2513.0</v>
      </c>
      <c r="AC21" s="25"/>
      <c r="AD21" s="26" t="n">
        <f>4549</f>
        <v>4549.0</v>
      </c>
    </row>
    <row r="22">
      <c r="A22" s="21" t="s">
        <v>42</v>
      </c>
      <c r="B22" s="22" t="s">
        <v>27</v>
      </c>
      <c r="C22" s="22" t="s">
        <v>28</v>
      </c>
      <c r="D22" s="23"/>
      <c r="E22" s="26" t="n">
        <f>122</f>
        <v>122.0</v>
      </c>
      <c r="F22" s="24"/>
      <c r="G22" s="26" t="n">
        <f>216</f>
        <v>216.0</v>
      </c>
      <c r="H22" s="25"/>
      <c r="I22" s="26" t="n">
        <f>338</f>
        <v>338.0</v>
      </c>
      <c r="J22" s="23"/>
      <c r="K22" s="26" t="n">
        <f>9880000</f>
        <v>9880000.0</v>
      </c>
      <c r="L22" s="24"/>
      <c r="M22" s="26" t="n">
        <f>18400000</f>
        <v>1.84E7</v>
      </c>
      <c r="N22" s="25"/>
      <c r="O22" s="26" t="n">
        <f>28280000</f>
        <v>2.828E7</v>
      </c>
      <c r="P22" s="27" t="str">
        <f>"－"</f>
        <v>－</v>
      </c>
      <c r="Q22" s="28" t="str">
        <f>"－"</f>
        <v>－</v>
      </c>
      <c r="R22" s="29" t="str">
        <f>"－"</f>
        <v>－</v>
      </c>
      <c r="S22" s="23"/>
      <c r="T22" s="26" t="str">
        <f>"－"</f>
        <v>－</v>
      </c>
      <c r="U22" s="24"/>
      <c r="V22" s="26" t="str">
        <f>"－"</f>
        <v>－</v>
      </c>
      <c r="W22" s="25"/>
      <c r="X22" s="26" t="str">
        <f>"－"</f>
        <v>－</v>
      </c>
      <c r="Y22" s="23"/>
      <c r="Z22" s="26" t="n">
        <f>2106</f>
        <v>2106.0</v>
      </c>
      <c r="AA22" s="24"/>
      <c r="AB22" s="26" t="n">
        <f>2630</f>
        <v>2630.0</v>
      </c>
      <c r="AC22" s="25"/>
      <c r="AD22" s="26" t="n">
        <f>4736</f>
        <v>4736.0</v>
      </c>
    </row>
    <row r="23">
      <c r="A23" s="21" t="s">
        <v>43</v>
      </c>
      <c r="B23" s="22" t="s">
        <v>27</v>
      </c>
      <c r="C23" s="22" t="s">
        <v>28</v>
      </c>
      <c r="D23" s="23"/>
      <c r="E23" s="26"/>
      <c r="F23" s="24"/>
      <c r="G23" s="26"/>
      <c r="H23" s="25"/>
      <c r="I23" s="26"/>
      <c r="J23" s="23"/>
      <c r="K23" s="26"/>
      <c r="L23" s="24"/>
      <c r="M23" s="26"/>
      <c r="N23" s="25"/>
      <c r="O23" s="26"/>
      <c r="P23" s="27"/>
      <c r="Q23" s="28"/>
      <c r="R23" s="29"/>
      <c r="S23" s="23"/>
      <c r="T23" s="26"/>
      <c r="U23" s="24"/>
      <c r="V23" s="26"/>
      <c r="W23" s="25"/>
      <c r="X23" s="26"/>
      <c r="Y23" s="23"/>
      <c r="Z23" s="26"/>
      <c r="AA23" s="24"/>
      <c r="AB23" s="26"/>
      <c r="AC23" s="25"/>
      <c r="AD23" s="26"/>
    </row>
    <row r="24">
      <c r="A24" s="21" t="s">
        <v>44</v>
      </c>
      <c r="B24" s="22" t="s">
        <v>27</v>
      </c>
      <c r="C24" s="22" t="s">
        <v>28</v>
      </c>
      <c r="D24" s="23"/>
      <c r="E24" s="26"/>
      <c r="F24" s="24"/>
      <c r="G24" s="26"/>
      <c r="H24" s="25"/>
      <c r="I24" s="26"/>
      <c r="J24" s="23"/>
      <c r="K24" s="26"/>
      <c r="L24" s="24"/>
      <c r="M24" s="26"/>
      <c r="N24" s="25"/>
      <c r="O24" s="26"/>
      <c r="P24" s="27"/>
      <c r="Q24" s="28"/>
      <c r="R24" s="29"/>
      <c r="S24" s="23"/>
      <c r="T24" s="26"/>
      <c r="U24" s="24"/>
      <c r="V24" s="26"/>
      <c r="W24" s="25"/>
      <c r="X24" s="26"/>
      <c r="Y24" s="23"/>
      <c r="Z24" s="26"/>
      <c r="AA24" s="24"/>
      <c r="AB24" s="26"/>
      <c r="AC24" s="25"/>
      <c r="AD24" s="26"/>
    </row>
    <row r="25">
      <c r="A25" s="21" t="s">
        <v>45</v>
      </c>
      <c r="B25" s="22" t="s">
        <v>27</v>
      </c>
      <c r="C25" s="22" t="s">
        <v>28</v>
      </c>
      <c r="D25" s="23"/>
      <c r="E25" s="26" t="n">
        <f>205</f>
        <v>205.0</v>
      </c>
      <c r="F25" s="24"/>
      <c r="G25" s="26" t="n">
        <f>181</f>
        <v>181.0</v>
      </c>
      <c r="H25" s="25"/>
      <c r="I25" s="26" t="n">
        <f>386</f>
        <v>386.0</v>
      </c>
      <c r="J25" s="23"/>
      <c r="K25" s="26" t="n">
        <f>7080000</f>
        <v>7080000.0</v>
      </c>
      <c r="L25" s="24"/>
      <c r="M25" s="26" t="n">
        <f>23790000</f>
        <v>2.379E7</v>
      </c>
      <c r="N25" s="25"/>
      <c r="O25" s="26" t="n">
        <f>30870000</f>
        <v>3.087E7</v>
      </c>
      <c r="P25" s="27" t="str">
        <f>"－"</f>
        <v>－</v>
      </c>
      <c r="Q25" s="28" t="str">
        <f>"－"</f>
        <v>－</v>
      </c>
      <c r="R25" s="29" t="str">
        <f>"－"</f>
        <v>－</v>
      </c>
      <c r="S25" s="23"/>
      <c r="T25" s="26" t="n">
        <f>33</f>
        <v>33.0</v>
      </c>
      <c r="U25" s="24"/>
      <c r="V25" s="26" t="n">
        <f>43</f>
        <v>43.0</v>
      </c>
      <c r="W25" s="25"/>
      <c r="X25" s="26" t="n">
        <f>76</f>
        <v>76.0</v>
      </c>
      <c r="Y25" s="23"/>
      <c r="Z25" s="26" t="n">
        <f>2217</f>
        <v>2217.0</v>
      </c>
      <c r="AA25" s="24"/>
      <c r="AB25" s="26" t="n">
        <f>2765</f>
        <v>2765.0</v>
      </c>
      <c r="AC25" s="25"/>
      <c r="AD25" s="26" t="n">
        <f>4982</f>
        <v>4982.0</v>
      </c>
    </row>
    <row r="26">
      <c r="A26" s="21" t="s">
        <v>46</v>
      </c>
      <c r="B26" s="22" t="s">
        <v>27</v>
      </c>
      <c r="C26" s="22" t="s">
        <v>28</v>
      </c>
      <c r="D26" s="23"/>
      <c r="E26" s="26" t="n">
        <f>111</f>
        <v>111.0</v>
      </c>
      <c r="F26" s="24"/>
      <c r="G26" s="26" t="n">
        <f>435</f>
        <v>435.0</v>
      </c>
      <c r="H26" s="25"/>
      <c r="I26" s="26" t="n">
        <f>546</f>
        <v>546.0</v>
      </c>
      <c r="J26" s="23"/>
      <c r="K26" s="26" t="n">
        <f>3770000</f>
        <v>3770000.0</v>
      </c>
      <c r="L26" s="24"/>
      <c r="M26" s="26" t="n">
        <f>33670000</f>
        <v>3.367E7</v>
      </c>
      <c r="N26" s="25"/>
      <c r="O26" s="26" t="n">
        <f>37440000</f>
        <v>3.744E7</v>
      </c>
      <c r="P26" s="27" t="str">
        <f>"－"</f>
        <v>－</v>
      </c>
      <c r="Q26" s="28" t="str">
        <f>"－"</f>
        <v>－</v>
      </c>
      <c r="R26" s="29" t="str">
        <f>"－"</f>
        <v>－</v>
      </c>
      <c r="S26" s="23"/>
      <c r="T26" s="26" t="str">
        <f>"－"</f>
        <v>－</v>
      </c>
      <c r="U26" s="24"/>
      <c r="V26" s="26" t="str">
        <f>"－"</f>
        <v>－</v>
      </c>
      <c r="W26" s="25"/>
      <c r="X26" s="26" t="str">
        <f>"－"</f>
        <v>－</v>
      </c>
      <c r="Y26" s="23"/>
      <c r="Z26" s="26" t="n">
        <f>2284</f>
        <v>2284.0</v>
      </c>
      <c r="AA26" s="24"/>
      <c r="AB26" s="26" t="n">
        <f>2748</f>
        <v>2748.0</v>
      </c>
      <c r="AC26" s="25"/>
      <c r="AD26" s="26" t="n">
        <f>5032</f>
        <v>5032.0</v>
      </c>
    </row>
    <row r="27">
      <c r="A27" s="21" t="s">
        <v>47</v>
      </c>
      <c r="B27" s="22" t="s">
        <v>27</v>
      </c>
      <c r="C27" s="22" t="s">
        <v>28</v>
      </c>
      <c r="D27" s="23"/>
      <c r="E27" s="26" t="n">
        <f>86</f>
        <v>86.0</v>
      </c>
      <c r="F27" s="24"/>
      <c r="G27" s="26" t="n">
        <f>46</f>
        <v>46.0</v>
      </c>
      <c r="H27" s="25"/>
      <c r="I27" s="26" t="n">
        <f>132</f>
        <v>132.0</v>
      </c>
      <c r="J27" s="23"/>
      <c r="K27" s="26" t="n">
        <f>3210000</f>
        <v>3210000.0</v>
      </c>
      <c r="L27" s="24"/>
      <c r="M27" s="26" t="n">
        <f>3430000</f>
        <v>3430000.0</v>
      </c>
      <c r="N27" s="25"/>
      <c r="O27" s="26" t="n">
        <f>6640000</f>
        <v>6640000.0</v>
      </c>
      <c r="P27" s="27" t="str">
        <f>"－"</f>
        <v>－</v>
      </c>
      <c r="Q27" s="28" t="str">
        <f>"－"</f>
        <v>－</v>
      </c>
      <c r="R27" s="29" t="str">
        <f>"－"</f>
        <v>－</v>
      </c>
      <c r="S27" s="23"/>
      <c r="T27" s="26" t="str">
        <f>"－"</f>
        <v>－</v>
      </c>
      <c r="U27" s="24"/>
      <c r="V27" s="26" t="n">
        <f>10</f>
        <v>10.0</v>
      </c>
      <c r="W27" s="25"/>
      <c r="X27" s="26" t="n">
        <f>10</f>
        <v>10.0</v>
      </c>
      <c r="Y27" s="23"/>
      <c r="Z27" s="26" t="n">
        <f>2318</f>
        <v>2318.0</v>
      </c>
      <c r="AA27" s="24"/>
      <c r="AB27" s="26" t="n">
        <f>2753</f>
        <v>2753.0</v>
      </c>
      <c r="AC27" s="25"/>
      <c r="AD27" s="26" t="n">
        <f>5071</f>
        <v>5071.0</v>
      </c>
    </row>
    <row r="28">
      <c r="A28" s="21" t="s">
        <v>48</v>
      </c>
      <c r="B28" s="22" t="s">
        <v>27</v>
      </c>
      <c r="C28" s="22" t="s">
        <v>28</v>
      </c>
      <c r="D28" s="23"/>
      <c r="E28" s="26" t="n">
        <f>214</f>
        <v>214.0</v>
      </c>
      <c r="F28" s="24"/>
      <c r="G28" s="26" t="n">
        <f>349</f>
        <v>349.0</v>
      </c>
      <c r="H28" s="25"/>
      <c r="I28" s="26" t="n">
        <f>563</f>
        <v>563.0</v>
      </c>
      <c r="J28" s="23"/>
      <c r="K28" s="26" t="n">
        <f>7390000</f>
        <v>7390000.0</v>
      </c>
      <c r="L28" s="24"/>
      <c r="M28" s="26" t="n">
        <f>23130000</f>
        <v>2.313E7</v>
      </c>
      <c r="N28" s="25"/>
      <c r="O28" s="26" t="n">
        <f>30520000</f>
        <v>3.052E7</v>
      </c>
      <c r="P28" s="27" t="str">
        <f>"－"</f>
        <v>－</v>
      </c>
      <c r="Q28" s="28" t="str">
        <f>"－"</f>
        <v>－</v>
      </c>
      <c r="R28" s="29" t="str">
        <f>"－"</f>
        <v>－</v>
      </c>
      <c r="S28" s="23"/>
      <c r="T28" s="26" t="str">
        <f>"－"</f>
        <v>－</v>
      </c>
      <c r="U28" s="24"/>
      <c r="V28" s="26" t="str">
        <f>"－"</f>
        <v>－</v>
      </c>
      <c r="W28" s="25"/>
      <c r="X28" s="26" t="str">
        <f>"－"</f>
        <v>－</v>
      </c>
      <c r="Y28" s="23"/>
      <c r="Z28" s="26" t="n">
        <f>2241</f>
        <v>2241.0</v>
      </c>
      <c r="AA28" s="24"/>
      <c r="AB28" s="26" t="n">
        <f>2860</f>
        <v>2860.0</v>
      </c>
      <c r="AC28" s="25"/>
      <c r="AD28" s="26" t="n">
        <f>5101</f>
        <v>5101.0</v>
      </c>
    </row>
    <row r="29">
      <c r="A29" s="21" t="s">
        <v>49</v>
      </c>
      <c r="B29" s="22" t="s">
        <v>27</v>
      </c>
      <c r="C29" s="22" t="s">
        <v>28</v>
      </c>
      <c r="D29" s="23"/>
      <c r="E29" s="26" t="n">
        <f>89</f>
        <v>89.0</v>
      </c>
      <c r="F29" s="24"/>
      <c r="G29" s="26" t="n">
        <f>227</f>
        <v>227.0</v>
      </c>
      <c r="H29" s="25"/>
      <c r="I29" s="26" t="n">
        <f>316</f>
        <v>316.0</v>
      </c>
      <c r="J29" s="23" t="s">
        <v>30</v>
      </c>
      <c r="K29" s="26" t="n">
        <f>2050000</f>
        <v>2050000.0</v>
      </c>
      <c r="L29" s="24"/>
      <c r="M29" s="26" t="n">
        <f>15475000</f>
        <v>1.5475E7</v>
      </c>
      <c r="N29" s="25"/>
      <c r="O29" s="26" t="n">
        <f>17525000</f>
        <v>1.7525E7</v>
      </c>
      <c r="P29" s="27" t="str">
        <f>"－"</f>
        <v>－</v>
      </c>
      <c r="Q29" s="28" t="str">
        <f>"－"</f>
        <v>－</v>
      </c>
      <c r="R29" s="29" t="str">
        <f>"－"</f>
        <v>－</v>
      </c>
      <c r="S29" s="23"/>
      <c r="T29" s="26" t="str">
        <f>"－"</f>
        <v>－</v>
      </c>
      <c r="U29" s="24"/>
      <c r="V29" s="26" t="n">
        <f>53</f>
        <v>53.0</v>
      </c>
      <c r="W29" s="25"/>
      <c r="X29" s="26" t="n">
        <f>53</f>
        <v>53.0</v>
      </c>
      <c r="Y29" s="23"/>
      <c r="Z29" s="26" t="n">
        <f>2285</f>
        <v>2285.0</v>
      </c>
      <c r="AA29" s="24"/>
      <c r="AB29" s="26" t="n">
        <f>3025</f>
        <v>3025.0</v>
      </c>
      <c r="AC29" s="25"/>
      <c r="AD29" s="26" t="n">
        <f>5310</f>
        <v>5310.0</v>
      </c>
    </row>
    <row r="30">
      <c r="A30" s="21" t="s">
        <v>50</v>
      </c>
      <c r="B30" s="22" t="s">
        <v>27</v>
      </c>
      <c r="C30" s="22" t="s">
        <v>28</v>
      </c>
      <c r="D30" s="23"/>
      <c r="E30" s="26"/>
      <c r="F30" s="24"/>
      <c r="G30" s="26"/>
      <c r="H30" s="25"/>
      <c r="I30" s="26"/>
      <c r="J30" s="23"/>
      <c r="K30" s="26"/>
      <c r="L30" s="24"/>
      <c r="M30" s="26"/>
      <c r="N30" s="25"/>
      <c r="O30" s="26"/>
      <c r="P30" s="27"/>
      <c r="Q30" s="28"/>
      <c r="R30" s="29"/>
      <c r="S30" s="23"/>
      <c r="T30" s="26"/>
      <c r="U30" s="24"/>
      <c r="V30" s="26"/>
      <c r="W30" s="25"/>
      <c r="X30" s="26"/>
      <c r="Y30" s="23"/>
      <c r="Z30" s="26"/>
      <c r="AA30" s="24"/>
      <c r="AB30" s="26"/>
      <c r="AC30" s="25"/>
      <c r="AD30" s="26"/>
    </row>
    <row r="31">
      <c r="A31" s="21" t="s">
        <v>51</v>
      </c>
      <c r="B31" s="22" t="s">
        <v>27</v>
      </c>
      <c r="C31" s="22" t="s">
        <v>28</v>
      </c>
      <c r="D31" s="23"/>
      <c r="E31" s="26"/>
      <c r="F31" s="24"/>
      <c r="G31" s="26"/>
      <c r="H31" s="25"/>
      <c r="I31" s="26"/>
      <c r="J31" s="23"/>
      <c r="K31" s="26"/>
      <c r="L31" s="24"/>
      <c r="M31" s="26"/>
      <c r="N31" s="25"/>
      <c r="O31" s="26"/>
      <c r="P31" s="27"/>
      <c r="Q31" s="28"/>
      <c r="R31" s="29"/>
      <c r="S31" s="23"/>
      <c r="T31" s="26"/>
      <c r="U31" s="24"/>
      <c r="V31" s="26"/>
      <c r="W31" s="25"/>
      <c r="X31" s="26"/>
      <c r="Y31" s="23"/>
      <c r="Z31" s="26"/>
      <c r="AA31" s="24"/>
      <c r="AB31" s="26"/>
      <c r="AC31" s="25"/>
      <c r="AD31" s="26"/>
    </row>
    <row r="32">
      <c r="A32" s="21" t="s">
        <v>52</v>
      </c>
      <c r="B32" s="22" t="s">
        <v>27</v>
      </c>
      <c r="C32" s="22" t="s">
        <v>28</v>
      </c>
      <c r="D32" s="23"/>
      <c r="E32" s="26" t="n">
        <f>321</f>
        <v>321.0</v>
      </c>
      <c r="F32" s="24"/>
      <c r="G32" s="26" t="n">
        <f>98</f>
        <v>98.0</v>
      </c>
      <c r="H32" s="25"/>
      <c r="I32" s="26" t="n">
        <f>419</f>
        <v>419.0</v>
      </c>
      <c r="J32" s="23"/>
      <c r="K32" s="26" t="n">
        <f>15020000</f>
        <v>1.502E7</v>
      </c>
      <c r="L32" s="24"/>
      <c r="M32" s="26" t="n">
        <f>3870000</f>
        <v>3870000.0</v>
      </c>
      <c r="N32" s="25"/>
      <c r="O32" s="26" t="n">
        <f>18890000</f>
        <v>1.889E7</v>
      </c>
      <c r="P32" s="27" t="str">
        <f>"－"</f>
        <v>－</v>
      </c>
      <c r="Q32" s="28" t="str">
        <f>"－"</f>
        <v>－</v>
      </c>
      <c r="R32" s="29" t="str">
        <f>"－"</f>
        <v>－</v>
      </c>
      <c r="S32" s="23"/>
      <c r="T32" s="26" t="str">
        <f>"－"</f>
        <v>－</v>
      </c>
      <c r="U32" s="24"/>
      <c r="V32" s="26" t="n">
        <f>15</f>
        <v>15.0</v>
      </c>
      <c r="W32" s="25"/>
      <c r="X32" s="26" t="n">
        <f>15</f>
        <v>15.0</v>
      </c>
      <c r="Y32" s="23"/>
      <c r="Z32" s="26" t="n">
        <f>2409</f>
        <v>2409.0</v>
      </c>
      <c r="AA32" s="24"/>
      <c r="AB32" s="26" t="n">
        <f>3088</f>
        <v>3088.0</v>
      </c>
      <c r="AC32" s="25"/>
      <c r="AD32" s="26" t="n">
        <f>5497</f>
        <v>5497.0</v>
      </c>
    </row>
    <row r="33">
      <c r="A33" s="21" t="s">
        <v>53</v>
      </c>
      <c r="B33" s="22" t="s">
        <v>27</v>
      </c>
      <c r="C33" s="22" t="s">
        <v>28</v>
      </c>
      <c r="D33" s="23"/>
      <c r="E33" s="26" t="n">
        <f>71</f>
        <v>71.0</v>
      </c>
      <c r="F33" s="24"/>
      <c r="G33" s="26" t="n">
        <f>54</f>
        <v>54.0</v>
      </c>
      <c r="H33" s="25"/>
      <c r="I33" s="26" t="n">
        <f>125</f>
        <v>125.0</v>
      </c>
      <c r="J33" s="23"/>
      <c r="K33" s="26" t="n">
        <f>2345000</f>
        <v>2345000.0</v>
      </c>
      <c r="L33" s="24"/>
      <c r="M33" s="26" t="n">
        <f>1610000</f>
        <v>1610000.0</v>
      </c>
      <c r="N33" s="25"/>
      <c r="O33" s="26" t="n">
        <f>3955000</f>
        <v>3955000.0</v>
      </c>
      <c r="P33" s="27" t="str">
        <f>"－"</f>
        <v>－</v>
      </c>
      <c r="Q33" s="28" t="str">
        <f>"－"</f>
        <v>－</v>
      </c>
      <c r="R33" s="29" t="str">
        <f>"－"</f>
        <v>－</v>
      </c>
      <c r="S33" s="23"/>
      <c r="T33" s="26" t="n">
        <f>50</f>
        <v>50.0</v>
      </c>
      <c r="U33" s="24"/>
      <c r="V33" s="26" t="str">
        <f>"－"</f>
        <v>－</v>
      </c>
      <c r="W33" s="25"/>
      <c r="X33" s="26" t="n">
        <f>50</f>
        <v>50.0</v>
      </c>
      <c r="Y33" s="23"/>
      <c r="Z33" s="26" t="n">
        <f>2439</f>
        <v>2439.0</v>
      </c>
      <c r="AA33" s="24"/>
      <c r="AB33" s="26" t="n">
        <f>3140</f>
        <v>3140.0</v>
      </c>
      <c r="AC33" s="25"/>
      <c r="AD33" s="26" t="n">
        <f>5579</f>
        <v>5579.0</v>
      </c>
    </row>
    <row r="34">
      <c r="A34" s="21" t="s">
        <v>54</v>
      </c>
      <c r="B34" s="22" t="s">
        <v>27</v>
      </c>
      <c r="C34" s="22" t="s">
        <v>28</v>
      </c>
      <c r="D34" s="23" t="s">
        <v>30</v>
      </c>
      <c r="E34" s="26" t="n">
        <f>21</f>
        <v>21.0</v>
      </c>
      <c r="F34" s="24" t="s">
        <v>30</v>
      </c>
      <c r="G34" s="26" t="n">
        <f>2</f>
        <v>2.0</v>
      </c>
      <c r="H34" s="25" t="s">
        <v>30</v>
      </c>
      <c r="I34" s="26" t="n">
        <f>23</f>
        <v>23.0</v>
      </c>
      <c r="J34" s="23"/>
      <c r="K34" s="26" t="n">
        <f>2560000</f>
        <v>2560000.0</v>
      </c>
      <c r="L34" s="24" t="s">
        <v>30</v>
      </c>
      <c r="M34" s="26" t="n">
        <f>40000</f>
        <v>40000.0</v>
      </c>
      <c r="N34" s="25" t="s">
        <v>30</v>
      </c>
      <c r="O34" s="26" t="n">
        <f>2600000</f>
        <v>2600000.0</v>
      </c>
      <c r="P34" s="27" t="str">
        <f>"－"</f>
        <v>－</v>
      </c>
      <c r="Q34" s="28" t="str">
        <f>"－"</f>
        <v>－</v>
      </c>
      <c r="R34" s="29" t="str">
        <f>"－"</f>
        <v>－</v>
      </c>
      <c r="S34" s="23"/>
      <c r="T34" s="26" t="str">
        <f>"－"</f>
        <v>－</v>
      </c>
      <c r="U34" s="24"/>
      <c r="V34" s="26" t="str">
        <f>"－"</f>
        <v>－</v>
      </c>
      <c r="W34" s="25"/>
      <c r="X34" s="26" t="str">
        <f>"－"</f>
        <v>－</v>
      </c>
      <c r="Y34" s="23"/>
      <c r="Z34" s="26" t="n">
        <f>2455</f>
        <v>2455.0</v>
      </c>
      <c r="AA34" s="24"/>
      <c r="AB34" s="26" t="n">
        <f>3140</f>
        <v>3140.0</v>
      </c>
      <c r="AC34" s="25"/>
      <c r="AD34" s="26" t="n">
        <f>5595</f>
        <v>5595.0</v>
      </c>
    </row>
    <row r="35">
      <c r="A35" s="21" t="s">
        <v>55</v>
      </c>
      <c r="B35" s="22" t="s">
        <v>27</v>
      </c>
      <c r="C35" s="22" t="s">
        <v>28</v>
      </c>
      <c r="D35" s="23"/>
      <c r="E35" s="26" t="n">
        <f>687</f>
        <v>687.0</v>
      </c>
      <c r="F35" s="24"/>
      <c r="G35" s="26" t="n">
        <f>294</f>
        <v>294.0</v>
      </c>
      <c r="H35" s="25"/>
      <c r="I35" s="26" t="n">
        <f>981</f>
        <v>981.0</v>
      </c>
      <c r="J35" s="23" t="s">
        <v>32</v>
      </c>
      <c r="K35" s="26" t="n">
        <f>56390000</f>
        <v>5.639E7</v>
      </c>
      <c r="L35" s="24"/>
      <c r="M35" s="26" t="n">
        <f>16300000</f>
        <v>1.63E7</v>
      </c>
      <c r="N35" s="25"/>
      <c r="O35" s="26" t="n">
        <f>72690000</f>
        <v>7.269E7</v>
      </c>
      <c r="P35" s="27" t="str">
        <f>"－"</f>
        <v>－</v>
      </c>
      <c r="Q35" s="28" t="str">
        <f>"－"</f>
        <v>－</v>
      </c>
      <c r="R35" s="29" t="str">
        <f>"－"</f>
        <v>－</v>
      </c>
      <c r="S35" s="23"/>
      <c r="T35" s="26" t="str">
        <f>"－"</f>
        <v>－</v>
      </c>
      <c r="U35" s="24"/>
      <c r="V35" s="26" t="str">
        <f>"－"</f>
        <v>－</v>
      </c>
      <c r="W35" s="25"/>
      <c r="X35" s="26" t="str">
        <f>"－"</f>
        <v>－</v>
      </c>
      <c r="Y35" s="23"/>
      <c r="Z35" s="26" t="n">
        <f>2813</f>
        <v>2813.0</v>
      </c>
      <c r="AA35" s="24"/>
      <c r="AB35" s="26" t="n">
        <f>3175</f>
        <v>3175.0</v>
      </c>
      <c r="AC35" s="25"/>
      <c r="AD35" s="26" t="n">
        <f>5988</f>
        <v>5988.0</v>
      </c>
    </row>
    <row r="36">
      <c r="A36" s="21" t="s">
        <v>56</v>
      </c>
      <c r="B36" s="22" t="s">
        <v>27</v>
      </c>
      <c r="C36" s="22" t="s">
        <v>28</v>
      </c>
      <c r="D36" s="23"/>
      <c r="E36" s="26" t="n">
        <f>278</f>
        <v>278.0</v>
      </c>
      <c r="F36" s="24"/>
      <c r="G36" s="26" t="n">
        <f>40</f>
        <v>40.0</v>
      </c>
      <c r="H36" s="25"/>
      <c r="I36" s="26" t="n">
        <f>318</f>
        <v>318.0</v>
      </c>
      <c r="J36" s="23"/>
      <c r="K36" s="26" t="n">
        <f>18330000</f>
        <v>1.833E7</v>
      </c>
      <c r="L36" s="24"/>
      <c r="M36" s="26" t="n">
        <f>500000</f>
        <v>500000.0</v>
      </c>
      <c r="N36" s="25"/>
      <c r="O36" s="26" t="n">
        <f>18830000</f>
        <v>1.883E7</v>
      </c>
      <c r="P36" s="27" t="str">
        <f>"－"</f>
        <v>－</v>
      </c>
      <c r="Q36" s="28" t="str">
        <f>"－"</f>
        <v>－</v>
      </c>
      <c r="R36" s="29" t="str">
        <f>"－"</f>
        <v>－</v>
      </c>
      <c r="S36" s="23"/>
      <c r="T36" s="26" t="str">
        <f>"－"</f>
        <v>－</v>
      </c>
      <c r="U36" s="24"/>
      <c r="V36" s="26" t="str">
        <f>"－"</f>
        <v>－</v>
      </c>
      <c r="W36" s="25"/>
      <c r="X36" s="26" t="str">
        <f>"－"</f>
        <v>－</v>
      </c>
      <c r="Y36" s="23"/>
      <c r="Z36" s="26" t="n">
        <f>2845</f>
        <v>2845.0</v>
      </c>
      <c r="AA36" s="24"/>
      <c r="AB36" s="26" t="n">
        <f>3162</f>
        <v>3162.0</v>
      </c>
      <c r="AC36" s="25"/>
      <c r="AD36" s="26" t="n">
        <f>6007</f>
        <v>6007.0</v>
      </c>
    </row>
    <row r="37">
      <c r="A37" s="21" t="s">
        <v>57</v>
      </c>
      <c r="B37" s="22" t="s">
        <v>27</v>
      </c>
      <c r="C37" s="22" t="s">
        <v>28</v>
      </c>
      <c r="D37" s="23"/>
      <c r="E37" s="26"/>
      <c r="F37" s="24"/>
      <c r="G37" s="26"/>
      <c r="H37" s="25"/>
      <c r="I37" s="26"/>
      <c r="J37" s="23"/>
      <c r="K37" s="26"/>
      <c r="L37" s="24"/>
      <c r="M37" s="26"/>
      <c r="N37" s="25"/>
      <c r="O37" s="26"/>
      <c r="P37" s="27"/>
      <c r="Q37" s="28"/>
      <c r="R37" s="29"/>
      <c r="S37" s="23"/>
      <c r="T37" s="26"/>
      <c r="U37" s="24"/>
      <c r="V37" s="26"/>
      <c r="W37" s="25"/>
      <c r="X37" s="26"/>
      <c r="Y37" s="23"/>
      <c r="Z37" s="26"/>
      <c r="AA37" s="24"/>
      <c r="AB37" s="26"/>
      <c r="AC37" s="25"/>
      <c r="AD37" s="26"/>
    </row>
    <row r="38">
      <c r="A38" s="21" t="s">
        <v>58</v>
      </c>
      <c r="B38" s="22" t="s">
        <v>27</v>
      </c>
      <c r="C38" s="22" t="s">
        <v>28</v>
      </c>
      <c r="D38" s="23"/>
      <c r="E38" s="26"/>
      <c r="F38" s="24"/>
      <c r="G38" s="26"/>
      <c r="H38" s="25"/>
      <c r="I38" s="26"/>
      <c r="J38" s="23"/>
      <c r="K38" s="26"/>
      <c r="L38" s="24"/>
      <c r="M38" s="26"/>
      <c r="N38" s="25"/>
      <c r="O38" s="26"/>
      <c r="P38" s="27"/>
      <c r="Q38" s="28"/>
      <c r="R38" s="29"/>
      <c r="S38" s="23"/>
      <c r="T38" s="26"/>
      <c r="U38" s="24"/>
      <c r="V38" s="26"/>
      <c r="W38" s="25"/>
      <c r="X38" s="26"/>
      <c r="Y38" s="23"/>
      <c r="Z38" s="26"/>
      <c r="AA38" s="24"/>
      <c r="AB38" s="26"/>
      <c r="AC38" s="25"/>
      <c r="AD38" s="26"/>
    </row>
    <row r="39">
      <c r="A39" s="21" t="s">
        <v>59</v>
      </c>
      <c r="B39" s="22" t="s">
        <v>27</v>
      </c>
      <c r="C39" s="22" t="s">
        <v>28</v>
      </c>
      <c r="D39" s="23" t="s">
        <v>32</v>
      </c>
      <c r="E39" s="26" t="n">
        <f>731</f>
        <v>731.0</v>
      </c>
      <c r="F39" s="24"/>
      <c r="G39" s="26" t="n">
        <f>165</f>
        <v>165.0</v>
      </c>
      <c r="H39" s="25"/>
      <c r="I39" s="26" t="n">
        <f>896</f>
        <v>896.0</v>
      </c>
      <c r="J39" s="23"/>
      <c r="K39" s="26" t="n">
        <f>41200000</f>
        <v>4.12E7</v>
      </c>
      <c r="L39" s="24"/>
      <c r="M39" s="26" t="n">
        <f>21150000</f>
        <v>2.115E7</v>
      </c>
      <c r="N39" s="25"/>
      <c r="O39" s="26" t="n">
        <f>62350000</f>
        <v>6.235E7</v>
      </c>
      <c r="P39" s="27" t="str">
        <f>"－"</f>
        <v>－</v>
      </c>
      <c r="Q39" s="28" t="str">
        <f>"－"</f>
        <v>－</v>
      </c>
      <c r="R39" s="29" t="str">
        <f>"－"</f>
        <v>－</v>
      </c>
      <c r="S39" s="23" t="s">
        <v>32</v>
      </c>
      <c r="T39" s="26" t="n">
        <f>200</f>
        <v>200.0</v>
      </c>
      <c r="U39" s="24" t="s">
        <v>32</v>
      </c>
      <c r="V39" s="26" t="n">
        <f>165</f>
        <v>165.0</v>
      </c>
      <c r="W39" s="25" t="s">
        <v>32</v>
      </c>
      <c r="X39" s="26" t="n">
        <f>365</f>
        <v>365.0</v>
      </c>
      <c r="Y39" s="23" t="s">
        <v>32</v>
      </c>
      <c r="Z39" s="26" t="n">
        <f>3146</f>
        <v>3146.0</v>
      </c>
      <c r="AA39" s="24" t="s">
        <v>32</v>
      </c>
      <c r="AB39" s="26" t="n">
        <f>3282</f>
        <v>3282.0</v>
      </c>
      <c r="AC39" s="25" t="s">
        <v>32</v>
      </c>
      <c r="AD39" s="26" t="n">
        <f>6428</f>
        <v>6428.0</v>
      </c>
    </row>
    <row r="40">
      <c r="A40" s="21" t="s">
        <v>60</v>
      </c>
      <c r="B40" s="22" t="s">
        <v>27</v>
      </c>
      <c r="C40" s="22" t="s">
        <v>28</v>
      </c>
      <c r="D40" s="23"/>
      <c r="E40" s="26" t="n">
        <f>242</f>
        <v>242.0</v>
      </c>
      <c r="F40" s="24"/>
      <c r="G40" s="26" t="n">
        <f>48</f>
        <v>48.0</v>
      </c>
      <c r="H40" s="25"/>
      <c r="I40" s="26" t="n">
        <f>290</f>
        <v>290.0</v>
      </c>
      <c r="J40" s="23"/>
      <c r="K40" s="26" t="n">
        <f>10700000</f>
        <v>1.07E7</v>
      </c>
      <c r="L40" s="24"/>
      <c r="M40" s="26" t="n">
        <f>11620000</f>
        <v>1.162E7</v>
      </c>
      <c r="N40" s="25"/>
      <c r="O40" s="26" t="n">
        <f>22320000</f>
        <v>2.232E7</v>
      </c>
      <c r="P40" s="27" t="n">
        <f>42</f>
        <v>42.0</v>
      </c>
      <c r="Q40" s="28" t="n">
        <f>214</f>
        <v>214.0</v>
      </c>
      <c r="R40" s="29" t="n">
        <f>256</f>
        <v>256.0</v>
      </c>
      <c r="S40" s="23"/>
      <c r="T40" s="26" t="n">
        <f>33</f>
        <v>33.0</v>
      </c>
      <c r="U40" s="24"/>
      <c r="V40" s="26" t="n">
        <f>33</f>
        <v>33.0</v>
      </c>
      <c r="W40" s="25"/>
      <c r="X40" s="26" t="n">
        <f>66</f>
        <v>66.0</v>
      </c>
      <c r="Y40" s="23" t="s">
        <v>30</v>
      </c>
      <c r="Z40" s="26" t="n">
        <f>657</f>
        <v>657.0</v>
      </c>
      <c r="AA40" s="24" t="s">
        <v>30</v>
      </c>
      <c r="AB40" s="26" t="n">
        <f>315</f>
        <v>315.0</v>
      </c>
      <c r="AC40" s="25" t="s">
        <v>30</v>
      </c>
      <c r="AD40" s="26" t="n">
        <f>972</f>
        <v>972.0</v>
      </c>
    </row>
  </sheetData>
  <mergeCells count="38">
    <mergeCell ref="Y9:Z9"/>
    <mergeCell ref="L9:M9"/>
    <mergeCell ref="N9:O9"/>
    <mergeCell ref="S9:T9"/>
    <mergeCell ref="U9:V9"/>
    <mergeCell ref="W9:X9"/>
    <mergeCell ref="AA6:AB6"/>
    <mergeCell ref="AC6:AD6"/>
    <mergeCell ref="A8:A9"/>
    <mergeCell ref="D8:I8"/>
    <mergeCell ref="J8:O8"/>
    <mergeCell ref="P8:R8"/>
    <mergeCell ref="S8:X8"/>
    <mergeCell ref="Y8:AD8"/>
    <mergeCell ref="A5:A6"/>
    <mergeCell ref="B5:B9"/>
    <mergeCell ref="C5:C9"/>
    <mergeCell ref="D9:E9"/>
    <mergeCell ref="F9:G9"/>
    <mergeCell ref="H9:I9"/>
    <mergeCell ref="AA9:AB9"/>
    <mergeCell ref="AC9:AD9"/>
    <mergeCell ref="J9:K9"/>
    <mergeCell ref="S5:X5"/>
    <mergeCell ref="Y5:AD5"/>
    <mergeCell ref="D6:E6"/>
    <mergeCell ref="F6:G6"/>
    <mergeCell ref="H6:I6"/>
    <mergeCell ref="J6:K6"/>
    <mergeCell ref="L6:M6"/>
    <mergeCell ref="N6:O6"/>
    <mergeCell ref="S6:T6"/>
    <mergeCell ref="U6:V6"/>
    <mergeCell ref="D5:I5"/>
    <mergeCell ref="J5:O5"/>
    <mergeCell ref="P5:R5"/>
    <mergeCell ref="W6:X6"/>
    <mergeCell ref="Y6:Z6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29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BO_DM0033</vt:lpstr>
      <vt:lpstr>BO_DM0033!Print_Titles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2018-10-18T07:09:24Z</dcterms:created>
  <dcterms:modified xsi:type="dcterms:W3CDTF">2020-09-02T23:59:46Z</dcterms:modified>
</cp:coreProperties>
</file>