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<sst xmlns="http://schemas.openxmlformats.org/spreadsheetml/2006/main" count="512" uniqueCount="68">
  <si>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</si>
  <si>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</si>
  <si>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</si>
  <si>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</si>
  <si>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</si>
  <si>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</si>
  <si>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</si>
  <si>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</si>
  <si>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</si>
  <si>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</si>
  <si>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</si>
  <si>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</si>
  <si>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</si>
  <si>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</si>
  <si>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</si>
  <si>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</si>
  <si>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</si>
  <si>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</si>
  <si>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</si>
  <si>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</si>
  <si>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</si>
  <si>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</si>
  <si>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</si>
  <si>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</si>
  <si>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</si>
  <si>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</si>
  <si>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</si>
  <si>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日経225オプション</t>
  </si>
  <si>
    <t>Nikkei 225 Options</t>
  </si>
  <si>
    <t>2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</si>
  <si>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</si>
  <si>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</si>
  <si>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</si>
  <si>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</si>
  <si>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</si>
  <si>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</si>
  <si>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</si>
  <si>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</si>
  <si>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</si>
  <si>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◎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</si>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</sst>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 t="n">
        <f>58129</f>
        <v>58129.0</v>
      </c>
      <c r="F11" s="23"/>
      <c r="G11" s="25" t="n">
        <f>46653</f>
        <v>46653.0</v>
      </c>
      <c r="H11" s="23"/>
      <c r="I11" s="26" t="n">
        <f>104782</f>
        <v>104782.0</v>
      </c>
      <c r="J11" s="24"/>
      <c r="K11" s="25" t="n">
        <f>11020150450</f>
        <v>1.102015045E10</v>
      </c>
      <c r="L11" s="23"/>
      <c r="M11" s="25" t="n">
        <f>5872743080</f>
        <v>5.87274308E9</v>
      </c>
      <c r="N11" s="23"/>
      <c r="O11" s="26" t="n">
        <f>16892893530</f>
        <v>1.689289353E10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4390</f>
        <v>4390.0</v>
      </c>
      <c r="U11" s="23"/>
      <c r="V11" s="25" t="n">
        <f>12800</f>
        <v>12800.0</v>
      </c>
      <c r="W11" s="23"/>
      <c r="X11" s="26" t="n">
        <f>17190</f>
        <v>17190.0</v>
      </c>
      <c r="Y11" s="24"/>
      <c r="Z11" s="25" t="n">
        <f>898216</f>
        <v>898216.0</v>
      </c>
      <c r="AA11" s="23"/>
      <c r="AB11" s="25" t="n">
        <f>562777</f>
        <v>562777.0</v>
      </c>
      <c r="AC11" s="23"/>
      <c r="AD11" s="26" t="n">
        <f>1460993</f>
        <v>1460993.0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42825</f>
        <v>42825.0</v>
      </c>
      <c r="F12" s="23"/>
      <c r="G12" s="25" t="n">
        <f>30597</f>
        <v>30597.0</v>
      </c>
      <c r="H12" s="23"/>
      <c r="I12" s="26" t="n">
        <f>73422</f>
        <v>73422.0</v>
      </c>
      <c r="J12" s="24"/>
      <c r="K12" s="25" t="n">
        <f>9254367500</f>
        <v>9.2543675E9</v>
      </c>
      <c r="L12" s="23"/>
      <c r="M12" s="25" t="n">
        <f>5002701250</f>
        <v>5.00270125E9</v>
      </c>
      <c r="N12" s="23"/>
      <c r="O12" s="26" t="n">
        <f>14257068750</f>
        <v>1.425706875E10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7296</f>
        <v>7296.0</v>
      </c>
      <c r="U12" s="23"/>
      <c r="V12" s="25" t="n">
        <f>4618</f>
        <v>4618.0</v>
      </c>
      <c r="W12" s="23"/>
      <c r="X12" s="26" t="n">
        <f>11914</f>
        <v>11914.0</v>
      </c>
      <c r="Y12" s="24"/>
      <c r="Z12" s="25" t="n">
        <f>897710</f>
        <v>897710.0</v>
      </c>
      <c r="AA12" s="23"/>
      <c r="AB12" s="25" t="n">
        <f>565947</f>
        <v>565947.0</v>
      </c>
      <c r="AC12" s="23"/>
      <c r="AD12" s="26" t="n">
        <f>1463657</f>
        <v>1463657.0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44615</f>
        <v>44615.0</v>
      </c>
      <c r="F13" s="23"/>
      <c r="G13" s="25" t="n">
        <f>33159</f>
        <v>33159.0</v>
      </c>
      <c r="H13" s="23"/>
      <c r="I13" s="26" t="n">
        <f>77774</f>
        <v>77774.0</v>
      </c>
      <c r="J13" s="24"/>
      <c r="K13" s="25" t="n">
        <f>11256134850</f>
        <v>1.125613485E10</v>
      </c>
      <c r="L13" s="23"/>
      <c r="M13" s="25" t="n">
        <f>4492959020</f>
        <v>4.49295902E9</v>
      </c>
      <c r="N13" s="23"/>
      <c r="O13" s="26" t="n">
        <f>15749093870</f>
        <v>1.574909387E10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7449</f>
        <v>7449.0</v>
      </c>
      <c r="U13" s="23"/>
      <c r="V13" s="25" t="n">
        <f>3273</f>
        <v>3273.0</v>
      </c>
      <c r="W13" s="23"/>
      <c r="X13" s="26" t="n">
        <f>10722</f>
        <v>10722.0</v>
      </c>
      <c r="Y13" s="24"/>
      <c r="Z13" s="25" t="n">
        <f>899244</f>
        <v>899244.0</v>
      </c>
      <c r="AA13" s="23"/>
      <c r="AB13" s="25" t="n">
        <f>571175</f>
        <v>571175.0</v>
      </c>
      <c r="AC13" s="23"/>
      <c r="AD13" s="26" t="n">
        <f>1470419</f>
        <v>1470419.0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53233</f>
        <v>53233.0</v>
      </c>
      <c r="F14" s="23"/>
      <c r="G14" s="25" t="n">
        <f>31821</f>
        <v>31821.0</v>
      </c>
      <c r="H14" s="23"/>
      <c r="I14" s="26" t="n">
        <f>85054</f>
        <v>85054.0</v>
      </c>
      <c r="J14" s="24"/>
      <c r="K14" s="25" t="n">
        <f>8315791920</f>
        <v>8.31579192E9</v>
      </c>
      <c r="L14" s="23" t="s">
        <v>33</v>
      </c>
      <c r="M14" s="25" t="n">
        <f>2817194300</f>
        <v>2.8171943E9</v>
      </c>
      <c r="N14" s="23"/>
      <c r="O14" s="26" t="n">
        <f>11132986220</f>
        <v>1.113298622E10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6292</f>
        <v>6292.0</v>
      </c>
      <c r="U14" s="23"/>
      <c r="V14" s="25" t="n">
        <f>2700</f>
        <v>2700.0</v>
      </c>
      <c r="W14" s="23"/>
      <c r="X14" s="26" t="n">
        <f>8992</f>
        <v>8992.0</v>
      </c>
      <c r="Y14" s="24"/>
      <c r="Z14" s="25" t="n">
        <f>903953</f>
        <v>903953.0</v>
      </c>
      <c r="AA14" s="23"/>
      <c r="AB14" s="25" t="n">
        <f>573533</f>
        <v>573533.0</v>
      </c>
      <c r="AC14" s="23"/>
      <c r="AD14" s="26" t="n">
        <f>1477486</f>
        <v>1477486.0</v>
      </c>
    </row>
    <row r="15">
      <c r="A15" s="30" t="s">
        <v>34</v>
      </c>
      <c r="B15" s="22" t="s">
        <v>27</v>
      </c>
      <c r="C15" s="22" t="s">
        <v>28</v>
      </c>
      <c r="D15" s="24"/>
      <c r="E15" s="25" t="n">
        <f>42251</f>
        <v>42251.0</v>
      </c>
      <c r="F15" s="23"/>
      <c r="G15" s="25" t="n">
        <f>36418</f>
        <v>36418.0</v>
      </c>
      <c r="H15" s="23"/>
      <c r="I15" s="26" t="n">
        <f>78669</f>
        <v>78669.0</v>
      </c>
      <c r="J15" s="24" t="s">
        <v>33</v>
      </c>
      <c r="K15" s="25" t="n">
        <f>4883576950</f>
        <v>4.88357695E9</v>
      </c>
      <c r="L15" s="23"/>
      <c r="M15" s="25" t="n">
        <f>3738255650</f>
        <v>3.73825565E9</v>
      </c>
      <c r="N15" s="23" t="s">
        <v>33</v>
      </c>
      <c r="O15" s="26" t="n">
        <f>8621832600</f>
        <v>8.6218326E9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7479</f>
        <v>7479.0</v>
      </c>
      <c r="U15" s="23"/>
      <c r="V15" s="25" t="n">
        <f>9251</f>
        <v>9251.0</v>
      </c>
      <c r="W15" s="23"/>
      <c r="X15" s="26" t="n">
        <f>16730</f>
        <v>16730.0</v>
      </c>
      <c r="Y15" s="24"/>
      <c r="Z15" s="25" t="n">
        <f>907225</f>
        <v>907225.0</v>
      </c>
      <c r="AA15" s="23"/>
      <c r="AB15" s="25" t="n">
        <f>578448</f>
        <v>578448.0</v>
      </c>
      <c r="AC15" s="23"/>
      <c r="AD15" s="26" t="n">
        <f>1485673</f>
        <v>1485673.0</v>
      </c>
    </row>
    <row r="16">
      <c r="A16" s="30" t="s">
        <v>35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36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37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38</v>
      </c>
      <c r="B19" s="22" t="s">
        <v>27</v>
      </c>
      <c r="C19" s="22" t="s">
        <v>28</v>
      </c>
      <c r="D19" s="24" t="s">
        <v>39</v>
      </c>
      <c r="E19" s="25" t="n">
        <f>76871</f>
        <v>76871.0</v>
      </c>
      <c r="F19" s="23"/>
      <c r="G19" s="25" t="n">
        <f>56850</f>
        <v>56850.0</v>
      </c>
      <c r="H19" s="23" t="s">
        <v>39</v>
      </c>
      <c r="I19" s="26" t="n">
        <f>133721</f>
        <v>133721.0</v>
      </c>
      <c r="J19" s="24"/>
      <c r="K19" s="25" t="n">
        <f>13463495262</f>
        <v>1.3463495262E10</v>
      </c>
      <c r="L19" s="23"/>
      <c r="M19" s="25" t="n">
        <f>7341096050</f>
        <v>7.34109605E9</v>
      </c>
      <c r="N19" s="23"/>
      <c r="O19" s="26" t="n">
        <f>20804591312</f>
        <v>2.0804591312E10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14202</f>
        <v>14202.0</v>
      </c>
      <c r="U19" s="23"/>
      <c r="V19" s="25" t="n">
        <f>8430</f>
        <v>8430.0</v>
      </c>
      <c r="W19" s="23"/>
      <c r="X19" s="26" t="n">
        <f>22632</f>
        <v>22632.0</v>
      </c>
      <c r="Y19" s="24"/>
      <c r="Z19" s="25" t="n">
        <f>909153</f>
        <v>909153.0</v>
      </c>
      <c r="AA19" s="23"/>
      <c r="AB19" s="25" t="n">
        <f>581761</f>
        <v>581761.0</v>
      </c>
      <c r="AC19" s="23"/>
      <c r="AD19" s="26" t="n">
        <f>1490914</f>
        <v>1490914.0</v>
      </c>
    </row>
    <row r="20">
      <c r="A20" s="30" t="s">
        <v>40</v>
      </c>
      <c r="B20" s="22" t="s">
        <v>27</v>
      </c>
      <c r="C20" s="22" t="s">
        <v>28</v>
      </c>
      <c r="D20" s="24"/>
      <c r="E20" s="25" t="n">
        <f>44164</f>
        <v>44164.0</v>
      </c>
      <c r="F20" s="23"/>
      <c r="G20" s="25" t="n">
        <f>37568</f>
        <v>37568.0</v>
      </c>
      <c r="H20" s="23"/>
      <c r="I20" s="26" t="n">
        <f>81732</f>
        <v>81732.0</v>
      </c>
      <c r="J20" s="24"/>
      <c r="K20" s="25" t="n">
        <f>6767050370</f>
        <v>6.76705037E9</v>
      </c>
      <c r="L20" s="23"/>
      <c r="M20" s="25" t="n">
        <f>5983267540</f>
        <v>5.98326754E9</v>
      </c>
      <c r="N20" s="23"/>
      <c r="O20" s="26" t="n">
        <f>12750317910</f>
        <v>1.275031791E10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6109</f>
        <v>6109.0</v>
      </c>
      <c r="U20" s="23"/>
      <c r="V20" s="25" t="n">
        <f>8313</f>
        <v>8313.0</v>
      </c>
      <c r="W20" s="23"/>
      <c r="X20" s="26" t="n">
        <f>14422</f>
        <v>14422.0</v>
      </c>
      <c r="Y20" s="24"/>
      <c r="Z20" s="25" t="n">
        <f>918238</f>
        <v>918238.0</v>
      </c>
      <c r="AA20" s="23"/>
      <c r="AB20" s="25" t="n">
        <f>588315</f>
        <v>588315.0</v>
      </c>
      <c r="AC20" s="23"/>
      <c r="AD20" s="26" t="n">
        <f>1506553</f>
        <v>1506553.0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58895</f>
        <v>58895.0</v>
      </c>
      <c r="F21" s="23"/>
      <c r="G21" s="25" t="n">
        <f>47195</f>
        <v>47195.0</v>
      </c>
      <c r="H21" s="23"/>
      <c r="I21" s="26" t="n">
        <f>106090</f>
        <v>106090.0</v>
      </c>
      <c r="J21" s="24"/>
      <c r="K21" s="25" t="n">
        <f>12555739850</f>
        <v>1.255573985E10</v>
      </c>
      <c r="L21" s="23"/>
      <c r="M21" s="25" t="n">
        <f>6940571960</f>
        <v>6.94057196E9</v>
      </c>
      <c r="N21" s="23"/>
      <c r="O21" s="26" t="n">
        <f>19496311810</f>
        <v>1.949631181E10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7589</f>
        <v>7589.0</v>
      </c>
      <c r="U21" s="23"/>
      <c r="V21" s="25" t="n">
        <f>9821</f>
        <v>9821.0</v>
      </c>
      <c r="W21" s="23"/>
      <c r="X21" s="26" t="n">
        <f>17410</f>
        <v>17410.0</v>
      </c>
      <c r="Y21" s="24" t="s">
        <v>39</v>
      </c>
      <c r="Z21" s="25" t="n">
        <f>921960</f>
        <v>921960.0</v>
      </c>
      <c r="AA21" s="23" t="s">
        <v>39</v>
      </c>
      <c r="AB21" s="25" t="n">
        <f>598540</f>
        <v>598540.0</v>
      </c>
      <c r="AC21" s="23" t="s">
        <v>39</v>
      </c>
      <c r="AD21" s="26" t="n">
        <f>1520500</f>
        <v>1520500.0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40302</f>
        <v>40302.0</v>
      </c>
      <c r="F22" s="23"/>
      <c r="G22" s="25" t="n">
        <f>36209</f>
        <v>36209.0</v>
      </c>
      <c r="H22" s="23"/>
      <c r="I22" s="26" t="n">
        <f>76511</f>
        <v>76511.0</v>
      </c>
      <c r="J22" s="24"/>
      <c r="K22" s="25" t="n">
        <f>6552253050</f>
        <v>6.55225305E9</v>
      </c>
      <c r="L22" s="23"/>
      <c r="M22" s="25" t="n">
        <f>6849331050</f>
        <v>6.84933105E9</v>
      </c>
      <c r="N22" s="23"/>
      <c r="O22" s="26" t="n">
        <f>13401584100</f>
        <v>1.34015841E10</v>
      </c>
      <c r="P22" s="27" t="n">
        <f>10582</f>
        <v>10582.0</v>
      </c>
      <c r="Q22" s="28" t="n">
        <f>10229</f>
        <v>10229.0</v>
      </c>
      <c r="R22" s="29" t="n">
        <f>20811</f>
        <v>20811.0</v>
      </c>
      <c r="S22" s="24" t="s">
        <v>33</v>
      </c>
      <c r="T22" s="25" t="n">
        <f>4313</f>
        <v>4313.0</v>
      </c>
      <c r="U22" s="23"/>
      <c r="V22" s="25" t="n">
        <f>7355</f>
        <v>7355.0</v>
      </c>
      <c r="W22" s="23"/>
      <c r="X22" s="26" t="n">
        <f>11668</f>
        <v>11668.0</v>
      </c>
      <c r="Y22" s="24" t="s">
        <v>33</v>
      </c>
      <c r="Z22" s="25" t="n">
        <f>815951</f>
        <v>815951.0</v>
      </c>
      <c r="AA22" s="23" t="s">
        <v>33</v>
      </c>
      <c r="AB22" s="25" t="n">
        <f>511730</f>
        <v>511730.0</v>
      </c>
      <c r="AC22" s="23" t="s">
        <v>33</v>
      </c>
      <c r="AD22" s="26" t="n">
        <f>1327681</f>
        <v>1327681.0</v>
      </c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 t="n">
        <f>46285</f>
        <v>46285.0</v>
      </c>
      <c r="F25" s="23"/>
      <c r="G25" s="25" t="n">
        <f>36089</f>
        <v>36089.0</v>
      </c>
      <c r="H25" s="23"/>
      <c r="I25" s="26" t="n">
        <f>82374</f>
        <v>82374.0</v>
      </c>
      <c r="J25" s="24"/>
      <c r="K25" s="25" t="n">
        <f>8324741270</f>
        <v>8.32474127E9</v>
      </c>
      <c r="L25" s="23"/>
      <c r="M25" s="25" t="n">
        <f>5966115720</f>
        <v>5.96611572E9</v>
      </c>
      <c r="N25" s="23"/>
      <c r="O25" s="26" t="n">
        <f>14290856990</f>
        <v>1.429085699E10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6175</f>
        <v>6175.0</v>
      </c>
      <c r="U25" s="23"/>
      <c r="V25" s="25" t="n">
        <f>5468</f>
        <v>5468.0</v>
      </c>
      <c r="W25" s="23"/>
      <c r="X25" s="26" t="n">
        <f>11643</f>
        <v>11643.0</v>
      </c>
      <c r="Y25" s="24"/>
      <c r="Z25" s="25" t="n">
        <f>826358</f>
        <v>826358.0</v>
      </c>
      <c r="AA25" s="23"/>
      <c r="AB25" s="25" t="n">
        <f>520232</f>
        <v>520232.0</v>
      </c>
      <c r="AC25" s="23"/>
      <c r="AD25" s="26" t="n">
        <f>1346590</f>
        <v>1346590.0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36825</f>
        <v>36825.0</v>
      </c>
      <c r="F26" s="23"/>
      <c r="G26" s="25" t="n">
        <f>34810</f>
        <v>34810.0</v>
      </c>
      <c r="H26" s="23"/>
      <c r="I26" s="26" t="n">
        <f>71635</f>
        <v>71635.0</v>
      </c>
      <c r="J26" s="24"/>
      <c r="K26" s="25" t="n">
        <f>7835620550</f>
        <v>7.83562055E9</v>
      </c>
      <c r="L26" s="23"/>
      <c r="M26" s="25" t="n">
        <f>5070798850</f>
        <v>5.07079885E9</v>
      </c>
      <c r="N26" s="23"/>
      <c r="O26" s="26" t="n">
        <f>12906419400</f>
        <v>1.29064194E10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6666</f>
        <v>6666.0</v>
      </c>
      <c r="U26" s="23"/>
      <c r="V26" s="25" t="n">
        <f>4435</f>
        <v>4435.0</v>
      </c>
      <c r="W26" s="23"/>
      <c r="X26" s="26" t="n">
        <f>11101</f>
        <v>11101.0</v>
      </c>
      <c r="Y26" s="24"/>
      <c r="Z26" s="25" t="n">
        <f>834671</f>
        <v>834671.0</v>
      </c>
      <c r="AA26" s="23"/>
      <c r="AB26" s="25" t="n">
        <f>524340</f>
        <v>524340.0</v>
      </c>
      <c r="AC26" s="23"/>
      <c r="AD26" s="26" t="n">
        <f>1359011</f>
        <v>1359011.0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41798</f>
        <v>41798.0</v>
      </c>
      <c r="F27" s="23"/>
      <c r="G27" s="25" t="n">
        <f>34531</f>
        <v>34531.0</v>
      </c>
      <c r="H27" s="23"/>
      <c r="I27" s="26" t="n">
        <f>76329</f>
        <v>76329.0</v>
      </c>
      <c r="J27" s="24"/>
      <c r="K27" s="25" t="n">
        <f>8531472070</f>
        <v>8.53147207E9</v>
      </c>
      <c r="L27" s="23"/>
      <c r="M27" s="25" t="n">
        <f>4466227150</f>
        <v>4.46622715E9</v>
      </c>
      <c r="N27" s="23"/>
      <c r="O27" s="26" t="n">
        <f>12997699220</f>
        <v>1.299769922E10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7266</f>
        <v>7266.0</v>
      </c>
      <c r="U27" s="23"/>
      <c r="V27" s="25" t="n">
        <f>5410</f>
        <v>5410.0</v>
      </c>
      <c r="W27" s="23"/>
      <c r="X27" s="26" t="n">
        <f>12676</f>
        <v>12676.0</v>
      </c>
      <c r="Y27" s="24"/>
      <c r="Z27" s="25" t="n">
        <f>839731</f>
        <v>839731.0</v>
      </c>
      <c r="AA27" s="23"/>
      <c r="AB27" s="25" t="n">
        <f>529988</f>
        <v>529988.0</v>
      </c>
      <c r="AC27" s="23"/>
      <c r="AD27" s="26" t="n">
        <f>1369719</f>
        <v>1369719.0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39387</f>
        <v>39387.0</v>
      </c>
      <c r="F28" s="23"/>
      <c r="G28" s="25" t="n">
        <f>23979</f>
        <v>23979.0</v>
      </c>
      <c r="H28" s="23"/>
      <c r="I28" s="26" t="n">
        <f>63366</f>
        <v>63366.0</v>
      </c>
      <c r="J28" s="24"/>
      <c r="K28" s="25" t="n">
        <f>9462545290</f>
        <v>9.46254529E9</v>
      </c>
      <c r="L28" s="23"/>
      <c r="M28" s="25" t="n">
        <f>4058834200</f>
        <v>4.0588342E9</v>
      </c>
      <c r="N28" s="23"/>
      <c r="O28" s="26" t="n">
        <f>13521379490</f>
        <v>1.352137949E10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6227</f>
        <v>6227.0</v>
      </c>
      <c r="U28" s="23"/>
      <c r="V28" s="25" t="n">
        <f>2600</f>
        <v>2600.0</v>
      </c>
      <c r="W28" s="23" t="s">
        <v>33</v>
      </c>
      <c r="X28" s="26" t="n">
        <f>8827</f>
        <v>8827.0</v>
      </c>
      <c r="Y28" s="24"/>
      <c r="Z28" s="25" t="n">
        <f>848154</f>
        <v>848154.0</v>
      </c>
      <c r="AA28" s="23"/>
      <c r="AB28" s="25" t="n">
        <f>535859</f>
        <v>535859.0</v>
      </c>
      <c r="AC28" s="23"/>
      <c r="AD28" s="26" t="n">
        <f>1384013</f>
        <v>1384013.0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68068</f>
        <v>68068.0</v>
      </c>
      <c r="F29" s="23"/>
      <c r="G29" s="25" t="n">
        <f>38446</f>
        <v>38446.0</v>
      </c>
      <c r="H29" s="23"/>
      <c r="I29" s="26" t="n">
        <f>106514</f>
        <v>106514.0</v>
      </c>
      <c r="J29" s="24" t="s">
        <v>39</v>
      </c>
      <c r="K29" s="25" t="n">
        <f>21568320700</f>
        <v>2.15683207E10</v>
      </c>
      <c r="L29" s="23"/>
      <c r="M29" s="25" t="n">
        <f>6494201700</f>
        <v>6.4942017E9</v>
      </c>
      <c r="N29" s="23" t="s">
        <v>39</v>
      </c>
      <c r="O29" s="26" t="n">
        <f>28062522400</f>
        <v>2.80625224E10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11961</f>
        <v>11961.0</v>
      </c>
      <c r="U29" s="23"/>
      <c r="V29" s="25" t="n">
        <f>4095</f>
        <v>4095.0</v>
      </c>
      <c r="W29" s="23"/>
      <c r="X29" s="26" t="n">
        <f>16056</f>
        <v>16056.0</v>
      </c>
      <c r="Y29" s="24"/>
      <c r="Z29" s="25" t="n">
        <f>856229</f>
        <v>856229.0</v>
      </c>
      <c r="AA29" s="23"/>
      <c r="AB29" s="25" t="n">
        <f>538230</f>
        <v>538230.0</v>
      </c>
      <c r="AC29" s="23"/>
      <c r="AD29" s="26" t="n">
        <f>1394459</f>
        <v>1394459.0</v>
      </c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 t="n">
        <f>52774</f>
        <v>52774.0</v>
      </c>
      <c r="F32" s="23"/>
      <c r="G32" s="25" t="n">
        <f>44046</f>
        <v>44046.0</v>
      </c>
      <c r="H32" s="23"/>
      <c r="I32" s="26" t="n">
        <f>96820</f>
        <v>96820.0</v>
      </c>
      <c r="J32" s="24"/>
      <c r="K32" s="25" t="n">
        <f>13475407896</f>
        <v>1.3475407896E10</v>
      </c>
      <c r="L32" s="23"/>
      <c r="M32" s="25" t="n">
        <f>5161175700</f>
        <v>5.1611757E9</v>
      </c>
      <c r="N32" s="23"/>
      <c r="O32" s="26" t="n">
        <f>18636583596</f>
        <v>1.8636583596E10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12774</f>
        <v>12774.0</v>
      </c>
      <c r="U32" s="23"/>
      <c r="V32" s="25" t="n">
        <f>11235</f>
        <v>11235.0</v>
      </c>
      <c r="W32" s="23"/>
      <c r="X32" s="26" t="n">
        <f>24009</f>
        <v>24009.0</v>
      </c>
      <c r="Y32" s="24"/>
      <c r="Z32" s="25" t="n">
        <f>864976</f>
        <v>864976.0</v>
      </c>
      <c r="AA32" s="23"/>
      <c r="AB32" s="25" t="n">
        <f>546464</f>
        <v>546464.0</v>
      </c>
      <c r="AC32" s="23"/>
      <c r="AD32" s="26" t="n">
        <f>1411440</f>
        <v>1411440.0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45243</f>
        <v>45243.0</v>
      </c>
      <c r="F33" s="23"/>
      <c r="G33" s="25" t="n">
        <f>31000</f>
        <v>31000.0</v>
      </c>
      <c r="H33" s="23"/>
      <c r="I33" s="26" t="n">
        <f>76243</f>
        <v>76243.0</v>
      </c>
      <c r="J33" s="24"/>
      <c r="K33" s="25" t="n">
        <f>10549412500</f>
        <v>1.05494125E10</v>
      </c>
      <c r="L33" s="23"/>
      <c r="M33" s="25" t="n">
        <f>4415395150</f>
        <v>4.41539515E9</v>
      </c>
      <c r="N33" s="23"/>
      <c r="O33" s="26" t="n">
        <f>14964807650</f>
        <v>1.496480765E10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8299</f>
        <v>8299.0</v>
      </c>
      <c r="U33" s="23"/>
      <c r="V33" s="25" t="n">
        <f>4848</f>
        <v>4848.0</v>
      </c>
      <c r="W33" s="23"/>
      <c r="X33" s="26" t="n">
        <f>13147</f>
        <v>13147.0</v>
      </c>
      <c r="Y33" s="24"/>
      <c r="Z33" s="25" t="n">
        <f>872341</f>
        <v>872341.0</v>
      </c>
      <c r="AA33" s="23"/>
      <c r="AB33" s="25" t="n">
        <f>550061</f>
        <v>550061.0</v>
      </c>
      <c r="AC33" s="23"/>
      <c r="AD33" s="26" t="n">
        <f>1422402</f>
        <v>1422402.0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44440</f>
        <v>44440.0</v>
      </c>
      <c r="F34" s="23"/>
      <c r="G34" s="25" t="n">
        <f>49785</f>
        <v>49785.0</v>
      </c>
      <c r="H34" s="23"/>
      <c r="I34" s="26" t="n">
        <f>94225</f>
        <v>94225.0</v>
      </c>
      <c r="J34" s="24"/>
      <c r="K34" s="25" t="n">
        <f>13325425740</f>
        <v>1.332542574E10</v>
      </c>
      <c r="L34" s="23"/>
      <c r="M34" s="25" t="n">
        <f>11386612590</f>
        <v>1.138661259E10</v>
      </c>
      <c r="N34" s="23"/>
      <c r="O34" s="26" t="n">
        <f>24712038330</f>
        <v>2.471203833E10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 t="s">
        <v>39</v>
      </c>
      <c r="T34" s="25" t="n">
        <f>23204</f>
        <v>23204.0</v>
      </c>
      <c r="U34" s="23" t="s">
        <v>39</v>
      </c>
      <c r="V34" s="25" t="n">
        <f>18087</f>
        <v>18087.0</v>
      </c>
      <c r="W34" s="23" t="s">
        <v>39</v>
      </c>
      <c r="X34" s="26" t="n">
        <f>41291</f>
        <v>41291.0</v>
      </c>
      <c r="Y34" s="24"/>
      <c r="Z34" s="25" t="n">
        <f>878741</f>
        <v>878741.0</v>
      </c>
      <c r="AA34" s="23"/>
      <c r="AB34" s="25" t="n">
        <f>566362</f>
        <v>566362.0</v>
      </c>
      <c r="AC34" s="23"/>
      <c r="AD34" s="26" t="n">
        <f>1445103</f>
        <v>1445103.0</v>
      </c>
    </row>
    <row r="35">
      <c r="A35" s="30" t="s">
        <v>55</v>
      </c>
      <c r="B35" s="22" t="s">
        <v>27</v>
      </c>
      <c r="C35" s="22" t="s">
        <v>28</v>
      </c>
      <c r="D35" s="24" t="s">
        <v>33</v>
      </c>
      <c r="E35" s="25" t="n">
        <f>33096</f>
        <v>33096.0</v>
      </c>
      <c r="F35" s="23" t="s">
        <v>33</v>
      </c>
      <c r="G35" s="25" t="n">
        <f>22367</f>
        <v>22367.0</v>
      </c>
      <c r="H35" s="23" t="s">
        <v>33</v>
      </c>
      <c r="I35" s="26" t="n">
        <f>55463</f>
        <v>55463.0</v>
      </c>
      <c r="J35" s="24"/>
      <c r="K35" s="25" t="n">
        <f>7019007150</f>
        <v>7.01900715E9</v>
      </c>
      <c r="L35" s="23"/>
      <c r="M35" s="25" t="n">
        <f>3456934600</f>
        <v>3.4569346E9</v>
      </c>
      <c r="N35" s="23"/>
      <c r="O35" s="26" t="n">
        <f>10475941750</f>
        <v>1.047594175E10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18803</f>
        <v>18803.0</v>
      </c>
      <c r="U35" s="23" t="s">
        <v>33</v>
      </c>
      <c r="V35" s="25" t="n">
        <f>2157</f>
        <v>2157.0</v>
      </c>
      <c r="W35" s="23"/>
      <c r="X35" s="26" t="n">
        <f>20960</f>
        <v>20960.0</v>
      </c>
      <c r="Y35" s="24"/>
      <c r="Z35" s="25" t="n">
        <f>880287</f>
        <v>880287.0</v>
      </c>
      <c r="AA35" s="23"/>
      <c r="AB35" s="25" t="n">
        <f>566808</f>
        <v>566808.0</v>
      </c>
      <c r="AC35" s="23"/>
      <c r="AD35" s="26" t="n">
        <f>1447095</f>
        <v>1447095.0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36203</f>
        <v>36203.0</v>
      </c>
      <c r="F36" s="23"/>
      <c r="G36" s="25" t="n">
        <f>26715</f>
        <v>26715.0</v>
      </c>
      <c r="H36" s="23"/>
      <c r="I36" s="26" t="n">
        <f>62918</f>
        <v>62918.0</v>
      </c>
      <c r="J36" s="24"/>
      <c r="K36" s="25" t="n">
        <f>7693290050</f>
        <v>7.69329005E9</v>
      </c>
      <c r="L36" s="23"/>
      <c r="M36" s="25" t="n">
        <f>4509841250</f>
        <v>4.50984125E9</v>
      </c>
      <c r="N36" s="23"/>
      <c r="O36" s="26" t="n">
        <f>12203131300</f>
        <v>1.22031313E10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6057</f>
        <v>6057.0</v>
      </c>
      <c r="U36" s="23"/>
      <c r="V36" s="25" t="n">
        <f>6268</f>
        <v>6268.0</v>
      </c>
      <c r="W36" s="23"/>
      <c r="X36" s="26" t="n">
        <f>12325</f>
        <v>12325.0</v>
      </c>
      <c r="Y36" s="24"/>
      <c r="Z36" s="25" t="n">
        <f>885386</f>
        <v>885386.0</v>
      </c>
      <c r="AA36" s="23"/>
      <c r="AB36" s="25" t="n">
        <f>572835</f>
        <v>572835.0</v>
      </c>
      <c r="AC36" s="23"/>
      <c r="AD36" s="26" t="n">
        <f>1458221</f>
        <v>1458221.0</v>
      </c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/>
      <c r="E39" s="25" t="n">
        <f>47750</f>
        <v>47750.0</v>
      </c>
      <c r="F39" s="23"/>
      <c r="G39" s="25" t="n">
        <f>31934</f>
        <v>31934.0</v>
      </c>
      <c r="H39" s="23"/>
      <c r="I39" s="26" t="n">
        <f>79684</f>
        <v>79684.0</v>
      </c>
      <c r="J39" s="24"/>
      <c r="K39" s="25" t="n">
        <f>9176620550</f>
        <v>9.17662055E9</v>
      </c>
      <c r="L39" s="23"/>
      <c r="M39" s="25" t="n">
        <f>3846415450</f>
        <v>3.84641545E9</v>
      </c>
      <c r="N39" s="23"/>
      <c r="O39" s="26" t="n">
        <f>13023036000</f>
        <v>1.3023036E10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8869</f>
        <v>8869.0</v>
      </c>
      <c r="U39" s="23"/>
      <c r="V39" s="25" t="n">
        <f>5316</f>
        <v>5316.0</v>
      </c>
      <c r="W39" s="23"/>
      <c r="X39" s="26" t="n">
        <f>14185</f>
        <v>14185.0</v>
      </c>
      <c r="Y39" s="24"/>
      <c r="Z39" s="25" t="n">
        <f>891690</f>
        <v>891690.0</v>
      </c>
      <c r="AA39" s="23"/>
      <c r="AB39" s="25" t="n">
        <f>574983</f>
        <v>574983.0</v>
      </c>
      <c r="AC39" s="23"/>
      <c r="AD39" s="26" t="n">
        <f>1466673</f>
        <v>1466673.0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65208</f>
        <v>65208.0</v>
      </c>
      <c r="F40" s="23" t="s">
        <v>39</v>
      </c>
      <c r="G40" s="25" t="n">
        <f>61932</f>
        <v>61932.0</v>
      </c>
      <c r="H40" s="23"/>
      <c r="I40" s="26" t="n">
        <f>127140</f>
        <v>127140.0</v>
      </c>
      <c r="J40" s="24"/>
      <c r="K40" s="25" t="n">
        <f>14073044660</f>
        <v>1.407304466E10</v>
      </c>
      <c r="L40" s="23" t="s">
        <v>39</v>
      </c>
      <c r="M40" s="25" t="n">
        <f>11876232230</f>
        <v>1.187623223E10</v>
      </c>
      <c r="N40" s="23"/>
      <c r="O40" s="26" t="n">
        <f>25949276890</f>
        <v>2.594927689E10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12910</f>
        <v>12910.0</v>
      </c>
      <c r="U40" s="23"/>
      <c r="V40" s="25" t="n">
        <f>9636</f>
        <v>9636.0</v>
      </c>
      <c r="W40" s="23"/>
      <c r="X40" s="26" t="n">
        <f>22546</f>
        <v>22546.0</v>
      </c>
      <c r="Y40" s="24"/>
      <c r="Z40" s="25" t="n">
        <f>906663</f>
        <v>906663.0</v>
      </c>
      <c r="AA40" s="23"/>
      <c r="AB40" s="25" t="n">
        <f>585720</f>
        <v>585720.0</v>
      </c>
      <c r="AC40" s="23"/>
      <c r="AD40" s="26" t="n">
        <f>1492383</f>
        <v>1492383.0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 t="n">
        <f>1059</f>
        <v>1059.0</v>
      </c>
      <c r="F42" s="23"/>
      <c r="G42" s="25" t="n">
        <f>1066</f>
        <v>1066.0</v>
      </c>
      <c r="H42" s="23"/>
      <c r="I42" s="26" t="n">
        <f>2125</f>
        <v>2125.0</v>
      </c>
      <c r="J42" s="24"/>
      <c r="K42" s="25" t="n">
        <f>51235000</f>
        <v>5.1235E7</v>
      </c>
      <c r="L42" s="23"/>
      <c r="M42" s="25" t="n">
        <f>39428000</f>
        <v>3.9428E7</v>
      </c>
      <c r="N42" s="23"/>
      <c r="O42" s="26" t="n">
        <f>90663000</f>
        <v>9.0663E7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84</f>
        <v>84.0</v>
      </c>
      <c r="U42" s="23"/>
      <c r="V42" s="25" t="n">
        <f>67</f>
        <v>67.0</v>
      </c>
      <c r="W42" s="23"/>
      <c r="X42" s="26" t="n">
        <f>151</f>
        <v>151.0</v>
      </c>
      <c r="Y42" s="24"/>
      <c r="Z42" s="25" t="n">
        <f>1217</f>
        <v>1217.0</v>
      </c>
      <c r="AA42" s="23"/>
      <c r="AB42" s="25" t="n">
        <f>2726</f>
        <v>2726.0</v>
      </c>
      <c r="AC42" s="23"/>
      <c r="AD42" s="26" t="n">
        <f>3943</f>
        <v>3943.0</v>
      </c>
    </row>
    <row r="43">
      <c r="A43" s="30" t="s">
        <v>30</v>
      </c>
      <c r="B43" s="22" t="s">
        <v>61</v>
      </c>
      <c r="C43" s="22" t="s">
        <v>62</v>
      </c>
      <c r="D43" s="24"/>
      <c r="E43" s="25" t="n">
        <f>805</f>
        <v>805.0</v>
      </c>
      <c r="F43" s="23"/>
      <c r="G43" s="25" t="n">
        <f>823</f>
        <v>823.0</v>
      </c>
      <c r="H43" s="23"/>
      <c r="I43" s="26" t="n">
        <f>1628</f>
        <v>1628.0</v>
      </c>
      <c r="J43" s="24"/>
      <c r="K43" s="25" t="n">
        <f>41826000</f>
        <v>4.1826E7</v>
      </c>
      <c r="L43" s="23"/>
      <c r="M43" s="25" t="n">
        <f>24101000</f>
        <v>2.4101E7</v>
      </c>
      <c r="N43" s="23"/>
      <c r="O43" s="26" t="n">
        <f>65927000</f>
        <v>6.5927E7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42</f>
        <v>42.0</v>
      </c>
      <c r="U43" s="23"/>
      <c r="V43" s="25" t="n">
        <f>81</f>
        <v>81.0</v>
      </c>
      <c r="W43" s="23"/>
      <c r="X43" s="26" t="n">
        <f>123</f>
        <v>123.0</v>
      </c>
      <c r="Y43" s="24"/>
      <c r="Z43" s="25" t="n">
        <f>1593</f>
        <v>1593.0</v>
      </c>
      <c r="AA43" s="23"/>
      <c r="AB43" s="25" t="n">
        <f>2832</f>
        <v>2832.0</v>
      </c>
      <c r="AC43" s="23"/>
      <c r="AD43" s="26" t="n">
        <f>4425</f>
        <v>4425.0</v>
      </c>
    </row>
    <row r="44">
      <c r="A44" s="30" t="s">
        <v>31</v>
      </c>
      <c r="B44" s="22" t="s">
        <v>61</v>
      </c>
      <c r="C44" s="22" t="s">
        <v>62</v>
      </c>
      <c r="D44" s="24"/>
      <c r="E44" s="25" t="n">
        <f>1208</f>
        <v>1208.0</v>
      </c>
      <c r="F44" s="23"/>
      <c r="G44" s="25" t="n">
        <f>767</f>
        <v>767.0</v>
      </c>
      <c r="H44" s="23"/>
      <c r="I44" s="26" t="n">
        <f>1975</f>
        <v>1975.0</v>
      </c>
      <c r="J44" s="24"/>
      <c r="K44" s="25" t="n">
        <f>66448000</f>
        <v>6.6448E7</v>
      </c>
      <c r="L44" s="23" t="s">
        <v>33</v>
      </c>
      <c r="M44" s="25" t="n">
        <f>14419000</f>
        <v>1.4419E7</v>
      </c>
      <c r="N44" s="23"/>
      <c r="O44" s="26" t="n">
        <f>80867000</f>
        <v>8.0867E7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57</f>
        <v>57.0</v>
      </c>
      <c r="U44" s="23"/>
      <c r="V44" s="25" t="n">
        <f>70</f>
        <v>70.0</v>
      </c>
      <c r="W44" s="23"/>
      <c r="X44" s="26" t="n">
        <f>127</f>
        <v>127.0</v>
      </c>
      <c r="Y44" s="24"/>
      <c r="Z44" s="25" t="n">
        <f>1797</f>
        <v>1797.0</v>
      </c>
      <c r="AA44" s="23"/>
      <c r="AB44" s="25" t="n">
        <f>2868</f>
        <v>2868.0</v>
      </c>
      <c r="AC44" s="23"/>
      <c r="AD44" s="26" t="n">
        <f>4665</f>
        <v>4665.0</v>
      </c>
    </row>
    <row r="45">
      <c r="A45" s="30" t="s">
        <v>32</v>
      </c>
      <c r="B45" s="22" t="s">
        <v>61</v>
      </c>
      <c r="C45" s="22" t="s">
        <v>62</v>
      </c>
      <c r="D45" s="24"/>
      <c r="E45" s="25" t="n">
        <f>1873</f>
        <v>1873.0</v>
      </c>
      <c r="F45" s="23"/>
      <c r="G45" s="25" t="n">
        <f>1029</f>
        <v>1029.0</v>
      </c>
      <c r="H45" s="23"/>
      <c r="I45" s="26" t="n">
        <f>2902</f>
        <v>2902.0</v>
      </c>
      <c r="J45" s="24"/>
      <c r="K45" s="25" t="n">
        <f>34606000</f>
        <v>3.4606E7</v>
      </c>
      <c r="L45" s="23"/>
      <c r="M45" s="25" t="n">
        <f>23850000</f>
        <v>2.385E7</v>
      </c>
      <c r="N45" s="23"/>
      <c r="O45" s="26" t="n">
        <f>58456000</f>
        <v>5.8456E7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164</f>
        <v>164.0</v>
      </c>
      <c r="U45" s="23"/>
      <c r="V45" s="25" t="n">
        <f>112</f>
        <v>112.0</v>
      </c>
      <c r="W45" s="23"/>
      <c r="X45" s="26" t="n">
        <f>276</f>
        <v>276.0</v>
      </c>
      <c r="Y45" s="24"/>
      <c r="Z45" s="25" t="n">
        <f>2043</f>
        <v>2043.0</v>
      </c>
      <c r="AA45" s="23"/>
      <c r="AB45" s="25" t="n">
        <f>2805</f>
        <v>2805.0</v>
      </c>
      <c r="AC45" s="23"/>
      <c r="AD45" s="26" t="n">
        <f>4848</f>
        <v>4848.0</v>
      </c>
    </row>
    <row r="46">
      <c r="A46" s="30" t="s">
        <v>34</v>
      </c>
      <c r="B46" s="22" t="s">
        <v>61</v>
      </c>
      <c r="C46" s="22" t="s">
        <v>62</v>
      </c>
      <c r="D46" s="24"/>
      <c r="E46" s="25" t="n">
        <f>331</f>
        <v>331.0</v>
      </c>
      <c r="F46" s="23"/>
      <c r="G46" s="25" t="n">
        <f>464</f>
        <v>464.0</v>
      </c>
      <c r="H46" s="23"/>
      <c r="I46" s="26" t="n">
        <f>795</f>
        <v>795.0</v>
      </c>
      <c r="J46" s="24"/>
      <c r="K46" s="25" t="n">
        <f>94251000</f>
        <v>9.4251E7</v>
      </c>
      <c r="L46" s="23"/>
      <c r="M46" s="25" t="n">
        <f>84723000</f>
        <v>8.4723E7</v>
      </c>
      <c r="N46" s="23"/>
      <c r="O46" s="26" t="n">
        <f>178974000</f>
        <v>1.78974E8</v>
      </c>
      <c r="P46" s="27" t="n">
        <f>14</f>
        <v>14.0</v>
      </c>
      <c r="Q46" s="28" t="n">
        <f>576</f>
        <v>576.0</v>
      </c>
      <c r="R46" s="29" t="n">
        <f>590</f>
        <v>590.0</v>
      </c>
      <c r="S46" s="24" t="s">
        <v>33</v>
      </c>
      <c r="T46" s="25" t="n">
        <f>2</f>
        <v>2.0</v>
      </c>
      <c r="U46" s="23"/>
      <c r="V46" s="25" t="n">
        <f>290</f>
        <v>290.0</v>
      </c>
      <c r="W46" s="23"/>
      <c r="X46" s="26" t="n">
        <f>292</f>
        <v>292.0</v>
      </c>
      <c r="Y46" s="24" t="s">
        <v>33</v>
      </c>
      <c r="Z46" s="25" t="n">
        <f>453</f>
        <v>453.0</v>
      </c>
      <c r="AA46" s="23" t="s">
        <v>33</v>
      </c>
      <c r="AB46" s="25" t="n">
        <f>1061</f>
        <v>1061.0</v>
      </c>
      <c r="AC46" s="23" t="s">
        <v>33</v>
      </c>
      <c r="AD46" s="26" t="n">
        <f>1514</f>
        <v>1514.0</v>
      </c>
    </row>
    <row r="47">
      <c r="A47" s="30" t="s">
        <v>35</v>
      </c>
      <c r="B47" s="22" t="s">
        <v>61</v>
      </c>
      <c r="C47" s="22" t="s">
        <v>62</v>
      </c>
      <c r="D47" s="24"/>
      <c r="E47" s="25"/>
      <c r="F47" s="23"/>
      <c r="G47" s="25"/>
      <c r="H47" s="23"/>
      <c r="I47" s="26"/>
      <c r="J47" s="24"/>
      <c r="K47" s="25"/>
      <c r="L47" s="23"/>
      <c r="M47" s="25"/>
      <c r="N47" s="23"/>
      <c r="O47" s="26"/>
      <c r="P47" s="27"/>
      <c r="Q47" s="28"/>
      <c r="R47" s="29"/>
      <c r="S47" s="24"/>
      <c r="T47" s="25"/>
      <c r="U47" s="23"/>
      <c r="V47" s="25"/>
      <c r="W47" s="23"/>
      <c r="X47" s="26"/>
      <c r="Y47" s="24"/>
      <c r="Z47" s="25"/>
      <c r="AA47" s="23"/>
      <c r="AB47" s="25"/>
      <c r="AC47" s="23"/>
      <c r="AD47" s="26"/>
    </row>
    <row r="48">
      <c r="A48" s="30" t="s">
        <v>36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37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38</v>
      </c>
      <c r="B50" s="22" t="s">
        <v>61</v>
      </c>
      <c r="C50" s="22" t="s">
        <v>62</v>
      </c>
      <c r="D50" s="24" t="s">
        <v>33</v>
      </c>
      <c r="E50" s="25" t="n">
        <f>191</f>
        <v>191.0</v>
      </c>
      <c r="F50" s="23" t="s">
        <v>33</v>
      </c>
      <c r="G50" s="25" t="n">
        <f>364</f>
        <v>364.0</v>
      </c>
      <c r="H50" s="23" t="s">
        <v>33</v>
      </c>
      <c r="I50" s="26" t="n">
        <f>555</f>
        <v>555.0</v>
      </c>
      <c r="J50" s="24" t="s">
        <v>33</v>
      </c>
      <c r="K50" s="25" t="n">
        <f>12861000</f>
        <v>1.2861E7</v>
      </c>
      <c r="L50" s="23"/>
      <c r="M50" s="25" t="n">
        <f>33315000</f>
        <v>3.3315E7</v>
      </c>
      <c r="N50" s="23" t="s">
        <v>33</v>
      </c>
      <c r="O50" s="26" t="n">
        <f>46176000</f>
        <v>4.6176E7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14</f>
        <v>14.0</v>
      </c>
      <c r="U50" s="23" t="s">
        <v>33</v>
      </c>
      <c r="V50" s="25" t="n">
        <f>6</f>
        <v>6.0</v>
      </c>
      <c r="W50" s="23" t="s">
        <v>33</v>
      </c>
      <c r="X50" s="26" t="n">
        <f>20</f>
        <v>20.0</v>
      </c>
      <c r="Y50" s="24"/>
      <c r="Z50" s="25" t="n">
        <f>559</f>
        <v>559.0</v>
      </c>
      <c r="AA50" s="23"/>
      <c r="AB50" s="25" t="n">
        <f>1397</f>
        <v>1397.0</v>
      </c>
      <c r="AC50" s="23"/>
      <c r="AD50" s="26" t="n">
        <f>1956</f>
        <v>1956.0</v>
      </c>
    </row>
    <row r="51">
      <c r="A51" s="30" t="s">
        <v>40</v>
      </c>
      <c r="B51" s="22" t="s">
        <v>61</v>
      </c>
      <c r="C51" s="22" t="s">
        <v>62</v>
      </c>
      <c r="D51" s="24"/>
      <c r="E51" s="25" t="n">
        <f>192</f>
        <v>192.0</v>
      </c>
      <c r="F51" s="23"/>
      <c r="G51" s="25" t="n">
        <f>497</f>
        <v>497.0</v>
      </c>
      <c r="H51" s="23"/>
      <c r="I51" s="26" t="n">
        <f>689</f>
        <v>689.0</v>
      </c>
      <c r="J51" s="24"/>
      <c r="K51" s="25" t="n">
        <f>12959000</f>
        <v>1.2959E7</v>
      </c>
      <c r="L51" s="23"/>
      <c r="M51" s="25" t="n">
        <f>37326000</f>
        <v>3.7326E7</v>
      </c>
      <c r="N51" s="23"/>
      <c r="O51" s="26" t="n">
        <f>50285000</f>
        <v>5.0285E7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12</f>
        <v>12.0</v>
      </c>
      <c r="U51" s="23"/>
      <c r="V51" s="25" t="n">
        <f>260</f>
        <v>260.0</v>
      </c>
      <c r="W51" s="23"/>
      <c r="X51" s="26" t="n">
        <f>272</f>
        <v>272.0</v>
      </c>
      <c r="Y51" s="24"/>
      <c r="Z51" s="25" t="n">
        <f>668</f>
        <v>668.0</v>
      </c>
      <c r="AA51" s="23"/>
      <c r="AB51" s="25" t="n">
        <f>1860</f>
        <v>1860.0</v>
      </c>
      <c r="AC51" s="23"/>
      <c r="AD51" s="26" t="n">
        <f>2528</f>
        <v>2528.0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1046</f>
        <v>1046.0</v>
      </c>
      <c r="F52" s="23"/>
      <c r="G52" s="25" t="n">
        <f>1277</f>
        <v>1277.0</v>
      </c>
      <c r="H52" s="23"/>
      <c r="I52" s="26" t="n">
        <f>2323</f>
        <v>2323.0</v>
      </c>
      <c r="J52" s="24" t="s">
        <v>39</v>
      </c>
      <c r="K52" s="25" t="n">
        <f>137877000</f>
        <v>1.37877E8</v>
      </c>
      <c r="L52" s="23"/>
      <c r="M52" s="25" t="n">
        <f>181493000</f>
        <v>1.81493E8</v>
      </c>
      <c r="N52" s="23" t="s">
        <v>39</v>
      </c>
      <c r="O52" s="26" t="n">
        <f>319370000</f>
        <v>3.1937E8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25</f>
        <v>25.0</v>
      </c>
      <c r="U52" s="23"/>
      <c r="V52" s="25" t="n">
        <f>18</f>
        <v>18.0</v>
      </c>
      <c r="W52" s="23"/>
      <c r="X52" s="26" t="n">
        <f>43</f>
        <v>43.0</v>
      </c>
      <c r="Y52" s="24"/>
      <c r="Z52" s="25" t="n">
        <f>1227</f>
        <v>1227.0</v>
      </c>
      <c r="AA52" s="23"/>
      <c r="AB52" s="25" t="n">
        <f>3002</f>
        <v>3002.0</v>
      </c>
      <c r="AC52" s="23"/>
      <c r="AD52" s="26" t="n">
        <f>4229</f>
        <v>4229.0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959</f>
        <v>959.0</v>
      </c>
      <c r="F53" s="23"/>
      <c r="G53" s="25" t="n">
        <f>2286</f>
        <v>2286.0</v>
      </c>
      <c r="H53" s="23"/>
      <c r="I53" s="26" t="n">
        <f>3245</f>
        <v>3245.0</v>
      </c>
      <c r="J53" s="24"/>
      <c r="K53" s="25" t="n">
        <f>77793000</f>
        <v>7.7793E7</v>
      </c>
      <c r="L53" s="23" t="s">
        <v>39</v>
      </c>
      <c r="M53" s="25" t="n">
        <f>188365000</f>
        <v>1.88365E8</v>
      </c>
      <c r="N53" s="23"/>
      <c r="O53" s="26" t="n">
        <f>266158000</f>
        <v>2.66158E8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66</f>
        <v>66.0</v>
      </c>
      <c r="U53" s="23"/>
      <c r="V53" s="25" t="n">
        <f>57</f>
        <v>57.0</v>
      </c>
      <c r="W53" s="23"/>
      <c r="X53" s="26" t="n">
        <f>123</f>
        <v>123.0</v>
      </c>
      <c r="Y53" s="24"/>
      <c r="Z53" s="25" t="n">
        <f>1802</f>
        <v>1802.0</v>
      </c>
      <c r="AA53" s="23"/>
      <c r="AB53" s="25" t="n">
        <f>4493</f>
        <v>4493.0</v>
      </c>
      <c r="AC53" s="23"/>
      <c r="AD53" s="26" t="n">
        <f>6295</f>
        <v>6295.0</v>
      </c>
    </row>
    <row r="54">
      <c r="A54" s="30" t="s">
        <v>43</v>
      </c>
      <c r="B54" s="22" t="s">
        <v>61</v>
      </c>
      <c r="C54" s="22" t="s">
        <v>62</v>
      </c>
      <c r="D54" s="24"/>
      <c r="E54" s="25"/>
      <c r="F54" s="23"/>
      <c r="G54" s="25"/>
      <c r="H54" s="23"/>
      <c r="I54" s="26"/>
      <c r="J54" s="24"/>
      <c r="K54" s="25"/>
      <c r="L54" s="23"/>
      <c r="M54" s="25"/>
      <c r="N54" s="23"/>
      <c r="O54" s="26"/>
      <c r="P54" s="27"/>
      <c r="Q54" s="28"/>
      <c r="R54" s="29"/>
      <c r="S54" s="24"/>
      <c r="T54" s="25"/>
      <c r="U54" s="23"/>
      <c r="V54" s="25"/>
      <c r="W54" s="23"/>
      <c r="X54" s="26"/>
      <c r="Y54" s="24"/>
      <c r="Z54" s="25"/>
      <c r="AA54" s="23"/>
      <c r="AB54" s="25"/>
      <c r="AC54" s="23"/>
      <c r="AD54" s="26"/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 t="n">
        <f>1711</f>
        <v>1711.0</v>
      </c>
      <c r="F56" s="23" t="s">
        <v>39</v>
      </c>
      <c r="G56" s="25" t="n">
        <f>3669</f>
        <v>3669.0</v>
      </c>
      <c r="H56" s="23"/>
      <c r="I56" s="26" t="n">
        <f>5380</f>
        <v>5380.0</v>
      </c>
      <c r="J56" s="24"/>
      <c r="K56" s="25" t="n">
        <f>127083000</f>
        <v>1.27083E8</v>
      </c>
      <c r="L56" s="23"/>
      <c r="M56" s="25" t="n">
        <f>101877000</f>
        <v>1.01877E8</v>
      </c>
      <c r="N56" s="23"/>
      <c r="O56" s="26" t="n">
        <f>228960000</f>
        <v>2.2896E8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166</f>
        <v>166.0</v>
      </c>
      <c r="U56" s="23"/>
      <c r="V56" s="25" t="n">
        <f>163</f>
        <v>163.0</v>
      </c>
      <c r="W56" s="23"/>
      <c r="X56" s="26" t="n">
        <f>329</f>
        <v>329.0</v>
      </c>
      <c r="Y56" s="24"/>
      <c r="Z56" s="25" t="n">
        <f>2433</f>
        <v>2433.0</v>
      </c>
      <c r="AA56" s="23"/>
      <c r="AB56" s="25" t="n">
        <f>5091</f>
        <v>5091.0</v>
      </c>
      <c r="AC56" s="23"/>
      <c r="AD56" s="26" t="n">
        <f>7524</f>
        <v>7524.0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858</f>
        <v>858.0</v>
      </c>
      <c r="F57" s="23"/>
      <c r="G57" s="25" t="n">
        <f>1130</f>
        <v>1130.0</v>
      </c>
      <c r="H57" s="23"/>
      <c r="I57" s="26" t="n">
        <f>1988</f>
        <v>1988.0</v>
      </c>
      <c r="J57" s="24"/>
      <c r="K57" s="25" t="n">
        <f>46698000</f>
        <v>4.6698E7</v>
      </c>
      <c r="L57" s="23"/>
      <c r="M57" s="25" t="n">
        <f>49362000</f>
        <v>4.9362E7</v>
      </c>
      <c r="N57" s="23"/>
      <c r="O57" s="26" t="n">
        <f>96060000</f>
        <v>9.606E7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76</f>
        <v>76.0</v>
      </c>
      <c r="U57" s="23"/>
      <c r="V57" s="25" t="n">
        <f>91</f>
        <v>91.0</v>
      </c>
      <c r="W57" s="23"/>
      <c r="X57" s="26" t="n">
        <f>167</f>
        <v>167.0</v>
      </c>
      <c r="Y57" s="24"/>
      <c r="Z57" s="25" t="n">
        <f>2609</f>
        <v>2609.0</v>
      </c>
      <c r="AA57" s="23"/>
      <c r="AB57" s="25" t="n">
        <f>5309</f>
        <v>5309.0</v>
      </c>
      <c r="AC57" s="23"/>
      <c r="AD57" s="26" t="n">
        <f>7918</f>
        <v>7918.0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2306</f>
        <v>2306.0</v>
      </c>
      <c r="F58" s="23"/>
      <c r="G58" s="25" t="n">
        <f>2580</f>
        <v>2580.0</v>
      </c>
      <c r="H58" s="23"/>
      <c r="I58" s="26" t="n">
        <f>4886</f>
        <v>4886.0</v>
      </c>
      <c r="J58" s="24"/>
      <c r="K58" s="25" t="n">
        <f>130884000</f>
        <v>1.30884E8</v>
      </c>
      <c r="L58" s="23"/>
      <c r="M58" s="25" t="n">
        <f>107343000</f>
        <v>1.07343E8</v>
      </c>
      <c r="N58" s="23"/>
      <c r="O58" s="26" t="n">
        <f>238227000</f>
        <v>2.38227E8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155</f>
        <v>155.0</v>
      </c>
      <c r="U58" s="23"/>
      <c r="V58" s="25" t="n">
        <f>153</f>
        <v>153.0</v>
      </c>
      <c r="W58" s="23"/>
      <c r="X58" s="26" t="n">
        <f>308</f>
        <v>308.0</v>
      </c>
      <c r="Y58" s="24"/>
      <c r="Z58" s="25" t="n">
        <f>3087</f>
        <v>3087.0</v>
      </c>
      <c r="AA58" s="23"/>
      <c r="AB58" s="25" t="n">
        <f>5592</f>
        <v>5592.0</v>
      </c>
      <c r="AC58" s="23"/>
      <c r="AD58" s="26" t="n">
        <f>8679</f>
        <v>8679.0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2528</f>
        <v>2528.0</v>
      </c>
      <c r="F59" s="23"/>
      <c r="G59" s="25" t="n">
        <f>3342</f>
        <v>3342.0</v>
      </c>
      <c r="H59" s="23" t="s">
        <v>39</v>
      </c>
      <c r="I59" s="26" t="n">
        <f>5870</f>
        <v>5870.0</v>
      </c>
      <c r="J59" s="24"/>
      <c r="K59" s="25" t="n">
        <f>95495000</f>
        <v>9.5495E7</v>
      </c>
      <c r="L59" s="23"/>
      <c r="M59" s="25" t="n">
        <f>144246000</f>
        <v>1.44246E8</v>
      </c>
      <c r="N59" s="23"/>
      <c r="O59" s="26" t="n">
        <f>239741000</f>
        <v>2.39741E8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 t="s">
        <v>39</v>
      </c>
      <c r="T59" s="25" t="n">
        <f>309</f>
        <v>309.0</v>
      </c>
      <c r="U59" s="23"/>
      <c r="V59" s="25" t="n">
        <f>174</f>
        <v>174.0</v>
      </c>
      <c r="W59" s="23"/>
      <c r="X59" s="26" t="n">
        <f>483</f>
        <v>483.0</v>
      </c>
      <c r="Y59" s="24"/>
      <c r="Z59" s="25" t="n">
        <f>3659</f>
        <v>3659.0</v>
      </c>
      <c r="AA59" s="23" t="s">
        <v>39</v>
      </c>
      <c r="AB59" s="25" t="n">
        <f>6953</f>
        <v>6953.0</v>
      </c>
      <c r="AC59" s="23" t="s">
        <v>39</v>
      </c>
      <c r="AD59" s="26" t="n">
        <f>10612</f>
        <v>10612.0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816</f>
        <v>816.0</v>
      </c>
      <c r="F60" s="23"/>
      <c r="G60" s="25" t="n">
        <f>1571</f>
        <v>1571.0</v>
      </c>
      <c r="H60" s="23"/>
      <c r="I60" s="26" t="n">
        <f>2387</f>
        <v>2387.0</v>
      </c>
      <c r="J60" s="24"/>
      <c r="K60" s="25" t="n">
        <f>102209000</f>
        <v>1.02209E8</v>
      </c>
      <c r="L60" s="23"/>
      <c r="M60" s="25" t="n">
        <f>98674000</f>
        <v>9.8674E7</v>
      </c>
      <c r="N60" s="23"/>
      <c r="O60" s="26" t="n">
        <f>200883000</f>
        <v>2.00883E8</v>
      </c>
      <c r="P60" s="27" t="n">
        <f>591</f>
        <v>591.0</v>
      </c>
      <c r="Q60" s="28" t="n">
        <f>9</f>
        <v>9.0</v>
      </c>
      <c r="R60" s="29" t="n">
        <f>600</f>
        <v>600.0</v>
      </c>
      <c r="S60" s="24"/>
      <c r="T60" s="25" t="n">
        <f>47</f>
        <v>47.0</v>
      </c>
      <c r="U60" s="23"/>
      <c r="V60" s="25" t="n">
        <f>140</f>
        <v>140.0</v>
      </c>
      <c r="W60" s="23"/>
      <c r="X60" s="26" t="n">
        <f>187</f>
        <v>187.0</v>
      </c>
      <c r="Y60" s="24"/>
      <c r="Z60" s="25" t="n">
        <f>1544</f>
        <v>1544.0</v>
      </c>
      <c r="AA60" s="23"/>
      <c r="AB60" s="25" t="n">
        <f>2634</f>
        <v>2634.0</v>
      </c>
      <c r="AC60" s="23"/>
      <c r="AD60" s="26" t="n">
        <f>4178</f>
        <v>4178.0</v>
      </c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 t="n">
        <f>1509</f>
        <v>1509.0</v>
      </c>
      <c r="F63" s="23"/>
      <c r="G63" s="25" t="n">
        <f>2256</f>
        <v>2256.0</v>
      </c>
      <c r="H63" s="23"/>
      <c r="I63" s="26" t="n">
        <f>3765</f>
        <v>3765.0</v>
      </c>
      <c r="J63" s="24"/>
      <c r="K63" s="25" t="n">
        <f>91739000</f>
        <v>9.1739E7</v>
      </c>
      <c r="L63" s="23"/>
      <c r="M63" s="25" t="n">
        <f>168284000</f>
        <v>1.68284E8</v>
      </c>
      <c r="N63" s="23"/>
      <c r="O63" s="26" t="n">
        <f>260023000</f>
        <v>2.60023E8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133</f>
        <v>133.0</v>
      </c>
      <c r="U63" s="23" t="s">
        <v>39</v>
      </c>
      <c r="V63" s="25" t="n">
        <f>449</f>
        <v>449.0</v>
      </c>
      <c r="W63" s="23" t="s">
        <v>39</v>
      </c>
      <c r="X63" s="26" t="n">
        <f>582</f>
        <v>582.0</v>
      </c>
      <c r="Y63" s="24"/>
      <c r="Z63" s="25" t="n">
        <f>1975</f>
        <v>1975.0</v>
      </c>
      <c r="AA63" s="23"/>
      <c r="AB63" s="25" t="n">
        <f>3352</f>
        <v>3352.0</v>
      </c>
      <c r="AC63" s="23"/>
      <c r="AD63" s="26" t="n">
        <f>5327</f>
        <v>5327.0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1646</f>
        <v>1646.0</v>
      </c>
      <c r="F64" s="23"/>
      <c r="G64" s="25" t="n">
        <f>1134</f>
        <v>1134.0</v>
      </c>
      <c r="H64" s="23"/>
      <c r="I64" s="26" t="n">
        <f>2780</f>
        <v>2780.0</v>
      </c>
      <c r="J64" s="24"/>
      <c r="K64" s="25" t="n">
        <f>64501000</f>
        <v>6.4501E7</v>
      </c>
      <c r="L64" s="23"/>
      <c r="M64" s="25" t="n">
        <f>63114000</f>
        <v>6.3114E7</v>
      </c>
      <c r="N64" s="23"/>
      <c r="O64" s="26" t="n">
        <f>127615000</f>
        <v>1.27615E8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164</f>
        <v>164.0</v>
      </c>
      <c r="U64" s="23"/>
      <c r="V64" s="25" t="n">
        <f>114</f>
        <v>114.0</v>
      </c>
      <c r="W64" s="23"/>
      <c r="X64" s="26" t="n">
        <f>278</f>
        <v>278.0</v>
      </c>
      <c r="Y64" s="24"/>
      <c r="Z64" s="25" t="n">
        <f>2466</f>
        <v>2466.0</v>
      </c>
      <c r="AA64" s="23"/>
      <c r="AB64" s="25" t="n">
        <f>3503</f>
        <v>3503.0</v>
      </c>
      <c r="AC64" s="23"/>
      <c r="AD64" s="26" t="n">
        <f>5969</f>
        <v>5969.0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1908</f>
        <v>1908.0</v>
      </c>
      <c r="F65" s="23"/>
      <c r="G65" s="25" t="n">
        <f>1289</f>
        <v>1289.0</v>
      </c>
      <c r="H65" s="23"/>
      <c r="I65" s="26" t="n">
        <f>3197</f>
        <v>3197.0</v>
      </c>
      <c r="J65" s="24"/>
      <c r="K65" s="25" t="n">
        <f>51567000</f>
        <v>5.1567E7</v>
      </c>
      <c r="L65" s="23"/>
      <c r="M65" s="25" t="n">
        <f>41432000</f>
        <v>4.1432E7</v>
      </c>
      <c r="N65" s="23"/>
      <c r="O65" s="26" t="n">
        <f>92999000</f>
        <v>9.2999E7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184</f>
        <v>184.0</v>
      </c>
      <c r="U65" s="23"/>
      <c r="V65" s="25" t="n">
        <f>148</f>
        <v>148.0</v>
      </c>
      <c r="W65" s="23"/>
      <c r="X65" s="26" t="n">
        <f>332</f>
        <v>332.0</v>
      </c>
      <c r="Y65" s="24"/>
      <c r="Z65" s="25" t="n">
        <f>2784</f>
        <v>2784.0</v>
      </c>
      <c r="AA65" s="23"/>
      <c r="AB65" s="25" t="n">
        <f>3559</f>
        <v>3559.0</v>
      </c>
      <c r="AC65" s="23"/>
      <c r="AD65" s="26" t="n">
        <f>6343</f>
        <v>6343.0</v>
      </c>
    </row>
    <row r="66">
      <c r="A66" s="30" t="s">
        <v>55</v>
      </c>
      <c r="B66" s="22" t="s">
        <v>61</v>
      </c>
      <c r="C66" s="22" t="s">
        <v>62</v>
      </c>
      <c r="D66" s="24" t="s">
        <v>39</v>
      </c>
      <c r="E66" s="25" t="n">
        <f>3234</f>
        <v>3234.0</v>
      </c>
      <c r="F66" s="23"/>
      <c r="G66" s="25" t="n">
        <f>1842</f>
        <v>1842.0</v>
      </c>
      <c r="H66" s="23"/>
      <c r="I66" s="26" t="n">
        <f>5076</f>
        <v>5076.0</v>
      </c>
      <c r="J66" s="24"/>
      <c r="K66" s="25" t="n">
        <f>90783000</f>
        <v>9.0783E7</v>
      </c>
      <c r="L66" s="23"/>
      <c r="M66" s="25" t="n">
        <f>62665000</f>
        <v>6.2665E7</v>
      </c>
      <c r="N66" s="23"/>
      <c r="O66" s="26" t="n">
        <f>153448000</f>
        <v>1.53448E8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236</f>
        <v>236.0</v>
      </c>
      <c r="U66" s="23"/>
      <c r="V66" s="25" t="n">
        <f>200</f>
        <v>200.0</v>
      </c>
      <c r="W66" s="23"/>
      <c r="X66" s="26" t="n">
        <f>436</f>
        <v>436.0</v>
      </c>
      <c r="Y66" s="24" t="s">
        <v>39</v>
      </c>
      <c r="Z66" s="25" t="n">
        <f>3732</f>
        <v>3732.0</v>
      </c>
      <c r="AA66" s="23"/>
      <c r="AB66" s="25" t="n">
        <f>4225</f>
        <v>4225.0</v>
      </c>
      <c r="AC66" s="23"/>
      <c r="AD66" s="26" t="n">
        <f>7957</f>
        <v>7957.0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702</f>
        <v>702.0</v>
      </c>
      <c r="F67" s="23"/>
      <c r="G67" s="25" t="n">
        <f>1145</f>
        <v>1145.0</v>
      </c>
      <c r="H67" s="23"/>
      <c r="I67" s="26" t="n">
        <f>1847</f>
        <v>1847.0</v>
      </c>
      <c r="J67" s="24"/>
      <c r="K67" s="25" t="n">
        <f>48444000</f>
        <v>4.8444E7</v>
      </c>
      <c r="L67" s="23"/>
      <c r="M67" s="25" t="n">
        <f>92544000</f>
        <v>9.2544E7</v>
      </c>
      <c r="N67" s="23"/>
      <c r="O67" s="26" t="n">
        <f>140988000</f>
        <v>1.40988E8</v>
      </c>
      <c r="P67" s="27" t="n">
        <f>262</f>
        <v>262.0</v>
      </c>
      <c r="Q67" s="28" t="n">
        <f>236</f>
        <v>236.0</v>
      </c>
      <c r="R67" s="29" t="n">
        <f>498</f>
        <v>498.0</v>
      </c>
      <c r="S67" s="24"/>
      <c r="T67" s="25" t="n">
        <f>37</f>
        <v>37.0</v>
      </c>
      <c r="U67" s="23"/>
      <c r="V67" s="25" t="n">
        <f>383</f>
        <v>383.0</v>
      </c>
      <c r="W67" s="23"/>
      <c r="X67" s="26" t="n">
        <f>420</f>
        <v>420.0</v>
      </c>
      <c r="Y67" s="24"/>
      <c r="Z67" s="25" t="n">
        <f>1197</f>
        <v>1197.0</v>
      </c>
      <c r="AA67" s="23"/>
      <c r="AB67" s="25" t="n">
        <f>1757</f>
        <v>1757.0</v>
      </c>
      <c r="AC67" s="23"/>
      <c r="AD67" s="26" t="n">
        <f>2954</f>
        <v>2954.0</v>
      </c>
    </row>
    <row r="68">
      <c r="A68" s="30" t="s">
        <v>57</v>
      </c>
      <c r="B68" s="22" t="s">
        <v>61</v>
      </c>
      <c r="C68" s="22" t="s">
        <v>62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 t="n">
        <f>1326</f>
        <v>1326.0</v>
      </c>
      <c r="F70" s="23"/>
      <c r="G70" s="25" t="n">
        <f>1348</f>
        <v>1348.0</v>
      </c>
      <c r="H70" s="23"/>
      <c r="I70" s="26" t="n">
        <f>2674</f>
        <v>2674.0</v>
      </c>
      <c r="J70" s="24"/>
      <c r="K70" s="25" t="n">
        <f>47684000</f>
        <v>4.7684E7</v>
      </c>
      <c r="L70" s="23"/>
      <c r="M70" s="25" t="n">
        <f>65218000</f>
        <v>6.5218E7</v>
      </c>
      <c r="N70" s="23"/>
      <c r="O70" s="26" t="n">
        <f>112902000</f>
        <v>1.12902E8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77</f>
        <v>77.0</v>
      </c>
      <c r="U70" s="23"/>
      <c r="V70" s="25" t="n">
        <f>285</f>
        <v>285.0</v>
      </c>
      <c r="W70" s="23"/>
      <c r="X70" s="26" t="n">
        <f>362</f>
        <v>362.0</v>
      </c>
      <c r="Y70" s="24"/>
      <c r="Z70" s="25" t="n">
        <f>1473</f>
        <v>1473.0</v>
      </c>
      <c r="AA70" s="23"/>
      <c r="AB70" s="25" t="n">
        <f>2346</f>
        <v>2346.0</v>
      </c>
      <c r="AC70" s="23"/>
      <c r="AD70" s="26" t="n">
        <f>3819</f>
        <v>3819.0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2792</f>
        <v>2792.0</v>
      </c>
      <c r="F71" s="23"/>
      <c r="G71" s="25" t="n">
        <f>1992</f>
        <v>1992.0</v>
      </c>
      <c r="H71" s="23"/>
      <c r="I71" s="26" t="n">
        <f>4784</f>
        <v>4784.0</v>
      </c>
      <c r="J71" s="24"/>
      <c r="K71" s="25" t="n">
        <f>57550000</f>
        <v>5.755E7</v>
      </c>
      <c r="L71" s="23"/>
      <c r="M71" s="25" t="n">
        <f>103408000</f>
        <v>1.03408E8</v>
      </c>
      <c r="N71" s="23"/>
      <c r="O71" s="26" t="n">
        <f>160958000</f>
        <v>1.60958E8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129</f>
        <v>129.0</v>
      </c>
      <c r="U71" s="23"/>
      <c r="V71" s="25" t="n">
        <f>189</f>
        <v>189.0</v>
      </c>
      <c r="W71" s="23"/>
      <c r="X71" s="26" t="n">
        <f>318</f>
        <v>318.0</v>
      </c>
      <c r="Y71" s="24"/>
      <c r="Z71" s="25" t="n">
        <f>2299</f>
        <v>2299.0</v>
      </c>
      <c r="AA71" s="23"/>
      <c r="AB71" s="25" t="n">
        <f>2567</f>
        <v>2567.0</v>
      </c>
      <c r="AC71" s="23"/>
      <c r="AD71" s="26" t="n">
        <f>4866</f>
        <v>4866.0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 t="n">
        <f>3</f>
        <v>3.0</v>
      </c>
      <c r="F73" s="23" t="s">
        <v>33</v>
      </c>
      <c r="G73" s="25" t="str">
        <f>"－"</f>
        <v>－</v>
      </c>
      <c r="H73" s="23"/>
      <c r="I73" s="26" t="n">
        <f>3</f>
        <v>3.0</v>
      </c>
      <c r="J73" s="24"/>
      <c r="K73" s="25" t="n">
        <f>1222700</f>
        <v>1222700.0</v>
      </c>
      <c r="L73" s="23" t="s">
        <v>33</v>
      </c>
      <c r="M73" s="25" t="str">
        <f>"－"</f>
        <v>－</v>
      </c>
      <c r="N73" s="23"/>
      <c r="O73" s="26" t="n">
        <f>1222700</f>
        <v>1222700.0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 t="s">
        <v>33</v>
      </c>
      <c r="T73" s="25" t="str">
        <f>"－"</f>
        <v>－</v>
      </c>
      <c r="U73" s="23" t="s">
        <v>33</v>
      </c>
      <c r="V73" s="25" t="str">
        <f>"－"</f>
        <v>－</v>
      </c>
      <c r="W73" s="23" t="s">
        <v>33</v>
      </c>
      <c r="X73" s="26" t="str">
        <f>"－"</f>
        <v>－</v>
      </c>
      <c r="Y73" s="24"/>
      <c r="Z73" s="25" t="n">
        <f>85100</f>
        <v>85100.0</v>
      </c>
      <c r="AA73" s="23"/>
      <c r="AB73" s="25" t="n">
        <f>30784</f>
        <v>30784.0</v>
      </c>
      <c r="AC73" s="23"/>
      <c r="AD73" s="26" t="n">
        <f>115884</f>
        <v>115884.0</v>
      </c>
    </row>
    <row r="74">
      <c r="A74" s="30" t="s">
        <v>30</v>
      </c>
      <c r="B74" s="22" t="s">
        <v>63</v>
      </c>
      <c r="C74" s="22" t="s">
        <v>64</v>
      </c>
      <c r="D74" s="24"/>
      <c r="E74" s="25" t="n">
        <f>240</f>
        <v>240.0</v>
      </c>
      <c r="F74" s="23"/>
      <c r="G74" s="25" t="str">
        <f>"－"</f>
        <v>－</v>
      </c>
      <c r="H74" s="23"/>
      <c r="I74" s="26" t="n">
        <f>240</f>
        <v>240.0</v>
      </c>
      <c r="J74" s="24"/>
      <c r="K74" s="25" t="n">
        <f>77624200</f>
        <v>7.76242E7</v>
      </c>
      <c r="L74" s="23"/>
      <c r="M74" s="25" t="str">
        <f>"－"</f>
        <v>－</v>
      </c>
      <c r="N74" s="23"/>
      <c r="O74" s="26" t="n">
        <f>77624200</f>
        <v>7.76242E7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str">
        <f>"－"</f>
        <v>－</v>
      </c>
      <c r="U74" s="23"/>
      <c r="V74" s="25" t="str">
        <f>"－"</f>
        <v>－</v>
      </c>
      <c r="W74" s="23"/>
      <c r="X74" s="26" t="str">
        <f>"－"</f>
        <v>－</v>
      </c>
      <c r="Y74" s="24"/>
      <c r="Z74" s="25" t="n">
        <f>85340</f>
        <v>85340.0</v>
      </c>
      <c r="AA74" s="23"/>
      <c r="AB74" s="25" t="n">
        <f>30784</f>
        <v>30784.0</v>
      </c>
      <c r="AC74" s="23"/>
      <c r="AD74" s="26" t="n">
        <f>116124</f>
        <v>116124.0</v>
      </c>
    </row>
    <row r="75">
      <c r="A75" s="30" t="s">
        <v>31</v>
      </c>
      <c r="B75" s="22" t="s">
        <v>63</v>
      </c>
      <c r="C75" s="22" t="s">
        <v>64</v>
      </c>
      <c r="D75" s="24" t="s">
        <v>33</v>
      </c>
      <c r="E75" s="25" t="str">
        <f>"－"</f>
        <v>－</v>
      </c>
      <c r="F75" s="23"/>
      <c r="G75" s="25" t="str">
        <f>"－"</f>
        <v>－</v>
      </c>
      <c r="H75" s="23" t="s">
        <v>33</v>
      </c>
      <c r="I75" s="26" t="str">
        <f>"－"</f>
        <v>－</v>
      </c>
      <c r="J75" s="24" t="s">
        <v>33</v>
      </c>
      <c r="K75" s="25" t="str">
        <f>"－"</f>
        <v>－</v>
      </c>
      <c r="L75" s="23"/>
      <c r="M75" s="25" t="str">
        <f>"－"</f>
        <v>－</v>
      </c>
      <c r="N75" s="23" t="s">
        <v>33</v>
      </c>
      <c r="O75" s="26" t="str">
        <f>"－"</f>
        <v>－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/>
      <c r="Z75" s="25" t="n">
        <f>85340</f>
        <v>85340.0</v>
      </c>
      <c r="AA75" s="23"/>
      <c r="AB75" s="25" t="n">
        <f>30784</f>
        <v>30784.0</v>
      </c>
      <c r="AC75" s="23"/>
      <c r="AD75" s="26" t="n">
        <f>116124</f>
        <v>116124.0</v>
      </c>
    </row>
    <row r="76">
      <c r="A76" s="30" t="s">
        <v>32</v>
      </c>
      <c r="B76" s="22" t="s">
        <v>63</v>
      </c>
      <c r="C76" s="22" t="s">
        <v>64</v>
      </c>
      <c r="D76" s="24"/>
      <c r="E76" s="25" t="n">
        <f>670</f>
        <v>670.0</v>
      </c>
      <c r="F76" s="23"/>
      <c r="G76" s="25" t="n">
        <f>570</f>
        <v>570.0</v>
      </c>
      <c r="H76" s="23"/>
      <c r="I76" s="26" t="n">
        <f>1240</f>
        <v>1240.0</v>
      </c>
      <c r="J76" s="24"/>
      <c r="K76" s="25" t="n">
        <f>102258500</f>
        <v>1.022585E8</v>
      </c>
      <c r="L76" s="23"/>
      <c r="M76" s="25" t="n">
        <f>46854000</f>
        <v>4.6854E7</v>
      </c>
      <c r="N76" s="23"/>
      <c r="O76" s="26" t="n">
        <f>149112500</f>
        <v>1.491125E8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570</f>
        <v>570.0</v>
      </c>
      <c r="U76" s="23"/>
      <c r="V76" s="25" t="n">
        <f>570</f>
        <v>570.0</v>
      </c>
      <c r="W76" s="23"/>
      <c r="X76" s="26" t="n">
        <f>1140</f>
        <v>1140.0</v>
      </c>
      <c r="Y76" s="24"/>
      <c r="Z76" s="25" t="n">
        <f>86010</f>
        <v>86010.0</v>
      </c>
      <c r="AA76" s="23"/>
      <c r="AB76" s="25" t="n">
        <f>31354</f>
        <v>31354.0</v>
      </c>
      <c r="AC76" s="23"/>
      <c r="AD76" s="26" t="n">
        <f>117364</f>
        <v>117364.0</v>
      </c>
    </row>
    <row r="77">
      <c r="A77" s="30" t="s">
        <v>34</v>
      </c>
      <c r="B77" s="22" t="s">
        <v>63</v>
      </c>
      <c r="C77" s="22" t="s">
        <v>64</v>
      </c>
      <c r="D77" s="24"/>
      <c r="E77" s="25" t="n">
        <f>421</f>
        <v>421.0</v>
      </c>
      <c r="F77" s="23"/>
      <c r="G77" s="25" t="n">
        <f>2838</f>
        <v>2838.0</v>
      </c>
      <c r="H77" s="23"/>
      <c r="I77" s="26" t="n">
        <f>3259</f>
        <v>3259.0</v>
      </c>
      <c r="J77" s="24"/>
      <c r="K77" s="25" t="n">
        <f>49153434</f>
        <v>4.9153434E7</v>
      </c>
      <c r="L77" s="23" t="s">
        <v>39</v>
      </c>
      <c r="M77" s="25" t="n">
        <f>4143234513</f>
        <v>4.143234513E9</v>
      </c>
      <c r="N77" s="23" t="s">
        <v>39</v>
      </c>
      <c r="O77" s="26" t="n">
        <f>4192387947</f>
        <v>4.192387947E9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421</f>
        <v>421.0</v>
      </c>
      <c r="U77" s="23"/>
      <c r="V77" s="25" t="n">
        <f>2838</f>
        <v>2838.0</v>
      </c>
      <c r="W77" s="23"/>
      <c r="X77" s="26" t="n">
        <f>3259</f>
        <v>3259.0</v>
      </c>
      <c r="Y77" s="24"/>
      <c r="Z77" s="25" t="n">
        <f>85589</f>
        <v>85589.0</v>
      </c>
      <c r="AA77" s="23" t="s">
        <v>39</v>
      </c>
      <c r="AB77" s="25" t="n">
        <f>31885</f>
        <v>31885.0</v>
      </c>
      <c r="AC77" s="23"/>
      <c r="AD77" s="26" t="n">
        <f>117474</f>
        <v>117474.0</v>
      </c>
    </row>
    <row r="78">
      <c r="A78" s="30" t="s">
        <v>35</v>
      </c>
      <c r="B78" s="22" t="s">
        <v>63</v>
      </c>
      <c r="C78" s="22" t="s">
        <v>64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36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37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38</v>
      </c>
      <c r="B81" s="22" t="s">
        <v>63</v>
      </c>
      <c r="C81" s="22" t="s">
        <v>64</v>
      </c>
      <c r="D81" s="24"/>
      <c r="E81" s="25" t="str">
        <f>"－"</f>
        <v>－</v>
      </c>
      <c r="F81" s="23"/>
      <c r="G81" s="25" t="str">
        <f>"－"</f>
        <v>－</v>
      </c>
      <c r="H81" s="23"/>
      <c r="I81" s="26" t="str">
        <f>"－"</f>
        <v>－</v>
      </c>
      <c r="J81" s="24"/>
      <c r="K81" s="25" t="str">
        <f>"－"</f>
        <v>－</v>
      </c>
      <c r="L81" s="23"/>
      <c r="M81" s="25" t="str">
        <f>"－"</f>
        <v>－</v>
      </c>
      <c r="N81" s="23"/>
      <c r="O81" s="26" t="str">
        <f>"－"</f>
        <v>－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str">
        <f>"－"</f>
        <v>－</v>
      </c>
      <c r="U81" s="23"/>
      <c r="V81" s="25" t="str">
        <f>"－"</f>
        <v>－</v>
      </c>
      <c r="W81" s="23"/>
      <c r="X81" s="26" t="str">
        <f>"－"</f>
        <v>－</v>
      </c>
      <c r="Y81" s="24"/>
      <c r="Z81" s="25" t="n">
        <f>85589</f>
        <v>85589.0</v>
      </c>
      <c r="AA81" s="23"/>
      <c r="AB81" s="25" t="n">
        <f>31885</f>
        <v>31885.0</v>
      </c>
      <c r="AC81" s="23"/>
      <c r="AD81" s="26" t="n">
        <f>117474</f>
        <v>117474.0</v>
      </c>
    </row>
    <row r="82">
      <c r="A82" s="30" t="s">
        <v>40</v>
      </c>
      <c r="B82" s="22" t="s">
        <v>63</v>
      </c>
      <c r="C82" s="22" t="s">
        <v>64</v>
      </c>
      <c r="D82" s="24"/>
      <c r="E82" s="25" t="n">
        <f>2353</f>
        <v>2353.0</v>
      </c>
      <c r="F82" s="23"/>
      <c r="G82" s="25" t="str">
        <f>"－"</f>
        <v>－</v>
      </c>
      <c r="H82" s="23"/>
      <c r="I82" s="26" t="n">
        <f>2353</f>
        <v>2353.0</v>
      </c>
      <c r="J82" s="24"/>
      <c r="K82" s="25" t="n">
        <f>293651900</f>
        <v>2.936519E8</v>
      </c>
      <c r="L82" s="23"/>
      <c r="M82" s="25" t="str">
        <f>"－"</f>
        <v>－</v>
      </c>
      <c r="N82" s="23"/>
      <c r="O82" s="26" t="n">
        <f>293651900</f>
        <v>2.936519E8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1753</f>
        <v>1753.0</v>
      </c>
      <c r="U82" s="23"/>
      <c r="V82" s="25" t="str">
        <f>"－"</f>
        <v>－</v>
      </c>
      <c r="W82" s="23"/>
      <c r="X82" s="26" t="n">
        <f>1753</f>
        <v>1753.0</v>
      </c>
      <c r="Y82" s="24"/>
      <c r="Z82" s="25" t="n">
        <f>87942</f>
        <v>87942.0</v>
      </c>
      <c r="AA82" s="23"/>
      <c r="AB82" s="25" t="n">
        <f>31885</f>
        <v>31885.0</v>
      </c>
      <c r="AC82" s="23"/>
      <c r="AD82" s="26" t="n">
        <f>119827</f>
        <v>119827.0</v>
      </c>
    </row>
    <row r="83">
      <c r="A83" s="30" t="s">
        <v>41</v>
      </c>
      <c r="B83" s="22" t="s">
        <v>63</v>
      </c>
      <c r="C83" s="22" t="s">
        <v>64</v>
      </c>
      <c r="D83" s="24"/>
      <c r="E83" s="25" t="n">
        <f>2254</f>
        <v>2254.0</v>
      </c>
      <c r="F83" s="23"/>
      <c r="G83" s="25" t="str">
        <f>"－"</f>
        <v>－</v>
      </c>
      <c r="H83" s="23"/>
      <c r="I83" s="26" t="n">
        <f>2254</f>
        <v>2254.0</v>
      </c>
      <c r="J83" s="24"/>
      <c r="K83" s="25" t="n">
        <f>1022558800</f>
        <v>1.0225588E9</v>
      </c>
      <c r="L83" s="23"/>
      <c r="M83" s="25" t="str">
        <f>"－"</f>
        <v>－</v>
      </c>
      <c r="N83" s="23"/>
      <c r="O83" s="26" t="n">
        <f>1022558800</f>
        <v>1.0225588E9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2254</f>
        <v>2254.0</v>
      </c>
      <c r="U83" s="23"/>
      <c r="V83" s="25" t="str">
        <f>"－"</f>
        <v>－</v>
      </c>
      <c r="W83" s="23"/>
      <c r="X83" s="26" t="n">
        <f>2254</f>
        <v>2254.0</v>
      </c>
      <c r="Y83" s="24" t="s">
        <v>39</v>
      </c>
      <c r="Z83" s="25" t="n">
        <f>87964</f>
        <v>87964.0</v>
      </c>
      <c r="AA83" s="23"/>
      <c r="AB83" s="25" t="n">
        <f>31885</f>
        <v>31885.0</v>
      </c>
      <c r="AC83" s="23" t="s">
        <v>39</v>
      </c>
      <c r="AD83" s="26" t="n">
        <f>119849</f>
        <v>119849.0</v>
      </c>
    </row>
    <row r="84">
      <c r="A84" s="30" t="s">
        <v>42</v>
      </c>
      <c r="B84" s="22" t="s">
        <v>63</v>
      </c>
      <c r="C84" s="22" t="s">
        <v>64</v>
      </c>
      <c r="D84" s="24"/>
      <c r="E84" s="25" t="n">
        <f>200</f>
        <v>200.0</v>
      </c>
      <c r="F84" s="23"/>
      <c r="G84" s="25" t="n">
        <f>200</f>
        <v>200.0</v>
      </c>
      <c r="H84" s="23"/>
      <c r="I84" s="26" t="n">
        <f>400</f>
        <v>400.0</v>
      </c>
      <c r="J84" s="24"/>
      <c r="K84" s="25" t="n">
        <f>34160000</f>
        <v>3.416E7</v>
      </c>
      <c r="L84" s="23"/>
      <c r="M84" s="25" t="n">
        <f>71560000</f>
        <v>7.156E7</v>
      </c>
      <c r="N84" s="23"/>
      <c r="O84" s="26" t="n">
        <f>105720000</f>
        <v>1.0572E8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200</f>
        <v>200.0</v>
      </c>
      <c r="U84" s="23"/>
      <c r="V84" s="25" t="n">
        <f>200</f>
        <v>200.0</v>
      </c>
      <c r="W84" s="23"/>
      <c r="X84" s="26" t="n">
        <f>400</f>
        <v>400.0</v>
      </c>
      <c r="Y84" s="24"/>
      <c r="Z84" s="25" t="n">
        <f>82030</f>
        <v>82030.0</v>
      </c>
      <c r="AA84" s="23" t="s">
        <v>33</v>
      </c>
      <c r="AB84" s="25" t="n">
        <f>27767</f>
        <v>27767.0</v>
      </c>
      <c r="AC84" s="23" t="s">
        <v>33</v>
      </c>
      <c r="AD84" s="26" t="n">
        <f>109797</f>
        <v>109797.0</v>
      </c>
    </row>
    <row r="85">
      <c r="A85" s="30" t="s">
        <v>43</v>
      </c>
      <c r="B85" s="22" t="s">
        <v>63</v>
      </c>
      <c r="C85" s="22" t="s">
        <v>64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 t="str">
        <f>"－"</f>
        <v>－</v>
      </c>
      <c r="F87" s="23"/>
      <c r="G87" s="25" t="str">
        <f>"－"</f>
        <v>－</v>
      </c>
      <c r="H87" s="23"/>
      <c r="I87" s="26" t="str">
        <f>"－"</f>
        <v>－</v>
      </c>
      <c r="J87" s="24"/>
      <c r="K87" s="25" t="str">
        <f>"－"</f>
        <v>－</v>
      </c>
      <c r="L87" s="23"/>
      <c r="M87" s="25" t="str">
        <f>"－"</f>
        <v>－</v>
      </c>
      <c r="N87" s="23"/>
      <c r="O87" s="26" t="str">
        <f>"－"</f>
        <v>－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82030</f>
        <v>82030.0</v>
      </c>
      <c r="AA87" s="23"/>
      <c r="AB87" s="25" t="n">
        <f>27767</f>
        <v>27767.0</v>
      </c>
      <c r="AC87" s="23"/>
      <c r="AD87" s="26" t="n">
        <f>109797</f>
        <v>109797.0</v>
      </c>
    </row>
    <row r="88">
      <c r="A88" s="30" t="s">
        <v>46</v>
      </c>
      <c r="B88" s="22" t="s">
        <v>63</v>
      </c>
      <c r="C88" s="22" t="s">
        <v>64</v>
      </c>
      <c r="D88" s="24"/>
      <c r="E88" s="25" t="n">
        <f>2792</f>
        <v>2792.0</v>
      </c>
      <c r="F88" s="23"/>
      <c r="G88" s="25" t="n">
        <f>1264</f>
        <v>1264.0</v>
      </c>
      <c r="H88" s="23"/>
      <c r="I88" s="26" t="n">
        <f>4056</f>
        <v>4056.0</v>
      </c>
      <c r="J88" s="24" t="s">
        <v>39</v>
      </c>
      <c r="K88" s="25" t="n">
        <f>1068112100</f>
        <v>1.0681121E9</v>
      </c>
      <c r="L88" s="23"/>
      <c r="M88" s="25" t="n">
        <f>137776000</f>
        <v>1.37776E8</v>
      </c>
      <c r="N88" s="23"/>
      <c r="O88" s="26" t="n">
        <f>1205888100</f>
        <v>1.2058881E9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n">
        <f>2792</f>
        <v>2792.0</v>
      </c>
      <c r="U88" s="23"/>
      <c r="V88" s="25" t="n">
        <f>1264</f>
        <v>1264.0</v>
      </c>
      <c r="W88" s="23"/>
      <c r="X88" s="26" t="n">
        <f>4056</f>
        <v>4056.0</v>
      </c>
      <c r="Y88" s="24"/>
      <c r="Z88" s="25" t="n">
        <f>84058</f>
        <v>84058.0</v>
      </c>
      <c r="AA88" s="23"/>
      <c r="AB88" s="25" t="n">
        <f>29031</f>
        <v>29031.0</v>
      </c>
      <c r="AC88" s="23"/>
      <c r="AD88" s="26" t="n">
        <f>113089</f>
        <v>113089.0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570</f>
        <v>570.0</v>
      </c>
      <c r="F89" s="23"/>
      <c r="G89" s="25" t="n">
        <f>570</f>
        <v>570.0</v>
      </c>
      <c r="H89" s="23"/>
      <c r="I89" s="26" t="n">
        <f>1140</f>
        <v>1140.0</v>
      </c>
      <c r="J89" s="24"/>
      <c r="K89" s="25" t="n">
        <f>146399370</f>
        <v>1.4639937E8</v>
      </c>
      <c r="L89" s="23"/>
      <c r="M89" s="25" t="n">
        <f>47880000</f>
        <v>4.788E7</v>
      </c>
      <c r="N89" s="23"/>
      <c r="O89" s="26" t="n">
        <f>194279370</f>
        <v>1.9427937E8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570</f>
        <v>570.0</v>
      </c>
      <c r="U89" s="23"/>
      <c r="V89" s="25" t="n">
        <f>570</f>
        <v>570.0</v>
      </c>
      <c r="W89" s="23"/>
      <c r="X89" s="26" t="n">
        <f>1140</f>
        <v>1140.0</v>
      </c>
      <c r="Y89" s="24"/>
      <c r="Z89" s="25" t="n">
        <f>83864</f>
        <v>83864.0</v>
      </c>
      <c r="AA89" s="23"/>
      <c r="AB89" s="25" t="n">
        <f>29601</f>
        <v>29601.0</v>
      </c>
      <c r="AC89" s="23"/>
      <c r="AD89" s="26" t="n">
        <f>113465</f>
        <v>113465.0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435</f>
        <v>435.0</v>
      </c>
      <c r="F90" s="23"/>
      <c r="G90" s="25" t="n">
        <f>435</f>
        <v>435.0</v>
      </c>
      <c r="H90" s="23"/>
      <c r="I90" s="26" t="n">
        <f>870</f>
        <v>870.0</v>
      </c>
      <c r="J90" s="24"/>
      <c r="K90" s="25" t="n">
        <f>126988680</f>
        <v>1.2698868E8</v>
      </c>
      <c r="L90" s="23"/>
      <c r="M90" s="25" t="n">
        <f>24360000</f>
        <v>2.436E7</v>
      </c>
      <c r="N90" s="23"/>
      <c r="O90" s="26" t="n">
        <f>151348680</f>
        <v>1.5134868E8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435</f>
        <v>435.0</v>
      </c>
      <c r="U90" s="23"/>
      <c r="V90" s="25" t="n">
        <f>435</f>
        <v>435.0</v>
      </c>
      <c r="W90" s="23"/>
      <c r="X90" s="26" t="n">
        <f>870</f>
        <v>870.0</v>
      </c>
      <c r="Y90" s="24"/>
      <c r="Z90" s="25" t="n">
        <f>84299</f>
        <v>84299.0</v>
      </c>
      <c r="AA90" s="23"/>
      <c r="AB90" s="25" t="n">
        <f>30036</f>
        <v>30036.0</v>
      </c>
      <c r="AC90" s="23"/>
      <c r="AD90" s="26" t="n">
        <f>114335</f>
        <v>114335.0</v>
      </c>
    </row>
    <row r="91">
      <c r="A91" s="30" t="s">
        <v>49</v>
      </c>
      <c r="B91" s="22" t="s">
        <v>63</v>
      </c>
      <c r="C91" s="22" t="s">
        <v>64</v>
      </c>
      <c r="D91" s="24"/>
      <c r="E91" s="25" t="str">
        <f>"－"</f>
        <v>－</v>
      </c>
      <c r="F91" s="23"/>
      <c r="G91" s="25" t="str">
        <f>"－"</f>
        <v>－</v>
      </c>
      <c r="H91" s="23"/>
      <c r="I91" s="26" t="str">
        <f>"－"</f>
        <v>－</v>
      </c>
      <c r="J91" s="24"/>
      <c r="K91" s="25" t="str">
        <f>"－"</f>
        <v>－</v>
      </c>
      <c r="L91" s="23"/>
      <c r="M91" s="25" t="str">
        <f>"－"</f>
        <v>－</v>
      </c>
      <c r="N91" s="23"/>
      <c r="O91" s="26" t="str">
        <f>"－"</f>
        <v>－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/>
      <c r="Z91" s="25" t="n">
        <f>84299</f>
        <v>84299.0</v>
      </c>
      <c r="AA91" s="23"/>
      <c r="AB91" s="25" t="n">
        <f>30036</f>
        <v>30036.0</v>
      </c>
      <c r="AC91" s="23"/>
      <c r="AD91" s="26" t="n">
        <f>114335</f>
        <v>114335.0</v>
      </c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 t="s">
        <v>39</v>
      </c>
      <c r="E94" s="25" t="n">
        <f>4255</f>
        <v>4255.0</v>
      </c>
      <c r="F94" s="23" t="s">
        <v>39</v>
      </c>
      <c r="G94" s="25" t="n">
        <f>3380</f>
        <v>3380.0</v>
      </c>
      <c r="H94" s="23" t="s">
        <v>39</v>
      </c>
      <c r="I94" s="26" t="n">
        <f>7635</f>
        <v>7635.0</v>
      </c>
      <c r="J94" s="24"/>
      <c r="K94" s="25" t="n">
        <f>527177350</f>
        <v>5.2717735E8</v>
      </c>
      <c r="L94" s="23"/>
      <c r="M94" s="25" t="n">
        <f>16467600</f>
        <v>1.64676E7</v>
      </c>
      <c r="N94" s="23"/>
      <c r="O94" s="26" t="n">
        <f>543644950</f>
        <v>5.4364495E8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 t="s">
        <v>39</v>
      </c>
      <c r="T94" s="25" t="n">
        <f>7815</f>
        <v>7815.0</v>
      </c>
      <c r="U94" s="23" t="s">
        <v>39</v>
      </c>
      <c r="V94" s="25" t="n">
        <f>7308</f>
        <v>7308.0</v>
      </c>
      <c r="W94" s="23" t="s">
        <v>39</v>
      </c>
      <c r="X94" s="26" t="n">
        <f>15123</f>
        <v>15123.0</v>
      </c>
      <c r="Y94" s="24"/>
      <c r="Z94" s="25" t="n">
        <f>83052</f>
        <v>83052.0</v>
      </c>
      <c r="AA94" s="23"/>
      <c r="AB94" s="25" t="n">
        <f>30309</f>
        <v>30309.0</v>
      </c>
      <c r="AC94" s="23"/>
      <c r="AD94" s="26" t="n">
        <f>113361</f>
        <v>113361.0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2833</f>
        <v>2833.0</v>
      </c>
      <c r="F95" s="23"/>
      <c r="G95" s="25" t="str">
        <f>"－"</f>
        <v>－</v>
      </c>
      <c r="H95" s="23"/>
      <c r="I95" s="26" t="n">
        <f>2833</f>
        <v>2833.0</v>
      </c>
      <c r="J95" s="24"/>
      <c r="K95" s="25" t="n">
        <f>99636025</f>
        <v>9.9636025E7</v>
      </c>
      <c r="L95" s="23"/>
      <c r="M95" s="25" t="str">
        <f>"－"</f>
        <v>－</v>
      </c>
      <c r="N95" s="23"/>
      <c r="O95" s="26" t="n">
        <f>99636025</f>
        <v>9.9636025E7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2333</f>
        <v>2333.0</v>
      </c>
      <c r="U95" s="23"/>
      <c r="V95" s="25" t="str">
        <f>"－"</f>
        <v>－</v>
      </c>
      <c r="W95" s="23"/>
      <c r="X95" s="26" t="n">
        <f>2333</f>
        <v>2333.0</v>
      </c>
      <c r="Y95" s="24" t="s">
        <v>33</v>
      </c>
      <c r="Z95" s="25" t="n">
        <f>81319</f>
        <v>81319.0</v>
      </c>
      <c r="AA95" s="23"/>
      <c r="AB95" s="25" t="n">
        <f>29189</f>
        <v>29189.0</v>
      </c>
      <c r="AC95" s="23"/>
      <c r="AD95" s="26" t="n">
        <f>110508</f>
        <v>110508.0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1744</f>
        <v>1744.0</v>
      </c>
      <c r="F96" s="23"/>
      <c r="G96" s="25" t="str">
        <f>"－"</f>
        <v>－</v>
      </c>
      <c r="H96" s="23"/>
      <c r="I96" s="26" t="n">
        <f>1744</f>
        <v>1744.0</v>
      </c>
      <c r="J96" s="24"/>
      <c r="K96" s="25" t="n">
        <f>148262980</f>
        <v>1.4826298E8</v>
      </c>
      <c r="L96" s="23"/>
      <c r="M96" s="25" t="str">
        <f>"－"</f>
        <v>－</v>
      </c>
      <c r="N96" s="23"/>
      <c r="O96" s="26" t="n">
        <f>148262980</f>
        <v>1.4826298E8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1344</f>
        <v>1344.0</v>
      </c>
      <c r="U96" s="23"/>
      <c r="V96" s="25" t="str">
        <f>"－"</f>
        <v>－</v>
      </c>
      <c r="W96" s="23"/>
      <c r="X96" s="26" t="n">
        <f>1344</f>
        <v>1344.0</v>
      </c>
      <c r="Y96" s="24"/>
      <c r="Z96" s="25" t="n">
        <f>82663</f>
        <v>82663.0</v>
      </c>
      <c r="AA96" s="23"/>
      <c r="AB96" s="25" t="n">
        <f>29189</f>
        <v>29189.0</v>
      </c>
      <c r="AC96" s="23"/>
      <c r="AD96" s="26" t="n">
        <f>111852</f>
        <v>111852.0</v>
      </c>
    </row>
    <row r="97">
      <c r="A97" s="30" t="s">
        <v>55</v>
      </c>
      <c r="B97" s="22" t="s">
        <v>63</v>
      </c>
      <c r="C97" s="22" t="s">
        <v>64</v>
      </c>
      <c r="D97" s="24"/>
      <c r="E97" s="25" t="str">
        <f>"－"</f>
        <v>－</v>
      </c>
      <c r="F97" s="23"/>
      <c r="G97" s="25" t="n">
        <f>1850</f>
        <v>1850.0</v>
      </c>
      <c r="H97" s="23"/>
      <c r="I97" s="26" t="n">
        <f>1850</f>
        <v>1850.0</v>
      </c>
      <c r="J97" s="24"/>
      <c r="K97" s="25" t="str">
        <f>"－"</f>
        <v>－</v>
      </c>
      <c r="L97" s="23"/>
      <c r="M97" s="25" t="n">
        <f>199166235</f>
        <v>1.99166235E8</v>
      </c>
      <c r="N97" s="23"/>
      <c r="O97" s="26" t="n">
        <f>199166235</f>
        <v>1.99166235E8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n">
        <f>1850</f>
        <v>1850.0</v>
      </c>
      <c r="W97" s="23"/>
      <c r="X97" s="26" t="n">
        <f>1850</f>
        <v>1850.0</v>
      </c>
      <c r="Y97" s="24"/>
      <c r="Z97" s="25" t="n">
        <f>82663</f>
        <v>82663.0</v>
      </c>
      <c r="AA97" s="23"/>
      <c r="AB97" s="25" t="n">
        <f>28184</f>
        <v>28184.0</v>
      </c>
      <c r="AC97" s="23"/>
      <c r="AD97" s="26" t="n">
        <f>110847</f>
        <v>110847.0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30</f>
        <v>30.0</v>
      </c>
      <c r="F98" s="23"/>
      <c r="G98" s="25" t="str">
        <f>"－"</f>
        <v>－</v>
      </c>
      <c r="H98" s="23"/>
      <c r="I98" s="26" t="n">
        <f>30</f>
        <v>30.0</v>
      </c>
      <c r="J98" s="24"/>
      <c r="K98" s="25" t="n">
        <f>6915000</f>
        <v>6915000.0</v>
      </c>
      <c r="L98" s="23"/>
      <c r="M98" s="25" t="str">
        <f>"－"</f>
        <v>－</v>
      </c>
      <c r="N98" s="23"/>
      <c r="O98" s="26" t="n">
        <f>6915000</f>
        <v>6915000.0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30</f>
        <v>30.0</v>
      </c>
      <c r="U98" s="23"/>
      <c r="V98" s="25" t="str">
        <f>"－"</f>
        <v>－</v>
      </c>
      <c r="W98" s="23"/>
      <c r="X98" s="26" t="n">
        <f>30</f>
        <v>30.0</v>
      </c>
      <c r="Y98" s="24"/>
      <c r="Z98" s="25" t="n">
        <f>82693</f>
        <v>82693.0</v>
      </c>
      <c r="AA98" s="23"/>
      <c r="AB98" s="25" t="n">
        <f>28184</f>
        <v>28184.0</v>
      </c>
      <c r="AC98" s="23"/>
      <c r="AD98" s="26" t="n">
        <f>110877</f>
        <v>110877.0</v>
      </c>
    </row>
    <row r="99">
      <c r="A99" s="30" t="s">
        <v>57</v>
      </c>
      <c r="B99" s="22" t="s">
        <v>63</v>
      </c>
      <c r="C99" s="22" t="s">
        <v>64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 t="n">
        <f>105</f>
        <v>105.0</v>
      </c>
      <c r="F101" s="23"/>
      <c r="G101" s="25" t="n">
        <f>671</f>
        <v>671.0</v>
      </c>
      <c r="H101" s="23"/>
      <c r="I101" s="26" t="n">
        <f>776</f>
        <v>776.0</v>
      </c>
      <c r="J101" s="24"/>
      <c r="K101" s="25" t="n">
        <f>42000000</f>
        <v>4.2E7</v>
      </c>
      <c r="L101" s="23"/>
      <c r="M101" s="25" t="n">
        <f>92940000</f>
        <v>9.294E7</v>
      </c>
      <c r="N101" s="23"/>
      <c r="O101" s="26" t="n">
        <f>134940000</f>
        <v>1.3494E8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n">
        <f>105</f>
        <v>105.0</v>
      </c>
      <c r="U101" s="23"/>
      <c r="V101" s="25" t="n">
        <f>671</f>
        <v>671.0</v>
      </c>
      <c r="W101" s="23"/>
      <c r="X101" s="26" t="n">
        <f>776</f>
        <v>776.0</v>
      </c>
      <c r="Y101" s="24"/>
      <c r="Z101" s="25" t="n">
        <f>82798</f>
        <v>82798.0</v>
      </c>
      <c r="AA101" s="23"/>
      <c r="AB101" s="25" t="n">
        <f>28855</f>
        <v>28855.0</v>
      </c>
      <c r="AC101" s="23"/>
      <c r="AD101" s="26" t="n">
        <f>111653</f>
        <v>111653.0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450</f>
        <v>450.0</v>
      </c>
      <c r="F102" s="23"/>
      <c r="G102" s="25" t="str">
        <f>"－"</f>
        <v>－</v>
      </c>
      <c r="H102" s="23"/>
      <c r="I102" s="26" t="n">
        <f>450</f>
        <v>450.0</v>
      </c>
      <c r="J102" s="24"/>
      <c r="K102" s="25" t="n">
        <f>66450000</f>
        <v>6.645E7</v>
      </c>
      <c r="L102" s="23"/>
      <c r="M102" s="25" t="str">
        <f>"－"</f>
        <v>－</v>
      </c>
      <c r="N102" s="23"/>
      <c r="O102" s="26" t="n">
        <f>66450000</f>
        <v>6.645E7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n">
        <f>150</f>
        <v>150.0</v>
      </c>
      <c r="U102" s="23"/>
      <c r="V102" s="25" t="str">
        <f>"－"</f>
        <v>－</v>
      </c>
      <c r="W102" s="23"/>
      <c r="X102" s="26" t="n">
        <f>150</f>
        <v>150.0</v>
      </c>
      <c r="Y102" s="24"/>
      <c r="Z102" s="25" t="n">
        <f>83081</f>
        <v>83081.0</v>
      </c>
      <c r="AA102" s="23"/>
      <c r="AB102" s="25" t="n">
        <f>28855</f>
        <v>28855.0</v>
      </c>
      <c r="AC102" s="23"/>
      <c r="AD102" s="26" t="n">
        <f>111936</f>
        <v>111936.0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 t="s">
        <v>67</v>
      </c>
      <c r="E104" s="25" t="str">
        <f>"－"</f>
        <v>－</v>
      </c>
      <c r="F104" s="23" t="s">
        <v>67</v>
      </c>
      <c r="G104" s="25" t="str">
        <f>"－"</f>
        <v>－</v>
      </c>
      <c r="H104" s="23" t="s">
        <v>67</v>
      </c>
      <c r="I104" s="26" t="str">
        <f>"－"</f>
        <v>－</v>
      </c>
      <c r="J104" s="24" t="s">
        <v>67</v>
      </c>
      <c r="K104" s="25" t="str">
        <f>"－"</f>
        <v>－</v>
      </c>
      <c r="L104" s="23" t="s">
        <v>67</v>
      </c>
      <c r="M104" s="25" t="str">
        <f>"－"</f>
        <v>－</v>
      </c>
      <c r="N104" s="23" t="s">
        <v>67</v>
      </c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 t="s">
        <v>67</v>
      </c>
      <c r="T104" s="25" t="str">
        <f>"－"</f>
        <v>－</v>
      </c>
      <c r="U104" s="23" t="s">
        <v>67</v>
      </c>
      <c r="V104" s="25" t="str">
        <f>"－"</f>
        <v>－</v>
      </c>
      <c r="W104" s="23" t="s">
        <v>67</v>
      </c>
      <c r="X104" s="26" t="str">
        <f>"－"</f>
        <v>－</v>
      </c>
      <c r="Y104" s="24" t="s">
        <v>67</v>
      </c>
      <c r="Z104" s="25" t="str">
        <f>"－"</f>
        <v>－</v>
      </c>
      <c r="AA104" s="23" t="s">
        <v>67</v>
      </c>
      <c r="AB104" s="25" t="str">
        <f>"－"</f>
        <v>－</v>
      </c>
      <c r="AC104" s="23" t="s">
        <v>67</v>
      </c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36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37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