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<sst xmlns="http://schemas.openxmlformats.org/spreadsheetml/2006/main" count="170" uniqueCount="60">
  <si>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</si>
  <si>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</si>
  <si>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</si>
  <si>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</si>
  <si>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</si>
  <si>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</si>
  <si>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</si>
  <si>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</si>
  <si>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</si>
  <si>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</si>
  <si>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</si>
  <si>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</si>
  <si>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</si>
  <si>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</si>
  <si>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</si>
  <si>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</si>
  <si>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</si>
  <si>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</si>
  <si>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</si>
  <si>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</si>
  <si>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</si>
  <si>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</si>
  <si>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</si>
  <si>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</si>
  <si>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</si>
  <si>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</si>
  <si>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9.1</t>
  </si>
  <si>
    <t>長期国債先物オプション</t>
  </si>
  <si>
    <t>Options on 10-year JGB Futures</t>
  </si>
  <si>
    <t>◎</t>
  </si>
  <si>
    <t>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</si>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</sst>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745</f>
        <v>745.0</v>
      </c>
      <c r="F10" s="24"/>
      <c r="G10" s="26" t="n">
        <f>379</f>
        <v>379.0</v>
      </c>
      <c r="H10" s="25"/>
      <c r="I10" s="26" t="n">
        <f>1124</f>
        <v>1124.0</v>
      </c>
      <c r="J10" s="23"/>
      <c r="K10" s="26" t="n">
        <f>66980000</f>
        <v>6.698E7</v>
      </c>
      <c r="L10" s="24" t="s">
        <v>29</v>
      </c>
      <c r="M10" s="26" t="n">
        <f>72310000</f>
        <v>7.231E7</v>
      </c>
      <c r="N10" s="25"/>
      <c r="O10" s="26" t="n">
        <f>139290000</f>
        <v>1.3929E8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100</f>
        <v>100.0</v>
      </c>
      <c r="U10" s="24" t="s">
        <v>30</v>
      </c>
      <c r="V10" s="26" t="str">
        <f>"－"</f>
        <v>－</v>
      </c>
      <c r="W10" s="25"/>
      <c r="X10" s="26" t="n">
        <f>100</f>
        <v>100.0</v>
      </c>
      <c r="Y10" s="23"/>
      <c r="Z10" s="26" t="n">
        <f>1228</f>
        <v>1228.0</v>
      </c>
      <c r="AA10" s="24"/>
      <c r="AB10" s="26" t="n">
        <f>688</f>
        <v>688.0</v>
      </c>
      <c r="AC10" s="25"/>
      <c r="AD10" s="26" t="n">
        <f>1916</f>
        <v>1916.0</v>
      </c>
    </row>
    <row r="11">
      <c r="A11" s="21" t="s">
        <v>31</v>
      </c>
      <c r="B11" s="22" t="s">
        <v>27</v>
      </c>
      <c r="C11" s="22" t="s">
        <v>28</v>
      </c>
      <c r="D11" s="23"/>
      <c r="E11" s="26" t="n">
        <f>152</f>
        <v>152.0</v>
      </c>
      <c r="F11" s="24"/>
      <c r="G11" s="26" t="n">
        <f>150</f>
        <v>150.0</v>
      </c>
      <c r="H11" s="25"/>
      <c r="I11" s="26" t="n">
        <f>302</f>
        <v>302.0</v>
      </c>
      <c r="J11" s="23"/>
      <c r="K11" s="26" t="n">
        <f>4750000</f>
        <v>4750000.0</v>
      </c>
      <c r="L11" s="24"/>
      <c r="M11" s="26" t="n">
        <f>22910000</f>
        <v>2.291E7</v>
      </c>
      <c r="N11" s="25"/>
      <c r="O11" s="26" t="n">
        <f>27660000</f>
        <v>2.766E7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 t="s">
        <v>30</v>
      </c>
      <c r="T11" s="26" t="str">
        <f>"－"</f>
        <v>－</v>
      </c>
      <c r="U11" s="24"/>
      <c r="V11" s="26" t="str">
        <f>"－"</f>
        <v>－</v>
      </c>
      <c r="W11" s="25" t="s">
        <v>30</v>
      </c>
      <c r="X11" s="26" t="str">
        <f>"－"</f>
        <v>－</v>
      </c>
      <c r="Y11" s="23"/>
      <c r="Z11" s="26" t="n">
        <f>1341</f>
        <v>1341.0</v>
      </c>
      <c r="AA11" s="24"/>
      <c r="AB11" s="26" t="n">
        <f>825</f>
        <v>825.0</v>
      </c>
      <c r="AC11" s="25"/>
      <c r="AD11" s="26" t="n">
        <f>2166</f>
        <v>2166.0</v>
      </c>
    </row>
    <row r="12">
      <c r="A12" s="21" t="s">
        <v>32</v>
      </c>
      <c r="B12" s="22" t="s">
        <v>27</v>
      </c>
      <c r="C12" s="22" t="s">
        <v>28</v>
      </c>
      <c r="D12" s="23"/>
      <c r="E12" s="26" t="n">
        <f>467</f>
        <v>467.0</v>
      </c>
      <c r="F12" s="24"/>
      <c r="G12" s="26" t="n">
        <f>393</f>
        <v>393.0</v>
      </c>
      <c r="H12" s="25"/>
      <c r="I12" s="26" t="n">
        <f>860</f>
        <v>860.0</v>
      </c>
      <c r="J12" s="23"/>
      <c r="K12" s="26" t="n">
        <f>39210000</f>
        <v>3.921E7</v>
      </c>
      <c r="L12" s="24"/>
      <c r="M12" s="26" t="n">
        <f>19120000</f>
        <v>1.912E7</v>
      </c>
      <c r="N12" s="25"/>
      <c r="O12" s="26" t="n">
        <f>58330000</f>
        <v>5.833E7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n">
        <f>54</f>
        <v>54.0</v>
      </c>
      <c r="U12" s="24"/>
      <c r="V12" s="26" t="n">
        <f>45</f>
        <v>45.0</v>
      </c>
      <c r="W12" s="25"/>
      <c r="X12" s="26" t="n">
        <f>99</f>
        <v>99.0</v>
      </c>
      <c r="Y12" s="23"/>
      <c r="Z12" s="26" t="n">
        <f>1627</f>
        <v>1627.0</v>
      </c>
      <c r="AA12" s="24"/>
      <c r="AB12" s="26" t="n">
        <f>1130</f>
        <v>1130.0</v>
      </c>
      <c r="AC12" s="25"/>
      <c r="AD12" s="26" t="n">
        <f>2757</f>
        <v>2757.0</v>
      </c>
    </row>
    <row r="13">
      <c r="A13" s="21" t="s">
        <v>33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34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35</v>
      </c>
      <c r="B15" s="22" t="s">
        <v>27</v>
      </c>
      <c r="C15" s="22" t="s">
        <v>28</v>
      </c>
      <c r="D15" s="23"/>
      <c r="E15" s="26" t="n">
        <f>162</f>
        <v>162.0</v>
      </c>
      <c r="F15" s="24"/>
      <c r="G15" s="26" t="n">
        <f>106</f>
        <v>106.0</v>
      </c>
      <c r="H15" s="25"/>
      <c r="I15" s="26" t="n">
        <f>268</f>
        <v>268.0</v>
      </c>
      <c r="J15" s="23"/>
      <c r="K15" s="26" t="n">
        <f>15810000</f>
        <v>1.581E7</v>
      </c>
      <c r="L15" s="24"/>
      <c r="M15" s="26" t="n">
        <f>11070000</f>
        <v>1.107E7</v>
      </c>
      <c r="N15" s="25"/>
      <c r="O15" s="26" t="n">
        <f>26880000</f>
        <v>2.688E7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50</f>
        <v>50.0</v>
      </c>
      <c r="U15" s="24"/>
      <c r="V15" s="26" t="n">
        <f>20</f>
        <v>20.0</v>
      </c>
      <c r="W15" s="25"/>
      <c r="X15" s="26" t="n">
        <f>70</f>
        <v>70.0</v>
      </c>
      <c r="Y15" s="23"/>
      <c r="Z15" s="26" t="n">
        <f>1719</f>
        <v>1719.0</v>
      </c>
      <c r="AA15" s="24"/>
      <c r="AB15" s="26" t="n">
        <f>1213</f>
        <v>1213.0</v>
      </c>
      <c r="AC15" s="25"/>
      <c r="AD15" s="26" t="n">
        <f>2932</f>
        <v>2932.0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141</f>
        <v>141.0</v>
      </c>
      <c r="F16" s="24"/>
      <c r="G16" s="26" t="n">
        <f>189</f>
        <v>189.0</v>
      </c>
      <c r="H16" s="25"/>
      <c r="I16" s="26" t="n">
        <f>330</f>
        <v>330.0</v>
      </c>
      <c r="J16" s="23"/>
      <c r="K16" s="26" t="n">
        <f>10850000</f>
        <v>1.085E7</v>
      </c>
      <c r="L16" s="24"/>
      <c r="M16" s="26" t="n">
        <f>22572500</f>
        <v>2.25725E7</v>
      </c>
      <c r="N16" s="25"/>
      <c r="O16" s="26" t="n">
        <f>33422500</f>
        <v>3.34225E7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25</f>
        <v>25.0</v>
      </c>
      <c r="U16" s="24"/>
      <c r="V16" s="26" t="n">
        <f>50</f>
        <v>50.0</v>
      </c>
      <c r="W16" s="25"/>
      <c r="X16" s="26" t="n">
        <f>75</f>
        <v>75.0</v>
      </c>
      <c r="Y16" s="23"/>
      <c r="Z16" s="26" t="n">
        <f>1704</f>
        <v>1704.0</v>
      </c>
      <c r="AA16" s="24"/>
      <c r="AB16" s="26" t="n">
        <f>1355</f>
        <v>1355.0</v>
      </c>
      <c r="AC16" s="25"/>
      <c r="AD16" s="26" t="n">
        <f>3059</f>
        <v>3059.0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143</f>
        <v>143.0</v>
      </c>
      <c r="F17" s="24"/>
      <c r="G17" s="26" t="n">
        <f>222</f>
        <v>222.0</v>
      </c>
      <c r="H17" s="25"/>
      <c r="I17" s="26" t="n">
        <f>365</f>
        <v>365.0</v>
      </c>
      <c r="J17" s="23"/>
      <c r="K17" s="26" t="n">
        <f>12670000</f>
        <v>1.267E7</v>
      </c>
      <c r="L17" s="24"/>
      <c r="M17" s="26" t="n">
        <f>19120000</f>
        <v>1.912E7</v>
      </c>
      <c r="N17" s="25"/>
      <c r="O17" s="26" t="n">
        <f>31790000</f>
        <v>3.179E7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1755</f>
        <v>1755.0</v>
      </c>
      <c r="AA17" s="24"/>
      <c r="AB17" s="26" t="n">
        <f>1414</f>
        <v>1414.0</v>
      </c>
      <c r="AC17" s="25"/>
      <c r="AD17" s="26" t="n">
        <f>3169</f>
        <v>3169.0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314</f>
        <v>314.0</v>
      </c>
      <c r="F18" s="24"/>
      <c r="G18" s="26" t="n">
        <f>215</f>
        <v>215.0</v>
      </c>
      <c r="H18" s="25"/>
      <c r="I18" s="26" t="n">
        <f>529</f>
        <v>529.0</v>
      </c>
      <c r="J18" s="23"/>
      <c r="K18" s="26" t="n">
        <f>19090000</f>
        <v>1.909E7</v>
      </c>
      <c r="L18" s="24"/>
      <c r="M18" s="26" t="n">
        <f>24290000</f>
        <v>2.429E7</v>
      </c>
      <c r="N18" s="25"/>
      <c r="O18" s="26" t="n">
        <f>43380000</f>
        <v>4.338E7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n">
        <f>40</f>
        <v>40.0</v>
      </c>
      <c r="W18" s="25"/>
      <c r="X18" s="26" t="n">
        <f>40</f>
        <v>40.0</v>
      </c>
      <c r="Y18" s="23"/>
      <c r="Z18" s="26" t="n">
        <f>1992</f>
        <v>1992.0</v>
      </c>
      <c r="AA18" s="24"/>
      <c r="AB18" s="26" t="n">
        <f>1560</f>
        <v>1560.0</v>
      </c>
      <c r="AC18" s="25"/>
      <c r="AD18" s="26" t="n">
        <f>3552</f>
        <v>3552.0</v>
      </c>
    </row>
    <row r="19">
      <c r="A19" s="21" t="s">
        <v>39</v>
      </c>
      <c r="B19" s="22" t="s">
        <v>27</v>
      </c>
      <c r="C19" s="22" t="s">
        <v>28</v>
      </c>
      <c r="D19" s="23" t="s">
        <v>30</v>
      </c>
      <c r="E19" s="26" t="n">
        <f>24</f>
        <v>24.0</v>
      </c>
      <c r="F19" s="24"/>
      <c r="G19" s="26" t="n">
        <f>366</f>
        <v>366.0</v>
      </c>
      <c r="H19" s="25"/>
      <c r="I19" s="26" t="n">
        <f>390</f>
        <v>390.0</v>
      </c>
      <c r="J19" s="23" t="s">
        <v>30</v>
      </c>
      <c r="K19" s="26" t="n">
        <f>940000</f>
        <v>940000.0</v>
      </c>
      <c r="L19" s="24"/>
      <c r="M19" s="26" t="n">
        <f>39080000</f>
        <v>3.908E7</v>
      </c>
      <c r="N19" s="25"/>
      <c r="O19" s="26" t="n">
        <f>40020000</f>
        <v>4.002E7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2005</f>
        <v>2005.0</v>
      </c>
      <c r="AA19" s="24"/>
      <c r="AB19" s="26" t="n">
        <f>1830</f>
        <v>1830.0</v>
      </c>
      <c r="AC19" s="25"/>
      <c r="AD19" s="26" t="n">
        <f>3835</f>
        <v>3835.0</v>
      </c>
    </row>
    <row r="20">
      <c r="A20" s="21" t="s">
        <v>40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41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42</v>
      </c>
      <c r="B22" s="22" t="s">
        <v>27</v>
      </c>
      <c r="C22" s="22" t="s">
        <v>28</v>
      </c>
      <c r="D22" s="23"/>
      <c r="E22" s="26" t="n">
        <f>75</f>
        <v>75.0</v>
      </c>
      <c r="F22" s="24"/>
      <c r="G22" s="26" t="n">
        <f>214</f>
        <v>214.0</v>
      </c>
      <c r="H22" s="25"/>
      <c r="I22" s="26" t="n">
        <f>289</f>
        <v>289.0</v>
      </c>
      <c r="J22" s="23"/>
      <c r="K22" s="26" t="n">
        <f>5270000</f>
        <v>5270000.0</v>
      </c>
      <c r="L22" s="24"/>
      <c r="M22" s="26" t="n">
        <f>15630000</f>
        <v>1.563E7</v>
      </c>
      <c r="N22" s="25"/>
      <c r="O22" s="26" t="n">
        <f>20900000</f>
        <v>2.09E7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n">
        <f>2</f>
        <v>2.0</v>
      </c>
      <c r="U22" s="24"/>
      <c r="V22" s="26" t="str">
        <f>"－"</f>
        <v>－</v>
      </c>
      <c r="W22" s="25"/>
      <c r="X22" s="26" t="n">
        <f>2</f>
        <v>2.0</v>
      </c>
      <c r="Y22" s="23"/>
      <c r="Z22" s="26" t="n">
        <f>2034</f>
        <v>2034.0</v>
      </c>
      <c r="AA22" s="24"/>
      <c r="AB22" s="26" t="n">
        <f>1873</f>
        <v>1873.0</v>
      </c>
      <c r="AC22" s="25"/>
      <c r="AD22" s="26" t="n">
        <f>3907</f>
        <v>3907.0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224</f>
        <v>224.0</v>
      </c>
      <c r="F23" s="24" t="s">
        <v>30</v>
      </c>
      <c r="G23" s="26" t="n">
        <f>41</f>
        <v>41.0</v>
      </c>
      <c r="H23" s="25"/>
      <c r="I23" s="26" t="n">
        <f>265</f>
        <v>265.0</v>
      </c>
      <c r="J23" s="23"/>
      <c r="K23" s="26" t="n">
        <f>16930000</f>
        <v>1.693E7</v>
      </c>
      <c r="L23" s="24" t="s">
        <v>30</v>
      </c>
      <c r="M23" s="26" t="n">
        <f>2980000</f>
        <v>2980000.0</v>
      </c>
      <c r="N23" s="25"/>
      <c r="O23" s="26" t="n">
        <f>19910000</f>
        <v>1.991E7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n">
        <f>25</f>
        <v>25.0</v>
      </c>
      <c r="U23" s="24"/>
      <c r="V23" s="26" t="str">
        <f>"－"</f>
        <v>－</v>
      </c>
      <c r="W23" s="25"/>
      <c r="X23" s="26" t="n">
        <f>25</f>
        <v>25.0</v>
      </c>
      <c r="Y23" s="23"/>
      <c r="Z23" s="26" t="n">
        <f>2137</f>
        <v>2137.0</v>
      </c>
      <c r="AA23" s="24"/>
      <c r="AB23" s="26" t="n">
        <f>1875</f>
        <v>1875.0</v>
      </c>
      <c r="AC23" s="25"/>
      <c r="AD23" s="26" t="n">
        <f>4012</f>
        <v>4012.0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255</f>
        <v>255.0</v>
      </c>
      <c r="F24" s="24"/>
      <c r="G24" s="26" t="n">
        <f>416</f>
        <v>416.0</v>
      </c>
      <c r="H24" s="25"/>
      <c r="I24" s="26" t="n">
        <f>671</f>
        <v>671.0</v>
      </c>
      <c r="J24" s="23"/>
      <c r="K24" s="26" t="n">
        <f>13310000</f>
        <v>1.331E7</v>
      </c>
      <c r="L24" s="24"/>
      <c r="M24" s="26" t="n">
        <f>31410000</f>
        <v>3.141E7</v>
      </c>
      <c r="N24" s="25"/>
      <c r="O24" s="26" t="n">
        <f>44720000</f>
        <v>4.472E7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n">
        <f>50</f>
        <v>50.0</v>
      </c>
      <c r="U24" s="24"/>
      <c r="V24" s="26" t="n">
        <f>30</f>
        <v>30.0</v>
      </c>
      <c r="W24" s="25"/>
      <c r="X24" s="26" t="n">
        <f>80</f>
        <v>80.0</v>
      </c>
      <c r="Y24" s="23"/>
      <c r="Z24" s="26" t="n">
        <f>2203</f>
        <v>2203.0</v>
      </c>
      <c r="AA24" s="24"/>
      <c r="AB24" s="26" t="n">
        <f>2005</f>
        <v>2005.0</v>
      </c>
      <c r="AC24" s="25"/>
      <c r="AD24" s="26" t="n">
        <f>4208</f>
        <v>4208.0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291</f>
        <v>291.0</v>
      </c>
      <c r="F25" s="24"/>
      <c r="G25" s="26" t="n">
        <f>226</f>
        <v>226.0</v>
      </c>
      <c r="H25" s="25"/>
      <c r="I25" s="26" t="n">
        <f>517</f>
        <v>517.0</v>
      </c>
      <c r="J25" s="23"/>
      <c r="K25" s="26" t="n">
        <f>14110000</f>
        <v>1.411E7</v>
      </c>
      <c r="L25" s="24"/>
      <c r="M25" s="26" t="n">
        <f>19130000</f>
        <v>1.913E7</v>
      </c>
      <c r="N25" s="25"/>
      <c r="O25" s="26" t="n">
        <f>33240000</f>
        <v>3.324E7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n">
        <f>74</f>
        <v>74.0</v>
      </c>
      <c r="U25" s="24"/>
      <c r="V25" s="26" t="str">
        <f>"－"</f>
        <v>－</v>
      </c>
      <c r="W25" s="25"/>
      <c r="X25" s="26" t="n">
        <f>74</f>
        <v>74.0</v>
      </c>
      <c r="Y25" s="23"/>
      <c r="Z25" s="26" t="n">
        <f>2217</f>
        <v>2217.0</v>
      </c>
      <c r="AA25" s="24"/>
      <c r="AB25" s="26" t="n">
        <f>1920</f>
        <v>1920.0</v>
      </c>
      <c r="AC25" s="25"/>
      <c r="AD25" s="26" t="n">
        <f>4137</f>
        <v>4137.0</v>
      </c>
    </row>
    <row r="26">
      <c r="A26" s="21" t="s">
        <v>46</v>
      </c>
      <c r="B26" s="22" t="s">
        <v>27</v>
      </c>
      <c r="C26" s="22" t="s">
        <v>28</v>
      </c>
      <c r="D26" s="23"/>
      <c r="E26" s="26" t="n">
        <f>94</f>
        <v>94.0</v>
      </c>
      <c r="F26" s="24"/>
      <c r="G26" s="26" t="n">
        <f>199</f>
        <v>199.0</v>
      </c>
      <c r="H26" s="25"/>
      <c r="I26" s="26" t="n">
        <f>293</f>
        <v>293.0</v>
      </c>
      <c r="J26" s="23"/>
      <c r="K26" s="26" t="n">
        <f>6370000</f>
        <v>6370000.0</v>
      </c>
      <c r="L26" s="24"/>
      <c r="M26" s="26" t="n">
        <f>7610000</f>
        <v>7610000.0</v>
      </c>
      <c r="N26" s="25" t="s">
        <v>30</v>
      </c>
      <c r="O26" s="26" t="n">
        <f>13980000</f>
        <v>1.398E7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n">
        <f>25</f>
        <v>25.0</v>
      </c>
      <c r="W26" s="25"/>
      <c r="X26" s="26" t="n">
        <f>25</f>
        <v>25.0</v>
      </c>
      <c r="Y26" s="23"/>
      <c r="Z26" s="26" t="n">
        <f>2216</f>
        <v>2216.0</v>
      </c>
      <c r="AA26" s="24"/>
      <c r="AB26" s="26" t="n">
        <f>1919</f>
        <v>1919.0</v>
      </c>
      <c r="AC26" s="25"/>
      <c r="AD26" s="26" t="n">
        <f>4135</f>
        <v>4135.0</v>
      </c>
    </row>
    <row r="27">
      <c r="A27" s="21" t="s">
        <v>47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48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49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50</v>
      </c>
      <c r="B30" s="22" t="s">
        <v>27</v>
      </c>
      <c r="C30" s="22" t="s">
        <v>28</v>
      </c>
      <c r="D30" s="23"/>
      <c r="E30" s="26" t="n">
        <f>47</f>
        <v>47.0</v>
      </c>
      <c r="F30" s="24"/>
      <c r="G30" s="26" t="n">
        <f>166</f>
        <v>166.0</v>
      </c>
      <c r="H30" s="25" t="s">
        <v>30</v>
      </c>
      <c r="I30" s="26" t="n">
        <f>213</f>
        <v>213.0</v>
      </c>
      <c r="J30" s="23"/>
      <c r="K30" s="26" t="n">
        <f>2370000</f>
        <v>2370000.0</v>
      </c>
      <c r="L30" s="24"/>
      <c r="M30" s="26" t="n">
        <f>13010000</f>
        <v>1.301E7</v>
      </c>
      <c r="N30" s="25"/>
      <c r="O30" s="26" t="n">
        <f>15380000</f>
        <v>1.538E7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n">
        <f>2</f>
        <v>2.0</v>
      </c>
      <c r="U30" s="24"/>
      <c r="V30" s="26" t="n">
        <f>2</f>
        <v>2.0</v>
      </c>
      <c r="W30" s="25"/>
      <c r="X30" s="26" t="n">
        <f>4</f>
        <v>4.0</v>
      </c>
      <c r="Y30" s="23"/>
      <c r="Z30" s="26" t="n">
        <f>2233</f>
        <v>2233.0</v>
      </c>
      <c r="AA30" s="24"/>
      <c r="AB30" s="26" t="n">
        <f>1942</f>
        <v>1942.0</v>
      </c>
      <c r="AC30" s="25"/>
      <c r="AD30" s="26" t="n">
        <f>4175</f>
        <v>4175.0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204</f>
        <v>204.0</v>
      </c>
      <c r="F31" s="24"/>
      <c r="G31" s="26" t="n">
        <f>55</f>
        <v>55.0</v>
      </c>
      <c r="H31" s="25"/>
      <c r="I31" s="26" t="n">
        <f>259</f>
        <v>259.0</v>
      </c>
      <c r="J31" s="23"/>
      <c r="K31" s="26" t="n">
        <f>18440000</f>
        <v>1.844E7</v>
      </c>
      <c r="L31" s="24"/>
      <c r="M31" s="26" t="n">
        <f>3300000</f>
        <v>3300000.0</v>
      </c>
      <c r="N31" s="25"/>
      <c r="O31" s="26" t="n">
        <f>21740000</f>
        <v>2.174E7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n">
        <f>12</f>
        <v>12.0</v>
      </c>
      <c r="U31" s="24"/>
      <c r="V31" s="26" t="n">
        <f>20</f>
        <v>20.0</v>
      </c>
      <c r="W31" s="25"/>
      <c r="X31" s="26" t="n">
        <f>32</f>
        <v>32.0</v>
      </c>
      <c r="Y31" s="23"/>
      <c r="Z31" s="26" t="n">
        <f>2304</f>
        <v>2304.0</v>
      </c>
      <c r="AA31" s="24"/>
      <c r="AB31" s="26" t="n">
        <f>1932</f>
        <v>1932.0</v>
      </c>
      <c r="AC31" s="25"/>
      <c r="AD31" s="26" t="n">
        <f>4236</f>
        <v>4236.0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 t="n">
        <f>930</f>
        <v>930.0</v>
      </c>
      <c r="F33" s="24"/>
      <c r="G33" s="26" t="n">
        <f>606</f>
        <v>606.0</v>
      </c>
      <c r="H33" s="25"/>
      <c r="I33" s="26" t="n">
        <f>1536</f>
        <v>1536.0</v>
      </c>
      <c r="J33" s="23"/>
      <c r="K33" s="26" t="n">
        <f>91115000</f>
        <v>9.1115E7</v>
      </c>
      <c r="L33" s="24"/>
      <c r="M33" s="26" t="n">
        <f>27465000</f>
        <v>2.7465E7</v>
      </c>
      <c r="N33" s="25"/>
      <c r="O33" s="26" t="n">
        <f>118580000</f>
        <v>1.1858E8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n">
        <f>800</f>
        <v>800.0</v>
      </c>
      <c r="U33" s="24"/>
      <c r="V33" s="26" t="str">
        <f>"－"</f>
        <v>－</v>
      </c>
      <c r="W33" s="25"/>
      <c r="X33" s="26" t="n">
        <f>800</f>
        <v>800.0</v>
      </c>
      <c r="Y33" s="23"/>
      <c r="Z33" s="26" t="n">
        <f>2789</f>
        <v>2789.0</v>
      </c>
      <c r="AA33" s="24"/>
      <c r="AB33" s="26" t="n">
        <f>1851</f>
        <v>1851.0</v>
      </c>
      <c r="AC33" s="25"/>
      <c r="AD33" s="26" t="n">
        <f>4640</f>
        <v>4640.0</v>
      </c>
    </row>
    <row r="34">
      <c r="A34" s="21" t="s">
        <v>54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55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56</v>
      </c>
      <c r="B36" s="22" t="s">
        <v>27</v>
      </c>
      <c r="C36" s="22" t="s">
        <v>28</v>
      </c>
      <c r="D36" s="23"/>
      <c r="E36" s="26" t="n">
        <f>457</f>
        <v>457.0</v>
      </c>
      <c r="F36" s="24"/>
      <c r="G36" s="26" t="n">
        <f>135</f>
        <v>135.0</v>
      </c>
      <c r="H36" s="25"/>
      <c r="I36" s="26" t="n">
        <f>592</f>
        <v>592.0</v>
      </c>
      <c r="J36" s="23"/>
      <c r="K36" s="26" t="n">
        <f>35815000</f>
        <v>3.5815E7</v>
      </c>
      <c r="L36" s="24"/>
      <c r="M36" s="26" t="n">
        <f>14910000</f>
        <v>1.491E7</v>
      </c>
      <c r="N36" s="25"/>
      <c r="O36" s="26" t="n">
        <f>50725000</f>
        <v>5.0725E7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2931</f>
        <v>2931.0</v>
      </c>
      <c r="AA36" s="24"/>
      <c r="AB36" s="26" t="n">
        <f>1949</f>
        <v>1949.0</v>
      </c>
      <c r="AC36" s="25"/>
      <c r="AD36" s="26" t="n">
        <f>4880</f>
        <v>4880.0</v>
      </c>
    </row>
    <row r="37">
      <c r="A37" s="21" t="s">
        <v>57</v>
      </c>
      <c r="B37" s="22" t="s">
        <v>27</v>
      </c>
      <c r="C37" s="22" t="s">
        <v>28</v>
      </c>
      <c r="D37" s="23" t="s">
        <v>29</v>
      </c>
      <c r="E37" s="26" t="n">
        <f>1216</f>
        <v>1216.0</v>
      </c>
      <c r="F37" s="24" t="s">
        <v>29</v>
      </c>
      <c r="G37" s="26" t="n">
        <f>931</f>
        <v>931.0</v>
      </c>
      <c r="H37" s="25" t="s">
        <v>29</v>
      </c>
      <c r="I37" s="26" t="n">
        <f>2147</f>
        <v>2147.0</v>
      </c>
      <c r="J37" s="23" t="s">
        <v>29</v>
      </c>
      <c r="K37" s="26" t="n">
        <f>142597500</f>
        <v>1.425975E8</v>
      </c>
      <c r="L37" s="24"/>
      <c r="M37" s="26" t="n">
        <f>32532500</f>
        <v>3.25325E7</v>
      </c>
      <c r="N37" s="25" t="s">
        <v>29</v>
      </c>
      <c r="O37" s="26" t="n">
        <f>175130000</f>
        <v>1.7513E8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 t="s">
        <v>29</v>
      </c>
      <c r="T37" s="26" t="n">
        <f>1050</f>
        <v>1050.0</v>
      </c>
      <c r="U37" s="24" t="s">
        <v>29</v>
      </c>
      <c r="V37" s="26" t="n">
        <f>205</f>
        <v>205.0</v>
      </c>
      <c r="W37" s="25" t="s">
        <v>29</v>
      </c>
      <c r="X37" s="26" t="n">
        <f>1255</f>
        <v>1255.0</v>
      </c>
      <c r="Y37" s="23" t="s">
        <v>29</v>
      </c>
      <c r="Z37" s="26" t="n">
        <f>3627</f>
        <v>3627.0</v>
      </c>
      <c r="AA37" s="24" t="s">
        <v>29</v>
      </c>
      <c r="AB37" s="26" t="n">
        <f>2316</f>
        <v>2316.0</v>
      </c>
      <c r="AC37" s="25" t="s">
        <v>29</v>
      </c>
      <c r="AD37" s="26" t="n">
        <f>5943</f>
        <v>5943.0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332</f>
        <v>332.0</v>
      </c>
      <c r="F38" s="24"/>
      <c r="G38" s="26" t="n">
        <f>260</f>
        <v>260.0</v>
      </c>
      <c r="H38" s="25"/>
      <c r="I38" s="26" t="n">
        <f>592</f>
        <v>592.0</v>
      </c>
      <c r="J38" s="23"/>
      <c r="K38" s="26" t="n">
        <f>24160000</f>
        <v>2.416E7</v>
      </c>
      <c r="L38" s="24"/>
      <c r="M38" s="26" t="n">
        <f>14120000</f>
        <v>1.412E7</v>
      </c>
      <c r="N38" s="25"/>
      <c r="O38" s="26" t="n">
        <f>38280000</f>
        <v>3.828E7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n">
        <f>64</f>
        <v>64.0</v>
      </c>
      <c r="U38" s="24"/>
      <c r="V38" s="26" t="n">
        <f>5</f>
        <v>5.0</v>
      </c>
      <c r="W38" s="25"/>
      <c r="X38" s="26" t="n">
        <f>69</f>
        <v>69.0</v>
      </c>
      <c r="Y38" s="23"/>
      <c r="Z38" s="26" t="n">
        <f>3597</f>
        <v>3597.0</v>
      </c>
      <c r="AA38" s="24"/>
      <c r="AB38" s="26" t="n">
        <f>2300</f>
        <v>2300.0</v>
      </c>
      <c r="AC38" s="25"/>
      <c r="AD38" s="26" t="n">
        <f>5897</f>
        <v>5897.0</v>
      </c>
    </row>
    <row r="39">
      <c r="A39" s="21" t="s">
        <v>59</v>
      </c>
      <c r="B39" s="22" t="s">
        <v>27</v>
      </c>
      <c r="C39" s="22" t="s">
        <v>28</v>
      </c>
      <c r="D39" s="23"/>
      <c r="E39" s="26" t="n">
        <f>537</f>
        <v>537.0</v>
      </c>
      <c r="F39" s="24"/>
      <c r="G39" s="26" t="n">
        <f>355</f>
        <v>355.0</v>
      </c>
      <c r="H39" s="25"/>
      <c r="I39" s="26" t="n">
        <f>892</f>
        <v>892.0</v>
      </c>
      <c r="J39" s="23"/>
      <c r="K39" s="26" t="n">
        <f>63800000</f>
        <v>6.38E7</v>
      </c>
      <c r="L39" s="24"/>
      <c r="M39" s="26" t="n">
        <f>11580000</f>
        <v>1.158E7</v>
      </c>
      <c r="N39" s="25"/>
      <c r="O39" s="26" t="n">
        <f>75380000</f>
        <v>7.538E7</v>
      </c>
      <c r="P39" s="27" t="n">
        <f>2016</f>
        <v>2016.0</v>
      </c>
      <c r="Q39" s="28" t="n">
        <f>1</f>
        <v>1.0</v>
      </c>
      <c r="R39" s="29" t="n">
        <f>2017</f>
        <v>2017.0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 t="s">
        <v>30</v>
      </c>
      <c r="Z39" s="26" t="n">
        <f>1128</f>
        <v>1128.0</v>
      </c>
      <c r="AA39" s="24" t="s">
        <v>30</v>
      </c>
      <c r="AB39" s="26" t="n">
        <f>181</f>
        <v>181.0</v>
      </c>
      <c r="AC39" s="25" t="s">
        <v>30</v>
      </c>
      <c r="AD39" s="26" t="n">
        <f>1309</f>
        <v>1309.0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