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windowHeight="12330" windowWidth="18315" xWindow="480" yWindow="75"/>
  </bookViews>
  <sheets>
    <sheet name="BO_DM0030" r:id="rId1" sheetId="1"/>
  </sheets>
  <definedNames>
    <definedName localSheetId="0" name="_xlnm.Print_Titles">BO_DM0030!$3:$5</definedName>
  </definedNames>
  <calcPr calcId="145621"/>
</workbook>
</file>

<file path=xl/sharedStrings.xml><?xml version="1.0" encoding="utf-8"?>
<sst xmlns="http://schemas.openxmlformats.org/spreadsheetml/2006/main" count="1561" uniqueCount="81">
  <si>
    <t>指数先物取引取引状況（日別）</t>
  </si>
  <si>
    <t>Trading of Index Futures (Daily)</t>
  </si>
  <si>
    <t>（注）  1．◎は最高、 ●は最低を示す。　2．ギブ･アップ数量は売と買の合計数量　　Note： 1．◎ indicates highest and ● indicates lowest.　2．Give-Up Volume means total amount of the buying and selling.</t>
    <phoneticPr fontId="9"/>
  </si>
  <si>
    <t>（単位 units. 円 ￥.）</t>
    <phoneticPr fontId="10"/>
  </si>
  <si>
    <t>月日</t>
  </si>
  <si>
    <t>商品等</t>
    <rPh eb="2" sb="0">
      <t>ショウヒン</t>
    </rPh>
    <rPh eb="3" sb="2">
      <t>ナド</t>
    </rPh>
    <phoneticPr fontId="9"/>
  </si>
  <si>
    <t>Products</t>
    <phoneticPr fontId="9"/>
  </si>
  <si>
    <t>取　引　高</t>
  </si>
  <si>
    <t>取　引　金　額</t>
  </si>
  <si>
    <t>ギ　ブ　・　ア　ッ　プ　数　量</t>
  </si>
  <si>
    <t>建　玉　現　在　高</t>
  </si>
  <si>
    <t>Date</t>
  </si>
  <si>
    <t>Trading Volume</t>
  </si>
  <si>
    <t>Trading Value</t>
  </si>
  <si>
    <t>Give Up Volume</t>
  </si>
  <si>
    <t>Open Interest</t>
  </si>
  <si>
    <t>9.1</t>
  </si>
  <si>
    <t>日経225先物</t>
  </si>
  <si>
    <t>Nikkei 225 Futures</t>
  </si>
  <si>
    <t>2</t>
  </si>
  <si>
    <t>3</t>
  </si>
  <si>
    <t>4</t>
  </si>
  <si>
    <t>5</t>
  </si>
  <si>
    <t>6</t>
  </si>
  <si>
    <t>7</t>
  </si>
  <si>
    <t>◎</t>
  </si>
  <si>
    <t>8</t>
  </si>
  <si>
    <t>9</t>
  </si>
  <si>
    <t>10</t>
  </si>
  <si>
    <t>11</t>
  </si>
  <si>
    <t>12</t>
  </si>
  <si>
    <t>13</t>
  </si>
  <si>
    <t>●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</si>
  <si>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</si>
  <si>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</si>
  <si>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</si>
  <si>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</si>
  <si>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</si>
  <si>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</si>
  <si>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</si>
  <si>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</si>
  <si>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</si>
  <si>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</si>
  <si>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</si>
  <si>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</si>
  <si>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</si>
  <si>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</si>
  <si>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</si>
  <si>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</si>
  <si>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</si>
  <si>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日経225mini</t>
  </si>
  <si>
    <t>Nikkei 225 mini</t>
  </si>
  <si>
    <t>TOPIX先物</t>
  </si>
  <si>
    <t>TOPIX Futures</t>
  </si>
  <si>
    <t>ミニTOPIX先物</t>
  </si>
  <si>
    <t>mini-TOPIX Futures</t>
  </si>
  <si>
    <t>JPX日経インデックス400先物</t>
  </si>
  <si>
    <t>JPX-Nikkei Index 400 Futures</t>
  </si>
  <si>
    <t>TOPIX Core30先物</t>
  </si>
  <si>
    <t>TOPIX Core30 Futures</t>
  </si>
  <si>
    <t>◎●</t>
  </si>
  <si>
    <t>東証銀行業株価指数先物</t>
  </si>
  <si>
    <t>TOPIX Banks Index Futures</t>
  </si>
  <si>
    <t>東証REIT指数先物</t>
  </si>
  <si>
    <t>TSE REIT Index Futures</t>
  </si>
  <si>
    <t>RNプライム指数先物</t>
  </si>
  <si>
    <t>RN Prime Index Futures</t>
  </si>
  <si>
    <t>東証マザーズ指数先物</t>
  </si>
  <si>
    <t>TSE Mothers Index Futures</t>
  </si>
  <si>
    <t>NYダウ先物</t>
  </si>
  <si>
    <t>DJIA Futures</t>
  </si>
  <si>
    <t>台湾加権指数先物</t>
  </si>
  <si>
    <t>TAIEX Futures</t>
  </si>
  <si>
    <t>FTSE中国50指数先物</t>
  </si>
  <si>
    <t>FTSE China 50 Index Futures</t>
  </si>
  <si>
    <t>日経平均・配当指数先物</t>
  </si>
  <si>
    <t>Nikkei 225 Dividend Index Futures</t>
  </si>
  <si>
    <t>日経平均VI先物</t>
  </si>
  <si>
    <t>Nikkei 225 VI Futures</t>
  </si>
  <si>
    <t>日経平均トータルリターン・インデックス先物</t>
  </si>
  <si>
    <t>Nikkei 225 Total Return Index Futures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</si>
</sst>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#"/>
    <numFmt numFmtId="177" formatCode="#,##0;\-#,##0;&quot;-&quot;"/>
    <numFmt numFmtId="178" formatCode="0_);[Red]\(0\)"/>
    <numFmt numFmtId="179" formatCode="_-&quot;｣&quot;* #,##0_-;\-&quot;｣&quot;* #,##0_-;_-&quot;｣&quot;* &quot;-&quot;_-;_-@_-"/>
    <numFmt numFmtId="180" formatCode="_-&quot;｣&quot;* #,##0.00_-;\-&quot;｣&quot;* #,##0.00_-;_-&quot;｣&quot;* &quot;-&quot;??_-;_-@_-"/>
    <numFmt numFmtId="181" formatCode="&quot;$&quot;#,##0;[Red]\-&quot;$&quot;#,##0"/>
    <numFmt numFmtId="182" formatCode="&quot;$&quot;#,##0.00;[Red]\-&quot;$&quot;#,##0.00"/>
    <numFmt numFmtId="183" formatCode="0.00_)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  <numFmt numFmtId="189" formatCode="0_)"/>
  </numFmts>
  <fonts count="94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indexed="8"/>
      <name val="ＭＳ Ｐゴシック"/>
      <family val="2"/>
      <scheme val="minor"/>
    </font>
    <font>
      <sz val="20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11"/>
      <name val="ＭＳ Ｐゴシック"/>
      <family val="2"/>
      <scheme val="minor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color indexed="8"/>
      <name val="MS Sans Serif"/>
      <family val="2"/>
    </font>
    <font>
      <sz val="10"/>
      <color indexed="8"/>
      <name val="Arial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2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i/>
      <sz val="16"/>
      <name val="Helv"/>
      <family val="2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name val="明朝"/>
      <family val="1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strike/>
      <sz val="11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0"/>
      <name val="Courier"/>
      <family val="3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9"/>
      <name val="ＭＳ ゴシック"/>
      <family val="3"/>
      <charset val="128"/>
    </font>
  </fonts>
  <fills count="2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</fills>
  <borders count="2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940">
    <xf borderId="0" fillId="0" fontId="0" numFmtId="0"/>
    <xf borderId="0" fillId="0" fontId="2" numFmtId="0">
      <alignment vertical="center"/>
    </xf>
    <xf applyAlignment="0" applyBorder="0" applyFill="0" applyFont="0" applyProtection="0" borderId="0" fillId="0" fontId="5" numFmtId="9"/>
    <xf borderId="0" fillId="0" fontId="11" numFmtId="0"/>
    <xf borderId="0" fillId="0" fontId="7" numFmtId="0"/>
    <xf applyAlignment="0" applyBorder="0" applyNumberFormat="0" applyProtection="0" borderId="0" fillId="3" fontId="12" numFmtId="0"/>
    <xf applyAlignment="0" applyBorder="0" applyNumberFormat="0" applyProtection="0" borderId="0" fillId="4" fontId="12" numFmtId="0"/>
    <xf applyAlignment="0" applyBorder="0" applyNumberFormat="0" applyProtection="0" borderId="0" fillId="5" fontId="12" numFmtId="0"/>
    <xf applyAlignment="0" applyBorder="0" applyNumberFormat="0" applyProtection="0" borderId="0" fillId="6" fontId="12" numFmtId="0"/>
    <xf applyAlignment="0" applyBorder="0" applyNumberFormat="0" applyProtection="0" borderId="0" fillId="7" fontId="12" numFmtId="0"/>
    <xf applyAlignment="0" applyBorder="0" applyNumberFormat="0" applyProtection="0" borderId="0" fillId="8" fontId="12" numFmtId="0"/>
    <xf applyAlignment="0" applyBorder="0" applyNumberFormat="0" applyProtection="0" borderId="0" fillId="3" fontId="13" numFmtId="0">
      <alignment vertical="center"/>
    </xf>
    <xf applyAlignment="0" applyBorder="0" applyNumberFormat="0" applyProtection="0" borderId="0" fillId="3" fontId="13" numFmtId="0">
      <alignment vertical="center"/>
    </xf>
    <xf applyAlignment="0" applyBorder="0" applyNumberFormat="0" applyProtection="0" borderId="0" fillId="3" fontId="13" numFmtId="0">
      <alignment vertical="center"/>
    </xf>
    <xf applyAlignment="0" applyBorder="0" applyNumberFormat="0" applyProtection="0" borderId="0" fillId="3" fontId="13" numFmtId="0">
      <alignment vertical="center"/>
    </xf>
    <xf applyAlignment="0" applyBorder="0" applyNumberFormat="0" applyProtection="0" borderId="0" fillId="3" fontId="13" numFmtId="0">
      <alignment vertical="center"/>
    </xf>
    <xf applyAlignment="0" applyBorder="0" applyNumberFormat="0" applyProtection="0" borderId="0" fillId="3" fontId="13" numFmtId="0">
      <alignment vertical="center"/>
    </xf>
    <xf applyAlignment="0" applyBorder="0" applyNumberFormat="0" applyProtection="0" borderId="0" fillId="3" fontId="13" numFmtId="0">
      <alignment vertical="center"/>
    </xf>
    <xf applyAlignment="0" applyBorder="0" applyNumberFormat="0" applyProtection="0" borderId="0" fillId="3" fontId="13" numFmtId="0">
      <alignment vertical="center"/>
    </xf>
    <xf applyAlignment="0" applyBorder="0" applyNumberFormat="0" applyProtection="0" borderId="0" fillId="4" fontId="13" numFmtId="0">
      <alignment vertical="center"/>
    </xf>
    <xf applyAlignment="0" applyBorder="0" applyNumberFormat="0" applyProtection="0" borderId="0" fillId="4" fontId="13" numFmtId="0">
      <alignment vertical="center"/>
    </xf>
    <xf applyAlignment="0" applyBorder="0" applyNumberFormat="0" applyProtection="0" borderId="0" fillId="4" fontId="13" numFmtId="0">
      <alignment vertical="center"/>
    </xf>
    <xf applyAlignment="0" applyBorder="0" applyNumberFormat="0" applyProtection="0" borderId="0" fillId="4" fontId="13" numFmtId="0">
      <alignment vertical="center"/>
    </xf>
    <xf applyAlignment="0" applyBorder="0" applyNumberFormat="0" applyProtection="0" borderId="0" fillId="4" fontId="13" numFmtId="0">
      <alignment vertical="center"/>
    </xf>
    <xf applyAlignment="0" applyBorder="0" applyNumberFormat="0" applyProtection="0" borderId="0" fillId="4" fontId="13" numFmtId="0">
      <alignment vertical="center"/>
    </xf>
    <xf applyAlignment="0" applyBorder="0" applyNumberFormat="0" applyProtection="0" borderId="0" fillId="4" fontId="13" numFmtId="0">
      <alignment vertical="center"/>
    </xf>
    <xf applyAlignment="0" applyBorder="0" applyNumberFormat="0" applyProtection="0" borderId="0" fillId="4" fontId="13" numFmtId="0">
      <alignment vertical="center"/>
    </xf>
    <xf applyAlignment="0" applyBorder="0" applyNumberFormat="0" applyProtection="0" borderId="0" fillId="5" fontId="13" numFmtId="0">
      <alignment vertical="center"/>
    </xf>
    <xf applyAlignment="0" applyBorder="0" applyNumberFormat="0" applyProtection="0" borderId="0" fillId="5" fontId="13" numFmtId="0">
      <alignment vertical="center"/>
    </xf>
    <xf applyAlignment="0" applyBorder="0" applyNumberFormat="0" applyProtection="0" borderId="0" fillId="5" fontId="13" numFmtId="0">
      <alignment vertical="center"/>
    </xf>
    <xf applyAlignment="0" applyBorder="0" applyNumberFormat="0" applyProtection="0" borderId="0" fillId="5" fontId="13" numFmtId="0">
      <alignment vertical="center"/>
    </xf>
    <xf applyAlignment="0" applyBorder="0" applyNumberFormat="0" applyProtection="0" borderId="0" fillId="5" fontId="13" numFmtId="0">
      <alignment vertical="center"/>
    </xf>
    <xf applyAlignment="0" applyBorder="0" applyNumberFormat="0" applyProtection="0" borderId="0" fillId="5" fontId="13" numFmtId="0">
      <alignment vertical="center"/>
    </xf>
    <xf applyAlignment="0" applyBorder="0" applyNumberFormat="0" applyProtection="0" borderId="0" fillId="5" fontId="13" numFmtId="0">
      <alignment vertical="center"/>
    </xf>
    <xf applyAlignment="0" applyBorder="0" applyNumberFormat="0" applyProtection="0" borderId="0" fillId="5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7" fontId="13" numFmtId="0">
      <alignment vertical="center"/>
    </xf>
    <xf applyAlignment="0" applyBorder="0" applyNumberFormat="0" applyProtection="0" borderId="0" fillId="7" fontId="13" numFmtId="0">
      <alignment vertical="center"/>
    </xf>
    <xf applyAlignment="0" applyBorder="0" applyNumberFormat="0" applyProtection="0" borderId="0" fillId="7" fontId="13" numFmtId="0">
      <alignment vertical="center"/>
    </xf>
    <xf applyAlignment="0" applyBorder="0" applyNumberFormat="0" applyProtection="0" borderId="0" fillId="7" fontId="13" numFmtId="0">
      <alignment vertical="center"/>
    </xf>
    <xf applyAlignment="0" applyBorder="0" applyNumberFormat="0" applyProtection="0" borderId="0" fillId="7" fontId="13" numFmtId="0">
      <alignment vertical="center"/>
    </xf>
    <xf applyAlignment="0" applyBorder="0" applyNumberFormat="0" applyProtection="0" borderId="0" fillId="7" fontId="13" numFmtId="0">
      <alignment vertical="center"/>
    </xf>
    <xf applyAlignment="0" applyBorder="0" applyNumberFormat="0" applyProtection="0" borderId="0" fillId="7" fontId="13" numFmtId="0">
      <alignment vertical="center"/>
    </xf>
    <xf applyAlignment="0" applyBorder="0" applyNumberFormat="0" applyProtection="0" borderId="0" fillId="7" fontId="13" numFmtId="0">
      <alignment vertical="center"/>
    </xf>
    <xf applyAlignment="0" applyBorder="0" applyNumberFormat="0" applyProtection="0" borderId="0" fillId="8" fontId="13" numFmtId="0">
      <alignment vertical="center"/>
    </xf>
    <xf applyAlignment="0" applyBorder="0" applyNumberFormat="0" applyProtection="0" borderId="0" fillId="8" fontId="13" numFmtId="0">
      <alignment vertical="center"/>
    </xf>
    <xf applyAlignment="0" applyBorder="0" applyNumberFormat="0" applyProtection="0" borderId="0" fillId="8" fontId="13" numFmtId="0">
      <alignment vertical="center"/>
    </xf>
    <xf applyAlignment="0" applyBorder="0" applyNumberFormat="0" applyProtection="0" borderId="0" fillId="8" fontId="13" numFmtId="0">
      <alignment vertical="center"/>
    </xf>
    <xf applyAlignment="0" applyBorder="0" applyNumberFormat="0" applyProtection="0" borderId="0" fillId="8" fontId="13" numFmtId="0">
      <alignment vertical="center"/>
    </xf>
    <xf applyAlignment="0" applyBorder="0" applyNumberFormat="0" applyProtection="0" borderId="0" fillId="8" fontId="13" numFmtId="0">
      <alignment vertical="center"/>
    </xf>
    <xf applyAlignment="0" applyBorder="0" applyNumberFormat="0" applyProtection="0" borderId="0" fillId="8" fontId="13" numFmtId="0">
      <alignment vertical="center"/>
    </xf>
    <xf applyAlignment="0" applyBorder="0" applyNumberFormat="0" applyProtection="0" borderId="0" fillId="8" fontId="13" numFmtId="0">
      <alignment vertical="center"/>
    </xf>
    <xf applyAlignment="0" applyBorder="0" applyNumberFormat="0" applyProtection="0" borderId="0" fillId="9" fontId="12" numFmtId="0"/>
    <xf applyAlignment="0" applyBorder="0" applyNumberFormat="0" applyProtection="0" borderId="0" fillId="10" fontId="12" numFmtId="0"/>
    <xf applyAlignment="0" applyBorder="0" applyNumberFormat="0" applyProtection="0" borderId="0" fillId="11" fontId="12" numFmtId="0"/>
    <xf applyAlignment="0" applyBorder="0" applyNumberFormat="0" applyProtection="0" borderId="0" fillId="6" fontId="12" numFmtId="0"/>
    <xf applyAlignment="0" applyBorder="0" applyNumberFormat="0" applyProtection="0" borderId="0" fillId="9" fontId="12" numFmtId="0"/>
    <xf applyAlignment="0" applyBorder="0" applyNumberFormat="0" applyProtection="0" borderId="0" fillId="12" fontId="12" numFmtId="0"/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10" fontId="13" numFmtId="0">
      <alignment vertical="center"/>
    </xf>
    <xf applyAlignment="0" applyBorder="0" applyNumberFormat="0" applyProtection="0" borderId="0" fillId="10" fontId="13" numFmtId="0">
      <alignment vertical="center"/>
    </xf>
    <xf applyAlignment="0" applyBorder="0" applyNumberFormat="0" applyProtection="0" borderId="0" fillId="10" fontId="13" numFmtId="0">
      <alignment vertical="center"/>
    </xf>
    <xf applyAlignment="0" applyBorder="0" applyNumberFormat="0" applyProtection="0" borderId="0" fillId="10" fontId="13" numFmtId="0">
      <alignment vertical="center"/>
    </xf>
    <xf applyAlignment="0" applyBorder="0" applyNumberFormat="0" applyProtection="0" borderId="0" fillId="10" fontId="13" numFmtId="0">
      <alignment vertical="center"/>
    </xf>
    <xf applyAlignment="0" applyBorder="0" applyNumberFormat="0" applyProtection="0" borderId="0" fillId="10" fontId="13" numFmtId="0">
      <alignment vertical="center"/>
    </xf>
    <xf applyAlignment="0" applyBorder="0" applyNumberFormat="0" applyProtection="0" borderId="0" fillId="10" fontId="13" numFmtId="0">
      <alignment vertical="center"/>
    </xf>
    <xf applyAlignment="0" applyBorder="0" applyNumberFormat="0" applyProtection="0" borderId="0" fillId="10" fontId="13" numFmtId="0">
      <alignment vertical="center"/>
    </xf>
    <xf applyAlignment="0" applyBorder="0" applyNumberFormat="0" applyProtection="0" borderId="0" fillId="11" fontId="13" numFmtId="0">
      <alignment vertical="center"/>
    </xf>
    <xf applyAlignment="0" applyBorder="0" applyNumberFormat="0" applyProtection="0" borderId="0" fillId="11" fontId="13" numFmtId="0">
      <alignment vertical="center"/>
    </xf>
    <xf applyAlignment="0" applyBorder="0" applyNumberFormat="0" applyProtection="0" borderId="0" fillId="11" fontId="13" numFmtId="0">
      <alignment vertical="center"/>
    </xf>
    <xf applyAlignment="0" applyBorder="0" applyNumberFormat="0" applyProtection="0" borderId="0" fillId="11" fontId="13" numFmtId="0">
      <alignment vertical="center"/>
    </xf>
    <xf applyAlignment="0" applyBorder="0" applyNumberFormat="0" applyProtection="0" borderId="0" fillId="11" fontId="13" numFmtId="0">
      <alignment vertical="center"/>
    </xf>
    <xf applyAlignment="0" applyBorder="0" applyNumberFormat="0" applyProtection="0" borderId="0" fillId="11" fontId="13" numFmtId="0">
      <alignment vertical="center"/>
    </xf>
    <xf applyAlignment="0" applyBorder="0" applyNumberFormat="0" applyProtection="0" borderId="0" fillId="11" fontId="13" numFmtId="0">
      <alignment vertical="center"/>
    </xf>
    <xf applyAlignment="0" applyBorder="0" applyNumberFormat="0" applyProtection="0" borderId="0" fillId="11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12" fontId="13" numFmtId="0">
      <alignment vertical="center"/>
    </xf>
    <xf applyAlignment="0" applyBorder="0" applyNumberFormat="0" applyProtection="0" borderId="0" fillId="12" fontId="13" numFmtId="0">
      <alignment vertical="center"/>
    </xf>
    <xf applyAlignment="0" applyBorder="0" applyNumberFormat="0" applyProtection="0" borderId="0" fillId="12" fontId="13" numFmtId="0">
      <alignment vertical="center"/>
    </xf>
    <xf applyAlignment="0" applyBorder="0" applyNumberFormat="0" applyProtection="0" borderId="0" fillId="12" fontId="13" numFmtId="0">
      <alignment vertical="center"/>
    </xf>
    <xf applyAlignment="0" applyBorder="0" applyNumberFormat="0" applyProtection="0" borderId="0" fillId="12" fontId="13" numFmtId="0">
      <alignment vertical="center"/>
    </xf>
    <xf applyAlignment="0" applyBorder="0" applyNumberFormat="0" applyProtection="0" borderId="0" fillId="12" fontId="13" numFmtId="0">
      <alignment vertical="center"/>
    </xf>
    <xf applyAlignment="0" applyBorder="0" applyNumberFormat="0" applyProtection="0" borderId="0" fillId="12" fontId="13" numFmtId="0">
      <alignment vertical="center"/>
    </xf>
    <xf applyAlignment="0" applyBorder="0" applyNumberFormat="0" applyProtection="0" borderId="0" fillId="12" fontId="13" numFmtId="0">
      <alignment vertical="center"/>
    </xf>
    <xf applyAlignment="0" applyBorder="0" applyNumberFormat="0" applyProtection="0" borderId="0" fillId="13" fontId="14" numFmtId="0"/>
    <xf applyAlignment="0" applyBorder="0" applyNumberFormat="0" applyProtection="0" borderId="0" fillId="10" fontId="14" numFmtId="0"/>
    <xf applyAlignment="0" applyBorder="0" applyNumberFormat="0" applyProtection="0" borderId="0" fillId="11" fontId="14" numFmtId="0"/>
    <xf applyAlignment="0" applyBorder="0" applyNumberFormat="0" applyProtection="0" borderId="0" fillId="14" fontId="14" numFmtId="0"/>
    <xf applyAlignment="0" applyBorder="0" applyNumberFormat="0" applyProtection="0" borderId="0" fillId="15" fontId="14" numFmtId="0"/>
    <xf applyAlignment="0" applyBorder="0" applyNumberFormat="0" applyProtection="0" borderId="0" fillId="16" fontId="14" numFmtId="0"/>
    <xf applyAlignment="0" applyBorder="0" applyNumberFormat="0" applyProtection="0" borderId="0" fillId="13" fontId="15" numFmtId="0">
      <alignment vertical="center"/>
    </xf>
    <xf applyAlignment="0" applyBorder="0" applyNumberFormat="0" applyProtection="0" borderId="0" fillId="13" fontId="15" numFmtId="0">
      <alignment vertical="center"/>
    </xf>
    <xf applyAlignment="0" applyBorder="0" applyNumberFormat="0" applyProtection="0" borderId="0" fillId="13" fontId="15" numFmtId="0">
      <alignment vertical="center"/>
    </xf>
    <xf applyAlignment="0" applyBorder="0" applyNumberFormat="0" applyProtection="0" borderId="0" fillId="13" fontId="15" numFmtId="0">
      <alignment vertical="center"/>
    </xf>
    <xf applyAlignment="0" applyBorder="0" applyNumberFormat="0" applyProtection="0" borderId="0" fillId="13" fontId="15" numFmtId="0">
      <alignment vertical="center"/>
    </xf>
    <xf applyAlignment="0" applyBorder="0" applyNumberFormat="0" applyProtection="0" borderId="0" fillId="13" fontId="15" numFmtId="0">
      <alignment vertical="center"/>
    </xf>
    <xf applyAlignment="0" applyBorder="0" applyNumberFormat="0" applyProtection="0" borderId="0" fillId="13" fontId="15" numFmtId="0">
      <alignment vertical="center"/>
    </xf>
    <xf applyAlignment="0" applyBorder="0" applyNumberFormat="0" applyProtection="0" borderId="0" fillId="13" fontId="15" numFmtId="0">
      <alignment vertical="center"/>
    </xf>
    <xf applyAlignment="0" applyBorder="0" applyNumberFormat="0" applyProtection="0" borderId="0" fillId="10" fontId="15" numFmtId="0">
      <alignment vertical="center"/>
    </xf>
    <xf applyAlignment="0" applyBorder="0" applyNumberFormat="0" applyProtection="0" borderId="0" fillId="10" fontId="15" numFmtId="0">
      <alignment vertical="center"/>
    </xf>
    <xf applyAlignment="0" applyBorder="0" applyNumberFormat="0" applyProtection="0" borderId="0" fillId="10" fontId="15" numFmtId="0">
      <alignment vertical="center"/>
    </xf>
    <xf applyAlignment="0" applyBorder="0" applyNumberFormat="0" applyProtection="0" borderId="0" fillId="10" fontId="15" numFmtId="0">
      <alignment vertical="center"/>
    </xf>
    <xf applyAlignment="0" applyBorder="0" applyNumberFormat="0" applyProtection="0" borderId="0" fillId="10" fontId="15" numFmtId="0">
      <alignment vertical="center"/>
    </xf>
    <xf applyAlignment="0" applyBorder="0" applyNumberFormat="0" applyProtection="0" borderId="0" fillId="10" fontId="15" numFmtId="0">
      <alignment vertical="center"/>
    </xf>
    <xf applyAlignment="0" applyBorder="0" applyNumberFormat="0" applyProtection="0" borderId="0" fillId="10" fontId="15" numFmtId="0">
      <alignment vertical="center"/>
    </xf>
    <xf applyAlignment="0" applyBorder="0" applyNumberFormat="0" applyProtection="0" borderId="0" fillId="10" fontId="15" numFmtId="0">
      <alignment vertical="center"/>
    </xf>
    <xf applyAlignment="0" applyBorder="0" applyNumberFormat="0" applyProtection="0" borderId="0" fillId="11" fontId="15" numFmtId="0">
      <alignment vertical="center"/>
    </xf>
    <xf applyAlignment="0" applyBorder="0" applyNumberFormat="0" applyProtection="0" borderId="0" fillId="11" fontId="15" numFmtId="0">
      <alignment vertical="center"/>
    </xf>
    <xf applyAlignment="0" applyBorder="0" applyNumberFormat="0" applyProtection="0" borderId="0" fillId="11" fontId="15" numFmtId="0">
      <alignment vertical="center"/>
    </xf>
    <xf applyAlignment="0" applyBorder="0" applyNumberFormat="0" applyProtection="0" borderId="0" fillId="11" fontId="15" numFmtId="0">
      <alignment vertical="center"/>
    </xf>
    <xf applyAlignment="0" applyBorder="0" applyNumberFormat="0" applyProtection="0" borderId="0" fillId="11" fontId="15" numFmtId="0">
      <alignment vertical="center"/>
    </xf>
    <xf applyAlignment="0" applyBorder="0" applyNumberFormat="0" applyProtection="0" borderId="0" fillId="11" fontId="15" numFmtId="0">
      <alignment vertical="center"/>
    </xf>
    <xf applyAlignment="0" applyBorder="0" applyNumberFormat="0" applyProtection="0" borderId="0" fillId="11" fontId="15" numFmtId="0">
      <alignment vertical="center"/>
    </xf>
    <xf applyAlignment="0" applyBorder="0" applyNumberFormat="0" applyProtection="0" borderId="0" fillId="11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6" fontId="15" numFmtId="0">
      <alignment vertical="center"/>
    </xf>
    <xf applyAlignment="0" applyBorder="0" applyNumberFormat="0" applyProtection="0" borderId="0" fillId="16" fontId="15" numFmtId="0">
      <alignment vertical="center"/>
    </xf>
    <xf applyAlignment="0" applyBorder="0" applyNumberFormat="0" applyProtection="0" borderId="0" fillId="16" fontId="15" numFmtId="0">
      <alignment vertical="center"/>
    </xf>
    <xf applyAlignment="0" applyBorder="0" applyNumberFormat="0" applyProtection="0" borderId="0" fillId="16" fontId="15" numFmtId="0">
      <alignment vertical="center"/>
    </xf>
    <xf applyAlignment="0" applyBorder="0" applyNumberFormat="0" applyProtection="0" borderId="0" fillId="16" fontId="15" numFmtId="0">
      <alignment vertical="center"/>
    </xf>
    <xf applyAlignment="0" applyBorder="0" applyNumberFormat="0" applyProtection="0" borderId="0" fillId="16" fontId="15" numFmtId="0">
      <alignment vertical="center"/>
    </xf>
    <xf applyAlignment="0" applyBorder="0" applyNumberFormat="0" applyProtection="0" borderId="0" fillId="16" fontId="15" numFmtId="0">
      <alignment vertical="center"/>
    </xf>
    <xf applyAlignment="0" applyBorder="0" applyNumberFormat="0" applyProtection="0" borderId="0" fillId="16" fontId="15" numFmtId="0">
      <alignment vertical="center"/>
    </xf>
    <xf applyAlignment="0" applyBorder="0" applyNumberFormat="0" applyProtection="0" borderId="0" fillId="17" fontId="14" numFmtId="0"/>
    <xf applyAlignment="0" applyBorder="0" applyNumberFormat="0" applyProtection="0" borderId="0" fillId="18" fontId="14" numFmtId="0"/>
    <xf applyAlignment="0" applyBorder="0" applyNumberFormat="0" applyProtection="0" borderId="0" fillId="19" fontId="14" numFmtId="0"/>
    <xf applyAlignment="0" applyBorder="0" applyNumberFormat="0" applyProtection="0" borderId="0" fillId="14" fontId="14" numFmtId="0"/>
    <xf applyAlignment="0" applyBorder="0" applyNumberFormat="0" applyProtection="0" borderId="0" fillId="15" fontId="14" numFmtId="0"/>
    <xf applyAlignment="0" applyBorder="0" applyNumberFormat="0" applyProtection="0" borderId="0" fillId="20" fontId="14" numFmtId="0"/>
    <xf borderId="0" fillId="0" fontId="16" numFmtId="0">
      <alignment horizontal="center" wrapText="1"/>
      <protection locked="0"/>
    </xf>
    <xf borderId="0" fillId="0" fontId="17" numFmtId="0"/>
    <xf applyAlignment="0" applyBorder="0" applyNumberFormat="0" applyProtection="0" borderId="0" fillId="4" fontId="18" numFmtId="0"/>
    <xf applyAlignment="0" applyBorder="0" applyFill="0" applyNumberFormat="0" applyProtection="0" borderId="0" fillId="0" fontId="19" numFmtId="0"/>
    <xf applyAlignment="0" applyBorder="0" applyFill="0" borderId="0" fillId="0" fontId="12" numFmtId="177"/>
    <xf applyAlignment="0" applyBorder="0" applyFill="0" borderId="0" fillId="0" fontId="8" numFmtId="178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9" fillId="22" fontId="21" numFmtId="0"/>
    <xf borderId="0" fillId="0" fontId="22" numFmtId="0">
      <alignment vertical="top" wrapText="1"/>
    </xf>
    <xf applyAlignment="0" applyBorder="0" applyFill="0" applyFont="0" applyProtection="0" borderId="0" fillId="0" fontId="23" numFmtId="41"/>
    <xf applyAlignment="0" applyBorder="0" applyFill="0" applyFont="0" applyProtection="0" borderId="0" fillId="0" fontId="23" numFmtId="43"/>
    <xf applyAlignment="0" applyBorder="0" applyFill="0" applyFont="0" applyProtection="0" borderId="0" fillId="0" fontId="23" numFmtId="179"/>
    <xf applyAlignment="0" applyBorder="0" applyFill="0" applyFont="0" applyProtection="0" borderId="0" fillId="0" fontId="23" numFmtId="180"/>
    <xf borderId="0" fillId="0" fontId="24" numFmtId="0">
      <alignment horizontal="left"/>
    </xf>
    <xf applyAlignment="0" applyBorder="0" applyFill="0" applyNumberFormat="0" applyProtection="0" borderId="0" fillId="0" fontId="25" numFmtId="0"/>
    <xf applyAlignment="0" applyBorder="0" applyNumberFormat="0" applyProtection="0" borderId="0" fillId="5" fontId="26" numFmtId="0"/>
    <xf applyAlignment="0" applyBorder="0" applyNumberFormat="0" applyProtection="0" borderId="0" fillId="23" fontId="27" numFmtId="38"/>
    <xf borderId="0" fillId="24" fontId="28" numFmtId="0"/>
    <xf applyAlignment="0" applyNumberFormat="0" applyProtection="0" borderId="10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applyAlignment="0" applyFill="0" applyNumberFormat="0" applyProtection="0" borderId="12" fillId="0" fontId="30" numFmtId="0"/>
    <xf applyAlignment="0" applyFill="0" applyNumberFormat="0" applyProtection="0" borderId="13" fillId="0" fontId="31" numFmtId="0"/>
    <xf applyAlignment="0" applyFill="0" applyNumberFormat="0" applyProtection="0" borderId="14" fillId="0" fontId="32" numFmtId="0"/>
    <xf applyAlignment="0" applyBorder="0" applyFill="0" applyNumberFormat="0" applyProtection="0" borderId="0" fillId="0" fontId="32" numFmtId="0"/>
    <xf applyBorder="0" borderId="0" fillId="0" fontId="8" numFmtId="0"/>
    <xf applyAlignment="0" applyNumberFormat="0" applyProtection="0" borderId="8" fillId="8" fontId="33" numFmtId="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borderId="0" fillId="0" fontId="8" numFmtId="0"/>
    <xf applyAlignment="0" applyFill="0" applyNumberFormat="0" applyProtection="0" borderId="16" fillId="0" fontId="34" numFmtId="0"/>
    <xf applyAlignment="0" applyBorder="0" applyFill="0" applyFont="0" applyProtection="0" borderId="0" fillId="0" fontId="35" numFmtId="38"/>
    <xf applyAlignment="0" applyBorder="0" applyFill="0" applyFont="0" applyProtection="0" borderId="0" fillId="0" fontId="35" numFmtId="40"/>
    <xf applyAlignment="0" applyBorder="0" applyFill="0" applyFont="0" applyProtection="0" borderId="0" fillId="0" fontId="35" numFmtId="181"/>
    <xf applyAlignment="0" applyBorder="0" applyFill="0" applyFont="0" applyProtection="0" borderId="0" fillId="0" fontId="35" numFmtId="182"/>
    <xf applyAlignment="0" applyBorder="0" applyNumberFormat="0" applyProtection="0" borderId="0" fillId="26" fontId="36" numFmtId="0"/>
    <xf borderId="0" fillId="0" fontId="37" numFmtId="37"/>
    <xf borderId="0" fillId="0" fontId="38" numFmtId="183"/>
    <xf borderId="0" fillId="0" fontId="8" numFmtId="184"/>
    <xf borderId="0" fillId="0" fontId="8" numFmtId="184"/>
    <xf borderId="0" fillId="0" fontId="38" numFmtId="183"/>
    <xf borderId="0" fillId="0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borderId="0" fillId="0" fontId="16" numFmtId="14">
      <alignment horizontal="center" wrapText="1"/>
      <protection locked="0"/>
    </xf>
    <xf applyAlignment="0" applyBorder="0" applyFill="0" applyFont="0" applyProtection="0" borderId="0" fillId="0" fontId="23" numFmtId="10"/>
    <xf borderId="0" fillId="0" fontId="24" numFmtId="4">
      <alignment horizontal="right"/>
    </xf>
    <xf applyAlignment="0" applyBorder="0" applyFill="0" applyFont="0" applyNumberFormat="0" applyProtection="0" borderId="0" fillId="0" fontId="40" numFmtId="0">
      <alignment horizontal="left"/>
    </xf>
    <xf borderId="19" fillId="0" fontId="41" numFmtId="0">
      <alignment horizontal="center"/>
    </xf>
    <xf applyAlignment="0" applyBorder="0" applyFill="0" applyFont="0" applyNumberFormat="0" borderId="0" fillId="0" fontId="42" numFmtId="0"/>
    <xf borderId="0" fillId="0" fontId="43" numFmtId="4">
      <alignment horizontal="right"/>
    </xf>
    <xf borderId="0" fillId="0" fontId="44" numFmtId="0">
      <alignment horizontal="left"/>
    </xf>
    <xf borderId="0" fillId="0" fontId="45" numFmtId="0"/>
    <xf borderId="0" fillId="0" fontId="46" numFmtId="0">
      <alignment horizontal="center"/>
    </xf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Border="0" applyFill="0" applyNumberFormat="0" applyProtection="0" borderId="0" fillId="0" fontId="48" numFmtId="0"/>
    <xf applyAlignment="0" applyBorder="0" applyNumberFormat="0" applyProtection="0" borderId="0" fillId="17" fontId="15" numFmtId="0">
      <alignment vertical="center"/>
    </xf>
    <xf applyAlignment="0" applyBorder="0" applyNumberFormat="0" applyProtection="0" borderId="0" fillId="17" fontId="15" numFmtId="0">
      <alignment vertical="center"/>
    </xf>
    <xf applyAlignment="0" applyBorder="0" applyNumberFormat="0" applyProtection="0" borderId="0" fillId="17" fontId="15" numFmtId="0">
      <alignment vertical="center"/>
    </xf>
    <xf applyAlignment="0" applyBorder="0" applyNumberFormat="0" applyProtection="0" borderId="0" fillId="17" fontId="15" numFmtId="0">
      <alignment vertical="center"/>
    </xf>
    <xf applyAlignment="0" applyBorder="0" applyNumberFormat="0" applyProtection="0" borderId="0" fillId="17" fontId="15" numFmtId="0">
      <alignment vertical="center"/>
    </xf>
    <xf applyAlignment="0" applyBorder="0" applyNumberFormat="0" applyProtection="0" borderId="0" fillId="17" fontId="15" numFmtId="0">
      <alignment vertical="center"/>
    </xf>
    <xf applyAlignment="0" applyBorder="0" applyNumberFormat="0" applyProtection="0" borderId="0" fillId="17" fontId="15" numFmtId="0">
      <alignment vertical="center"/>
    </xf>
    <xf applyAlignment="0" applyBorder="0" applyNumberFormat="0" applyProtection="0" borderId="0" fillId="17" fontId="15" numFmtId="0">
      <alignment vertical="center"/>
    </xf>
    <xf applyAlignment="0" applyBorder="0" applyNumberFormat="0" applyProtection="0" borderId="0" fillId="18" fontId="15" numFmtId="0">
      <alignment vertical="center"/>
    </xf>
    <xf applyAlignment="0" applyBorder="0" applyNumberFormat="0" applyProtection="0" borderId="0" fillId="18" fontId="15" numFmtId="0">
      <alignment vertical="center"/>
    </xf>
    <xf applyAlignment="0" applyBorder="0" applyNumberFormat="0" applyProtection="0" borderId="0" fillId="18" fontId="15" numFmtId="0">
      <alignment vertical="center"/>
    </xf>
    <xf applyAlignment="0" applyBorder="0" applyNumberFormat="0" applyProtection="0" borderId="0" fillId="18" fontId="15" numFmtId="0">
      <alignment vertical="center"/>
    </xf>
    <xf applyAlignment="0" applyBorder="0" applyNumberFormat="0" applyProtection="0" borderId="0" fillId="18" fontId="15" numFmtId="0">
      <alignment vertical="center"/>
    </xf>
    <xf applyAlignment="0" applyBorder="0" applyNumberFormat="0" applyProtection="0" borderId="0" fillId="18" fontId="15" numFmtId="0">
      <alignment vertical="center"/>
    </xf>
    <xf applyAlignment="0" applyBorder="0" applyNumberFormat="0" applyProtection="0" borderId="0" fillId="18" fontId="15" numFmtId="0">
      <alignment vertical="center"/>
    </xf>
    <xf applyAlignment="0" applyBorder="0" applyNumberFormat="0" applyProtection="0" borderId="0" fillId="18" fontId="15" numFmtId="0">
      <alignment vertical="center"/>
    </xf>
    <xf applyAlignment="0" applyBorder="0" applyNumberFormat="0" applyProtection="0" borderId="0" fillId="19" fontId="15" numFmtId="0">
      <alignment vertical="center"/>
    </xf>
    <xf applyAlignment="0" applyBorder="0" applyNumberFormat="0" applyProtection="0" borderId="0" fillId="19" fontId="15" numFmtId="0">
      <alignment vertical="center"/>
    </xf>
    <xf applyAlignment="0" applyBorder="0" applyNumberFormat="0" applyProtection="0" borderId="0" fillId="19" fontId="15" numFmtId="0">
      <alignment vertical="center"/>
    </xf>
    <xf applyAlignment="0" applyBorder="0" applyNumberFormat="0" applyProtection="0" borderId="0" fillId="19" fontId="15" numFmtId="0">
      <alignment vertical="center"/>
    </xf>
    <xf applyAlignment="0" applyBorder="0" applyNumberFormat="0" applyProtection="0" borderId="0" fillId="19" fontId="15" numFmtId="0">
      <alignment vertical="center"/>
    </xf>
    <xf applyAlignment="0" applyBorder="0" applyNumberFormat="0" applyProtection="0" borderId="0" fillId="19" fontId="15" numFmtId="0">
      <alignment vertical="center"/>
    </xf>
    <xf applyAlignment="0" applyBorder="0" applyNumberFormat="0" applyProtection="0" borderId="0" fillId="19" fontId="15" numFmtId="0">
      <alignment vertical="center"/>
    </xf>
    <xf applyAlignment="0" applyBorder="0" applyNumberFormat="0" applyProtection="0" borderId="0" fillId="19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20" fontId="15" numFmtId="0">
      <alignment vertical="center"/>
    </xf>
    <xf applyAlignment="0" applyBorder="0" applyNumberFormat="0" applyProtection="0" borderId="0" fillId="20" fontId="15" numFmtId="0">
      <alignment vertical="center"/>
    </xf>
    <xf applyAlignment="0" applyBorder="0" applyNumberFormat="0" applyProtection="0" borderId="0" fillId="20" fontId="15" numFmtId="0">
      <alignment vertical="center"/>
    </xf>
    <xf applyAlignment="0" applyBorder="0" applyNumberFormat="0" applyProtection="0" borderId="0" fillId="20" fontId="15" numFmtId="0">
      <alignment vertical="center"/>
    </xf>
    <xf applyAlignment="0" applyBorder="0" applyNumberFormat="0" applyProtection="0" borderId="0" fillId="20" fontId="15" numFmtId="0">
      <alignment vertical="center"/>
    </xf>
    <xf applyAlignment="0" applyBorder="0" applyNumberFormat="0" applyProtection="0" borderId="0" fillId="20" fontId="15" numFmtId="0">
      <alignment vertical="center"/>
    </xf>
    <xf applyAlignment="0" applyBorder="0" applyNumberFormat="0" applyProtection="0" borderId="0" fillId="20" fontId="15" numFmtId="0">
      <alignment vertical="center"/>
    </xf>
    <xf applyAlignment="0" applyBorder="0" applyNumberFormat="0" applyProtection="0" borderId="0" fillId="20" fontId="15" numFmtId="0">
      <alignment vertical="center"/>
    </xf>
    <xf borderId="0" fillId="0" fontId="49" numFmtId="0">
      <alignment vertical="center"/>
    </xf>
    <xf applyAlignment="0" applyBorder="0" applyFill="0" applyNumberFormat="0" applyProtection="0" borderId="0" fillId="0" fontId="50" numFmtId="0">
      <alignment vertical="center"/>
    </xf>
    <xf applyAlignment="0" applyBorder="0" applyFill="0" applyNumberFormat="0" applyProtection="0" borderId="0" fillId="0" fontId="50" numFmtId="0">
      <alignment vertical="center"/>
    </xf>
    <xf applyAlignment="0" applyBorder="0" applyFill="0" applyNumberFormat="0" applyProtection="0" borderId="0" fillId="0" fontId="50" numFmtId="0">
      <alignment vertical="center"/>
    </xf>
    <xf applyAlignment="0" applyBorder="0" applyFill="0" applyNumberFormat="0" applyProtection="0" borderId="0" fillId="0" fontId="50" numFmtId="0">
      <alignment vertical="center"/>
    </xf>
    <xf applyAlignment="0" applyBorder="0" applyFill="0" applyNumberFormat="0" applyProtection="0" borderId="0" fillId="0" fontId="50" numFmtId="0">
      <alignment vertical="center"/>
    </xf>
    <xf applyAlignment="0" applyBorder="0" applyFill="0" applyNumberFormat="0" applyProtection="0" borderId="0" fillId="0" fontId="50" numFmtId="0">
      <alignment vertical="center"/>
    </xf>
    <xf applyAlignment="0" applyBorder="0" applyFill="0" applyNumberFormat="0" applyProtection="0" borderId="0" fillId="0" fontId="50" numFmtId="0">
      <alignment vertical="center"/>
    </xf>
    <xf applyAlignment="0" applyBorder="0" applyFill="0" applyNumberFormat="0" applyProtection="0" borderId="0" fillId="0" fontId="50" numFmtId="0">
      <alignment vertical="center"/>
    </xf>
    <xf applyAlignment="0" applyNumberFormat="0" applyProtection="0" borderId="9" fillId="22" fontId="51" numFmtId="0">
      <alignment vertical="center"/>
    </xf>
    <xf applyAlignment="0" applyNumberFormat="0" applyProtection="0" borderId="9" fillId="22" fontId="51" numFmtId="0">
      <alignment vertical="center"/>
    </xf>
    <xf applyAlignment="0" applyNumberFormat="0" applyProtection="0" borderId="9" fillId="22" fontId="51" numFmtId="0">
      <alignment vertical="center"/>
    </xf>
    <xf applyAlignment="0" applyNumberFormat="0" applyProtection="0" borderId="9" fillId="22" fontId="51" numFmtId="0">
      <alignment vertical="center"/>
    </xf>
    <xf applyAlignment="0" applyNumberFormat="0" applyProtection="0" borderId="9" fillId="22" fontId="51" numFmtId="0">
      <alignment vertical="center"/>
    </xf>
    <xf applyAlignment="0" applyNumberFormat="0" applyProtection="0" borderId="9" fillId="22" fontId="51" numFmtId="0">
      <alignment vertical="center"/>
    </xf>
    <xf applyAlignment="0" applyNumberFormat="0" applyProtection="0" borderId="9" fillId="22" fontId="51" numFmtId="0">
      <alignment vertical="center"/>
    </xf>
    <xf applyAlignment="0" applyNumberFormat="0" applyProtection="0" borderId="9" fillId="22" fontId="51" numFmtId="0">
      <alignment vertical="center"/>
    </xf>
    <xf borderId="0" fillId="0" fontId="52" numFmtId="0"/>
    <xf applyAlignment="0" applyBorder="0" applyNumberFormat="0" applyProtection="0" borderId="0" fillId="26" fontId="53" numFmtId="0">
      <alignment vertical="center"/>
    </xf>
    <xf applyAlignment="0" applyBorder="0" applyNumberFormat="0" applyProtection="0" borderId="0" fillId="26" fontId="53" numFmtId="0">
      <alignment vertical="center"/>
    </xf>
    <xf applyAlignment="0" applyBorder="0" applyNumberFormat="0" applyProtection="0" borderId="0" fillId="26" fontId="53" numFmtId="0">
      <alignment vertical="center"/>
    </xf>
    <xf applyAlignment="0" applyBorder="0" applyNumberFormat="0" applyProtection="0" borderId="0" fillId="26" fontId="53" numFmtId="0">
      <alignment vertical="center"/>
    </xf>
    <xf applyAlignment="0" applyBorder="0" applyNumberFormat="0" applyProtection="0" borderId="0" fillId="26" fontId="53" numFmtId="0">
      <alignment vertical="center"/>
    </xf>
    <xf applyAlignment="0" applyBorder="0" applyNumberFormat="0" applyProtection="0" borderId="0" fillId="26" fontId="53" numFmtId="0">
      <alignment vertical="center"/>
    </xf>
    <xf applyAlignment="0" applyBorder="0" applyNumberFormat="0" applyProtection="0" borderId="0" fillId="26" fontId="53" numFmtId="0">
      <alignment vertical="center"/>
    </xf>
    <xf applyAlignment="0" applyBorder="0" applyNumberFormat="0" applyProtection="0" borderId="0" fillId="26" fontId="53" numFmtId="0">
      <alignment vertical="center"/>
    </xf>
    <xf applyAlignment="0" applyBorder="0" applyFill="0" applyFont="0" applyProtection="0" borderId="0" fillId="0" fontId="7" numFmtId="9"/>
    <xf applyAlignment="0" applyBorder="0" applyFill="0" applyFont="0" applyProtection="0" borderId="0" fillId="0" fontId="7" numFmtId="9">
      <alignment vertical="center"/>
    </xf>
    <xf applyAlignment="0" applyBorder="0" applyFill="0" applyFont="0" applyProtection="0" borderId="0" fillId="0" fontId="7" numFmtId="9"/>
    <xf applyAlignment="0" applyBorder="0" applyFill="0" applyNumberFormat="0" applyProtection="0" borderId="0" fillId="0" fontId="54" numFmtId="0">
      <alignment vertical="top"/>
      <protection locked="0"/>
    </xf>
    <xf applyAlignment="0" applyBorder="0" applyFill="0" applyNumberFormat="0" applyProtection="0" borderId="0" fillId="0" fontId="55" numFmtId="0">
      <alignment vertical="top"/>
      <protection locked="0"/>
    </xf>
    <xf applyAlignment="0" applyBorder="0" applyFill="0" applyNumberFormat="0" applyProtection="0" borderId="0" fillId="0" fontId="54" numFmtId="0">
      <alignment vertical="top"/>
      <protection locked="0"/>
    </xf>
    <xf applyAlignment="0" applyBorder="0" applyFill="0" applyNumberFormat="0" applyProtection="0" borderId="0" fillId="0" fontId="56" numFmtId="0">
      <alignment vertical="top"/>
      <protection locked="0"/>
    </xf>
    <xf applyAlignment="0" applyFont="0" applyNumberFormat="0" applyProtection="0" borderId="1" fillId="2" fontId="1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ill="0" applyNumberFormat="0" applyProtection="0" borderId="16" fillId="0" fontId="57" numFmtId="0">
      <alignment vertical="center"/>
    </xf>
    <xf applyAlignment="0" applyFill="0" applyNumberFormat="0" applyProtection="0" borderId="16" fillId="0" fontId="57" numFmtId="0">
      <alignment vertical="center"/>
    </xf>
    <xf applyAlignment="0" applyFill="0" applyNumberFormat="0" applyProtection="0" borderId="16" fillId="0" fontId="57" numFmtId="0">
      <alignment vertical="center"/>
    </xf>
    <xf applyAlignment="0" applyFill="0" applyNumberFormat="0" applyProtection="0" borderId="16" fillId="0" fontId="57" numFmtId="0">
      <alignment vertical="center"/>
    </xf>
    <xf applyAlignment="0" applyFill="0" applyNumberFormat="0" applyProtection="0" borderId="16" fillId="0" fontId="57" numFmtId="0">
      <alignment vertical="center"/>
    </xf>
    <xf applyAlignment="0" applyFill="0" applyNumberFormat="0" applyProtection="0" borderId="16" fillId="0" fontId="57" numFmtId="0">
      <alignment vertical="center"/>
    </xf>
    <xf applyAlignment="0" applyFill="0" applyNumberFormat="0" applyProtection="0" borderId="16" fillId="0" fontId="57" numFmtId="0">
      <alignment vertical="center"/>
    </xf>
    <xf applyAlignment="0" applyFill="0" applyNumberFormat="0" applyProtection="0" borderId="16" fillId="0" fontId="57" numFmtId="0">
      <alignment vertical="center"/>
    </xf>
    <xf borderId="0" fillId="0" fontId="58" numFmtId="0"/>
    <xf borderId="0" fillId="0" fontId="58" numFmtId="0"/>
    <xf borderId="0" fillId="0" fontId="58" numFmtId="0"/>
    <xf borderId="0" fillId="0" fontId="58" numFmtId="0"/>
    <xf borderId="0" fillId="0" fontId="58" numFmtId="0"/>
    <xf borderId="0" fillId="0" fontId="58" numFmtId="0"/>
    <xf borderId="0" fillId="0" fontId="58" numFmtId="0"/>
    <xf applyAlignment="0" applyBorder="0" applyNumberFormat="0" applyProtection="0" borderId="0" fillId="4" fontId="59" numFmtId="0">
      <alignment vertical="center"/>
    </xf>
    <xf applyAlignment="0" applyBorder="0" applyNumberFormat="0" applyProtection="0" borderId="0" fillId="4" fontId="59" numFmtId="0">
      <alignment vertical="center"/>
    </xf>
    <xf applyAlignment="0" applyBorder="0" applyNumberFormat="0" applyProtection="0" borderId="0" fillId="4" fontId="59" numFmtId="0">
      <alignment vertical="center"/>
    </xf>
    <xf applyAlignment="0" applyBorder="0" applyNumberFormat="0" applyProtection="0" borderId="0" fillId="4" fontId="59" numFmtId="0">
      <alignment vertical="center"/>
    </xf>
    <xf applyAlignment="0" applyBorder="0" applyNumberFormat="0" applyProtection="0" borderId="0" fillId="4" fontId="59" numFmtId="0">
      <alignment vertical="center"/>
    </xf>
    <xf applyAlignment="0" applyBorder="0" applyNumberFormat="0" applyProtection="0" borderId="0" fillId="4" fontId="59" numFmtId="0">
      <alignment vertical="center"/>
    </xf>
    <xf applyAlignment="0" applyBorder="0" applyNumberFormat="0" applyProtection="0" borderId="0" fillId="4" fontId="59" numFmtId="0">
      <alignment vertical="center"/>
    </xf>
    <xf applyAlignment="0" applyBorder="0" applyNumberFormat="0" applyProtection="0" borderId="0" fillId="4" fontId="59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Font="0" applyProtection="0" borderId="0" fillId="0" fontId="23" numFmtId="43"/>
    <xf applyAlignment="0" applyBorder="0" applyFill="0" applyFont="0" applyProtection="0" borderId="0" fillId="0" fontId="62" numFmtId="38"/>
    <xf applyAlignment="0" applyBorder="0" applyFill="0" applyFont="0" applyProtection="0" borderId="0" fillId="0" fontId="7" numFmtId="38"/>
    <xf applyAlignment="0" applyBorder="0" applyFill="0" applyFont="0" applyProtection="0" borderId="0" fillId="0" fontId="63" numFmtId="38">
      <alignment vertical="center"/>
    </xf>
    <xf applyAlignment="0" applyBorder="0" applyFill="0" applyFont="0" applyProtection="0" borderId="0" fillId="0" fontId="64" numFmtId="38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64" numFmtId="38"/>
    <xf applyAlignment="0" applyBorder="0" applyFill="0" applyFont="0" applyProtection="0" borderId="0" fillId="0" fontId="7" numFmtId="38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23" numFmtId="185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65" numFmtId="38">
      <alignment vertical="center"/>
    </xf>
    <xf applyAlignment="0" applyBorder="0" applyFill="0" applyFont="0" applyProtection="0" borderId="0" fillId="0" fontId="65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65" numFmtId="38">
      <alignment vertical="center"/>
    </xf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65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65" numFmtId="38">
      <alignment vertical="center"/>
    </xf>
    <xf applyAlignment="0" applyBorder="0" applyFill="0" applyFont="0" applyProtection="0" borderId="0" fillId="0" fontId="7" numFmtId="38"/>
    <xf applyAlignment="0" applyFill="0" applyNumberFormat="0" applyProtection="0" borderId="12" fillId="0" fontId="66" numFmtId="0">
      <alignment vertical="center"/>
    </xf>
    <xf applyAlignment="0" applyFill="0" applyNumberFormat="0" applyProtection="0" borderId="12" fillId="0" fontId="66" numFmtId="0">
      <alignment vertical="center"/>
    </xf>
    <xf applyAlignment="0" applyFill="0" applyNumberFormat="0" applyProtection="0" borderId="12" fillId="0" fontId="66" numFmtId="0">
      <alignment vertical="center"/>
    </xf>
    <xf applyAlignment="0" applyFill="0" applyNumberFormat="0" applyProtection="0" borderId="12" fillId="0" fontId="66" numFmtId="0">
      <alignment vertical="center"/>
    </xf>
    <xf applyAlignment="0" applyFill="0" applyNumberFormat="0" applyProtection="0" borderId="12" fillId="0" fontId="66" numFmtId="0">
      <alignment vertical="center"/>
    </xf>
    <xf applyAlignment="0" applyFill="0" applyNumberFormat="0" applyProtection="0" borderId="12" fillId="0" fontId="66" numFmtId="0">
      <alignment vertical="center"/>
    </xf>
    <xf applyAlignment="0" applyFill="0" applyNumberFormat="0" applyProtection="0" borderId="12" fillId="0" fontId="66" numFmtId="0">
      <alignment vertical="center"/>
    </xf>
    <xf applyAlignment="0" applyFill="0" applyNumberFormat="0" applyProtection="0" borderId="12" fillId="0" fontId="66" numFmtId="0">
      <alignment vertical="center"/>
    </xf>
    <xf applyAlignment="0" applyFill="0" applyNumberFormat="0" applyProtection="0" borderId="13" fillId="0" fontId="67" numFmtId="0">
      <alignment vertical="center"/>
    </xf>
    <xf applyAlignment="0" applyFill="0" applyNumberFormat="0" applyProtection="0" borderId="13" fillId="0" fontId="67" numFmtId="0">
      <alignment vertical="center"/>
    </xf>
    <xf applyAlignment="0" applyFill="0" applyNumberFormat="0" applyProtection="0" borderId="13" fillId="0" fontId="67" numFmtId="0">
      <alignment vertical="center"/>
    </xf>
    <xf applyAlignment="0" applyFill="0" applyNumberFormat="0" applyProtection="0" borderId="13" fillId="0" fontId="67" numFmtId="0">
      <alignment vertical="center"/>
    </xf>
    <xf applyAlignment="0" applyFill="0" applyNumberFormat="0" applyProtection="0" borderId="13" fillId="0" fontId="67" numFmtId="0">
      <alignment vertical="center"/>
    </xf>
    <xf applyAlignment="0" applyFill="0" applyNumberFormat="0" applyProtection="0" borderId="13" fillId="0" fontId="67" numFmtId="0">
      <alignment vertical="center"/>
    </xf>
    <xf applyAlignment="0" applyFill="0" applyNumberFormat="0" applyProtection="0" borderId="13" fillId="0" fontId="67" numFmtId="0">
      <alignment vertical="center"/>
    </xf>
    <xf applyAlignment="0" applyFill="0" applyNumberFormat="0" applyProtection="0" borderId="13" fillId="0" fontId="67" numFmtId="0">
      <alignment vertical="center"/>
    </xf>
    <xf applyAlignment="0" applyFill="0" applyNumberFormat="0" applyProtection="0" borderId="14" fillId="0" fontId="68" numFmtId="0">
      <alignment vertical="center"/>
    </xf>
    <xf applyAlignment="0" applyFill="0" applyNumberFormat="0" applyProtection="0" borderId="14" fillId="0" fontId="68" numFmtId="0">
      <alignment vertical="center"/>
    </xf>
    <xf applyAlignment="0" applyFill="0" applyNumberFormat="0" applyProtection="0" borderId="14" fillId="0" fontId="68" numFmtId="0">
      <alignment vertical="center"/>
    </xf>
    <xf applyAlignment="0" applyFill="0" applyNumberFormat="0" applyProtection="0" borderId="14" fillId="0" fontId="68" numFmtId="0">
      <alignment vertical="center"/>
    </xf>
    <xf applyAlignment="0" applyFill="0" applyNumberFormat="0" applyProtection="0" borderId="14" fillId="0" fontId="68" numFmtId="0">
      <alignment vertical="center"/>
    </xf>
    <xf applyAlignment="0" applyFill="0" applyNumberFormat="0" applyProtection="0" borderId="14" fillId="0" fontId="68" numFmtId="0">
      <alignment vertical="center"/>
    </xf>
    <xf applyAlignment="0" applyFill="0" applyNumberFormat="0" applyProtection="0" borderId="14" fillId="0" fontId="68" numFmtId="0">
      <alignment vertical="center"/>
    </xf>
    <xf applyAlignment="0" applyFill="0" applyNumberFormat="0" applyProtection="0" borderId="14" fillId="0" fontId="68" numFmtId="0">
      <alignment vertical="center"/>
    </xf>
    <xf applyAlignment="0" applyBorder="0" applyFill="0" applyNumberFormat="0" applyProtection="0" borderId="0" fillId="0" fontId="68" numFmtId="0">
      <alignment vertical="center"/>
    </xf>
    <xf applyAlignment="0" applyBorder="0" applyFill="0" applyNumberFormat="0" applyProtection="0" borderId="0" fillId="0" fontId="68" numFmtId="0">
      <alignment vertical="center"/>
    </xf>
    <xf applyAlignment="0" applyBorder="0" applyFill="0" applyNumberFormat="0" applyProtection="0" borderId="0" fillId="0" fontId="68" numFmtId="0">
      <alignment vertical="center"/>
    </xf>
    <xf applyAlignment="0" applyBorder="0" applyFill="0" applyNumberFormat="0" applyProtection="0" borderId="0" fillId="0" fontId="68" numFmtId="0">
      <alignment vertical="center"/>
    </xf>
    <xf applyAlignment="0" applyBorder="0" applyFill="0" applyNumberFormat="0" applyProtection="0" borderId="0" fillId="0" fontId="68" numFmtId="0">
      <alignment vertical="center"/>
    </xf>
    <xf applyAlignment="0" applyBorder="0" applyFill="0" applyNumberFormat="0" applyProtection="0" borderId="0" fillId="0" fontId="68" numFmtId="0">
      <alignment vertical="center"/>
    </xf>
    <xf applyAlignment="0" applyBorder="0" applyFill="0" applyNumberFormat="0" applyProtection="0" borderId="0" fillId="0" fontId="68" numFmtId="0">
      <alignment vertical="center"/>
    </xf>
    <xf applyAlignment="0" applyBorder="0" applyFill="0" applyNumberFormat="0" applyProtection="0" borderId="0" fillId="0" fontId="68" numFmtId="0">
      <alignment vertical="center"/>
    </xf>
    <xf borderId="0" fillId="0" fontId="69" numFmtId="0"/>
    <xf applyBorder="0" applyFill="0" applyNumberFormat="0" applyProtection="0" borderId="21" fillId="28" fontId="70" numFmtId="49"/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borderId="0" fillId="0" fontId="58" numFmtId="186"/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Font="0" applyProtection="0" borderId="0" fillId="0" fontId="23" numFmtId="187"/>
    <xf applyAlignment="0" applyBorder="0" applyFill="0" applyFont="0" applyProtection="0" borderId="0" fillId="0" fontId="23" numFmtId="18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7" numFmtId="6"/>
    <xf applyAlignment="0" applyBorder="0" applyFill="0" applyFont="0" applyProtection="0" borderId="0" fillId="0" fontId="65" numFmtId="6">
      <alignment vertical="center"/>
    </xf>
    <xf applyAlignment="0" applyBorder="0" applyFill="0" applyFont="0" applyProtection="0" borderId="0" fillId="0" fontId="74" numFmtId="6">
      <alignment vertical="center"/>
    </xf>
    <xf applyAlignment="0" applyBorder="0" applyFill="0" applyFont="0" applyProtection="0" borderId="0" fillId="0" fontId="65" numFmtId="6">
      <alignment vertical="center"/>
    </xf>
    <xf applyAlignment="0" applyBorder="0" applyFill="0" applyFont="0" applyProtection="0" borderId="0" fillId="0" fontId="65" numFmtId="6">
      <alignment vertical="center"/>
    </xf>
    <xf applyAlignment="0" applyBorder="0" applyFill="0" applyFont="0" applyProtection="0" borderId="0" fillId="0" fontId="7" numFmtId="6"/>
    <xf applyAlignment="0" applyBorder="0" applyFill="0" applyFont="0" applyProtection="0" borderId="0" fillId="0" fontId="8" numFmtId="6">
      <alignment vertical="center"/>
    </xf>
    <xf applyAlignment="0" applyBorder="0" applyFill="0" applyFont="0" applyProtection="0" borderId="0" fillId="0" fontId="7" numFmtId="6"/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borderId="0" fillId="0" fontId="76" numFmtId="0">
      <alignment vertical="center"/>
    </xf>
    <xf borderId="0" fillId="0" fontId="76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8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7" numFmtId="0">
      <alignment vertical="center"/>
    </xf>
    <xf borderId="0" fillId="0" fontId="7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3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5" numFmtId="0"/>
    <xf borderId="0" fillId="0" fontId="63" numFmtId="0">
      <alignment vertical="center"/>
    </xf>
    <xf borderId="0" fillId="0" fontId="5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65" numFmtId="0">
      <alignment vertical="center"/>
    </xf>
    <xf borderId="0" fillId="0" fontId="7" numFmtId="0"/>
    <xf borderId="0" fillId="0" fontId="78" numFmtId="0">
      <alignment vertical="center"/>
    </xf>
    <xf borderId="0" fillId="0" fontId="65" numFmtId="0">
      <alignment vertical="center"/>
    </xf>
    <xf borderId="0" fillId="0" fontId="7" numFmtId="0"/>
    <xf borderId="0" fillId="0" fontId="7" numFmtId="0"/>
    <xf borderId="0" fillId="0" fontId="7" numFmtId="0"/>
    <xf borderId="0" fillId="0" fontId="1" numFmtId="0">
      <alignment vertical="center"/>
    </xf>
    <xf borderId="0" fillId="0" fontId="79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13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/>
    <xf borderId="0" fillId="0" fontId="6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/>
    <xf borderId="0" fillId="0" fontId="65" numFmtId="0"/>
    <xf borderId="0" fillId="0" fontId="65" numFmtId="0">
      <alignment vertical="center"/>
    </xf>
    <xf borderId="0" fillId="0" fontId="80" numFmtId="0">
      <alignment vertical="center"/>
    </xf>
    <xf borderId="0" fillId="0" fontId="65" numFmtId="0"/>
    <xf borderId="0" fillId="0" fontId="80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8" numFmtId="0">
      <alignment vertical="center"/>
    </xf>
    <xf borderId="0" fillId="0" fontId="7" numFmtId="0">
      <alignment vertical="center"/>
    </xf>
    <xf borderId="0" fillId="0" fontId="7" numFmtId="0"/>
    <xf borderId="0" fillId="0" fontId="81" numFmtId="0">
      <alignment vertical="center"/>
    </xf>
    <xf borderId="0" fillId="0" fontId="7" numFmtId="0"/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5" numFmtId="0"/>
    <xf borderId="0" fillId="0" fontId="65" numFmtId="0">
      <alignment vertical="center"/>
    </xf>
    <xf borderId="0" fillId="0" fontId="65" numFmtId="0">
      <alignment vertical="center"/>
    </xf>
    <xf borderId="0" fillId="0" fontId="5" numFmtId="0"/>
    <xf borderId="0" fillId="0" fontId="63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/>
    <xf borderId="0" fillId="0" fontId="65" numFmtId="0">
      <alignment vertical="center"/>
    </xf>
    <xf borderId="0" fillId="0" fontId="7" numFmtId="0"/>
    <xf borderId="0" fillId="0" fontId="8" numFmtId="0">
      <alignment vertical="center"/>
    </xf>
    <xf borderId="0" fillId="0" fontId="82" numFmtId="0"/>
    <xf borderId="0" fillId="0" fontId="65" numFmtId="0"/>
    <xf borderId="0" fillId="0" fontId="8" numFmtId="0">
      <alignment vertical="center"/>
    </xf>
    <xf borderId="0" fillId="0" fontId="65" numFmtId="0">
      <alignment vertical="center"/>
    </xf>
    <xf borderId="0" fillId="0" fontId="65" numFmtId="0"/>
    <xf borderId="0" fillId="0" fontId="7" numFmtId="0">
      <alignment vertical="center"/>
    </xf>
    <xf borderId="0" fillId="0" fontId="8" numFmtId="0">
      <alignment vertical="center"/>
    </xf>
    <xf borderId="0" fillId="0" fontId="65" numFmtId="0">
      <alignment vertical="center"/>
    </xf>
    <xf borderId="0" fillId="0" fontId="8" numFmtId="0">
      <alignment vertical="center"/>
    </xf>
    <xf borderId="0" fillId="0" fontId="76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5" numFmtId="0"/>
    <xf borderId="0" fillId="0" fontId="78" numFmtId="0">
      <alignment vertical="center"/>
    </xf>
    <xf borderId="0" fillId="0" fontId="5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8" numFmtId="0">
      <alignment vertical="center"/>
    </xf>
    <xf borderId="0" fillId="0" fontId="7" numFmtId="0"/>
    <xf borderId="0" fillId="0" fontId="7" numFmtId="0"/>
    <xf borderId="0" fillId="0" fontId="13" numFmtId="0">
      <alignment vertical="center"/>
    </xf>
    <xf borderId="0" fillId="0" fontId="7" numFmtId="0"/>
    <xf borderId="0" fillId="0" fontId="65" numFmtId="0">
      <alignment vertical="center"/>
    </xf>
    <xf borderId="0" fillId="0" fontId="7" numFmtId="0"/>
    <xf borderId="0" fillId="0" fontId="65" numFmtId="0"/>
    <xf borderId="0" fillId="0" fontId="65" numFmtId="0"/>
    <xf borderId="0" fillId="0" fontId="7" numFmtId="0"/>
    <xf borderId="0" fillId="0" fontId="7" numFmtId="0">
      <alignment vertical="center"/>
    </xf>
    <xf borderId="0" fillId="0" fontId="63" numFmtId="0">
      <alignment vertical="center"/>
    </xf>
    <xf borderId="0" fillId="0" fontId="82" numFmtId="0"/>
    <xf borderId="0" fillId="0" fontId="63" numFmtId="0">
      <alignment vertical="center"/>
    </xf>
    <xf borderId="0" fillId="0" fontId="7" numFmtId="0"/>
    <xf borderId="0" fillId="0" fontId="7" numFmtId="0">
      <alignment vertical="center"/>
    </xf>
    <xf borderId="0" fillId="0" fontId="82" numFmtId="0"/>
    <xf borderId="0" fillId="0" fontId="7" numFmtId="0"/>
    <xf borderId="0" fillId="0" fontId="7" numFmtId="0"/>
    <xf borderId="0" fillId="0" fontId="82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82" numFmtId="0"/>
    <xf borderId="0" fillId="0" fontId="82" numFmtId="0"/>
    <xf borderId="0" fillId="0" fontId="7" numFmtId="0"/>
    <xf borderId="0" fillId="0" fontId="82" numFmtId="0"/>
    <xf borderId="0" fillId="0" fontId="13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83" numFmtId="0">
      <alignment vertical="center"/>
    </xf>
    <xf borderId="0" fillId="0" fontId="7" numFmtId="0"/>
    <xf borderId="0" fillId="0" fontId="7" numFmtId="0"/>
    <xf borderId="0" fillId="0" fontId="65" numFmtId="0"/>
    <xf borderId="0" fillId="0" fontId="65" numFmtId="0"/>
    <xf borderId="0" fillId="0" fontId="7" numFmtId="0"/>
    <xf borderId="0" fillId="0" fontId="7" numFmtId="0"/>
    <xf borderId="0" fillId="0" fontId="8" numFmtId="0">
      <alignment vertical="center"/>
    </xf>
    <xf borderId="0" fillId="0" fontId="7" numFmtId="0"/>
    <xf borderId="0" fillId="0" fontId="7" numFmtId="0"/>
    <xf borderId="0" fillId="0" fontId="65" numFmtId="0">
      <alignment vertical="center"/>
    </xf>
    <xf borderId="0" fillId="0" fontId="7" numFmtId="0"/>
    <xf borderId="0" fillId="0" fontId="7" numFmtId="0"/>
    <xf borderId="0" fillId="0" fontId="65" numFmtId="0">
      <alignment vertical="center"/>
    </xf>
    <xf borderId="0" fillId="0" fontId="7" numFmtId="0"/>
    <xf borderId="0" fillId="0" fontId="7" numFmtId="0"/>
    <xf borderId="0" fillId="0" fontId="65" numFmtId="0">
      <alignment vertical="center"/>
    </xf>
    <xf borderId="0" fillId="0" fontId="7" numFmtId="0"/>
    <xf borderId="0" fillId="0" fontId="7" numFmtId="0"/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65" numFmtId="0">
      <alignment vertical="center"/>
    </xf>
    <xf borderId="0" fillId="0" fontId="65" numFmtId="0">
      <alignment vertical="center"/>
    </xf>
    <xf borderId="0" fillId="0" fontId="63" numFmtId="0"/>
    <xf borderId="0" fillId="0" fontId="7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84" numFmtId="0">
      <alignment vertical="center"/>
    </xf>
    <xf borderId="0" fillId="0" fontId="65" numFmtId="0">
      <alignment vertical="center"/>
    </xf>
    <xf borderId="0" fillId="0" fontId="13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8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81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86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1" numFmtId="0">
      <alignment vertical="center"/>
    </xf>
    <xf borderId="0" fillId="0" fontId="86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86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7" numFmtId="0"/>
    <xf borderId="0" fillId="0" fontId="7" numFmtId="0"/>
    <xf borderId="0" fillId="0" fontId="65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65" numFmtId="0">
      <alignment vertical="center"/>
    </xf>
    <xf borderId="0" fillId="0" fontId="65" numFmtId="0">
      <alignment vertical="center"/>
    </xf>
    <xf borderId="0" fillId="0" fontId="7" numFmtId="0"/>
    <xf borderId="0" fillId="0" fontId="65" numFmtId="0">
      <alignment vertical="center"/>
    </xf>
    <xf borderId="0" fillId="0" fontId="7" numFmtId="0"/>
    <xf borderId="0" fillId="0" fontId="7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81" numFmtId="0">
      <alignment vertical="center"/>
    </xf>
    <xf borderId="0" fillId="0" fontId="7" numFmtId="0"/>
    <xf borderId="0" fillId="0" fontId="7" numFmtId="0">
      <alignment vertical="center"/>
    </xf>
    <xf borderId="0" fillId="0" fontId="81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86" numFmtId="0">
      <alignment vertical="center"/>
    </xf>
    <xf borderId="0" fillId="0" fontId="86" numFmtId="0">
      <alignment vertical="center"/>
    </xf>
    <xf borderId="0" fillId="0" fontId="7" numFmtId="0">
      <alignment vertical="center"/>
    </xf>
    <xf borderId="0" fillId="0" fontId="86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5" numFmtId="0"/>
    <xf borderId="0" fillId="0" fontId="86" numFmtId="0">
      <alignment vertical="center"/>
    </xf>
    <xf borderId="0" fillId="0" fontId="5" numFmtId="0"/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13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13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87" numFmtId="0"/>
    <xf borderId="0" fillId="0" fontId="88" numFmtId="0"/>
    <xf borderId="0" fillId="0" fontId="52" numFmtId="0"/>
    <xf applyBorder="0" applyFill="0" borderId="0" fillId="0" fontId="76" numFmtId="49"/>
    <xf borderId="0" fillId="0" fontId="89" numFmtId="189"/>
    <xf borderId="0" fillId="0" fontId="90" numFmtId="0"/>
    <xf borderId="0" fillId="0" fontId="91" numFmtId="0"/>
    <xf borderId="0" fillId="0" fontId="90" numFmtId="0"/>
    <xf applyAlignment="0" applyBorder="0" applyNumberFormat="0" applyProtection="0" borderId="0" fillId="5" fontId="92" numFmtId="0">
      <alignment vertical="center"/>
    </xf>
    <xf applyAlignment="0" applyBorder="0" applyNumberFormat="0" applyProtection="0" borderId="0" fillId="5" fontId="92" numFmtId="0">
      <alignment vertical="center"/>
    </xf>
    <xf applyAlignment="0" applyBorder="0" applyNumberFormat="0" applyProtection="0" borderId="0" fillId="5" fontId="92" numFmtId="0">
      <alignment vertical="center"/>
    </xf>
    <xf applyAlignment="0" applyBorder="0" applyNumberFormat="0" applyProtection="0" borderId="0" fillId="5" fontId="92" numFmtId="0">
      <alignment vertical="center"/>
    </xf>
    <xf applyAlignment="0" applyBorder="0" applyNumberFormat="0" applyProtection="0" borderId="0" fillId="5" fontId="92" numFmtId="0">
      <alignment vertical="center"/>
    </xf>
    <xf applyAlignment="0" applyBorder="0" applyNumberFormat="0" applyProtection="0" borderId="0" fillId="5" fontId="92" numFmtId="0">
      <alignment vertical="center"/>
    </xf>
    <xf applyAlignment="0" applyBorder="0" applyNumberFormat="0" applyProtection="0" borderId="0" fillId="5" fontId="92" numFmtId="0">
      <alignment vertical="center"/>
    </xf>
    <xf applyAlignment="0" applyBorder="0" applyNumberFormat="0" applyProtection="0" borderId="0" fillId="5" fontId="92" numFmtId="0">
      <alignment vertical="center"/>
    </xf>
    <xf borderId="0" fillId="0" fontId="7" numFmtId="0"/>
  </cellStyleXfs>
  <cellXfs count="18">
    <xf borderId="0" fillId="0" fontId="0" numFmtId="0" xfId="0"/>
    <xf applyFont="1" borderId="0" fillId="0" fontId="6" numFmtId="0" xfId="1">
      <alignment vertical="center"/>
    </xf>
    <xf applyAlignment="1" applyBorder="1" applyFont="1" applyNumberFormat="1" borderId="7" fillId="0" fontId="8" numFmtId="176" quotePrefix="1" xfId="1">
      <alignment horizontal="right" vertical="top" wrapText="1"/>
    </xf>
    <xf applyFont="1" borderId="0" fillId="0" fontId="5" numFmtId="0" xfId="1">
      <alignment vertical="center"/>
    </xf>
    <xf applyFill="1" applyFont="1" borderId="0" fillId="0" fontId="5" numFmtId="0" xfId="1">
      <alignment vertical="center"/>
    </xf>
    <xf applyAlignment="1" applyBorder="1" applyFill="1" applyFont="1" applyNumberFormat="1" borderId="2" fillId="0" fontId="8" numFmtId="0" xfId="1">
      <alignment vertical="center" wrapText="1"/>
    </xf>
    <xf applyAlignment="1" applyFill="1" applyFont="1" borderId="0" fillId="0" fontId="8" numFmtId="0" xfId="1">
      <alignment horizontal="right" vertical="center"/>
    </xf>
    <xf applyAlignment="1" applyBorder="1" applyFill="1" applyFont="1" applyNumberFormat="1" borderId="3" fillId="0" fontId="8" numFmtId="0" xfId="1">
      <alignment horizontal="center" vertical="center" wrapText="1"/>
    </xf>
    <xf applyAlignment="1" applyBorder="1" applyFont="1" applyNumberFormat="1" borderId="3" fillId="0" fontId="8" numFmtId="49" xfId="1">
      <alignment horizontal="right" vertical="top" wrapText="1"/>
    </xf>
    <xf applyAlignment="1" applyBorder="1" applyFont="1" applyNumberFormat="1" borderId="3" fillId="0" fontId="8" numFmtId="49" xfId="1">
      <alignment horizontal="left" vertical="top" wrapText="1"/>
    </xf>
    <xf applyAlignment="1" applyBorder="1" applyFont="1" applyNumberFormat="1" borderId="6" fillId="0" fontId="8" numFmtId="49" xfId="1">
      <alignment horizontal="center" vertical="top" wrapText="1"/>
    </xf>
    <xf applyAlignment="1" applyBorder="1" applyFill="1" applyFont="1" applyNumberFormat="1" borderId="2" fillId="0" fontId="93" numFmtId="0" xfId="0">
      <alignment vertical="center"/>
    </xf>
    <xf applyAlignment="1" applyBorder="1" applyFill="1" applyFont="1" applyNumberFormat="1" borderId="3" fillId="0" fontId="8" numFmtId="0" xfId="1">
      <alignment horizontal="center" vertical="center" wrapText="1"/>
    </xf>
    <xf applyAlignment="1" applyBorder="1" applyFill="1" applyFont="1" applyNumberFormat="1" borderId="6" fillId="0" fontId="8" numFmtId="0" xfId="1">
      <alignment horizontal="center" vertical="center" wrapText="1"/>
    </xf>
    <xf applyAlignment="1" applyBorder="1" applyFill="1" applyFont="1" applyNumberFormat="1" borderId="7" fillId="0" fontId="8" numFmtId="0" xfId="1">
      <alignment horizontal="center" vertical="center" wrapText="1"/>
    </xf>
    <xf applyAlignment="1" applyFill="1" applyFont="1" applyNumberFormat="1" borderId="0" fillId="0" fontId="3" numFmtId="0" xfId="1">
      <alignment horizontal="left" vertical="center" wrapText="1"/>
    </xf>
    <xf applyAlignment="1" applyBorder="1" applyFill="1" applyFont="1" applyNumberFormat="1" borderId="4" fillId="0" fontId="8" numFmtId="0" xfId="1">
      <alignment horizontal="center" vertical="center" wrapText="1"/>
    </xf>
    <xf applyAlignment="1" applyBorder="1" applyFill="1" applyFont="1" applyNumberFormat="1" borderId="5" fillId="0" fontId="8" numFmtId="0" xfId="1">
      <alignment horizontal="center" vertical="center" wrapText="1"/>
    </xf>
  </cellXfs>
  <cellStyles count="1940">
    <cellStyle name="_x000c_ーセン_x000c_" xfId="2"/>
    <cellStyle name="_x000d__x000a_JournalTemplate=C:\COMFO\CTALK\JOURSTD.TPL_x000d__x000a_LbStateAddress=3 3 0 251 1 89 2 311_x000d__x000a_LbStateJou" xfId="3"/>
    <cellStyle name="0,0_x000d__x000a_NA_x000d__x000a_" xfId="4"/>
    <cellStyle name="20% - Accent1" xfId="5"/>
    <cellStyle name="20% - Accent2" xfId="6"/>
    <cellStyle name="20% - Accent3" xfId="7"/>
    <cellStyle name="20% - Accent4" xfId="8"/>
    <cellStyle name="20% - Accent5" xfId="9"/>
    <cellStyle name="20% - Accent6" xfId="10"/>
    <cellStyle name="20% - アクセント 1 2" xfId="11"/>
    <cellStyle name="20% - アクセント 1 3" xfId="12"/>
    <cellStyle name="20% - アクセント 1 4" xfId="13"/>
    <cellStyle name="20% - アクセント 1 5" xfId="14"/>
    <cellStyle name="20% - アクセント 1 6" xfId="15"/>
    <cellStyle name="20% - アクセント 1 7" xfId="16"/>
    <cellStyle name="20% - アクセント 1 8" xfId="17"/>
    <cellStyle name="20% - アクセント 1 9" xfId="18"/>
    <cellStyle name="20% - アクセント 2 2" xfId="19"/>
    <cellStyle name="20% - アクセント 2 3" xfId="20"/>
    <cellStyle name="20% - アクセント 2 4" xfId="21"/>
    <cellStyle name="20% - アクセント 2 5" xfId="22"/>
    <cellStyle name="20% - アクセント 2 6" xfId="23"/>
    <cellStyle name="20% - アクセント 2 7" xfId="24"/>
    <cellStyle name="20% - アクセント 2 8" xfId="25"/>
    <cellStyle name="20% - アクセント 2 9" xfId="26"/>
    <cellStyle name="20% - アクセント 3 2" xfId="27"/>
    <cellStyle name="20% - アクセント 3 3" xfId="28"/>
    <cellStyle name="20% - アクセント 3 4" xfId="29"/>
    <cellStyle name="20% - アクセント 3 5" xfId="30"/>
    <cellStyle name="20% - アクセント 3 6" xfId="31"/>
    <cellStyle name="20% - アクセント 3 7" xfId="32"/>
    <cellStyle name="20% - アクセント 3 8" xfId="33"/>
    <cellStyle name="20% - アクセント 3 9" xfId="34"/>
    <cellStyle name="20% - アクセント 4 2" xfId="35"/>
    <cellStyle name="20% - アクセント 4 3" xfId="36"/>
    <cellStyle name="20% - アクセント 4 4" xfId="37"/>
    <cellStyle name="20% - アクセント 4 5" xfId="38"/>
    <cellStyle name="20% - アクセント 4 6" xfId="39"/>
    <cellStyle name="20% - アクセント 4 7" xfId="40"/>
    <cellStyle name="20% - アクセント 4 8" xfId="41"/>
    <cellStyle name="20% - アクセント 4 9" xfId="42"/>
    <cellStyle name="20% - アクセント 5 2" xfId="43"/>
    <cellStyle name="20% - アクセント 5 3" xfId="44"/>
    <cellStyle name="20% - アクセント 5 4" xfId="45"/>
    <cellStyle name="20% - アクセント 5 5" xfId="46"/>
    <cellStyle name="20% - アクセント 5 6" xfId="47"/>
    <cellStyle name="20% - アクセント 5 7" xfId="48"/>
    <cellStyle name="20% - アクセント 5 8" xfId="49"/>
    <cellStyle name="20% - アクセント 5 9" xfId="50"/>
    <cellStyle name="20% - アクセント 6 2" xfId="51"/>
    <cellStyle name="20% - アクセント 6 3" xfId="52"/>
    <cellStyle name="20% - アクセント 6 4" xfId="53"/>
    <cellStyle name="20% - アクセント 6 5" xfId="54"/>
    <cellStyle name="20% - アクセント 6 6" xfId="55"/>
    <cellStyle name="20% - アクセント 6 7" xfId="56"/>
    <cellStyle name="20% - アクセント 6 8" xfId="57"/>
    <cellStyle name="20% - アクセント 6 9" xfId="58"/>
    <cellStyle name="40% - Accent1" xfId="59"/>
    <cellStyle name="40% - Accent2" xfId="60"/>
    <cellStyle name="40% - Accent3" xfId="61"/>
    <cellStyle name="40% - Accent4" xfId="62"/>
    <cellStyle name="40% - Accent5" xfId="63"/>
    <cellStyle name="40% - Accent6" xfId="64"/>
    <cellStyle name="40% - アクセント 1 2" xfId="65"/>
    <cellStyle name="40% - アクセント 1 3" xfId="66"/>
    <cellStyle name="40% - アクセント 1 4" xfId="67"/>
    <cellStyle name="40% - アクセント 1 5" xfId="68"/>
    <cellStyle name="40% - アクセント 1 6" xfId="69"/>
    <cellStyle name="40% - アクセント 1 7" xfId="70"/>
    <cellStyle name="40% - アクセント 1 8" xfId="71"/>
    <cellStyle name="40% - アクセント 1 9" xfId="72"/>
    <cellStyle name="40% - アクセント 2 2" xfId="73"/>
    <cellStyle name="40% - アクセント 2 3" xfId="74"/>
    <cellStyle name="40% - アクセント 2 4" xfId="75"/>
    <cellStyle name="40% - アクセント 2 5" xfId="76"/>
    <cellStyle name="40% - アクセント 2 6" xfId="77"/>
    <cellStyle name="40% - アクセント 2 7" xfId="78"/>
    <cellStyle name="40% - アクセント 2 8" xfId="79"/>
    <cellStyle name="40% - アクセント 2 9" xfId="80"/>
    <cellStyle name="40% - アクセント 3 2" xfId="81"/>
    <cellStyle name="40% - アクセント 3 3" xfId="82"/>
    <cellStyle name="40% - アクセント 3 4" xfId="83"/>
    <cellStyle name="40% - アクセント 3 5" xfId="84"/>
    <cellStyle name="40% - アクセント 3 6" xfId="85"/>
    <cellStyle name="40% - アクセント 3 7" xfId="86"/>
    <cellStyle name="40% - アクセント 3 8" xfId="87"/>
    <cellStyle name="40% - アクセント 3 9" xfId="88"/>
    <cellStyle name="40% - アクセント 4 2" xfId="89"/>
    <cellStyle name="40% - アクセント 4 3" xfId="90"/>
    <cellStyle name="40% - アクセント 4 4" xfId="91"/>
    <cellStyle name="40% - アクセント 4 5" xfId="92"/>
    <cellStyle name="40% - アクセント 4 6" xfId="93"/>
    <cellStyle name="40% - アクセント 4 7" xfId="94"/>
    <cellStyle name="40% - アクセント 4 8" xfId="95"/>
    <cellStyle name="40% - アクセント 4 9" xfId="96"/>
    <cellStyle name="40% - アクセント 5 2" xfId="97"/>
    <cellStyle name="40% - アクセント 5 3" xfId="98"/>
    <cellStyle name="40% - アクセント 5 4" xfId="99"/>
    <cellStyle name="40% - アクセント 5 5" xfId="100"/>
    <cellStyle name="40% - アクセント 5 6" xfId="101"/>
    <cellStyle name="40% - アクセント 5 7" xfId="102"/>
    <cellStyle name="40% - アクセント 5 8" xfId="103"/>
    <cellStyle name="40% - アクセント 5 9" xfId="104"/>
    <cellStyle name="40% - アクセント 6 2" xfId="105"/>
    <cellStyle name="40% - アクセント 6 3" xfId="106"/>
    <cellStyle name="40% - アクセント 6 4" xfId="107"/>
    <cellStyle name="40% - アクセント 6 5" xfId="108"/>
    <cellStyle name="40% - アクセント 6 6" xfId="109"/>
    <cellStyle name="40% - アクセント 6 7" xfId="110"/>
    <cellStyle name="40% - アクセント 6 8" xfId="111"/>
    <cellStyle name="40% - アクセント 6 9" xfId="112"/>
    <cellStyle name="60% - Accent1" xfId="113"/>
    <cellStyle name="60% - Accent2" xfId="114"/>
    <cellStyle name="60% - Accent3" xfId="115"/>
    <cellStyle name="60% - Accent4" xfId="116"/>
    <cellStyle name="60% - Accent5" xfId="117"/>
    <cellStyle name="60% - Accent6" xfId="118"/>
    <cellStyle name="60% - アクセント 1 2" xfId="119"/>
    <cellStyle name="60% - アクセント 1 3" xfId="120"/>
    <cellStyle name="60% - アクセント 1 4" xfId="121"/>
    <cellStyle name="60% - アクセント 1 5" xfId="122"/>
    <cellStyle name="60% - アクセント 1 6" xfId="123"/>
    <cellStyle name="60% - アクセント 1 7" xfId="124"/>
    <cellStyle name="60% - アクセント 1 8" xfId="125"/>
    <cellStyle name="60% - アクセント 1 9" xfId="126"/>
    <cellStyle name="60% - アクセント 2 2" xfId="127"/>
    <cellStyle name="60% - アクセント 2 3" xfId="128"/>
    <cellStyle name="60% - アクセント 2 4" xfId="129"/>
    <cellStyle name="60% - アクセント 2 5" xfId="130"/>
    <cellStyle name="60% - アクセント 2 6" xfId="131"/>
    <cellStyle name="60% - アクセント 2 7" xfId="132"/>
    <cellStyle name="60% - アクセント 2 8" xfId="133"/>
    <cellStyle name="60% - アクセント 2 9" xfId="134"/>
    <cellStyle name="60% - アクセント 3 2" xfId="135"/>
    <cellStyle name="60% - アクセント 3 3" xfId="136"/>
    <cellStyle name="60% - アクセント 3 4" xfId="137"/>
    <cellStyle name="60% - アクセント 3 5" xfId="138"/>
    <cellStyle name="60% - アクセント 3 6" xfId="139"/>
    <cellStyle name="60% - アクセント 3 7" xfId="140"/>
    <cellStyle name="60% - アクセント 3 8" xfId="141"/>
    <cellStyle name="60% - アクセント 3 9" xfId="142"/>
    <cellStyle name="60% - アクセント 4 2" xfId="143"/>
    <cellStyle name="60% - アクセント 4 3" xfId="144"/>
    <cellStyle name="60% - アクセント 4 4" xfId="145"/>
    <cellStyle name="60% - アクセント 4 5" xfId="146"/>
    <cellStyle name="60% - アクセント 4 6" xfId="147"/>
    <cellStyle name="60% - アクセント 4 7" xfId="148"/>
    <cellStyle name="60% - アクセント 4 8" xfId="149"/>
    <cellStyle name="60% - アクセント 4 9" xfId="150"/>
    <cellStyle name="60% - アクセント 5 2" xfId="151"/>
    <cellStyle name="60% - アクセント 5 3" xfId="152"/>
    <cellStyle name="60% - アクセント 5 4" xfId="153"/>
    <cellStyle name="60% - アクセント 5 5" xfId="154"/>
    <cellStyle name="60% - アクセント 5 6" xfId="155"/>
    <cellStyle name="60% - アクセント 5 7" xfId="156"/>
    <cellStyle name="60% - アクセント 5 8" xfId="157"/>
    <cellStyle name="60% - アクセント 5 9" xfId="158"/>
    <cellStyle name="60% - アクセント 6 2" xfId="159"/>
    <cellStyle name="60% - アクセント 6 3" xfId="160"/>
    <cellStyle name="60% - アクセント 6 4" xfId="161"/>
    <cellStyle name="60% - アクセント 6 5" xfId="162"/>
    <cellStyle name="60% - アクセント 6 6" xfId="163"/>
    <cellStyle name="60% - アクセント 6 7" xfId="164"/>
    <cellStyle name="60% - アクセント 6 8" xfId="165"/>
    <cellStyle name="60% - アクセント 6 9" xfId="166"/>
    <cellStyle name="Accent1" xfId="167"/>
    <cellStyle name="Accent2" xfId="168"/>
    <cellStyle name="Accent3" xfId="169"/>
    <cellStyle name="Accent4" xfId="170"/>
    <cellStyle name="Accent5" xfId="171"/>
    <cellStyle name="Accent6" xfId="172"/>
    <cellStyle name="args.style" xfId="173"/>
    <cellStyle name="B10" xfId="174"/>
    <cellStyle name="Bad" xfId="175"/>
    <cellStyle name="Body" xfId="176"/>
    <cellStyle name="Calc Currency (0)" xfId="177"/>
    <cellStyle name="Calc Currency (0) 2" xfId="178"/>
    <cellStyle name="Calculation" xfId="179"/>
    <cellStyle name="Calculation 2" xfId="180"/>
    <cellStyle name="Calculation 2 2" xfId="181"/>
    <cellStyle name="Calculation 2 2 2" xfId="182"/>
    <cellStyle name="Calculation 2 3" xfId="183"/>
    <cellStyle name="Calculation 2 3 2" xfId="184"/>
    <cellStyle name="Calculation 2 4" xfId="185"/>
    <cellStyle name="Calculation 2 4 2" xfId="186"/>
    <cellStyle name="Calculation 2 5" xfId="187"/>
    <cellStyle name="Calculation 2 5 2" xfId="188"/>
    <cellStyle name="Calculation 2 6" xfId="189"/>
    <cellStyle name="Calculation 2 6 2" xfId="190"/>
    <cellStyle name="Calculation 2 7" xfId="191"/>
    <cellStyle name="Calculation 3" xfId="192"/>
    <cellStyle name="Calculation 3 2" xfId="193"/>
    <cellStyle name="Calculation 4" xfId="194"/>
    <cellStyle name="Check Cell" xfId="195"/>
    <cellStyle name="Column Heading" xfId="196"/>
    <cellStyle name="Comma [0]_laroux" xfId="197"/>
    <cellStyle name="Comma_laroux" xfId="198"/>
    <cellStyle name="Currency [0]_laroux" xfId="199"/>
    <cellStyle name="Currency_laroux" xfId="200"/>
    <cellStyle name="entry" xfId="201"/>
    <cellStyle name="Explanatory Text" xfId="202"/>
    <cellStyle name="Good" xfId="203"/>
    <cellStyle name="Grey" xfId="204"/>
    <cellStyle name="Head 1" xfId="205"/>
    <cellStyle name="Header1" xfId="206"/>
    <cellStyle name="Header2" xfId="207"/>
    <cellStyle name="Header2 2" xfId="208"/>
    <cellStyle name="Header2 2 2" xfId="209"/>
    <cellStyle name="Header2 2 2 2" xfId="210"/>
    <cellStyle name="Header2 2 2 3" xfId="211"/>
    <cellStyle name="Header2 2 2 4" xfId="212"/>
    <cellStyle name="Header2 2 2 5" xfId="213"/>
    <cellStyle name="Header2 2 2 6" xfId="214"/>
    <cellStyle name="Header2 2 2 7" xfId="215"/>
    <cellStyle name="Header2 2 2 7 2" xfId="216"/>
    <cellStyle name="Header2 2 3" xfId="217"/>
    <cellStyle name="Header2 2 3 2" xfId="218"/>
    <cellStyle name="Header2 2 3 3" xfId="219"/>
    <cellStyle name="Header2 3" xfId="220"/>
    <cellStyle name="Header2 3 2" xfId="221"/>
    <cellStyle name="Header2 3 2 2" xfId="222"/>
    <cellStyle name="Header2 3 2 3" xfId="223"/>
    <cellStyle name="Header2 3 2 4" xfId="224"/>
    <cellStyle name="Header2 3 2 5" xfId="225"/>
    <cellStyle name="Header2 3 2 6" xfId="226"/>
    <cellStyle name="Header2 3 2 7" xfId="227"/>
    <cellStyle name="Header2 3 2 7 2" xfId="228"/>
    <cellStyle name="Header2 3 3" xfId="229"/>
    <cellStyle name="Header2 3 4" xfId="230"/>
    <cellStyle name="Header2 3 5" xfId="231"/>
    <cellStyle name="Header2 3 6" xfId="232"/>
    <cellStyle name="Header2 3 7" xfId="233"/>
    <cellStyle name="Header2 3 8" xfId="234"/>
    <cellStyle name="Header2 3 9" xfId="235"/>
    <cellStyle name="Header2 3 9 2" xfId="236"/>
    <cellStyle name="Header2 3 9 3" xfId="237"/>
    <cellStyle name="Header2 4" xfId="238"/>
    <cellStyle name="Header2 4 2" xfId="239"/>
    <cellStyle name="Header2 4 3" xfId="240"/>
    <cellStyle name="Header2 4 4" xfId="241"/>
    <cellStyle name="Header2 4 5" xfId="242"/>
    <cellStyle name="Header2 4 6" xfId="243"/>
    <cellStyle name="Header2 4 7" xfId="244"/>
    <cellStyle name="Header2 4 7 2" xfId="245"/>
    <cellStyle name="Header2 5" xfId="246"/>
    <cellStyle name="Header2 6" xfId="247"/>
    <cellStyle name="Header2 7" xfId="248"/>
    <cellStyle name="Header2 7 2" xfId="249"/>
    <cellStyle name="Header2 7 3" xfId="250"/>
    <cellStyle name="Heading 1" xfId="251"/>
    <cellStyle name="Heading 2" xfId="252"/>
    <cellStyle name="Heading 3" xfId="253"/>
    <cellStyle name="Heading 4" xfId="254"/>
    <cellStyle name="IBM(401K)" xfId="255"/>
    <cellStyle name="Input" xfId="256"/>
    <cellStyle name="Input [yellow]" xfId="257"/>
    <cellStyle name="Input [yellow] 2" xfId="258"/>
    <cellStyle name="Input [yellow] 2 2" xfId="259"/>
    <cellStyle name="Input [yellow] 2 2 2" xfId="260"/>
    <cellStyle name="Input [yellow] 2 2 3" xfId="261"/>
    <cellStyle name="Input [yellow] 2 2 4" xfId="262"/>
    <cellStyle name="Input [yellow] 2 2 5" xfId="263"/>
    <cellStyle name="Input [yellow] 2 2 6" xfId="264"/>
    <cellStyle name="Input [yellow] 2 2 7" xfId="265"/>
    <cellStyle name="Input [yellow] 2 2 8" xfId="266"/>
    <cellStyle name="Input [yellow] 2 2 9" xfId="267"/>
    <cellStyle name="Input [yellow] 2 3" xfId="268"/>
    <cellStyle name="Input [yellow] 2 3 2" xfId="269"/>
    <cellStyle name="Input [yellow] 2 3 3" xfId="270"/>
    <cellStyle name="Input [yellow] 3" xfId="271"/>
    <cellStyle name="Input [yellow] 3 2" xfId="272"/>
    <cellStyle name="Input [yellow] 3 2 2" xfId="273"/>
    <cellStyle name="Input [yellow] 3 2 3" xfId="274"/>
    <cellStyle name="Input [yellow] 3 2 4" xfId="275"/>
    <cellStyle name="Input [yellow] 3 2 5" xfId="276"/>
    <cellStyle name="Input [yellow] 3 2 6" xfId="277"/>
    <cellStyle name="Input [yellow] 3 2 7" xfId="278"/>
    <cellStyle name="Input [yellow] 3 2 8" xfId="279"/>
    <cellStyle name="Input [yellow] 3 2 9" xfId="280"/>
    <cellStyle name="Input [yellow] 3 3" xfId="281"/>
    <cellStyle name="Input [yellow] 3 4" xfId="282"/>
    <cellStyle name="Input [yellow] 3 5" xfId="283"/>
    <cellStyle name="Input [yellow] 3 6" xfId="284"/>
    <cellStyle name="Input [yellow] 3 7" xfId="285"/>
    <cellStyle name="Input [yellow] 3 8" xfId="286"/>
    <cellStyle name="Input [yellow] 3 9" xfId="287"/>
    <cellStyle name="Input [yellow] 3 9 2" xfId="288"/>
    <cellStyle name="Input [yellow] 3 9 3" xfId="289"/>
    <cellStyle name="Input [yellow] 4" xfId="290"/>
    <cellStyle name="Input [yellow] 4 2" xfId="291"/>
    <cellStyle name="Input [yellow] 4 3" xfId="292"/>
    <cellStyle name="Input [yellow] 4 4" xfId="293"/>
    <cellStyle name="Input [yellow] 4 5" xfId="294"/>
    <cellStyle name="Input [yellow] 4 6" xfId="295"/>
    <cellStyle name="Input [yellow] 4 7" xfId="296"/>
    <cellStyle name="Input [yellow] 4 8" xfId="297"/>
    <cellStyle name="Input [yellow] 4 8 2" xfId="298"/>
    <cellStyle name="Input [yellow] 4 8 3" xfId="299"/>
    <cellStyle name="Input [yellow] 5" xfId="300"/>
    <cellStyle name="Input [yellow] 6" xfId="301"/>
    <cellStyle name="Input [yellow] 7" xfId="302"/>
    <cellStyle name="Input [yellow] 7 2" xfId="303"/>
    <cellStyle name="Input [yellow] 7 3" xfId="304"/>
    <cellStyle name="Input 10" xfId="305"/>
    <cellStyle name="Input 10 2" xfId="306"/>
    <cellStyle name="Input 11" xfId="307"/>
    <cellStyle name="Input 11 2" xfId="308"/>
    <cellStyle name="Input 12" xfId="309"/>
    <cellStyle name="Input 12 2" xfId="310"/>
    <cellStyle name="Input 13" xfId="311"/>
    <cellStyle name="Input 13 2" xfId="312"/>
    <cellStyle name="Input 14" xfId="313"/>
    <cellStyle name="Input 14 2" xfId="314"/>
    <cellStyle name="Input 15" xfId="315"/>
    <cellStyle name="Input 15 2" xfId="316"/>
    <cellStyle name="Input 16" xfId="317"/>
    <cellStyle name="Input 16 2" xfId="318"/>
    <cellStyle name="Input 17" xfId="319"/>
    <cellStyle name="Input 17 2" xfId="320"/>
    <cellStyle name="Input 18" xfId="321"/>
    <cellStyle name="Input 19" xfId="322"/>
    <cellStyle name="Input 2" xfId="323"/>
    <cellStyle name="Input 2 2" xfId="324"/>
    <cellStyle name="Input 2 2 2" xfId="325"/>
    <cellStyle name="Input 2 3" xfId="326"/>
    <cellStyle name="Input 2 3 2" xfId="327"/>
    <cellStyle name="Input 2 4" xfId="328"/>
    <cellStyle name="Input 2 4 2" xfId="329"/>
    <cellStyle name="Input 2 5" xfId="330"/>
    <cellStyle name="Input 2 5 2" xfId="331"/>
    <cellStyle name="Input 2 6" xfId="332"/>
    <cellStyle name="Input 2 6 2" xfId="333"/>
    <cellStyle name="Input 2 7" xfId="334"/>
    <cellStyle name="Input 20" xfId="335"/>
    <cellStyle name="Input 21" xfId="336"/>
    <cellStyle name="Input 22" xfId="337"/>
    <cellStyle name="Input 23" xfId="338"/>
    <cellStyle name="Input 24" xfId="339"/>
    <cellStyle name="Input 25" xfId="340"/>
    <cellStyle name="Input 26" xfId="341"/>
    <cellStyle name="Input 3" xfId="342"/>
    <cellStyle name="Input 3 2" xfId="343"/>
    <cellStyle name="Input 4" xfId="344"/>
    <cellStyle name="Input 4 2" xfId="345"/>
    <cellStyle name="Input 5" xfId="346"/>
    <cellStyle name="Input 5 2" xfId="347"/>
    <cellStyle name="Input 6" xfId="348"/>
    <cellStyle name="Input 6 2" xfId="349"/>
    <cellStyle name="Input 7" xfId="350"/>
    <cellStyle name="Input 7 2" xfId="351"/>
    <cellStyle name="Input 8" xfId="352"/>
    <cellStyle name="Input 8 2" xfId="353"/>
    <cellStyle name="Input 9" xfId="354"/>
    <cellStyle name="Input 9 2" xfId="355"/>
    <cellStyle name="J401K" xfId="356"/>
    <cellStyle name="Linked Cell" xfId="357"/>
    <cellStyle name="Millares [0]_Compra" xfId="358"/>
    <cellStyle name="Millares_Compra" xfId="359"/>
    <cellStyle name="Moneda [0]_Compra" xfId="360"/>
    <cellStyle name="Moneda_Compra" xfId="361"/>
    <cellStyle name="Neutral" xfId="362"/>
    <cellStyle name="no dec" xfId="363"/>
    <cellStyle name="Normal - Style1" xfId="364"/>
    <cellStyle name="Normal - Style1 2" xfId="365"/>
    <cellStyle name="Normal - Style1 2 2" xfId="366"/>
    <cellStyle name="Normal - Style1 2 3" xfId="367"/>
    <cellStyle name="Normal_#18-Internet" xfId="368"/>
    <cellStyle name="Note" xfId="369"/>
    <cellStyle name="Note 2" xfId="370"/>
    <cellStyle name="Note 2 2" xfId="371"/>
    <cellStyle name="Note 2 2 2" xfId="372"/>
    <cellStyle name="Note 2 2 2 2" xfId="373"/>
    <cellStyle name="Note 2 2 3" xfId="374"/>
    <cellStyle name="Note 2 2 3 2" xfId="375"/>
    <cellStyle name="Note 2 2 4" xfId="376"/>
    <cellStyle name="Note 2 2 4 2" xfId="377"/>
    <cellStyle name="Note 2 2 5" xfId="378"/>
    <cellStyle name="Note 2 2 5 2" xfId="379"/>
    <cellStyle name="Note 2 2 6" xfId="380"/>
    <cellStyle name="Note 2 2 6 2" xfId="381"/>
    <cellStyle name="Note 2 2 7" xfId="382"/>
    <cellStyle name="Note 2 3" xfId="383"/>
    <cellStyle name="Note 2 3 2" xfId="384"/>
    <cellStyle name="Note 2 4" xfId="385"/>
    <cellStyle name="Note 3" xfId="386"/>
    <cellStyle name="Note 3 2" xfId="387"/>
    <cellStyle name="Note 3 2 2" xfId="388"/>
    <cellStyle name="Note 3 2 2 2" xfId="389"/>
    <cellStyle name="Note 3 2 3" xfId="390"/>
    <cellStyle name="Note 3 2 3 2" xfId="391"/>
    <cellStyle name="Note 3 2 4" xfId="392"/>
    <cellStyle name="Note 3 2 4 2" xfId="393"/>
    <cellStyle name="Note 3 2 5" xfId="394"/>
    <cellStyle name="Note 3 2 5 2" xfId="395"/>
    <cellStyle name="Note 3 2 6" xfId="396"/>
    <cellStyle name="Note 3 2 6 2" xfId="397"/>
    <cellStyle name="Note 3 2 7" xfId="398"/>
    <cellStyle name="Note 3 3" xfId="399"/>
    <cellStyle name="Note 3 3 2" xfId="400"/>
    <cellStyle name="Note 3 4" xfId="401"/>
    <cellStyle name="Note 3 4 2" xfId="402"/>
    <cellStyle name="Note 3 5" xfId="403"/>
    <cellStyle name="Note 3 5 2" xfId="404"/>
    <cellStyle name="Note 3 6" xfId="405"/>
    <cellStyle name="Note 3 6 2" xfId="406"/>
    <cellStyle name="Note 3 7" xfId="407"/>
    <cellStyle name="Note 3 7 2" xfId="408"/>
    <cellStyle name="Note 3 8" xfId="409"/>
    <cellStyle name="Note 4" xfId="410"/>
    <cellStyle name="Note 4 2" xfId="411"/>
    <cellStyle name="Note 4 2 2" xfId="412"/>
    <cellStyle name="Note 4 3" xfId="413"/>
    <cellStyle name="Note 4 3 2" xfId="414"/>
    <cellStyle name="Note 4 4" xfId="415"/>
    <cellStyle name="Note 4 4 2" xfId="416"/>
    <cellStyle name="Note 4 5" xfId="417"/>
    <cellStyle name="Note 4 5 2" xfId="418"/>
    <cellStyle name="Note 4 6" xfId="419"/>
    <cellStyle name="Note 4 6 2" xfId="420"/>
    <cellStyle name="Note 4 7" xfId="421"/>
    <cellStyle name="Note 5" xfId="422"/>
    <cellStyle name="Note 5 2" xfId="423"/>
    <cellStyle name="Output" xfId="424"/>
    <cellStyle name="Output 2" xfId="425"/>
    <cellStyle name="Output 2 2" xfId="426"/>
    <cellStyle name="Output 2 2 2" xfId="427"/>
    <cellStyle name="Output 2 3" xfId="428"/>
    <cellStyle name="Output 2 3 2" xfId="429"/>
    <cellStyle name="Output 2 4" xfId="430"/>
    <cellStyle name="Output 2 4 2" xfId="431"/>
    <cellStyle name="Output 2 5" xfId="432"/>
    <cellStyle name="Output 2 5 2" xfId="433"/>
    <cellStyle name="Output 2 6" xfId="434"/>
    <cellStyle name="Output 2 6 2" xfId="435"/>
    <cellStyle name="Output 2 7" xfId="436"/>
    <cellStyle name="Output 3" xfId="437"/>
    <cellStyle name="Output 3 2" xfId="438"/>
    <cellStyle name="per.style" xfId="439"/>
    <cellStyle name="Percent [2]" xfId="440"/>
    <cellStyle name="price" xfId="441"/>
    <cellStyle name="PSChar" xfId="442"/>
    <cellStyle name="PSHeading" xfId="443"/>
    <cellStyle name="QDF" xfId="444"/>
    <cellStyle name="revised" xfId="445"/>
    <cellStyle name="section" xfId="446"/>
    <cellStyle name="subhead" xfId="447"/>
    <cellStyle name="title" xfId="448"/>
    <cellStyle name="Total" xfId="449"/>
    <cellStyle name="Total 2" xfId="450"/>
    <cellStyle name="Total 2 2" xfId="451"/>
    <cellStyle name="Total 2 2 2" xfId="452"/>
    <cellStyle name="Total 2 3" xfId="453"/>
    <cellStyle name="Total 2 3 2" xfId="454"/>
    <cellStyle name="Total 2 4" xfId="455"/>
    <cellStyle name="Total 2 4 2" xfId="456"/>
    <cellStyle name="Total 2 5" xfId="457"/>
    <cellStyle name="Total 2 5 2" xfId="458"/>
    <cellStyle name="Total 2 6" xfId="459"/>
    <cellStyle name="Total 2 6 2" xfId="460"/>
    <cellStyle name="Total 2 7" xfId="461"/>
    <cellStyle name="Total 3" xfId="462"/>
    <cellStyle name="Total 3 2" xfId="463"/>
    <cellStyle name="Warning Text" xfId="464"/>
    <cellStyle name="アクセント 1 2" xfId="465"/>
    <cellStyle name="アクセント 1 3" xfId="466"/>
    <cellStyle name="アクセント 1 4" xfId="467"/>
    <cellStyle name="アクセント 1 5" xfId="468"/>
    <cellStyle name="アクセント 1 6" xfId="469"/>
    <cellStyle name="アクセント 1 7" xfId="470"/>
    <cellStyle name="アクセント 1 8" xfId="471"/>
    <cellStyle name="アクセント 1 9" xfId="472"/>
    <cellStyle name="アクセント 2 2" xfId="473"/>
    <cellStyle name="アクセント 2 3" xfId="474"/>
    <cellStyle name="アクセント 2 4" xfId="475"/>
    <cellStyle name="アクセント 2 5" xfId="476"/>
    <cellStyle name="アクセント 2 6" xfId="477"/>
    <cellStyle name="アクセント 2 7" xfId="478"/>
    <cellStyle name="アクセント 2 8" xfId="479"/>
    <cellStyle name="アクセント 2 9" xfId="480"/>
    <cellStyle name="アクセント 3 2" xfId="481"/>
    <cellStyle name="アクセント 3 3" xfId="482"/>
    <cellStyle name="アクセント 3 4" xfId="483"/>
    <cellStyle name="アクセント 3 5" xfId="484"/>
    <cellStyle name="アクセント 3 6" xfId="485"/>
    <cellStyle name="アクセント 3 7" xfId="486"/>
    <cellStyle name="アクセント 3 8" xfId="487"/>
    <cellStyle name="アクセント 3 9" xfId="488"/>
    <cellStyle name="アクセント 4 2" xfId="489"/>
    <cellStyle name="アクセント 4 3" xfId="490"/>
    <cellStyle name="アクセント 4 4" xfId="491"/>
    <cellStyle name="アクセント 4 5" xfId="492"/>
    <cellStyle name="アクセント 4 6" xfId="493"/>
    <cellStyle name="アクセント 4 7" xfId="494"/>
    <cellStyle name="アクセント 4 8" xfId="495"/>
    <cellStyle name="アクセント 4 9" xfId="496"/>
    <cellStyle name="アクセント 5 2" xfId="497"/>
    <cellStyle name="アクセント 5 3" xfId="498"/>
    <cellStyle name="アクセント 5 4" xfId="499"/>
    <cellStyle name="アクセント 5 5" xfId="500"/>
    <cellStyle name="アクセント 5 6" xfId="501"/>
    <cellStyle name="アクセント 5 7" xfId="502"/>
    <cellStyle name="アクセント 5 8" xfId="503"/>
    <cellStyle name="アクセント 5 9" xfId="504"/>
    <cellStyle name="アクセント 6 2" xfId="505"/>
    <cellStyle name="アクセント 6 3" xfId="506"/>
    <cellStyle name="アクセント 6 4" xfId="507"/>
    <cellStyle name="アクセント 6 5" xfId="508"/>
    <cellStyle name="アクセント 6 6" xfId="509"/>
    <cellStyle name="アクセント 6 7" xfId="510"/>
    <cellStyle name="アクセント 6 8" xfId="511"/>
    <cellStyle name="アクセント 6 9" xfId="512"/>
    <cellStyle name="センター" xfId="513"/>
    <cellStyle name="タイトル 2" xfId="514"/>
    <cellStyle name="タイトル 3" xfId="515"/>
    <cellStyle name="タイトル 4" xfId="516"/>
    <cellStyle name="タイトル 5" xfId="517"/>
    <cellStyle name="タイトル 6" xfId="518"/>
    <cellStyle name="タイトル 7" xfId="519"/>
    <cellStyle name="タイトル 8" xfId="520"/>
    <cellStyle name="タイトル 9" xfId="521"/>
    <cellStyle name="チェック セル 2" xfId="522"/>
    <cellStyle name="チェック セル 3" xfId="523"/>
    <cellStyle name="チェック セル 4" xfId="524"/>
    <cellStyle name="チェック セル 5" xfId="525"/>
    <cellStyle name="チェック セル 6" xfId="526"/>
    <cellStyle name="チェック セル 7" xfId="527"/>
    <cellStyle name="チェック セル 8" xfId="528"/>
    <cellStyle name="チェック セル 9" xfId="529"/>
    <cellStyle name="チャート" xfId="530"/>
    <cellStyle name="どちらでもない 2" xfId="531"/>
    <cellStyle name="どちらでもない 3" xfId="532"/>
    <cellStyle name="どちらでもない 4" xfId="533"/>
    <cellStyle name="どちらでもない 5" xfId="534"/>
    <cellStyle name="どちらでもない 6" xfId="535"/>
    <cellStyle name="どちらでもない 7" xfId="536"/>
    <cellStyle name="どちらでもない 8" xfId="537"/>
    <cellStyle name="どちらでもない 9" xfId="538"/>
    <cellStyle name="パーセント 2" xfId="539"/>
    <cellStyle name="パーセント 2 2" xfId="540"/>
    <cellStyle name="パーセント 3" xfId="541"/>
    <cellStyle name="ハイパーリンク 2" xfId="542"/>
    <cellStyle name="ハイパーリンク 2 2" xfId="543"/>
    <cellStyle name="ハイパーリンク 2 3" xfId="544"/>
    <cellStyle name="ハイパーリンク 3" xfId="545"/>
    <cellStyle name="メモ 10" xfId="546"/>
    <cellStyle name="メモ 2" xfId="547"/>
    <cellStyle name="メモ 2 2" xfId="548"/>
    <cellStyle name="メモ 2 2 2" xfId="549"/>
    <cellStyle name="メモ 2 2 2 2" xfId="550"/>
    <cellStyle name="メモ 2 2 2 2 2" xfId="551"/>
    <cellStyle name="メモ 2 2 2 3" xfId="552"/>
    <cellStyle name="メモ 2 2 2 3 2" xfId="553"/>
    <cellStyle name="メモ 2 2 2 4" xfId="554"/>
    <cellStyle name="メモ 2 2 2 4 2" xfId="555"/>
    <cellStyle name="メモ 2 2 2 5" xfId="556"/>
    <cellStyle name="メモ 2 2 2 5 2" xfId="557"/>
    <cellStyle name="メモ 2 2 2 6" xfId="558"/>
    <cellStyle name="メモ 2 2 2 6 2" xfId="559"/>
    <cellStyle name="メモ 2 2 2 7" xfId="560"/>
    <cellStyle name="メモ 2 2 3" xfId="561"/>
    <cellStyle name="メモ 2 2 3 2" xfId="562"/>
    <cellStyle name="メモ 2 2 4" xfId="563"/>
    <cellStyle name="メモ 2 3" xfId="564"/>
    <cellStyle name="メモ 2 3 2" xfId="565"/>
    <cellStyle name="メモ 2 3 2 2" xfId="566"/>
    <cellStyle name="メモ 2 3 2 2 2" xfId="567"/>
    <cellStyle name="メモ 2 3 2 3" xfId="568"/>
    <cellStyle name="メモ 2 3 2 3 2" xfId="569"/>
    <cellStyle name="メモ 2 3 2 4" xfId="570"/>
    <cellStyle name="メモ 2 3 2 4 2" xfId="571"/>
    <cellStyle name="メモ 2 3 2 5" xfId="572"/>
    <cellStyle name="メモ 2 3 2 5 2" xfId="573"/>
    <cellStyle name="メモ 2 3 2 6" xfId="574"/>
    <cellStyle name="メモ 2 3 2 6 2" xfId="575"/>
    <cellStyle name="メモ 2 3 2 7" xfId="576"/>
    <cellStyle name="メモ 2 3 3" xfId="577"/>
    <cellStyle name="メモ 2 3 3 2" xfId="578"/>
    <cellStyle name="メモ 2 4" xfId="579"/>
    <cellStyle name="メモ 2 4 2" xfId="580"/>
    <cellStyle name="メモ 2 4 2 2" xfId="581"/>
    <cellStyle name="メモ 2 4 2 2 2" xfId="582"/>
    <cellStyle name="メモ 2 4 2 3" xfId="583"/>
    <cellStyle name="メモ 2 4 2 3 2" xfId="584"/>
    <cellStyle name="メモ 2 4 2 4" xfId="585"/>
    <cellStyle name="メモ 2 4 2 4 2" xfId="586"/>
    <cellStyle name="メモ 2 4 2 5" xfId="587"/>
    <cellStyle name="メモ 2 4 2 5 2" xfId="588"/>
    <cellStyle name="メモ 2 4 2 6" xfId="589"/>
    <cellStyle name="メモ 2 4 2 6 2" xfId="590"/>
    <cellStyle name="メモ 2 4 2 7" xfId="591"/>
    <cellStyle name="メモ 2 4 3" xfId="592"/>
    <cellStyle name="メモ 2 4 3 2" xfId="593"/>
    <cellStyle name="メモ 2 4 4" xfId="594"/>
    <cellStyle name="メモ 2 4 4 2" xfId="595"/>
    <cellStyle name="メモ 2 4 5" xfId="596"/>
    <cellStyle name="メモ 2 4 5 2" xfId="597"/>
    <cellStyle name="メモ 2 4 6" xfId="598"/>
    <cellStyle name="メモ 2 4 6 2" xfId="599"/>
    <cellStyle name="メモ 2 4 7" xfId="600"/>
    <cellStyle name="メモ 2 4 7 2" xfId="601"/>
    <cellStyle name="メモ 2 4 8" xfId="602"/>
    <cellStyle name="メモ 2 5" xfId="603"/>
    <cellStyle name="メモ 2 5 2" xfId="604"/>
    <cellStyle name="メモ 2 5 2 2" xfId="605"/>
    <cellStyle name="メモ 2 5 2 2 2" xfId="606"/>
    <cellStyle name="メモ 2 5 2 3" xfId="607"/>
    <cellStyle name="メモ 2 5 2 3 2" xfId="608"/>
    <cellStyle name="メモ 2 5 2 4" xfId="609"/>
    <cellStyle name="メモ 2 5 2 4 2" xfId="610"/>
    <cellStyle name="メモ 2 5 2 5" xfId="611"/>
    <cellStyle name="メモ 2 5 2 5 2" xfId="612"/>
    <cellStyle name="メモ 2 5 2 6" xfId="613"/>
    <cellStyle name="メモ 2 5 2 6 2" xfId="614"/>
    <cellStyle name="メモ 2 5 2 7" xfId="615"/>
    <cellStyle name="メモ 2 5 3" xfId="616"/>
    <cellStyle name="メモ 2 5 3 2" xfId="617"/>
    <cellStyle name="メモ 2 5 4" xfId="618"/>
    <cellStyle name="メモ 2 5 4 2" xfId="619"/>
    <cellStyle name="メモ 2 5 5" xfId="620"/>
    <cellStyle name="メモ 2 5 5 2" xfId="621"/>
    <cellStyle name="メモ 2 5 6" xfId="622"/>
    <cellStyle name="メモ 2 5 6 2" xfId="623"/>
    <cellStyle name="メモ 2 5 7" xfId="624"/>
    <cellStyle name="メモ 2 5 7 2" xfId="625"/>
    <cellStyle name="メモ 2 5 8" xfId="626"/>
    <cellStyle name="メモ 2 6" xfId="627"/>
    <cellStyle name="メモ 2 6 2" xfId="628"/>
    <cellStyle name="メモ 2 6 2 2" xfId="629"/>
    <cellStyle name="メモ 2 6 2 2 2" xfId="630"/>
    <cellStyle name="メモ 2 6 2 3" xfId="631"/>
    <cellStyle name="メモ 2 6 2 3 2" xfId="632"/>
    <cellStyle name="メモ 2 6 2 4" xfId="633"/>
    <cellStyle name="メモ 2 6 2 4 2" xfId="634"/>
    <cellStyle name="メモ 2 6 2 5" xfId="635"/>
    <cellStyle name="メモ 2 6 2 5 2" xfId="636"/>
    <cellStyle name="メモ 2 6 2 6" xfId="637"/>
    <cellStyle name="メモ 2 6 2 6 2" xfId="638"/>
    <cellStyle name="メモ 2 6 2 7" xfId="639"/>
    <cellStyle name="メモ 2 6 3" xfId="640"/>
    <cellStyle name="メモ 2 6 3 2" xfId="641"/>
    <cellStyle name="メモ 2 6 4" xfId="642"/>
    <cellStyle name="メモ 2 6 4 2" xfId="643"/>
    <cellStyle name="メモ 2 6 5" xfId="644"/>
    <cellStyle name="メモ 2 6 5 2" xfId="645"/>
    <cellStyle name="メモ 2 6 6" xfId="646"/>
    <cellStyle name="メモ 2 6 6 2" xfId="647"/>
    <cellStyle name="メモ 2 6 7" xfId="648"/>
    <cellStyle name="メモ 2 6 7 2" xfId="649"/>
    <cellStyle name="メモ 2 6 8" xfId="650"/>
    <cellStyle name="メモ 2 7" xfId="651"/>
    <cellStyle name="メモ 2 7 2" xfId="652"/>
    <cellStyle name="メモ 2 7 2 2" xfId="653"/>
    <cellStyle name="メモ 2 7 3" xfId="654"/>
    <cellStyle name="メモ 2 7 3 2" xfId="655"/>
    <cellStyle name="メモ 2 7 4" xfId="656"/>
    <cellStyle name="メモ 2 7 4 2" xfId="657"/>
    <cellStyle name="メモ 2 7 5" xfId="658"/>
    <cellStyle name="メモ 2 7 5 2" xfId="659"/>
    <cellStyle name="メモ 2 7 6" xfId="660"/>
    <cellStyle name="メモ 2 7 6 2" xfId="661"/>
    <cellStyle name="メモ 2 7 7" xfId="662"/>
    <cellStyle name="メモ 2 8" xfId="663"/>
    <cellStyle name="メモ 2 8 2" xfId="664"/>
    <cellStyle name="メモ 3" xfId="665"/>
    <cellStyle name="メモ 3 2" xfId="666"/>
    <cellStyle name="メモ 3 2 2" xfId="667"/>
    <cellStyle name="メモ 3 2 2 2" xfId="668"/>
    <cellStyle name="メモ 3 2 3" xfId="669"/>
    <cellStyle name="メモ 3 2 3 2" xfId="670"/>
    <cellStyle name="メモ 3 2 4" xfId="671"/>
    <cellStyle name="メモ 3 2 4 2" xfId="672"/>
    <cellStyle name="メモ 3 2 5" xfId="673"/>
    <cellStyle name="メモ 3 2 5 2" xfId="674"/>
    <cellStyle name="メモ 3 2 6" xfId="675"/>
    <cellStyle name="メモ 3 2 6 2" xfId="676"/>
    <cellStyle name="メモ 3 2 7" xfId="677"/>
    <cellStyle name="メモ 3 3" xfId="678"/>
    <cellStyle name="メモ 3 3 2" xfId="679"/>
    <cellStyle name="メモ 3 4" xfId="680"/>
    <cellStyle name="メモ 3 5" xfId="681"/>
    <cellStyle name="メモ 4" xfId="682"/>
    <cellStyle name="メモ 4 2" xfId="683"/>
    <cellStyle name="メモ 4 2 2" xfId="684"/>
    <cellStyle name="メモ 4 2 2 2" xfId="685"/>
    <cellStyle name="メモ 4 2 3" xfId="686"/>
    <cellStyle name="メモ 4 2 3 2" xfId="687"/>
    <cellStyle name="メモ 4 2 4" xfId="688"/>
    <cellStyle name="メモ 4 2 4 2" xfId="689"/>
    <cellStyle name="メモ 4 2 5" xfId="690"/>
    <cellStyle name="メモ 4 2 5 2" xfId="691"/>
    <cellStyle name="メモ 4 2 6" xfId="692"/>
    <cellStyle name="メモ 4 2 6 2" xfId="693"/>
    <cellStyle name="メモ 4 2 7" xfId="694"/>
    <cellStyle name="メモ 4 3" xfId="695"/>
    <cellStyle name="メモ 4 3 2" xfId="696"/>
    <cellStyle name="メモ 4 4" xfId="697"/>
    <cellStyle name="メモ 5" xfId="698"/>
    <cellStyle name="メモ 5 2" xfId="699"/>
    <cellStyle name="メモ 5 2 2" xfId="700"/>
    <cellStyle name="メモ 5 3" xfId="701"/>
    <cellStyle name="メモ 5 3 2" xfId="702"/>
    <cellStyle name="メモ 5 4" xfId="703"/>
    <cellStyle name="メモ 5 4 2" xfId="704"/>
    <cellStyle name="メモ 5 5" xfId="705"/>
    <cellStyle name="メモ 5 5 2" xfId="706"/>
    <cellStyle name="メモ 5 6" xfId="707"/>
    <cellStyle name="メモ 5 6 2" xfId="708"/>
    <cellStyle name="メモ 5 7" xfId="709"/>
    <cellStyle name="メモ 5 7 2" xfId="710"/>
    <cellStyle name="メモ 6" xfId="711"/>
    <cellStyle name="メモ 7" xfId="712"/>
    <cellStyle name="メモ 8" xfId="713"/>
    <cellStyle name="メモ 9" xfId="714"/>
    <cellStyle name="リンク セル 2" xfId="715"/>
    <cellStyle name="リンク セル 3" xfId="716"/>
    <cellStyle name="リンク セル 4" xfId="717"/>
    <cellStyle name="リンク セル 5" xfId="718"/>
    <cellStyle name="リンク セル 6" xfId="719"/>
    <cellStyle name="リンク セル 7" xfId="720"/>
    <cellStyle name="リンク セル 8" xfId="721"/>
    <cellStyle name="リンク セル 9" xfId="722"/>
    <cellStyle name="_x001d_・_x000c_ﾏ・_x000d_ﾂ・_x0001__x0016__x0011_F5_x0007__x0001__x0001_" xfId="723"/>
    <cellStyle name="_x001d_・_x000c_ﾏ・_x000d_ﾂ・_x0001__x0016__x0011_F5_x0007__x0001__x0001_ 2" xfId="724"/>
    <cellStyle name="_x001d_・_x000c_ﾏ・_x000d_ﾂ・_x0001__x0016__x0011_F5_x0007__x0001__x0001_ 2 2" xfId="725"/>
    <cellStyle name="_x001d_・_x000c_ﾏ・_x000d_ﾂ・_x0001__x0016__x0011_F5_x0007__x0001__x0001_ 2 2 2" xfId="726"/>
    <cellStyle name="_x001d_・_x000c_ﾏ・_x000d_ﾂ・_x0001__x0016__x0011_F5_x0007__x0001__x0001_ 2 3" xfId="727"/>
    <cellStyle name="_x001d_・_x000c_ﾏ・_x000d_ﾂ・_x0001__x0016__x0011_F5_x0007__x0001__x0001_ 3" xfId="728"/>
    <cellStyle name="_x001d_・_x000c_ﾏ・_x000d_ﾂ・_x0001__x0016__x0011_F5_x0007__x0001__x0001_ 3 2" xfId="729"/>
    <cellStyle name="悪い 2" xfId="730"/>
    <cellStyle name="悪い 3" xfId="731"/>
    <cellStyle name="悪い 4" xfId="732"/>
    <cellStyle name="悪い 5" xfId="733"/>
    <cellStyle name="悪い 6" xfId="734"/>
    <cellStyle name="悪い 7" xfId="735"/>
    <cellStyle name="悪い 8" xfId="736"/>
    <cellStyle name="悪い 9" xfId="737"/>
    <cellStyle name="計算 2" xfId="738"/>
    <cellStyle name="計算 2 2" xfId="739"/>
    <cellStyle name="計算 2 2 2" xfId="740"/>
    <cellStyle name="計算 2 2 2 2" xfId="741"/>
    <cellStyle name="計算 2 2 2 2 2" xfId="742"/>
    <cellStyle name="計算 2 2 2 3" xfId="743"/>
    <cellStyle name="計算 2 2 2 3 2" xfId="744"/>
    <cellStyle name="計算 2 2 2 4" xfId="745"/>
    <cellStyle name="計算 2 2 2 4 2" xfId="746"/>
    <cellStyle name="計算 2 2 2 5" xfId="747"/>
    <cellStyle name="計算 2 2 2 5 2" xfId="748"/>
    <cellStyle name="計算 2 2 2 6" xfId="749"/>
    <cellStyle name="計算 2 2 2 6 2" xfId="750"/>
    <cellStyle name="計算 2 2 2 7" xfId="751"/>
    <cellStyle name="計算 2 2 3" xfId="752"/>
    <cellStyle name="計算 2 2 3 2" xfId="753"/>
    <cellStyle name="計算 2 2 4" xfId="754"/>
    <cellStyle name="計算 2 3" xfId="755"/>
    <cellStyle name="計算 2 3 2" xfId="756"/>
    <cellStyle name="計算 2 3 2 2" xfId="757"/>
    <cellStyle name="計算 2 3 3" xfId="758"/>
    <cellStyle name="計算 2 3 3 2" xfId="759"/>
    <cellStyle name="計算 2 3 4" xfId="760"/>
    <cellStyle name="計算 2 3 4 2" xfId="761"/>
    <cellStyle name="計算 2 3 5" xfId="762"/>
    <cellStyle name="計算 2 3 5 2" xfId="763"/>
    <cellStyle name="計算 2 3 6" xfId="764"/>
    <cellStyle name="計算 2 3 6 2" xfId="765"/>
    <cellStyle name="計算 2 3 7" xfId="766"/>
    <cellStyle name="計算 2 4" xfId="767"/>
    <cellStyle name="計算 2 4 2" xfId="768"/>
    <cellStyle name="計算 2 5" xfId="769"/>
    <cellStyle name="計算 3" xfId="770"/>
    <cellStyle name="計算 3 2" xfId="771"/>
    <cellStyle name="計算 3 2 2" xfId="772"/>
    <cellStyle name="計算 3 2 2 2" xfId="773"/>
    <cellStyle name="計算 3 2 3" xfId="774"/>
    <cellStyle name="計算 3 2 3 2" xfId="775"/>
    <cellStyle name="計算 3 2 4" xfId="776"/>
    <cellStyle name="計算 3 2 4 2" xfId="777"/>
    <cellStyle name="計算 3 2 5" xfId="778"/>
    <cellStyle name="計算 3 2 5 2" xfId="779"/>
    <cellStyle name="計算 3 2 6" xfId="780"/>
    <cellStyle name="計算 3 2 6 2" xfId="781"/>
    <cellStyle name="計算 3 2 7" xfId="782"/>
    <cellStyle name="計算 3 3" xfId="783"/>
    <cellStyle name="計算 3 3 2" xfId="784"/>
    <cellStyle name="計算 3 4" xfId="785"/>
    <cellStyle name="計算 4" xfId="786"/>
    <cellStyle name="計算 4 2" xfId="787"/>
    <cellStyle name="計算 4 2 2" xfId="788"/>
    <cellStyle name="計算 4 3" xfId="789"/>
    <cellStyle name="計算 4 3 2" xfId="790"/>
    <cellStyle name="計算 4 4" xfId="791"/>
    <cellStyle name="計算 4 4 2" xfId="792"/>
    <cellStyle name="計算 4 5" xfId="793"/>
    <cellStyle name="計算 4 5 2" xfId="794"/>
    <cellStyle name="計算 4 6" xfId="795"/>
    <cellStyle name="計算 4 6 2" xfId="796"/>
    <cellStyle name="計算 4 7" xfId="797"/>
    <cellStyle name="計算 5" xfId="798"/>
    <cellStyle name="計算 6" xfId="799"/>
    <cellStyle name="計算 7" xfId="800"/>
    <cellStyle name="計算 8" xfId="801"/>
    <cellStyle name="計算 9" xfId="802"/>
    <cellStyle name="警告文 2" xfId="803"/>
    <cellStyle name="警告文 3" xfId="804"/>
    <cellStyle name="警告文 4" xfId="805"/>
    <cellStyle name="警告文 5" xfId="806"/>
    <cellStyle name="警告文 6" xfId="807"/>
    <cellStyle name="警告文 7" xfId="808"/>
    <cellStyle name="警告文 8" xfId="809"/>
    <cellStyle name="警告文 9" xfId="810"/>
    <cellStyle name="桁蟻唇Ｆ [0.00]_laroux" xfId="811"/>
    <cellStyle name="桁蟻唇Ｆ_A°DAU±ATIsA" xfId="812"/>
    <cellStyle name="桁区切り 2" xfId="813"/>
    <cellStyle name="桁区切り 2 2" xfId="814"/>
    <cellStyle name="桁区切り 2 2 2" xfId="815"/>
    <cellStyle name="桁区切り 2 3" xfId="816"/>
    <cellStyle name="桁区切り 2 4" xfId="817"/>
    <cellStyle name="桁区切り 2 4 2" xfId="818"/>
    <cellStyle name="桁区切り 2 4 3" xfId="819"/>
    <cellStyle name="桁区切り 2 5" xfId="820"/>
    <cellStyle name="桁区切り 2 5 2" xfId="821"/>
    <cellStyle name="桁区切り 2 5 3" xfId="822"/>
    <cellStyle name="桁区切り 2 6" xfId="823"/>
    <cellStyle name="桁区切り 2_バックアップセンタ_切替テストスケジュール_20120406~10" xfId="824"/>
    <cellStyle name="桁区切り 3" xfId="825"/>
    <cellStyle name="桁区切り 3 2" xfId="826"/>
    <cellStyle name="桁区切り 3 2 2" xfId="827"/>
    <cellStyle name="桁区切り 3 2 3" xfId="828"/>
    <cellStyle name="桁区切り 3 3" xfId="829"/>
    <cellStyle name="桁区切り 4" xfId="830"/>
    <cellStyle name="桁区切り 4 2" xfId="831"/>
    <cellStyle name="桁区切り 4 2 2" xfId="832"/>
    <cellStyle name="桁区切り 4 2 3" xfId="833"/>
    <cellStyle name="桁区切り 4 3" xfId="834"/>
    <cellStyle name="桁区切り 4 4" xfId="835"/>
    <cellStyle name="桁区切り 5" xfId="836"/>
    <cellStyle name="桁区切り 5 2" xfId="837"/>
    <cellStyle name="桁区切り 5 3" xfId="838"/>
    <cellStyle name="桁区切り 6" xfId="839"/>
    <cellStyle name="見出し 1 2" xfId="840"/>
    <cellStyle name="見出し 1 3" xfId="841"/>
    <cellStyle name="見出し 1 4" xfId="842"/>
    <cellStyle name="見出し 1 5" xfId="843"/>
    <cellStyle name="見出し 1 6" xfId="844"/>
    <cellStyle name="見出し 1 7" xfId="845"/>
    <cellStyle name="見出し 1 8" xfId="846"/>
    <cellStyle name="見出し 1 9" xfId="847"/>
    <cellStyle name="見出し 2 2" xfId="848"/>
    <cellStyle name="見出し 2 3" xfId="849"/>
    <cellStyle name="見出し 2 4" xfId="850"/>
    <cellStyle name="見出し 2 5" xfId="851"/>
    <cellStyle name="見出し 2 6" xfId="852"/>
    <cellStyle name="見出し 2 7" xfId="853"/>
    <cellStyle name="見出し 2 8" xfId="854"/>
    <cellStyle name="見出し 2 9" xfId="855"/>
    <cellStyle name="見出し 3 2" xfId="856"/>
    <cellStyle name="見出し 3 3" xfId="857"/>
    <cellStyle name="見出し 3 4" xfId="858"/>
    <cellStyle name="見出し 3 5" xfId="859"/>
    <cellStyle name="見出し 3 6" xfId="860"/>
    <cellStyle name="見出し 3 7" xfId="861"/>
    <cellStyle name="見出し 3 8" xfId="862"/>
    <cellStyle name="見出し 3 9" xfId="863"/>
    <cellStyle name="見出し 4 2" xfId="864"/>
    <cellStyle name="見出し 4 3" xfId="865"/>
    <cellStyle name="見出し 4 4" xfId="866"/>
    <cellStyle name="見出し 4 5" xfId="867"/>
    <cellStyle name="見出し 4 6" xfId="868"/>
    <cellStyle name="見出し 4 7" xfId="869"/>
    <cellStyle name="見出し 4 8" xfId="870"/>
    <cellStyle name="見出し 4 9" xfId="871"/>
    <cellStyle name="構成図作成用" xfId="872"/>
    <cellStyle name="取り消し" xfId="873"/>
    <cellStyle name="集計 2" xfId="874"/>
    <cellStyle name="集計 2 2" xfId="875"/>
    <cellStyle name="集計 2 2 2" xfId="876"/>
    <cellStyle name="集計 2 2 2 2" xfId="877"/>
    <cellStyle name="集計 2 2 2 2 2" xfId="878"/>
    <cellStyle name="集計 2 2 2 3" xfId="879"/>
    <cellStyle name="集計 2 2 2 3 2" xfId="880"/>
    <cellStyle name="集計 2 2 2 4" xfId="881"/>
    <cellStyle name="集計 2 2 2 4 2" xfId="882"/>
    <cellStyle name="集計 2 2 2 5" xfId="883"/>
    <cellStyle name="集計 2 2 2 5 2" xfId="884"/>
    <cellStyle name="集計 2 2 2 6" xfId="885"/>
    <cellStyle name="集計 2 2 2 6 2" xfId="886"/>
    <cellStyle name="集計 2 2 2 7" xfId="887"/>
    <cellStyle name="集計 2 2 3" xfId="888"/>
    <cellStyle name="集計 2 2 3 2" xfId="889"/>
    <cellStyle name="集計 2 3" xfId="890"/>
    <cellStyle name="集計 2 3 2" xfId="891"/>
    <cellStyle name="集計 2 3 2 2" xfId="892"/>
    <cellStyle name="集計 2 3 3" xfId="893"/>
    <cellStyle name="集計 2 3 3 2" xfId="894"/>
    <cellStyle name="集計 2 3 4" xfId="895"/>
    <cellStyle name="集計 2 3 4 2" xfId="896"/>
    <cellStyle name="集計 2 3 5" xfId="897"/>
    <cellStyle name="集計 2 3 5 2" xfId="898"/>
    <cellStyle name="集計 2 3 6" xfId="899"/>
    <cellStyle name="集計 2 3 6 2" xfId="900"/>
    <cellStyle name="集計 2 3 7" xfId="901"/>
    <cellStyle name="集計 2 4" xfId="902"/>
    <cellStyle name="集計 2 4 2" xfId="903"/>
    <cellStyle name="集計 3" xfId="904"/>
    <cellStyle name="集計 3 2" xfId="905"/>
    <cellStyle name="集計 3 2 2" xfId="906"/>
    <cellStyle name="集計 3 2 2 2" xfId="907"/>
    <cellStyle name="集計 3 2 3" xfId="908"/>
    <cellStyle name="集計 3 2 3 2" xfId="909"/>
    <cellStyle name="集計 3 2 4" xfId="910"/>
    <cellStyle name="集計 3 2 4 2" xfId="911"/>
    <cellStyle name="集計 3 2 5" xfId="912"/>
    <cellStyle name="集計 3 2 5 2" xfId="913"/>
    <cellStyle name="集計 3 2 6" xfId="914"/>
    <cellStyle name="集計 3 2 6 2" xfId="915"/>
    <cellStyle name="集計 3 2 7" xfId="916"/>
    <cellStyle name="集計 3 3" xfId="917"/>
    <cellStyle name="集計 3 3 2" xfId="918"/>
    <cellStyle name="集計 3 4" xfId="919"/>
    <cellStyle name="集計 4" xfId="920"/>
    <cellStyle name="集計 4 2" xfId="921"/>
    <cellStyle name="集計 4 2 2" xfId="922"/>
    <cellStyle name="集計 4 3" xfId="923"/>
    <cellStyle name="集計 4 3 2" xfId="924"/>
    <cellStyle name="集計 4 4" xfId="925"/>
    <cellStyle name="集計 4 4 2" xfId="926"/>
    <cellStyle name="集計 4 5" xfId="927"/>
    <cellStyle name="集計 4 5 2" xfId="928"/>
    <cellStyle name="集計 4 6" xfId="929"/>
    <cellStyle name="集計 4 6 2" xfId="930"/>
    <cellStyle name="集計 4 7" xfId="931"/>
    <cellStyle name="集計 5" xfId="932"/>
    <cellStyle name="集計 6" xfId="933"/>
    <cellStyle name="集計 7" xfId="934"/>
    <cellStyle name="集計 8" xfId="935"/>
    <cellStyle name="集計 9" xfId="936"/>
    <cellStyle name="出力 2" xfId="937"/>
    <cellStyle name="出力 2 2" xfId="938"/>
    <cellStyle name="出力 2 2 2" xfId="939"/>
    <cellStyle name="出力 2 2 2 2" xfId="940"/>
    <cellStyle name="出力 2 2 2 2 2" xfId="941"/>
    <cellStyle name="出力 2 2 2 3" xfId="942"/>
    <cellStyle name="出力 2 2 2 3 2" xfId="943"/>
    <cellStyle name="出力 2 2 2 4" xfId="944"/>
    <cellStyle name="出力 2 2 2 4 2" xfId="945"/>
    <cellStyle name="出力 2 2 2 5" xfId="946"/>
    <cellStyle name="出力 2 2 2 5 2" xfId="947"/>
    <cellStyle name="出力 2 2 2 6" xfId="948"/>
    <cellStyle name="出力 2 2 2 6 2" xfId="949"/>
    <cellStyle name="出力 2 2 2 7" xfId="950"/>
    <cellStyle name="出力 2 2 3" xfId="951"/>
    <cellStyle name="出力 2 2 3 2" xfId="952"/>
    <cellStyle name="出力 2 3" xfId="953"/>
    <cellStyle name="出力 2 3 2" xfId="954"/>
    <cellStyle name="出力 2 3 2 2" xfId="955"/>
    <cellStyle name="出力 2 3 3" xfId="956"/>
    <cellStyle name="出力 2 3 3 2" xfId="957"/>
    <cellStyle name="出力 2 3 4" xfId="958"/>
    <cellStyle name="出力 2 3 4 2" xfId="959"/>
    <cellStyle name="出力 2 3 5" xfId="960"/>
    <cellStyle name="出力 2 3 5 2" xfId="961"/>
    <cellStyle name="出力 2 3 6" xfId="962"/>
    <cellStyle name="出力 2 3 6 2" xfId="963"/>
    <cellStyle name="出力 2 3 7" xfId="964"/>
    <cellStyle name="出力 2 4" xfId="965"/>
    <cellStyle name="出力 2 4 2" xfId="966"/>
    <cellStyle name="出力 3" xfId="967"/>
    <cellStyle name="出力 3 2" xfId="968"/>
    <cellStyle name="出力 3 2 2" xfId="969"/>
    <cellStyle name="出力 3 2 2 2" xfId="970"/>
    <cellStyle name="出力 3 2 3" xfId="971"/>
    <cellStyle name="出力 3 2 3 2" xfId="972"/>
    <cellStyle name="出力 3 2 4" xfId="973"/>
    <cellStyle name="出力 3 2 4 2" xfId="974"/>
    <cellStyle name="出力 3 2 5" xfId="975"/>
    <cellStyle name="出力 3 2 5 2" xfId="976"/>
    <cellStyle name="出力 3 2 6" xfId="977"/>
    <cellStyle name="出力 3 2 6 2" xfId="978"/>
    <cellStyle name="出力 3 2 7" xfId="979"/>
    <cellStyle name="出力 3 3" xfId="980"/>
    <cellStyle name="出力 3 3 2" xfId="981"/>
    <cellStyle name="出力 3 4" xfId="982"/>
    <cellStyle name="出力 4" xfId="983"/>
    <cellStyle name="出力 4 2" xfId="984"/>
    <cellStyle name="出力 4 2 2" xfId="985"/>
    <cellStyle name="出力 4 3" xfId="986"/>
    <cellStyle name="出力 4 3 2" xfId="987"/>
    <cellStyle name="出力 4 4" xfId="988"/>
    <cellStyle name="出力 4 4 2" xfId="989"/>
    <cellStyle name="出力 4 5" xfId="990"/>
    <cellStyle name="出力 4 5 2" xfId="991"/>
    <cellStyle name="出力 4 6" xfId="992"/>
    <cellStyle name="出力 4 6 2" xfId="993"/>
    <cellStyle name="出力 4 7" xfId="994"/>
    <cellStyle name="出力 5" xfId="995"/>
    <cellStyle name="出力 6" xfId="996"/>
    <cellStyle name="出力 7" xfId="997"/>
    <cellStyle name="出力 8" xfId="998"/>
    <cellStyle name="出力 9" xfId="999"/>
    <cellStyle name="人月" xfId="1000"/>
    <cellStyle name="説明文 2" xfId="1001"/>
    <cellStyle name="説明文 3" xfId="1002"/>
    <cellStyle name="説明文 4" xfId="1003"/>
    <cellStyle name="説明文 5" xfId="1004"/>
    <cellStyle name="説明文 6" xfId="1005"/>
    <cellStyle name="説明文 7" xfId="1006"/>
    <cellStyle name="説明文 8" xfId="1007"/>
    <cellStyle name="説明文 9" xfId="1008"/>
    <cellStyle name="脱浦 [0.00]_laroux" xfId="1009"/>
    <cellStyle name="脱浦_laroux" xfId="1010"/>
    <cellStyle name="通貨 [0.00" xfId="1011"/>
    <cellStyle name="通貨 [0.00 2" xfId="1012"/>
    <cellStyle name="通貨 [0.00 3" xfId="1013"/>
    <cellStyle name="通貨 [0.00 4" xfId="1014"/>
    <cellStyle name="通貨 [0.00 5" xfId="1015"/>
    <cellStyle name="通貨 [0.00 6" xfId="1016"/>
    <cellStyle name="通貨 2" xfId="1017"/>
    <cellStyle name="通貨 2 2" xfId="1018"/>
    <cellStyle name="通貨 2 2 2" xfId="1019"/>
    <cellStyle name="通貨 2 2 3" xfId="1020"/>
    <cellStyle name="通貨 2 3" xfId="1021"/>
    <cellStyle name="通貨 2 4" xfId="1022"/>
    <cellStyle name="通貨 2 5" xfId="1023"/>
    <cellStyle name="通貨 3" xfId="1024"/>
    <cellStyle name="入力 2" xfId="1025"/>
    <cellStyle name="入力 2 2" xfId="1026"/>
    <cellStyle name="入力 2 2 2" xfId="1027"/>
    <cellStyle name="入力 2 2 2 2" xfId="1028"/>
    <cellStyle name="入力 2 2 2 2 2" xfId="1029"/>
    <cellStyle name="入力 2 2 2 3" xfId="1030"/>
    <cellStyle name="入力 2 2 2 3 2" xfId="1031"/>
    <cellStyle name="入力 2 2 2 4" xfId="1032"/>
    <cellStyle name="入力 2 2 2 4 2" xfId="1033"/>
    <cellStyle name="入力 2 2 2 5" xfId="1034"/>
    <cellStyle name="入力 2 2 2 5 2" xfId="1035"/>
    <cellStyle name="入力 2 2 2 6" xfId="1036"/>
    <cellStyle name="入力 2 2 2 6 2" xfId="1037"/>
    <cellStyle name="入力 2 2 2 7" xfId="1038"/>
    <cellStyle name="入力 2 2 3" xfId="1039"/>
    <cellStyle name="入力 2 2 3 2" xfId="1040"/>
    <cellStyle name="入力 2 2 4" xfId="1041"/>
    <cellStyle name="入力 2 3" xfId="1042"/>
    <cellStyle name="入力 2 3 2" xfId="1043"/>
    <cellStyle name="入力 2 3 2 2" xfId="1044"/>
    <cellStyle name="入力 2 3 3" xfId="1045"/>
    <cellStyle name="入力 2 3 3 2" xfId="1046"/>
    <cellStyle name="入力 2 3 4" xfId="1047"/>
    <cellStyle name="入力 2 3 4 2" xfId="1048"/>
    <cellStyle name="入力 2 3 5" xfId="1049"/>
    <cellStyle name="入力 2 3 5 2" xfId="1050"/>
    <cellStyle name="入力 2 3 6" xfId="1051"/>
    <cellStyle name="入力 2 3 6 2" xfId="1052"/>
    <cellStyle name="入力 2 3 7" xfId="1053"/>
    <cellStyle name="入力 2 4" xfId="1054"/>
    <cellStyle name="入力 2 4 2" xfId="1055"/>
    <cellStyle name="入力 2 5" xfId="1056"/>
    <cellStyle name="入力 3" xfId="1057"/>
    <cellStyle name="入力 3 2" xfId="1058"/>
    <cellStyle name="入力 3 2 2" xfId="1059"/>
    <cellStyle name="入力 3 2 2 2" xfId="1060"/>
    <cellStyle name="入力 3 2 3" xfId="1061"/>
    <cellStyle name="入力 3 2 3 2" xfId="1062"/>
    <cellStyle name="入力 3 2 4" xfId="1063"/>
    <cellStyle name="入力 3 2 4 2" xfId="1064"/>
    <cellStyle name="入力 3 2 5" xfId="1065"/>
    <cellStyle name="入力 3 2 5 2" xfId="1066"/>
    <cellStyle name="入力 3 2 6" xfId="1067"/>
    <cellStyle name="入力 3 2 6 2" xfId="1068"/>
    <cellStyle name="入力 3 2 7" xfId="1069"/>
    <cellStyle name="入力 3 3" xfId="1070"/>
    <cellStyle name="入力 3 3 2" xfId="1071"/>
    <cellStyle name="入力 3 4" xfId="1072"/>
    <cellStyle name="入力 4" xfId="1073"/>
    <cellStyle name="入力 4 2" xfId="1074"/>
    <cellStyle name="入力 4 2 2" xfId="1075"/>
    <cellStyle name="入力 4 3" xfId="1076"/>
    <cellStyle name="入力 4 3 2" xfId="1077"/>
    <cellStyle name="入力 4 4" xfId="1078"/>
    <cellStyle name="入力 4 4 2" xfId="1079"/>
    <cellStyle name="入力 4 5" xfId="1080"/>
    <cellStyle name="入力 4 5 2" xfId="1081"/>
    <cellStyle name="入力 4 6" xfId="1082"/>
    <cellStyle name="入力 4 6 2" xfId="1083"/>
    <cellStyle name="入力 4 7" xfId="1084"/>
    <cellStyle name="入力 5" xfId="1085"/>
    <cellStyle name="入力 6" xfId="1086"/>
    <cellStyle name="入力 7" xfId="1087"/>
    <cellStyle name="入力 8" xfId="1088"/>
    <cellStyle name="入力 9" xfId="1089"/>
    <cellStyle builtinId="0" name="標準" xfId="0"/>
    <cellStyle name="標準 10" xfId="1090"/>
    <cellStyle name="標準 10 2" xfId="1091"/>
    <cellStyle name="標準 10 3" xfId="1092"/>
    <cellStyle name="標準 10 4" xfId="1093"/>
    <cellStyle name="標準 10 5" xfId="1094"/>
    <cellStyle name="標準 100" xfId="1095"/>
    <cellStyle name="標準 100 2" xfId="1096"/>
    <cellStyle name="標準 100 2 2" xfId="1097"/>
    <cellStyle name="標準 100 2 2 2" xfId="1098"/>
    <cellStyle name="標準 100 2 2 3" xfId="1099"/>
    <cellStyle name="標準 100 2 2 4" xfId="1100"/>
    <cellStyle name="標準 100 2 3" xfId="1101"/>
    <cellStyle name="標準 100 2 4" xfId="1102"/>
    <cellStyle name="標準 100 2 5" xfId="1103"/>
    <cellStyle name="標準 100 3" xfId="1104"/>
    <cellStyle name="標準 100 3 2" xfId="1105"/>
    <cellStyle name="標準 100 3 3" xfId="1106"/>
    <cellStyle name="標準 100 3 4" xfId="1107"/>
    <cellStyle name="標準 100 4" xfId="1108"/>
    <cellStyle name="標準 100 5" xfId="1109"/>
    <cellStyle name="標準 100 6" xfId="1110"/>
    <cellStyle name="標準 101" xfId="1111"/>
    <cellStyle name="標準 102" xfId="1112"/>
    <cellStyle name="標準 102 2" xfId="1113"/>
    <cellStyle name="標準 102 2 2" xfId="1114"/>
    <cellStyle name="標準 102 2 3" xfId="1115"/>
    <cellStyle name="標準 102 2 4" xfId="1116"/>
    <cellStyle name="標準 102 3" xfId="1117"/>
    <cellStyle name="標準 102 4" xfId="1118"/>
    <cellStyle name="標準 102 5" xfId="1119"/>
    <cellStyle name="標準 103" xfId="1120"/>
    <cellStyle name="標準 104" xfId="1121"/>
    <cellStyle name="標準 104 2" xfId="1122"/>
    <cellStyle name="標準 104 3" xfId="1123"/>
    <cellStyle name="標準 104 4" xfId="1124"/>
    <cellStyle name="標準 105" xfId="1125"/>
    <cellStyle name="標準 106" xfId="1126"/>
    <cellStyle name="標準 107" xfId="1127"/>
    <cellStyle name="標準 108" xfId="1128"/>
    <cellStyle name="標準 109" xfId="1129"/>
    <cellStyle name="標準 11" xfId="1130"/>
    <cellStyle name="標準 11 2" xfId="1131"/>
    <cellStyle name="標準 11 3" xfId="1132"/>
    <cellStyle name="標準 110" xfId="1133"/>
    <cellStyle name="標準 111" xfId="1134"/>
    <cellStyle name="標準 112" xfId="1135"/>
    <cellStyle name="標準 113" xfId="1136"/>
    <cellStyle name="標準 114" xfId="1137"/>
    <cellStyle name="標準 115" xfId="1138"/>
    <cellStyle name="標準 116" xfId="1139"/>
    <cellStyle name="標準 117" xfId="1140"/>
    <cellStyle name="標準 118" xfId="1141"/>
    <cellStyle name="標準 119" xfId="1142"/>
    <cellStyle name="標準 12" xfId="1143"/>
    <cellStyle name="標準 12 2" xfId="1144"/>
    <cellStyle name="標準 12 2 2" xfId="1145"/>
    <cellStyle name="標準 12 2 3" xfId="1146"/>
    <cellStyle name="標準 12 3" xfId="1147"/>
    <cellStyle name="標準 12 3 2" xfId="1148"/>
    <cellStyle name="標準 12 3 3" xfId="1149"/>
    <cellStyle name="標準 120" xfId="1150"/>
    <cellStyle name="標準 121" xfId="1151"/>
    <cellStyle name="標準 122" xfId="1152"/>
    <cellStyle name="標準 123" xfId="1153"/>
    <cellStyle name="標準 124" xfId="1154"/>
    <cellStyle name="標準 125" xfId="1155"/>
    <cellStyle name="標準 126" xfId="1156"/>
    <cellStyle name="標準 127" xfId="1157"/>
    <cellStyle name="標準 128" xfId="1158"/>
    <cellStyle name="標準 129" xfId="1159"/>
    <cellStyle name="標準 13" xfId="1160"/>
    <cellStyle name="標準 13 2" xfId="1161"/>
    <cellStyle name="標準 13 3" xfId="1162"/>
    <cellStyle name="標準 13 4" xfId="1163"/>
    <cellStyle name="標準 13 5" xfId="1164"/>
    <cellStyle name="標準 130" xfId="1165"/>
    <cellStyle name="標準 131" xfId="1166"/>
    <cellStyle name="標準 132" xfId="1"/>
    <cellStyle name="標準 133" xfId="1167"/>
    <cellStyle name="標準 136" xfId="1168"/>
    <cellStyle name="標準 14" xfId="1169"/>
    <cellStyle name="標準 14 2" xfId="1170"/>
    <cellStyle name="標準 14 2 2" xfId="1171"/>
    <cellStyle name="標準 14 2 3" xfId="1172"/>
    <cellStyle name="標準 14 3" xfId="1173"/>
    <cellStyle name="標準 14 4" xfId="1174"/>
    <cellStyle name="標準 15" xfId="1175"/>
    <cellStyle name="標準 15 2" xfId="1176"/>
    <cellStyle name="標準 15 2 2" xfId="1177"/>
    <cellStyle name="標準 15 2 3" xfId="1178"/>
    <cellStyle name="標準 15 3" xfId="1179"/>
    <cellStyle name="標準 15 4" xfId="1180"/>
    <cellStyle name="標準 15 5" xfId="1181"/>
    <cellStyle name="標準 15 6" xfId="1182"/>
    <cellStyle name="標準 16" xfId="1183"/>
    <cellStyle name="標準 16 2" xfId="1184"/>
    <cellStyle name="標準 16 2 2" xfId="1185"/>
    <cellStyle name="標準 16 2 3" xfId="1186"/>
    <cellStyle name="標準 16 3" xfId="1187"/>
    <cellStyle name="標準 16 4" xfId="1188"/>
    <cellStyle name="標準 16 5" xfId="1189"/>
    <cellStyle name="標準 17" xfId="1190"/>
    <cellStyle name="標準 17 2" xfId="1191"/>
    <cellStyle name="標準 17 2 2" xfId="1192"/>
    <cellStyle name="標準 17 2 3" xfId="1193"/>
    <cellStyle name="標準 17 3" xfId="1194"/>
    <cellStyle name="標準 17 4" xfId="1195"/>
    <cellStyle name="標準 17 5" xfId="1196"/>
    <cellStyle name="標準 18" xfId="1197"/>
    <cellStyle name="標準 18 2" xfId="1198"/>
    <cellStyle name="標準 18 2 2" xfId="1199"/>
    <cellStyle name="標準 18 2 3" xfId="1200"/>
    <cellStyle name="標準 18 2 4" xfId="1201"/>
    <cellStyle name="標準 18 3" xfId="1202"/>
    <cellStyle name="標準 18 4" xfId="1203"/>
    <cellStyle name="標準 18 5" xfId="1204"/>
    <cellStyle name="標準 18 6" xfId="1205"/>
    <cellStyle name="標準 19" xfId="1206"/>
    <cellStyle name="標準 19 2" xfId="1207"/>
    <cellStyle name="標準 19 3" xfId="1208"/>
    <cellStyle name="標準 2" xfId="1209"/>
    <cellStyle name="標準 2 10" xfId="1210"/>
    <cellStyle name="標準 2 11" xfId="1211"/>
    <cellStyle name="標準 2 12" xfId="1212"/>
    <cellStyle name="標準 2 13" xfId="1213"/>
    <cellStyle name="標準 2 2" xfId="1214"/>
    <cellStyle name="標準 2 2 2" xfId="1215"/>
    <cellStyle name="標準 2 2 2 2" xfId="1216"/>
    <cellStyle name="標準 2 2 2 2 2" xfId="1217"/>
    <cellStyle name="標準 2 2 2 2 3" xfId="1218"/>
    <cellStyle name="標準 2 2 2 3" xfId="1219"/>
    <cellStyle name="標準 2 2 3" xfId="1220"/>
    <cellStyle name="標準 2 2 3 2" xfId="1221"/>
    <cellStyle name="標準 2 2 3 3" xfId="1222"/>
    <cellStyle name="標準 2 2 4" xfId="1223"/>
    <cellStyle name="標準 2 2 4 2" xfId="1224"/>
    <cellStyle name="標準 2 2 4 3" xfId="1225"/>
    <cellStyle name="標準 2 2 5" xfId="1226"/>
    <cellStyle name="標準 2 2 5 2" xfId="1227"/>
    <cellStyle name="標準 2 2 5 3" xfId="1228"/>
    <cellStyle name="標準 2 2 6" xfId="1229"/>
    <cellStyle name="標準 2 2 6 2" xfId="1230"/>
    <cellStyle name="標準 2 2 6 3" xfId="1231"/>
    <cellStyle name="標準 2 2 7" xfId="1232"/>
    <cellStyle name="標準 2 2 8" xfId="1233"/>
    <cellStyle name="標準 2 2_(別紙1)参加者テスト仕様書(JPN)_ver1.81" xfId="1234"/>
    <cellStyle name="標準 2 3" xfId="1235"/>
    <cellStyle name="標準 2 3 2" xfId="1236"/>
    <cellStyle name="標準 2 3 2 2" xfId="1237"/>
    <cellStyle name="標準 2 3 3" xfId="1238"/>
    <cellStyle name="標準 2 3 3 2" xfId="1239"/>
    <cellStyle name="標準 2 3 3 3" xfId="1240"/>
    <cellStyle name="標準 2 3 4" xfId="1241"/>
    <cellStyle name="標準 2 4" xfId="1242"/>
    <cellStyle name="標準 2 4 2" xfId="1243"/>
    <cellStyle name="標準 2 4 2 2" xfId="1244"/>
    <cellStyle name="標準 2 4 3" xfId="1245"/>
    <cellStyle name="標準 2 5" xfId="1246"/>
    <cellStyle name="標準 2 5 2" xfId="1247"/>
    <cellStyle name="標準 2 5 3" xfId="1248"/>
    <cellStyle name="標準 2 6" xfId="1249"/>
    <cellStyle name="標準 2 6 2" xfId="1250"/>
    <cellStyle name="標準 2 6 3" xfId="1251"/>
    <cellStyle name="標準 2 6 4" xfId="1252"/>
    <cellStyle name="標準 2 7" xfId="1253"/>
    <cellStyle name="標準 2 7 2" xfId="1254"/>
    <cellStyle name="標準 2 8" xfId="1255"/>
    <cellStyle name="標準 2 8 2" xfId="1256"/>
    <cellStyle name="標準 2 9" xfId="1257"/>
    <cellStyle name="標準 2_(別紙1)参加者テスト仕様書(JPN)_ver1.81" xfId="1258"/>
    <cellStyle name="標準 20" xfId="1259"/>
    <cellStyle name="標準 20 2" xfId="1260"/>
    <cellStyle name="標準 20 3" xfId="1261"/>
    <cellStyle name="標準 20 4" xfId="1262"/>
    <cellStyle name="標準 20 5" xfId="1263"/>
    <cellStyle name="標準 21" xfId="1264"/>
    <cellStyle name="標準 21 2" xfId="1265"/>
    <cellStyle name="標準 21 2 2" xfId="1266"/>
    <cellStyle name="標準 21 3" xfId="1267"/>
    <cellStyle name="標準 21 3 2" xfId="1268"/>
    <cellStyle name="標準 21 4" xfId="1269"/>
    <cellStyle name="標準 21 5" xfId="1270"/>
    <cellStyle name="標準 22" xfId="1271"/>
    <cellStyle name="標準 22 2" xfId="1272"/>
    <cellStyle name="標準 22 3" xfId="1273"/>
    <cellStyle name="標準 23" xfId="1274"/>
    <cellStyle name="標準 23 2" xfId="1275"/>
    <cellStyle name="標準 23 3" xfId="1276"/>
    <cellStyle name="標準 24" xfId="1277"/>
    <cellStyle name="標準 24 2" xfId="1278"/>
    <cellStyle name="標準 24 3" xfId="1279"/>
    <cellStyle name="標準 25" xfId="1280"/>
    <cellStyle name="標準 26" xfId="1281"/>
    <cellStyle name="標準 27" xfId="1282"/>
    <cellStyle name="標準 28" xfId="1283"/>
    <cellStyle name="標準 29" xfId="1284"/>
    <cellStyle name="標準 3" xfId="1285"/>
    <cellStyle name="標準 3 10" xfId="1286"/>
    <cellStyle name="標準 3 11" xfId="1287"/>
    <cellStyle name="標準 3 2" xfId="1288"/>
    <cellStyle name="標準 3 2 2" xfId="1289"/>
    <cellStyle name="標準 3 2 2 2" xfId="1290"/>
    <cellStyle name="標準 3 2 2 3" xfId="1291"/>
    <cellStyle name="標準 3 2 3" xfId="1292"/>
    <cellStyle name="標準 3 2 3 2" xfId="1293"/>
    <cellStyle name="標準 3 2 3 3" xfId="1294"/>
    <cellStyle name="標準 3 2 4" xfId="1295"/>
    <cellStyle name="標準 3 2 5" xfId="1296"/>
    <cellStyle name="標準 3 3" xfId="1297"/>
    <cellStyle name="標準 3 4" xfId="1298"/>
    <cellStyle name="標準 3 4 2" xfId="1299"/>
    <cellStyle name="標準 3 4 3" xfId="1300"/>
    <cellStyle name="標準 3 5" xfId="1301"/>
    <cellStyle name="標準 3 5 2" xfId="1302"/>
    <cellStyle name="標準 3 5 3" xfId="1303"/>
    <cellStyle name="標準 3 6" xfId="1304"/>
    <cellStyle name="標準 3 6 2" xfId="1305"/>
    <cellStyle name="標準 3 7" xfId="1306"/>
    <cellStyle name="標準 3 8" xfId="1307"/>
    <cellStyle name="標準 3 9" xfId="1308"/>
    <cellStyle name="標準 3_【Quick取得データ配信ツール(仮)】課題管理表（EUC）_20121210" xfId="1309"/>
    <cellStyle name="標準 30" xfId="1310"/>
    <cellStyle name="標準 31" xfId="1311"/>
    <cellStyle name="標準 31 2" xfId="1312"/>
    <cellStyle name="標準 31 3" xfId="1313"/>
    <cellStyle name="標準 32" xfId="1314"/>
    <cellStyle name="標準 32 2" xfId="1315"/>
    <cellStyle name="標準 32 3" xfId="1316"/>
    <cellStyle name="標準 33" xfId="1317"/>
    <cellStyle name="標準 33 2" xfId="1318"/>
    <cellStyle name="標準 33 3" xfId="1319"/>
    <cellStyle name="標準 34" xfId="1320"/>
    <cellStyle name="標準 34 2" xfId="1321"/>
    <cellStyle name="標準 34 3" xfId="1322"/>
    <cellStyle name="標準 35" xfId="1323"/>
    <cellStyle name="標準 35 2" xfId="1324"/>
    <cellStyle name="標準 35 3" xfId="1325"/>
    <cellStyle name="標準 36" xfId="1326"/>
    <cellStyle name="標準 36 2" xfId="1327"/>
    <cellStyle name="標準 36 3" xfId="1328"/>
    <cellStyle name="標準 37" xfId="1329"/>
    <cellStyle name="標準 37 2" xfId="1330"/>
    <cellStyle name="標準 37 3" xfId="1331"/>
    <cellStyle name="標準 38" xfId="1332"/>
    <cellStyle name="標準 39" xfId="1333"/>
    <cellStyle name="標準 39 2" xfId="1334"/>
    <cellStyle name="標準 39 3" xfId="1335"/>
    <cellStyle name="標準 4" xfId="1336"/>
    <cellStyle name="標準 4 2" xfId="1337"/>
    <cellStyle name="標準 4 2 2" xfId="1338"/>
    <cellStyle name="標準 4 2 2 2" xfId="1339"/>
    <cellStyle name="標準 4 2 2 3" xfId="1340"/>
    <cellStyle name="標準 4 2 3" xfId="1341"/>
    <cellStyle name="標準 4 3" xfId="1342"/>
    <cellStyle name="標準 4 3 2" xfId="1343"/>
    <cellStyle name="標準 4 3 3" xfId="1344"/>
    <cellStyle name="標準 4 4" xfId="1345"/>
    <cellStyle name="標準 4 4 2" xfId="1346"/>
    <cellStyle name="標準 4 4 3" xfId="1347"/>
    <cellStyle name="標準 4 5" xfId="1348"/>
    <cellStyle name="標準 4 6" xfId="1349"/>
    <cellStyle name="標準 4_20121011__1_F⇒O_【証拠金１本化】課題管理（清算）" xfId="1350"/>
    <cellStyle name="標準 40" xfId="1351"/>
    <cellStyle name="標準 41" xfId="1352"/>
    <cellStyle name="標準 42" xfId="1353"/>
    <cellStyle name="標準 43" xfId="1354"/>
    <cellStyle name="標準 44" xfId="1355"/>
    <cellStyle name="標準 45" xfId="1356"/>
    <cellStyle name="標準 46" xfId="1357"/>
    <cellStyle name="標準 47" xfId="1358"/>
    <cellStyle name="標準 48" xfId="1359"/>
    <cellStyle name="標準 49" xfId="1360"/>
    <cellStyle name="標準 5" xfId="1361"/>
    <cellStyle name="標準 5 2" xfId="1362"/>
    <cellStyle name="標準 5 2 2" xfId="1363"/>
    <cellStyle name="標準 5 2 2 2" xfId="1364"/>
    <cellStyle name="標準 5 2 2 3" xfId="1365"/>
    <cellStyle name="標準 5 2 3" xfId="1366"/>
    <cellStyle name="標準 5 2 3 2" xfId="1367"/>
    <cellStyle name="標準 5 2 3 3" xfId="1368"/>
    <cellStyle name="標準 5 3" xfId="1369"/>
    <cellStyle name="標準 5 4" xfId="1370"/>
    <cellStyle name="標準 5 4 2" xfId="1371"/>
    <cellStyle name="標準 5_バックアップセンタ_切替テストスケジュール_20120406~10" xfId="1372"/>
    <cellStyle name="標準 50" xfId="1373"/>
    <cellStyle name="標準 51" xfId="1374"/>
    <cellStyle name="標準 52" xfId="1375"/>
    <cellStyle name="標準 53" xfId="1376"/>
    <cellStyle name="標準 54" xfId="1377"/>
    <cellStyle name="標準 55" xfId="1378"/>
    <cellStyle name="標準 56" xfId="1379"/>
    <cellStyle name="標準 57" xfId="1380"/>
    <cellStyle name="標準 58" xfId="1381"/>
    <cellStyle name="標準 59" xfId="1382"/>
    <cellStyle name="標準 6" xfId="1383"/>
    <cellStyle name="標準 6 2" xfId="1384"/>
    <cellStyle name="標準 6 2 2" xfId="1385"/>
    <cellStyle name="標準 6 2 3" xfId="1386"/>
    <cellStyle name="標準 6 2 4" xfId="1387"/>
    <cellStyle name="標準 6 3" xfId="1388"/>
    <cellStyle name="標準 6_バックアップセンタ_切替テストスケジュール_20120406~10" xfId="1389"/>
    <cellStyle name="標準 60" xfId="1390"/>
    <cellStyle name="標準 61" xfId="1391"/>
    <cellStyle name="標準 62" xfId="1392"/>
    <cellStyle name="標準 63" xfId="1393"/>
    <cellStyle name="標準 64" xfId="1394"/>
    <cellStyle name="標準 65" xfId="1395"/>
    <cellStyle name="標準 66" xfId="1396"/>
    <cellStyle name="標準 67" xfId="1397"/>
    <cellStyle name="標準 68" xfId="1398"/>
    <cellStyle name="標準 69" xfId="1399"/>
    <cellStyle name="標準 69 2" xfId="1400"/>
    <cellStyle name="標準 69 2 2" xfId="1401"/>
    <cellStyle name="標準 69 2 2 2" xfId="1402"/>
    <cellStyle name="標準 69 2 2 3" xfId="1403"/>
    <cellStyle name="標準 69 2 2 4" xfId="1404"/>
    <cellStyle name="標準 69 2 3" xfId="1405"/>
    <cellStyle name="標準 69 2 4" xfId="1406"/>
    <cellStyle name="標準 69 2 5" xfId="1407"/>
    <cellStyle name="標準 69 3" xfId="1408"/>
    <cellStyle name="標準 69 3 2" xfId="1409"/>
    <cellStyle name="標準 69 3 3" xfId="1410"/>
    <cellStyle name="標準 69 3 4" xfId="1411"/>
    <cellStyle name="標準 69 4" xfId="1412"/>
    <cellStyle name="標準 69 5" xfId="1413"/>
    <cellStyle name="標準 69 6" xfId="1414"/>
    <cellStyle name="標準 69 7" xfId="1415"/>
    <cellStyle name="標準 69 8" xfId="1416"/>
    <cellStyle name="標準 7" xfId="1417"/>
    <cellStyle name="標準 7 2" xfId="1418"/>
    <cellStyle name="標準 7 2 2" xfId="1419"/>
    <cellStyle name="標準 7 2 3" xfId="1420"/>
    <cellStyle name="標準 7 3" xfId="1421"/>
    <cellStyle name="標準 7 3 2" xfId="1422"/>
    <cellStyle name="標準 7 3 3" xfId="1423"/>
    <cellStyle name="標準 7 4" xfId="1424"/>
    <cellStyle name="標準 7 4 2" xfId="1425"/>
    <cellStyle name="標準 7 4 3" xfId="1426"/>
    <cellStyle name="標準 7 5" xfId="1427"/>
    <cellStyle name="標準 70" xfId="1428"/>
    <cellStyle name="標準 70 2" xfId="1429"/>
    <cellStyle name="標準 70 2 2" xfId="1430"/>
    <cellStyle name="標準 70 2 2 2" xfId="1431"/>
    <cellStyle name="標準 70 2 2 3" xfId="1432"/>
    <cellStyle name="標準 70 2 2 4" xfId="1433"/>
    <cellStyle name="標準 70 2 3" xfId="1434"/>
    <cellStyle name="標準 70 2 4" xfId="1435"/>
    <cellStyle name="標準 70 2 5" xfId="1436"/>
    <cellStyle name="標準 70 3" xfId="1437"/>
    <cellStyle name="標準 70 3 2" xfId="1438"/>
    <cellStyle name="標準 70 3 3" xfId="1439"/>
    <cellStyle name="標準 70 3 4" xfId="1440"/>
    <cellStyle name="標準 70 4" xfId="1441"/>
    <cellStyle name="標準 70 5" xfId="1442"/>
    <cellStyle name="標準 70 6" xfId="1443"/>
    <cellStyle name="標準 70 7" xfId="1444"/>
    <cellStyle name="標準 70 8" xfId="1445"/>
    <cellStyle name="標準 71" xfId="1446"/>
    <cellStyle name="標準 71 2" xfId="1447"/>
    <cellStyle name="標準 71 2 2" xfId="1448"/>
    <cellStyle name="標準 71 2 2 2" xfId="1449"/>
    <cellStyle name="標準 71 2 2 3" xfId="1450"/>
    <cellStyle name="標準 71 2 2 4" xfId="1451"/>
    <cellStyle name="標準 71 2 3" xfId="1452"/>
    <cellStyle name="標準 71 2 4" xfId="1453"/>
    <cellStyle name="標準 71 2 5" xfId="1454"/>
    <cellStyle name="標準 71 3" xfId="1455"/>
    <cellStyle name="標準 71 3 2" xfId="1456"/>
    <cellStyle name="標準 71 3 3" xfId="1457"/>
    <cellStyle name="標準 71 3 4" xfId="1458"/>
    <cellStyle name="標準 71 4" xfId="1459"/>
    <cellStyle name="標準 71 5" xfId="1460"/>
    <cellStyle name="標準 71 6" xfId="1461"/>
    <cellStyle name="標準 71 7" xfId="1462"/>
    <cellStyle name="標準 71 8" xfId="1463"/>
    <cellStyle name="標準 72" xfId="1464"/>
    <cellStyle name="標準 72 2" xfId="1465"/>
    <cellStyle name="標準 72 2 2" xfId="1466"/>
    <cellStyle name="標準 72 2 2 2" xfId="1467"/>
    <cellStyle name="標準 72 2 2 3" xfId="1468"/>
    <cellStyle name="標準 72 2 2 4" xfId="1469"/>
    <cellStyle name="標準 72 2 3" xfId="1470"/>
    <cellStyle name="標準 72 2 4" xfId="1471"/>
    <cellStyle name="標準 72 2 5" xfId="1472"/>
    <cellStyle name="標準 72 3" xfId="1473"/>
    <cellStyle name="標準 72 3 2" xfId="1474"/>
    <cellStyle name="標準 72 3 3" xfId="1475"/>
    <cellStyle name="標準 72 3 4" xfId="1476"/>
    <cellStyle name="標準 72 4" xfId="1477"/>
    <cellStyle name="標準 72 5" xfId="1478"/>
    <cellStyle name="標準 72 6" xfId="1479"/>
    <cellStyle name="標準 72 7" xfId="1480"/>
    <cellStyle name="標準 72 8" xfId="1481"/>
    <cellStyle name="標準 73" xfId="1482"/>
    <cellStyle name="標準 73 2" xfId="1483"/>
    <cellStyle name="標準 73 2 2" xfId="1484"/>
    <cellStyle name="標準 73 2 2 2" xfId="1485"/>
    <cellStyle name="標準 73 2 2 3" xfId="1486"/>
    <cellStyle name="標準 73 2 2 4" xfId="1487"/>
    <cellStyle name="標準 73 2 3" xfId="1488"/>
    <cellStyle name="標準 73 2 4" xfId="1489"/>
    <cellStyle name="標準 73 2 5" xfId="1490"/>
    <cellStyle name="標準 73 3" xfId="1491"/>
    <cellStyle name="標準 73 3 2" xfId="1492"/>
    <cellStyle name="標準 73 3 3" xfId="1493"/>
    <cellStyle name="標準 73 3 4" xfId="1494"/>
    <cellStyle name="標準 73 4" xfId="1495"/>
    <cellStyle name="標準 73 5" xfId="1496"/>
    <cellStyle name="標準 73 6" xfId="1497"/>
    <cellStyle name="標準 74" xfId="1498"/>
    <cellStyle name="標準 74 2" xfId="1499"/>
    <cellStyle name="標準 74 2 2" xfId="1500"/>
    <cellStyle name="標準 74 2 2 2" xfId="1501"/>
    <cellStyle name="標準 74 2 2 3" xfId="1502"/>
    <cellStyle name="標準 74 2 2 4" xfId="1503"/>
    <cellStyle name="標準 74 2 3" xfId="1504"/>
    <cellStyle name="標準 74 2 4" xfId="1505"/>
    <cellStyle name="標準 74 2 5" xfId="1506"/>
    <cellStyle name="標準 74 3" xfId="1507"/>
    <cellStyle name="標準 74 3 2" xfId="1508"/>
    <cellStyle name="標準 74 3 3" xfId="1509"/>
    <cellStyle name="標準 74 3 4" xfId="1510"/>
    <cellStyle name="標準 74 4" xfId="1511"/>
    <cellStyle name="標準 74 5" xfId="1512"/>
    <cellStyle name="標準 74 6" xfId="1513"/>
    <cellStyle name="標準 75" xfId="1514"/>
    <cellStyle name="標準 75 2" xfId="1515"/>
    <cellStyle name="標準 75 2 2" xfId="1516"/>
    <cellStyle name="標準 75 2 2 2" xfId="1517"/>
    <cellStyle name="標準 75 2 2 3" xfId="1518"/>
    <cellStyle name="標準 75 2 2 4" xfId="1519"/>
    <cellStyle name="標準 75 2 3" xfId="1520"/>
    <cellStyle name="標準 75 2 4" xfId="1521"/>
    <cellStyle name="標準 75 2 5" xfId="1522"/>
    <cellStyle name="標準 75 3" xfId="1523"/>
    <cellStyle name="標準 75 3 2" xfId="1524"/>
    <cellStyle name="標準 75 3 3" xfId="1525"/>
    <cellStyle name="標準 75 3 4" xfId="1526"/>
    <cellStyle name="標準 75 4" xfId="1527"/>
    <cellStyle name="標準 75 5" xfId="1528"/>
    <cellStyle name="標準 75 6" xfId="1529"/>
    <cellStyle name="標準 76" xfId="1530"/>
    <cellStyle name="標準 76 2" xfId="1531"/>
    <cellStyle name="標準 76 2 2" xfId="1532"/>
    <cellStyle name="標準 76 2 2 2" xfId="1533"/>
    <cellStyle name="標準 76 2 2 3" xfId="1534"/>
    <cellStyle name="標準 76 2 2 4" xfId="1535"/>
    <cellStyle name="標準 76 2 3" xfId="1536"/>
    <cellStyle name="標準 76 2 4" xfId="1537"/>
    <cellStyle name="標準 76 2 5" xfId="1538"/>
    <cellStyle name="標準 76 3" xfId="1539"/>
    <cellStyle name="標準 76 3 2" xfId="1540"/>
    <cellStyle name="標準 76 3 3" xfId="1541"/>
    <cellStyle name="標準 76 3 4" xfId="1542"/>
    <cellStyle name="標準 76 4" xfId="1543"/>
    <cellStyle name="標準 76 5" xfId="1544"/>
    <cellStyle name="標準 76 6" xfId="1545"/>
    <cellStyle name="標準 77" xfId="1546"/>
    <cellStyle name="標準 77 2" xfId="1547"/>
    <cellStyle name="標準 77 2 2" xfId="1548"/>
    <cellStyle name="標準 77 2 2 2" xfId="1549"/>
    <cellStyle name="標準 77 2 2 3" xfId="1550"/>
    <cellStyle name="標準 77 2 2 4" xfId="1551"/>
    <cellStyle name="標準 77 2 3" xfId="1552"/>
    <cellStyle name="標準 77 2 4" xfId="1553"/>
    <cellStyle name="標準 77 2 5" xfId="1554"/>
    <cellStyle name="標準 77 3" xfId="1555"/>
    <cellStyle name="標準 77 3 2" xfId="1556"/>
    <cellStyle name="標準 77 3 3" xfId="1557"/>
    <cellStyle name="標準 77 3 4" xfId="1558"/>
    <cellStyle name="標準 77 4" xfId="1559"/>
    <cellStyle name="標準 77 5" xfId="1560"/>
    <cellStyle name="標準 77 6" xfId="1561"/>
    <cellStyle name="標準 78" xfId="1562"/>
    <cellStyle name="標準 78 2" xfId="1563"/>
    <cellStyle name="標準 78 2 2" xfId="1564"/>
    <cellStyle name="標準 78 2 2 2" xfId="1565"/>
    <cellStyle name="標準 78 2 2 3" xfId="1566"/>
    <cellStyle name="標準 78 2 2 4" xfId="1567"/>
    <cellStyle name="標準 78 2 3" xfId="1568"/>
    <cellStyle name="標準 78 2 4" xfId="1569"/>
    <cellStyle name="標準 78 2 5" xfId="1570"/>
    <cellStyle name="標準 78 3" xfId="1571"/>
    <cellStyle name="標準 78 3 2" xfId="1572"/>
    <cellStyle name="標準 78 3 3" xfId="1573"/>
    <cellStyle name="標準 78 3 4" xfId="1574"/>
    <cellStyle name="標準 78 4" xfId="1575"/>
    <cellStyle name="標準 78 5" xfId="1576"/>
    <cellStyle name="標準 78 6" xfId="1577"/>
    <cellStyle name="標準 79" xfId="1578"/>
    <cellStyle name="標準 79 2" xfId="1579"/>
    <cellStyle name="標準 79 2 2" xfId="1580"/>
    <cellStyle name="標準 79 2 2 2" xfId="1581"/>
    <cellStyle name="標準 79 2 2 3" xfId="1582"/>
    <cellStyle name="標準 79 2 2 4" xfId="1583"/>
    <cellStyle name="標準 79 2 3" xfId="1584"/>
    <cellStyle name="標準 79 2 4" xfId="1585"/>
    <cellStyle name="標準 79 2 5" xfId="1586"/>
    <cellStyle name="標準 79 3" xfId="1587"/>
    <cellStyle name="標準 79 3 2" xfId="1588"/>
    <cellStyle name="標準 79 3 3" xfId="1589"/>
    <cellStyle name="標準 79 3 4" xfId="1590"/>
    <cellStyle name="標準 79 4" xfId="1591"/>
    <cellStyle name="標準 79 5" xfId="1592"/>
    <cellStyle name="標準 79 6" xfId="1593"/>
    <cellStyle name="標準 8" xfId="1594"/>
    <cellStyle name="標準 8 2" xfId="1595"/>
    <cellStyle name="標準 8 3" xfId="1596"/>
    <cellStyle name="標準 8 4" xfId="1597"/>
    <cellStyle name="標準 8 5" xfId="1598"/>
    <cellStyle name="標準 8 6" xfId="1599"/>
    <cellStyle name="標準 80" xfId="1600"/>
    <cellStyle name="標準 80 2" xfId="1601"/>
    <cellStyle name="標準 80 2 2" xfId="1602"/>
    <cellStyle name="標準 80 2 2 2" xfId="1603"/>
    <cellStyle name="標準 80 2 2 3" xfId="1604"/>
    <cellStyle name="標準 80 2 2 4" xfId="1605"/>
    <cellStyle name="標準 80 2 3" xfId="1606"/>
    <cellStyle name="標準 80 2 4" xfId="1607"/>
    <cellStyle name="標準 80 2 5" xfId="1608"/>
    <cellStyle name="標準 80 3" xfId="1609"/>
    <cellStyle name="標準 80 3 2" xfId="1610"/>
    <cellStyle name="標準 80 3 3" xfId="1611"/>
    <cellStyle name="標準 80 3 4" xfId="1612"/>
    <cellStyle name="標準 80 4" xfId="1613"/>
    <cellStyle name="標準 80 5" xfId="1614"/>
    <cellStyle name="標準 80 6" xfId="1615"/>
    <cellStyle name="標準 81" xfId="1616"/>
    <cellStyle name="標準 81 2" xfId="1617"/>
    <cellStyle name="標準 81 2 2" xfId="1618"/>
    <cellStyle name="標準 81 2 2 2" xfId="1619"/>
    <cellStyle name="標準 81 2 2 3" xfId="1620"/>
    <cellStyle name="標準 81 2 2 4" xfId="1621"/>
    <cellStyle name="標準 81 2 3" xfId="1622"/>
    <cellStyle name="標準 81 2 4" xfId="1623"/>
    <cellStyle name="標準 81 2 5" xfId="1624"/>
    <cellStyle name="標準 81 3" xfId="1625"/>
    <cellStyle name="標準 81 3 2" xfId="1626"/>
    <cellStyle name="標準 81 3 3" xfId="1627"/>
    <cellStyle name="標準 81 3 4" xfId="1628"/>
    <cellStyle name="標準 81 4" xfId="1629"/>
    <cellStyle name="標準 81 5" xfId="1630"/>
    <cellStyle name="標準 81 6" xfId="1631"/>
    <cellStyle name="標準 82" xfId="1632"/>
    <cellStyle name="標準 82 2" xfId="1633"/>
    <cellStyle name="標準 82 2 2" xfId="1634"/>
    <cellStyle name="標準 82 2 2 2" xfId="1635"/>
    <cellStyle name="標準 82 2 2 3" xfId="1636"/>
    <cellStyle name="標準 82 2 2 4" xfId="1637"/>
    <cellStyle name="標準 82 2 3" xfId="1638"/>
    <cellStyle name="標準 82 2 4" xfId="1639"/>
    <cellStyle name="標準 82 2 5" xfId="1640"/>
    <cellStyle name="標準 82 3" xfId="1641"/>
    <cellStyle name="標準 82 3 2" xfId="1642"/>
    <cellStyle name="標準 82 3 3" xfId="1643"/>
    <cellStyle name="標準 82 3 4" xfId="1644"/>
    <cellStyle name="標準 82 4" xfId="1645"/>
    <cellStyle name="標準 82 5" xfId="1646"/>
    <cellStyle name="標準 82 6" xfId="1647"/>
    <cellStyle name="標準 83" xfId="1648"/>
    <cellStyle name="標準 83 2" xfId="1649"/>
    <cellStyle name="標準 83 2 2" xfId="1650"/>
    <cellStyle name="標準 83 2 2 2" xfId="1651"/>
    <cellStyle name="標準 83 2 2 3" xfId="1652"/>
    <cellStyle name="標準 83 2 2 4" xfId="1653"/>
    <cellStyle name="標準 83 2 3" xfId="1654"/>
    <cellStyle name="標準 83 2 4" xfId="1655"/>
    <cellStyle name="標準 83 2 5" xfId="1656"/>
    <cellStyle name="標準 83 3" xfId="1657"/>
    <cellStyle name="標準 83 3 2" xfId="1658"/>
    <cellStyle name="標準 83 3 3" xfId="1659"/>
    <cellStyle name="標準 83 3 4" xfId="1660"/>
    <cellStyle name="標準 83 4" xfId="1661"/>
    <cellStyle name="標準 83 5" xfId="1662"/>
    <cellStyle name="標準 83 6" xfId="1663"/>
    <cellStyle name="標準 84" xfId="1664"/>
    <cellStyle name="標準 84 2" xfId="1665"/>
    <cellStyle name="標準 84 2 2" xfId="1666"/>
    <cellStyle name="標準 84 2 2 2" xfId="1667"/>
    <cellStyle name="標準 84 2 2 3" xfId="1668"/>
    <cellStyle name="標準 84 2 2 4" xfId="1669"/>
    <cellStyle name="標準 84 2 3" xfId="1670"/>
    <cellStyle name="標準 84 2 4" xfId="1671"/>
    <cellStyle name="標準 84 2 5" xfId="1672"/>
    <cellStyle name="標準 84 3" xfId="1673"/>
    <cellStyle name="標準 84 3 2" xfId="1674"/>
    <cellStyle name="標準 84 3 3" xfId="1675"/>
    <cellStyle name="標準 84 3 4" xfId="1676"/>
    <cellStyle name="標準 84 4" xfId="1677"/>
    <cellStyle name="標準 84 5" xfId="1678"/>
    <cellStyle name="標準 84 6" xfId="1679"/>
    <cellStyle name="標準 85" xfId="1680"/>
    <cellStyle name="標準 85 2" xfId="1681"/>
    <cellStyle name="標準 85 2 2" xfId="1682"/>
    <cellStyle name="標準 85 2 2 2" xfId="1683"/>
    <cellStyle name="標準 85 2 2 3" xfId="1684"/>
    <cellStyle name="標準 85 2 2 4" xfId="1685"/>
    <cellStyle name="標準 85 2 3" xfId="1686"/>
    <cellStyle name="標準 85 2 4" xfId="1687"/>
    <cellStyle name="標準 85 2 5" xfId="1688"/>
    <cellStyle name="標準 85 3" xfId="1689"/>
    <cellStyle name="標準 85 3 2" xfId="1690"/>
    <cellStyle name="標準 85 3 3" xfId="1691"/>
    <cellStyle name="標準 85 3 4" xfId="1692"/>
    <cellStyle name="標準 85 4" xfId="1693"/>
    <cellStyle name="標準 85 5" xfId="1694"/>
    <cellStyle name="標準 85 6" xfId="1695"/>
    <cellStyle name="標準 86" xfId="1696"/>
    <cellStyle name="標準 86 2" xfId="1697"/>
    <cellStyle name="標準 86 2 2" xfId="1698"/>
    <cellStyle name="標準 86 2 2 2" xfId="1699"/>
    <cellStyle name="標準 86 2 2 3" xfId="1700"/>
    <cellStyle name="標準 86 2 2 4" xfId="1701"/>
    <cellStyle name="標準 86 2 3" xfId="1702"/>
    <cellStyle name="標準 86 2 4" xfId="1703"/>
    <cellStyle name="標準 86 2 5" xfId="1704"/>
    <cellStyle name="標準 86 3" xfId="1705"/>
    <cellStyle name="標準 86 3 2" xfId="1706"/>
    <cellStyle name="標準 86 3 3" xfId="1707"/>
    <cellStyle name="標準 86 3 4" xfId="1708"/>
    <cellStyle name="標準 86 4" xfId="1709"/>
    <cellStyle name="標準 86 5" xfId="1710"/>
    <cellStyle name="標準 86 6" xfId="1711"/>
    <cellStyle name="標準 87" xfId="1712"/>
    <cellStyle name="標準 87 2" xfId="1713"/>
    <cellStyle name="標準 87 2 2" xfId="1714"/>
    <cellStyle name="標準 87 2 2 2" xfId="1715"/>
    <cellStyle name="標準 87 2 2 3" xfId="1716"/>
    <cellStyle name="標準 87 2 2 4" xfId="1717"/>
    <cellStyle name="標準 87 2 3" xfId="1718"/>
    <cellStyle name="標準 87 2 4" xfId="1719"/>
    <cellStyle name="標準 87 2 5" xfId="1720"/>
    <cellStyle name="標準 87 3" xfId="1721"/>
    <cellStyle name="標準 87 3 2" xfId="1722"/>
    <cellStyle name="標準 87 3 3" xfId="1723"/>
    <cellStyle name="標準 87 3 4" xfId="1724"/>
    <cellStyle name="標準 87 4" xfId="1725"/>
    <cellStyle name="標準 87 5" xfId="1726"/>
    <cellStyle name="標準 87 6" xfId="1727"/>
    <cellStyle name="標準 88" xfId="1728"/>
    <cellStyle name="標準 88 2" xfId="1729"/>
    <cellStyle name="標準 88 2 2" xfId="1730"/>
    <cellStyle name="標準 88 2 2 2" xfId="1731"/>
    <cellStyle name="標準 88 2 2 3" xfId="1732"/>
    <cellStyle name="標準 88 2 2 4" xfId="1733"/>
    <cellStyle name="標準 88 2 3" xfId="1734"/>
    <cellStyle name="標準 88 2 4" xfId="1735"/>
    <cellStyle name="標準 88 2 5" xfId="1736"/>
    <cellStyle name="標準 88 3" xfId="1737"/>
    <cellStyle name="標準 88 3 2" xfId="1738"/>
    <cellStyle name="標準 88 3 3" xfId="1739"/>
    <cellStyle name="標準 88 3 4" xfId="1740"/>
    <cellStyle name="標準 88 4" xfId="1741"/>
    <cellStyle name="標準 88 5" xfId="1742"/>
    <cellStyle name="標準 88 6" xfId="1743"/>
    <cellStyle name="標準 89" xfId="1744"/>
    <cellStyle name="標準 89 2" xfId="1745"/>
    <cellStyle name="標準 89 2 2" xfId="1746"/>
    <cellStyle name="標準 89 2 2 2" xfId="1747"/>
    <cellStyle name="標準 89 2 2 3" xfId="1748"/>
    <cellStyle name="標準 89 2 2 4" xfId="1749"/>
    <cellStyle name="標準 89 2 3" xfId="1750"/>
    <cellStyle name="標準 89 2 4" xfId="1751"/>
    <cellStyle name="標準 89 2 5" xfId="1752"/>
    <cellStyle name="標準 89 3" xfId="1753"/>
    <cellStyle name="標準 89 3 2" xfId="1754"/>
    <cellStyle name="標準 89 3 3" xfId="1755"/>
    <cellStyle name="標準 89 3 4" xfId="1756"/>
    <cellStyle name="標準 89 4" xfId="1757"/>
    <cellStyle name="標準 89 5" xfId="1758"/>
    <cellStyle name="標準 89 6" xfId="1759"/>
    <cellStyle name="標準 9" xfId="1760"/>
    <cellStyle name="標準 9 2" xfId="1761"/>
    <cellStyle name="標準 9 3" xfId="1762"/>
    <cellStyle name="標準 90" xfId="1763"/>
    <cellStyle name="標準 90 2" xfId="1764"/>
    <cellStyle name="標準 90 2 2" xfId="1765"/>
    <cellStyle name="標準 90 2 2 2" xfId="1766"/>
    <cellStyle name="標準 90 2 2 3" xfId="1767"/>
    <cellStyle name="標準 90 2 2 4" xfId="1768"/>
    <cellStyle name="標準 90 2 3" xfId="1769"/>
    <cellStyle name="標準 90 2 4" xfId="1770"/>
    <cellStyle name="標準 90 2 5" xfId="1771"/>
    <cellStyle name="標準 90 3" xfId="1772"/>
    <cellStyle name="標準 90 3 2" xfId="1773"/>
    <cellStyle name="標準 90 3 3" xfId="1774"/>
    <cellStyle name="標準 90 3 4" xfId="1775"/>
    <cellStyle name="標準 90 4" xfId="1776"/>
    <cellStyle name="標準 90 5" xfId="1777"/>
    <cellStyle name="標準 90 6" xfId="1778"/>
    <cellStyle name="標準 91" xfId="1779"/>
    <cellStyle name="標準 91 2" xfId="1780"/>
    <cellStyle name="標準 91 2 2" xfId="1781"/>
    <cellStyle name="標準 91 2 2 2" xfId="1782"/>
    <cellStyle name="標準 91 2 2 3" xfId="1783"/>
    <cellStyle name="標準 91 2 2 4" xfId="1784"/>
    <cellStyle name="標準 91 2 3" xfId="1785"/>
    <cellStyle name="標準 91 2 4" xfId="1786"/>
    <cellStyle name="標準 91 2 5" xfId="1787"/>
    <cellStyle name="標準 91 3" xfId="1788"/>
    <cellStyle name="標準 91 3 2" xfId="1789"/>
    <cellStyle name="標準 91 3 3" xfId="1790"/>
    <cellStyle name="標準 91 3 4" xfId="1791"/>
    <cellStyle name="標準 91 4" xfId="1792"/>
    <cellStyle name="標準 91 5" xfId="1793"/>
    <cellStyle name="標準 91 6" xfId="1794"/>
    <cellStyle name="標準 92" xfId="1795"/>
    <cellStyle name="標準 92 2" xfId="1796"/>
    <cellStyle name="標準 92 2 2" xfId="1797"/>
    <cellStyle name="標準 92 2 2 2" xfId="1798"/>
    <cellStyle name="標準 92 2 2 3" xfId="1799"/>
    <cellStyle name="標準 92 2 2 4" xfId="1800"/>
    <cellStyle name="標準 92 2 3" xfId="1801"/>
    <cellStyle name="標準 92 2 4" xfId="1802"/>
    <cellStyle name="標準 92 2 5" xfId="1803"/>
    <cellStyle name="標準 92 3" xfId="1804"/>
    <cellStyle name="標準 92 3 2" xfId="1805"/>
    <cellStyle name="標準 92 3 3" xfId="1806"/>
    <cellStyle name="標準 92 3 4" xfId="1807"/>
    <cellStyle name="標準 92 4" xfId="1808"/>
    <cellStyle name="標準 92 5" xfId="1809"/>
    <cellStyle name="標準 92 6" xfId="1810"/>
    <cellStyle name="標準 93" xfId="1811"/>
    <cellStyle name="標準 93 2" xfId="1812"/>
    <cellStyle name="標準 93 2 2" xfId="1813"/>
    <cellStyle name="標準 93 2 2 2" xfId="1814"/>
    <cellStyle name="標準 93 2 2 3" xfId="1815"/>
    <cellStyle name="標準 93 2 2 4" xfId="1816"/>
    <cellStyle name="標準 93 2 3" xfId="1817"/>
    <cellStyle name="標準 93 2 4" xfId="1818"/>
    <cellStyle name="標準 93 2 5" xfId="1819"/>
    <cellStyle name="標準 93 3" xfId="1820"/>
    <cellStyle name="標準 93 3 2" xfId="1821"/>
    <cellStyle name="標準 93 3 3" xfId="1822"/>
    <cellStyle name="標準 93 3 4" xfId="1823"/>
    <cellStyle name="標準 93 4" xfId="1824"/>
    <cellStyle name="標準 93 5" xfId="1825"/>
    <cellStyle name="標準 93 6" xfId="1826"/>
    <cellStyle name="標準 94" xfId="1827"/>
    <cellStyle name="標準 94 2" xfId="1828"/>
    <cellStyle name="標準 94 2 2" xfId="1829"/>
    <cellStyle name="標準 94 2 2 2" xfId="1830"/>
    <cellStyle name="標準 94 2 2 3" xfId="1831"/>
    <cellStyle name="標準 94 2 2 4" xfId="1832"/>
    <cellStyle name="標準 94 2 3" xfId="1833"/>
    <cellStyle name="標準 94 2 4" xfId="1834"/>
    <cellStyle name="標準 94 2 5" xfId="1835"/>
    <cellStyle name="標準 94 3" xfId="1836"/>
    <cellStyle name="標準 94 3 2" xfId="1837"/>
    <cellStyle name="標準 94 3 3" xfId="1838"/>
    <cellStyle name="標準 94 3 4" xfId="1839"/>
    <cellStyle name="標準 94 4" xfId="1840"/>
    <cellStyle name="標準 94 5" xfId="1841"/>
    <cellStyle name="標準 94 6" xfId="1842"/>
    <cellStyle name="標準 95" xfId="1843"/>
    <cellStyle name="標準 95 2" xfId="1844"/>
    <cellStyle name="標準 95 2 2" xfId="1845"/>
    <cellStyle name="標準 95 2 2 2" xfId="1846"/>
    <cellStyle name="標準 95 2 2 3" xfId="1847"/>
    <cellStyle name="標準 95 2 2 4" xfId="1848"/>
    <cellStyle name="標準 95 2 3" xfId="1849"/>
    <cellStyle name="標準 95 2 4" xfId="1850"/>
    <cellStyle name="標準 95 2 5" xfId="1851"/>
    <cellStyle name="標準 95 3" xfId="1852"/>
    <cellStyle name="標準 95 3 2" xfId="1853"/>
    <cellStyle name="標準 95 3 3" xfId="1854"/>
    <cellStyle name="標準 95 3 4" xfId="1855"/>
    <cellStyle name="標準 95 4" xfId="1856"/>
    <cellStyle name="標準 95 5" xfId="1857"/>
    <cellStyle name="標準 95 6" xfId="1858"/>
    <cellStyle name="標準 96" xfId="1859"/>
    <cellStyle name="標準 96 2" xfId="1860"/>
    <cellStyle name="標準 96 2 2" xfId="1861"/>
    <cellStyle name="標準 96 2 2 2" xfId="1862"/>
    <cellStyle name="標準 96 2 2 3" xfId="1863"/>
    <cellStyle name="標準 96 2 2 4" xfId="1864"/>
    <cellStyle name="標準 96 2 3" xfId="1865"/>
    <cellStyle name="標準 96 2 4" xfId="1866"/>
    <cellStyle name="標準 96 2 5" xfId="1867"/>
    <cellStyle name="標準 96 3" xfId="1868"/>
    <cellStyle name="標準 96 3 2" xfId="1869"/>
    <cellStyle name="標準 96 3 3" xfId="1870"/>
    <cellStyle name="標準 96 3 4" xfId="1871"/>
    <cellStyle name="標準 96 4" xfId="1872"/>
    <cellStyle name="標準 96 5" xfId="1873"/>
    <cellStyle name="標準 96 6" xfId="1874"/>
    <cellStyle name="標準 97" xfId="1875"/>
    <cellStyle name="標準 97 2" xfId="1876"/>
    <cellStyle name="標準 97 2 2" xfId="1877"/>
    <cellStyle name="標準 97 2 2 2" xfId="1878"/>
    <cellStyle name="標準 97 2 2 3" xfId="1879"/>
    <cellStyle name="標準 97 2 2 4" xfId="1880"/>
    <cellStyle name="標準 97 2 3" xfId="1881"/>
    <cellStyle name="標準 97 2 4" xfId="1882"/>
    <cellStyle name="標準 97 2 5" xfId="1883"/>
    <cellStyle name="標準 97 3" xfId="1884"/>
    <cellStyle name="標準 97 3 2" xfId="1885"/>
    <cellStyle name="標準 97 3 3" xfId="1886"/>
    <cellStyle name="標準 97 3 4" xfId="1887"/>
    <cellStyle name="標準 97 4" xfId="1888"/>
    <cellStyle name="標準 97 5" xfId="1889"/>
    <cellStyle name="標準 97 6" xfId="1890"/>
    <cellStyle name="標準 98" xfId="1891"/>
    <cellStyle name="標準 98 2" xfId="1892"/>
    <cellStyle name="標準 98 2 2" xfId="1893"/>
    <cellStyle name="標準 98 2 2 2" xfId="1894"/>
    <cellStyle name="標準 98 2 2 3" xfId="1895"/>
    <cellStyle name="標準 98 2 2 4" xfId="1896"/>
    <cellStyle name="標準 98 2 3" xfId="1897"/>
    <cellStyle name="標準 98 2 4" xfId="1898"/>
    <cellStyle name="標準 98 2 5" xfId="1899"/>
    <cellStyle name="標準 98 3" xfId="1900"/>
    <cellStyle name="標準 98 3 2" xfId="1901"/>
    <cellStyle name="標準 98 3 3" xfId="1902"/>
    <cellStyle name="標準 98 3 4" xfId="1903"/>
    <cellStyle name="標準 98 4" xfId="1904"/>
    <cellStyle name="標準 98 5" xfId="1905"/>
    <cellStyle name="標準 98 6" xfId="1906"/>
    <cellStyle name="標準 99" xfId="1907"/>
    <cellStyle name="標準 99 2" xfId="1908"/>
    <cellStyle name="標準 99 2 2" xfId="1909"/>
    <cellStyle name="標準 99 2 2 2" xfId="1910"/>
    <cellStyle name="標準 99 2 2 3" xfId="1911"/>
    <cellStyle name="標準 99 2 2 4" xfId="1912"/>
    <cellStyle name="標準 99 2 3" xfId="1913"/>
    <cellStyle name="標準 99 2 4" xfId="1914"/>
    <cellStyle name="標準 99 2 5" xfId="1915"/>
    <cellStyle name="標準 99 3" xfId="1916"/>
    <cellStyle name="標準 99 3 2" xfId="1917"/>
    <cellStyle name="標準 99 3 3" xfId="1918"/>
    <cellStyle name="標準 99 3 4" xfId="1919"/>
    <cellStyle name="標準 99 4" xfId="1920"/>
    <cellStyle name="標準 99 5" xfId="1921"/>
    <cellStyle name="標準 99 6" xfId="1922"/>
    <cellStyle name="標準１" xfId="1923"/>
    <cellStyle name="標準10" xfId="1924"/>
    <cellStyle name="標準12" xfId="1925"/>
    <cellStyle name="文字列" xfId="1926"/>
    <cellStyle name="未定義" xfId="1927"/>
    <cellStyle name="未定義 2" xfId="1928"/>
    <cellStyle name="未定義 3" xfId="1929"/>
    <cellStyle name="未定義_030_上場有価証券総括表_詳細設計書_府令改正対応" xfId="1930"/>
    <cellStyle name="良い 2" xfId="1931"/>
    <cellStyle name="良い 3" xfId="1932"/>
    <cellStyle name="良い 4" xfId="1933"/>
    <cellStyle name="良い 5" xfId="1934"/>
    <cellStyle name="良い 6" xfId="1935"/>
    <cellStyle name="良い 7" xfId="1936"/>
    <cellStyle name="良い 8" xfId="1937"/>
    <cellStyle name="良い 9" xfId="1938"/>
    <cellStyle name="표준_4.3.1_取引処理（取引処理制御１－１）" xfId="1939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L485"/>
  <sheetViews>
    <sheetView showGridLines="0" tabSelected="1" view="pageBreakPreview" workbookViewId="0" zoomScaleNormal="70" zoomScaleSheetLayoutView="100">
      <pane activePane="bottomLeft" state="frozen" topLeftCell="A6" ySplit="5"/>
      <selection activeCell="A6" pane="bottomLeft" sqref="A6"/>
    </sheetView>
  </sheetViews>
  <sheetFormatPr defaultRowHeight="13.5"/>
  <cols>
    <col min="1" max="1" customWidth="true" style="3" width="6.25" collapsed="false"/>
    <col min="2" max="2" customWidth="true" style="3" width="33.25" collapsed="false"/>
    <col min="3" max="3" bestFit="true" customWidth="true" style="3" width="37.5" collapsed="false"/>
    <col min="4" max="4" customWidth="true" style="3" width="5.375" collapsed="false"/>
    <col min="5" max="5" customWidth="true" style="3" width="26.875" collapsed="false"/>
    <col min="6" max="6" customWidth="true" style="3" width="5.375" collapsed="false"/>
    <col min="7" max="7" customWidth="true" style="3" width="26.875" collapsed="false"/>
    <col min="8" max="8" customWidth="true" style="3" width="5.375" collapsed="false"/>
    <col min="9" max="9" customWidth="true" style="3" width="26.875" collapsed="false"/>
    <col min="10" max="10" customWidth="true" style="3" width="5.375" collapsed="false"/>
    <col min="11" max="11" customWidth="true" style="3" width="26.875" collapsed="false"/>
    <col min="12" max="12" customWidth="true" style="1" width="9.0" collapsed="false"/>
    <col min="13" max="16384" style="1" width="9.0" collapsed="false"/>
  </cols>
  <sheetData>
    <row customHeight="1" ht="30" r="1" spans="1:11">
      <c r="A1" s="15" t="s">
        <v>0</v>
      </c>
      <c r="B1" s="15"/>
      <c r="C1" s="15"/>
      <c r="D1" s="4"/>
      <c r="E1" s="4"/>
      <c r="F1" s="4"/>
      <c r="G1" s="4"/>
      <c r="H1" s="4"/>
      <c r="I1" s="4"/>
      <c r="J1" s="4"/>
      <c r="K1" s="4"/>
    </row>
    <row customHeight="1" ht="30" r="2" spans="1:11">
      <c r="A2" s="15" t="s">
        <v>1</v>
      </c>
      <c r="B2" s="15"/>
      <c r="C2" s="15"/>
      <c r="D2" s="4"/>
      <c r="E2" s="4"/>
      <c r="F2" s="4"/>
      <c r="G2" s="4"/>
      <c r="H2" s="4"/>
      <c r="I2" s="4"/>
      <c r="J2" s="4"/>
      <c r="K2" s="4"/>
    </row>
    <row customHeight="1" ht="17.100000000000001" r="3" spans="1:11">
      <c r="A3" s="11" t="s">
        <v>2</v>
      </c>
      <c r="B3" s="5"/>
      <c r="C3" s="5"/>
      <c r="D3" s="4"/>
      <c r="E3" s="4"/>
      <c r="F3" s="4"/>
      <c r="G3" s="4"/>
      <c r="H3" s="4"/>
      <c r="I3" s="4"/>
      <c r="J3" s="4"/>
      <c r="K3" s="6" t="s">
        <v>3</v>
      </c>
    </row>
    <row customHeight="1" ht="17.100000000000001" r="4" spans="1:11">
      <c r="A4" s="7" t="s">
        <v>4</v>
      </c>
      <c r="B4" s="16" t="s">
        <v>5</v>
      </c>
      <c r="C4" s="16" t="s">
        <v>6</v>
      </c>
      <c r="D4" s="12" t="s">
        <v>7</v>
      </c>
      <c r="E4" s="12"/>
      <c r="F4" s="12" t="s">
        <v>8</v>
      </c>
      <c r="G4" s="12"/>
      <c r="H4" s="12" t="s">
        <v>9</v>
      </c>
      <c r="I4" s="12"/>
      <c r="J4" s="12" t="s">
        <v>10</v>
      </c>
      <c r="K4" s="12"/>
    </row>
    <row customHeight="1" ht="17.100000000000001" r="5" spans="1:11">
      <c r="A5" s="7" t="s">
        <v>11</v>
      </c>
      <c r="B5" s="17"/>
      <c r="C5" s="17"/>
      <c r="D5" s="12" t="s">
        <v>12</v>
      </c>
      <c r="E5" s="12"/>
      <c r="F5" s="12" t="s">
        <v>13</v>
      </c>
      <c r="G5" s="12"/>
      <c r="H5" s="12" t="s">
        <v>14</v>
      </c>
      <c r="I5" s="12"/>
      <c r="J5" s="13" t="s">
        <v>15</v>
      </c>
      <c r="K5" s="14"/>
    </row>
    <row customHeight="1" ht="13.5" r="6" spans="1:11">
      <c r="A6" s="8" t="s">
        <v>16</v>
      </c>
      <c r="B6" s="9" t="s">
        <v>17</v>
      </c>
      <c r="C6" s="9" t="s">
        <v>18</v>
      </c>
      <c r="D6" s="10"/>
      <c r="E6" s="2" t="n">
        <f>73263</f>
        <v>73263.0</v>
      </c>
      <c r="F6" s="10"/>
      <c r="G6" s="2" t="n">
        <f>2072321181140</f>
        <v>2.07232118114E12</v>
      </c>
      <c r="H6" s="10"/>
      <c r="I6" s="2" t="n">
        <f>13274</f>
        <v>13274.0</v>
      </c>
      <c r="J6" s="10"/>
      <c r="K6" s="2" t="n">
        <f>314828</f>
        <v>314828.0</v>
      </c>
    </row>
    <row r="7">
      <c r="A7" s="8" t="s">
        <v>19</v>
      </c>
      <c r="B7" s="9" t="s">
        <v>17</v>
      </c>
      <c r="C7" s="9" t="s">
        <v>18</v>
      </c>
      <c r="D7" s="10"/>
      <c r="E7" s="2" t="n">
        <f>69616</f>
        <v>69616.0</v>
      </c>
      <c r="F7" s="10"/>
      <c r="G7" s="2" t="n">
        <f>1982355726590</f>
        <v>1.98235572659E12</v>
      </c>
      <c r="H7" s="10"/>
      <c r="I7" s="2" t="n">
        <f>12377</f>
        <v>12377.0</v>
      </c>
      <c r="J7" s="10"/>
      <c r="K7" s="2" t="n">
        <f>319200</f>
        <v>319200.0</v>
      </c>
    </row>
    <row r="8">
      <c r="A8" s="8" t="s">
        <v>20</v>
      </c>
      <c r="B8" s="9" t="s">
        <v>17</v>
      </c>
      <c r="C8" s="9" t="s">
        <v>18</v>
      </c>
      <c r="D8" s="10"/>
      <c r="E8" s="2" t="n">
        <f>111403</f>
        <v>111403.0</v>
      </c>
      <c r="F8" s="10"/>
      <c r="G8" s="2" t="n">
        <f>3212710893878</f>
        <v>3.212710893878E12</v>
      </c>
      <c r="H8" s="10"/>
      <c r="I8" s="2" t="n">
        <f>19966</f>
        <v>19966.0</v>
      </c>
      <c r="J8" s="10"/>
      <c r="K8" s="2" t="n">
        <f>325996</f>
        <v>325996.0</v>
      </c>
    </row>
    <row r="9">
      <c r="A9" s="8" t="s">
        <v>21</v>
      </c>
      <c r="B9" s="9" t="s">
        <v>17</v>
      </c>
      <c r="C9" s="9" t="s">
        <v>18</v>
      </c>
      <c r="D9" s="10"/>
      <c r="E9" s="2"/>
      <c r="F9" s="10"/>
      <c r="G9" s="2"/>
      <c r="H9" s="10"/>
      <c r="I9" s="2"/>
      <c r="J9" s="10"/>
      <c r="K9" s="2"/>
    </row>
    <row r="10">
      <c r="A10" s="8" t="s">
        <v>22</v>
      </c>
      <c r="B10" s="9" t="s">
        <v>17</v>
      </c>
      <c r="C10" s="9" t="s">
        <v>18</v>
      </c>
      <c r="D10" s="10"/>
      <c r="E10" s="2"/>
      <c r="F10" s="10"/>
      <c r="G10" s="2"/>
      <c r="H10" s="10"/>
      <c r="I10" s="2"/>
      <c r="J10" s="10"/>
      <c r="K10" s="2"/>
    </row>
    <row r="11">
      <c r="A11" s="8" t="s">
        <v>23</v>
      </c>
      <c r="B11" s="9" t="s">
        <v>17</v>
      </c>
      <c r="C11" s="9" t="s">
        <v>18</v>
      </c>
      <c r="D11" s="10"/>
      <c r="E11" s="2" t="n">
        <f>207488</f>
        <v>207488.0</v>
      </c>
      <c r="F11" s="10"/>
      <c r="G11" s="2" t="n">
        <f>6126879249875</f>
        <v>6.126879249875E12</v>
      </c>
      <c r="H11" s="10"/>
      <c r="I11" s="2" t="n">
        <f>39048</f>
        <v>39048.0</v>
      </c>
      <c r="J11" s="10"/>
      <c r="K11" s="2" t="n">
        <f>365148</f>
        <v>365148.0</v>
      </c>
    </row>
    <row r="12">
      <c r="A12" s="8" t="s">
        <v>24</v>
      </c>
      <c r="B12" s="9" t="s">
        <v>17</v>
      </c>
      <c r="C12" s="9" t="s">
        <v>18</v>
      </c>
      <c r="D12" s="10" t="s">
        <v>25</v>
      </c>
      <c r="E12" s="2" t="n">
        <f>338989</f>
        <v>338989.0</v>
      </c>
      <c r="F12" s="10" t="s">
        <v>25</v>
      </c>
      <c r="G12" s="2" t="n">
        <f>10120066661710</f>
        <v>1.012006666171E13</v>
      </c>
      <c r="H12" s="10" t="s">
        <v>25</v>
      </c>
      <c r="I12" s="2" t="n">
        <f>57049</f>
        <v>57049.0</v>
      </c>
      <c r="J12" s="10" t="s">
        <v>25</v>
      </c>
      <c r="K12" s="2" t="n">
        <f>365763</f>
        <v>365763.0</v>
      </c>
    </row>
    <row r="13">
      <c r="A13" s="8" t="s">
        <v>26</v>
      </c>
      <c r="B13" s="9" t="s">
        <v>17</v>
      </c>
      <c r="C13" s="9" t="s">
        <v>18</v>
      </c>
      <c r="D13" s="10"/>
      <c r="E13" s="2" t="n">
        <f>258886</f>
        <v>258886.0</v>
      </c>
      <c r="F13" s="10"/>
      <c r="G13" s="2" t="n">
        <f>7744654857755</f>
        <v>7.744654857755E12</v>
      </c>
      <c r="H13" s="10"/>
      <c r="I13" s="2" t="n">
        <f>29257</f>
        <v>29257.0</v>
      </c>
      <c r="J13" s="10"/>
      <c r="K13" s="2" t="n">
        <f>359873</f>
        <v>359873.0</v>
      </c>
    </row>
    <row r="14">
      <c r="A14" s="8" t="s">
        <v>27</v>
      </c>
      <c r="B14" s="9" t="s">
        <v>17</v>
      </c>
      <c r="C14" s="9" t="s">
        <v>18</v>
      </c>
      <c r="D14" s="10"/>
      <c r="E14" s="2" t="n">
        <f>154161</f>
        <v>154161.0</v>
      </c>
      <c r="F14" s="10"/>
      <c r="G14" s="2" t="n">
        <f>4611765927038</f>
        <v>4.611765927038E12</v>
      </c>
      <c r="H14" s="10"/>
      <c r="I14" s="2" t="n">
        <f>18751</f>
        <v>18751.0</v>
      </c>
      <c r="J14" s="10"/>
      <c r="K14" s="2" t="n">
        <f>353781</f>
        <v>353781.0</v>
      </c>
    </row>
    <row r="15">
      <c r="A15" s="8" t="s">
        <v>28</v>
      </c>
      <c r="B15" s="9" t="s">
        <v>17</v>
      </c>
      <c r="C15" s="9" t="s">
        <v>18</v>
      </c>
      <c r="D15" s="10"/>
      <c r="E15" s="2" t="n">
        <f>83499</f>
        <v>83499.0</v>
      </c>
      <c r="F15" s="10"/>
      <c r="G15" s="2" t="n">
        <f>2507785562890</f>
        <v>2.50778556289E12</v>
      </c>
      <c r="H15" s="10"/>
      <c r="I15" s="2" t="n">
        <f>11788</f>
        <v>11788.0</v>
      </c>
      <c r="J15" s="10"/>
      <c r="K15" s="2" t="n">
        <f>358685</f>
        <v>358685.0</v>
      </c>
    </row>
    <row r="16">
      <c r="A16" s="8" t="s">
        <v>29</v>
      </c>
      <c r="B16" s="9" t="s">
        <v>17</v>
      </c>
      <c r="C16" s="9" t="s">
        <v>18</v>
      </c>
      <c r="D16" s="10"/>
      <c r="E16" s="2"/>
      <c r="F16" s="10"/>
      <c r="G16" s="2"/>
      <c r="H16" s="10"/>
      <c r="I16" s="2"/>
      <c r="J16" s="10"/>
      <c r="K16" s="2"/>
    </row>
    <row r="17">
      <c r="A17" s="8" t="s">
        <v>30</v>
      </c>
      <c r="B17" s="9" t="s">
        <v>17</v>
      </c>
      <c r="C17" s="9" t="s">
        <v>18</v>
      </c>
      <c r="D17" s="10"/>
      <c r="E17" s="2"/>
      <c r="F17" s="10"/>
      <c r="G17" s="2"/>
      <c r="H17" s="10"/>
      <c r="I17" s="2"/>
      <c r="J17" s="10"/>
      <c r="K17" s="2"/>
    </row>
    <row r="18">
      <c r="A18" s="8" t="s">
        <v>31</v>
      </c>
      <c r="B18" s="9" t="s">
        <v>17</v>
      </c>
      <c r="C18" s="9" t="s">
        <v>18</v>
      </c>
      <c r="D18" s="10"/>
      <c r="E18" s="2" t="n">
        <f>60540</f>
        <v>60540.0</v>
      </c>
      <c r="F18" s="10"/>
      <c r="G18" s="2" t="n">
        <f>1827029314940</f>
        <v>1.82702931494E12</v>
      </c>
      <c r="H18" s="10"/>
      <c r="I18" s="2" t="n">
        <f>9248</f>
        <v>9248.0</v>
      </c>
      <c r="J18" s="10" t="s">
        <v>32</v>
      </c>
      <c r="K18" s="2" t="n">
        <f>275428</f>
        <v>275428.0</v>
      </c>
    </row>
    <row r="19">
      <c r="A19" s="8" t="s">
        <v>33</v>
      </c>
      <c r="B19" s="9" t="s">
        <v>17</v>
      </c>
      <c r="C19" s="9" t="s">
        <v>18</v>
      </c>
      <c r="D19" s="10"/>
      <c r="E19" s="2" t="n">
        <f>78587</f>
        <v>78587.0</v>
      </c>
      <c r="F19" s="10"/>
      <c r="G19" s="2" t="n">
        <f>2391410104960</f>
        <v>2.39141010496E12</v>
      </c>
      <c r="H19" s="10"/>
      <c r="I19" s="2" t="n">
        <f>10919</f>
        <v>10919.0</v>
      </c>
      <c r="J19" s="10"/>
      <c r="K19" s="2" t="n">
        <f>280479</f>
        <v>280479.0</v>
      </c>
    </row>
    <row r="20">
      <c r="A20" s="8" t="s">
        <v>34</v>
      </c>
      <c r="B20" s="9" t="s">
        <v>17</v>
      </c>
      <c r="C20" s="9" t="s">
        <v>18</v>
      </c>
      <c r="D20" s="10"/>
      <c r="E20" s="2" t="n">
        <f>63961</f>
        <v>63961.0</v>
      </c>
      <c r="F20" s="10"/>
      <c r="G20" s="2" t="n">
        <f>1936750238277</f>
        <v>1.936750238277E12</v>
      </c>
      <c r="H20" s="10"/>
      <c r="I20" s="2" t="n">
        <f>10316</f>
        <v>10316.0</v>
      </c>
      <c r="J20" s="10"/>
      <c r="K20" s="2" t="n">
        <f>283306</f>
        <v>283306.0</v>
      </c>
    </row>
    <row r="21">
      <c r="A21" s="8" t="s">
        <v>35</v>
      </c>
      <c r="B21" s="9" t="s">
        <v>17</v>
      </c>
      <c r="C21" s="9" t="s">
        <v>18</v>
      </c>
      <c r="D21" s="10"/>
      <c r="E21" s="2" t="n">
        <f>63395</f>
        <v>63395.0</v>
      </c>
      <c r="F21" s="10"/>
      <c r="G21" s="2" t="n">
        <f>1916442430184</f>
        <v>1.916442430184E12</v>
      </c>
      <c r="H21" s="10"/>
      <c r="I21" s="2" t="n">
        <f>8273</f>
        <v>8273.0</v>
      </c>
      <c r="J21" s="10"/>
      <c r="K21" s="2" t="n">
        <f>284902</f>
        <v>284902.0</v>
      </c>
    </row>
    <row r="22">
      <c r="A22" s="8" t="s">
        <v>36</v>
      </c>
      <c r="B22" s="9" t="s">
        <v>17</v>
      </c>
      <c r="C22" s="9" t="s">
        <v>18</v>
      </c>
      <c r="D22" s="10"/>
      <c r="E22" s="2" t="n">
        <f>51061</f>
        <v>51061.0</v>
      </c>
      <c r="F22" s="10"/>
      <c r="G22" s="2" t="n">
        <f>1545306136690</f>
        <v>1.54530613669E12</v>
      </c>
      <c r="H22" s="10" t="s">
        <v>32</v>
      </c>
      <c r="I22" s="2" t="n">
        <f>7517</f>
        <v>7517.0</v>
      </c>
      <c r="J22" s="10"/>
      <c r="K22" s="2" t="n">
        <f>285145</f>
        <v>285145.0</v>
      </c>
    </row>
    <row r="23">
      <c r="A23" s="8" t="s">
        <v>37</v>
      </c>
      <c r="B23" s="9" t="s">
        <v>17</v>
      </c>
      <c r="C23" s="9" t="s">
        <v>18</v>
      </c>
      <c r="D23" s="10"/>
      <c r="E23" s="2"/>
      <c r="F23" s="10"/>
      <c r="G23" s="2"/>
      <c r="H23" s="10"/>
      <c r="I23" s="2"/>
      <c r="J23" s="10"/>
      <c r="K23" s="2"/>
    </row>
    <row r="24">
      <c r="A24" s="8" t="s">
        <v>38</v>
      </c>
      <c r="B24" s="9" t="s">
        <v>17</v>
      </c>
      <c r="C24" s="9" t="s">
        <v>18</v>
      </c>
      <c r="D24" s="10"/>
      <c r="E24" s="2"/>
      <c r="F24" s="10"/>
      <c r="G24" s="2"/>
      <c r="H24" s="10"/>
      <c r="I24" s="2"/>
      <c r="J24" s="10"/>
      <c r="K24" s="2"/>
    </row>
    <row r="25">
      <c r="A25" s="8" t="s">
        <v>39</v>
      </c>
      <c r="B25" s="9" t="s">
        <v>17</v>
      </c>
      <c r="C25" s="9" t="s">
        <v>18</v>
      </c>
      <c r="D25" s="10"/>
      <c r="E25" s="2"/>
      <c r="F25" s="10"/>
      <c r="G25" s="2"/>
      <c r="H25" s="10"/>
      <c r="I25" s="2"/>
      <c r="J25" s="10"/>
      <c r="K25" s="2"/>
    </row>
    <row r="26">
      <c r="A26" s="8" t="s">
        <v>40</v>
      </c>
      <c r="B26" s="9" t="s">
        <v>17</v>
      </c>
      <c r="C26" s="9" t="s">
        <v>18</v>
      </c>
      <c r="D26" s="10" t="s">
        <v>32</v>
      </c>
      <c r="E26" s="2" t="n">
        <f>48672</f>
        <v>48672.0</v>
      </c>
      <c r="F26" s="10" t="s">
        <v>32</v>
      </c>
      <c r="G26" s="2" t="n">
        <f>1448306422606</f>
        <v>1.448306422606E12</v>
      </c>
      <c r="H26" s="10"/>
      <c r="I26" s="2" t="n">
        <f>9740</f>
        <v>9740.0</v>
      </c>
      <c r="J26" s="10"/>
      <c r="K26" s="2" t="n">
        <f>289127</f>
        <v>289127.0</v>
      </c>
    </row>
    <row r="27">
      <c r="A27" s="8" t="s">
        <v>41</v>
      </c>
      <c r="B27" s="9" t="s">
        <v>17</v>
      </c>
      <c r="C27" s="9" t="s">
        <v>18</v>
      </c>
      <c r="D27" s="10"/>
      <c r="E27" s="2" t="n">
        <f>75763</f>
        <v>75763.0</v>
      </c>
      <c r="F27" s="10"/>
      <c r="G27" s="2" t="n">
        <f>2245451570950</f>
        <v>2.24545157095E12</v>
      </c>
      <c r="H27" s="10"/>
      <c r="I27" s="2" t="n">
        <f>13141</f>
        <v>13141.0</v>
      </c>
      <c r="J27" s="10"/>
      <c r="K27" s="2" t="n">
        <f>288258</f>
        <v>288258.0</v>
      </c>
    </row>
    <row r="28">
      <c r="A28" s="8" t="s">
        <v>42</v>
      </c>
      <c r="B28" s="9" t="s">
        <v>17</v>
      </c>
      <c r="C28" s="9" t="s">
        <v>18</v>
      </c>
      <c r="D28" s="10"/>
      <c r="E28" s="2"/>
      <c r="F28" s="10"/>
      <c r="G28" s="2"/>
      <c r="H28" s="10"/>
      <c r="I28" s="2"/>
      <c r="J28" s="10"/>
      <c r="K28" s="2"/>
    </row>
    <row r="29">
      <c r="A29" s="8" t="s">
        <v>43</v>
      </c>
      <c r="B29" s="9" t="s">
        <v>17</v>
      </c>
      <c r="C29" s="9" t="s">
        <v>18</v>
      </c>
      <c r="D29" s="10"/>
      <c r="E29" s="2" t="n">
        <f>67931</f>
        <v>67931.0</v>
      </c>
      <c r="F29" s="10"/>
      <c r="G29" s="2" t="n">
        <f>2035172545730</f>
        <v>2.03517254573E12</v>
      </c>
      <c r="H29" s="10"/>
      <c r="I29" s="2" t="n">
        <f>10954</f>
        <v>10954.0</v>
      </c>
      <c r="J29" s="10"/>
      <c r="K29" s="2" t="n">
        <f>283626</f>
        <v>283626.0</v>
      </c>
    </row>
    <row r="30">
      <c r="A30" s="8" t="s">
        <v>44</v>
      </c>
      <c r="B30" s="9" t="s">
        <v>17</v>
      </c>
      <c r="C30" s="9" t="s">
        <v>18</v>
      </c>
      <c r="D30" s="10"/>
      <c r="E30" s="2"/>
      <c r="F30" s="10"/>
      <c r="G30" s="2"/>
      <c r="H30" s="10"/>
      <c r="I30" s="2"/>
      <c r="J30" s="10"/>
      <c r="K30" s="2"/>
    </row>
    <row r="31">
      <c r="A31" s="8" t="s">
        <v>45</v>
      </c>
      <c r="B31" s="9" t="s">
        <v>17</v>
      </c>
      <c r="C31" s="9" t="s">
        <v>18</v>
      </c>
      <c r="D31" s="10"/>
      <c r="E31" s="2"/>
      <c r="F31" s="10"/>
      <c r="G31" s="2"/>
      <c r="H31" s="10"/>
      <c r="I31" s="2"/>
      <c r="J31" s="10"/>
      <c r="K31" s="2"/>
    </row>
    <row r="32">
      <c r="A32" s="8" t="s">
        <v>46</v>
      </c>
      <c r="B32" s="9" t="s">
        <v>17</v>
      </c>
      <c r="C32" s="9" t="s">
        <v>18</v>
      </c>
      <c r="D32" s="10"/>
      <c r="E32" s="2" t="n">
        <f>50657</f>
        <v>50657.0</v>
      </c>
      <c r="F32" s="10"/>
      <c r="G32" s="2" t="n">
        <f>1522805631885</f>
        <v>1.522805631885E12</v>
      </c>
      <c r="H32" s="10"/>
      <c r="I32" s="2" t="n">
        <f>8845</f>
        <v>8845.0</v>
      </c>
      <c r="J32" s="10"/>
      <c r="K32" s="2" t="n">
        <f>284525</f>
        <v>284525.0</v>
      </c>
    </row>
    <row r="33">
      <c r="A33" s="8" t="s">
        <v>47</v>
      </c>
      <c r="B33" s="9" t="s">
        <v>17</v>
      </c>
      <c r="C33" s="9" t="s">
        <v>18</v>
      </c>
      <c r="D33" s="10"/>
      <c r="E33" s="2" t="n">
        <f>62008</f>
        <v>62008.0</v>
      </c>
      <c r="F33" s="10"/>
      <c r="G33" s="2" t="n">
        <f>1857708444470</f>
        <v>1.85770844447E12</v>
      </c>
      <c r="H33" s="10"/>
      <c r="I33" s="2" t="n">
        <f>10066</f>
        <v>10066.0</v>
      </c>
      <c r="J33" s="10"/>
      <c r="K33" s="2" t="n">
        <f>289014</f>
        <v>289014.0</v>
      </c>
    </row>
    <row r="34">
      <c r="A34" s="8" t="s">
        <v>48</v>
      </c>
      <c r="B34" s="9" t="s">
        <v>17</v>
      </c>
      <c r="C34" s="9" t="s">
        <v>18</v>
      </c>
      <c r="D34" s="10"/>
      <c r="E34" s="2" t="n">
        <f>110612</f>
        <v>110612.0</v>
      </c>
      <c r="F34" s="10"/>
      <c r="G34" s="2" t="n">
        <f>3267768362170</f>
        <v>3.26776836217E12</v>
      </c>
      <c r="H34" s="10"/>
      <c r="I34" s="2" t="n">
        <f>17392</f>
        <v>17392.0</v>
      </c>
      <c r="J34" s="10"/>
      <c r="K34" s="2" t="n">
        <f>299038</f>
        <v>299038.0</v>
      </c>
    </row>
    <row r="35">
      <c r="A35" s="8" t="s">
        <v>49</v>
      </c>
      <c r="B35" s="9" t="s">
        <v>17</v>
      </c>
      <c r="C35" s="9" t="s">
        <v>18</v>
      </c>
      <c r="D35" s="10"/>
      <c r="E35" s="2" t="n">
        <f>94287</f>
        <v>94287.0</v>
      </c>
      <c r="F35" s="10"/>
      <c r="G35" s="2" t="n">
        <f>2786951824090</f>
        <v>2.78695182409E12</v>
      </c>
      <c r="H35" s="10"/>
      <c r="I35" s="2" t="n">
        <f>12483</f>
        <v>12483.0</v>
      </c>
      <c r="J35" s="10"/>
      <c r="K35" s="2" t="n">
        <f>299761</f>
        <v>299761.0</v>
      </c>
    </row>
    <row r="36">
      <c r="A36" s="8" t="s">
        <v>16</v>
      </c>
      <c r="B36" s="9" t="s">
        <v>50</v>
      </c>
      <c r="C36" s="9" t="s">
        <v>51</v>
      </c>
      <c r="D36" s="10"/>
      <c r="E36" s="2" t="n">
        <f>952273</f>
        <v>952273.0</v>
      </c>
      <c r="F36" s="10"/>
      <c r="G36" s="2" t="n">
        <f>2689842261102</f>
        <v>2.689842261102E12</v>
      </c>
      <c r="H36" s="10"/>
      <c r="I36" s="2" t="n">
        <f>133217</f>
        <v>133217.0</v>
      </c>
      <c r="J36" s="10"/>
      <c r="K36" s="2" t="n">
        <f>349882</f>
        <v>349882.0</v>
      </c>
    </row>
    <row r="37">
      <c r="A37" s="8" t="s">
        <v>19</v>
      </c>
      <c r="B37" s="9" t="s">
        <v>50</v>
      </c>
      <c r="C37" s="9" t="s">
        <v>51</v>
      </c>
      <c r="D37" s="10"/>
      <c r="E37" s="2" t="n">
        <f>789367</f>
        <v>789367.0</v>
      </c>
      <c r="F37" s="10"/>
      <c r="G37" s="2" t="n">
        <f>2249938653446</f>
        <v>2.249938653446E12</v>
      </c>
      <c r="H37" s="10"/>
      <c r="I37" s="2" t="n">
        <f>102324</f>
        <v>102324.0</v>
      </c>
      <c r="J37" s="10"/>
      <c r="K37" s="2" t="n">
        <f>353013</f>
        <v>353013.0</v>
      </c>
    </row>
    <row r="38">
      <c r="A38" s="8" t="s">
        <v>20</v>
      </c>
      <c r="B38" s="9" t="s">
        <v>50</v>
      </c>
      <c r="C38" s="9" t="s">
        <v>51</v>
      </c>
      <c r="D38" s="10"/>
      <c r="E38" s="2" t="n">
        <f>1129412</f>
        <v>1129412.0</v>
      </c>
      <c r="F38" s="10"/>
      <c r="G38" s="2" t="n">
        <f>3254863610430</f>
        <v>3.25486361043E12</v>
      </c>
      <c r="H38" s="10"/>
      <c r="I38" s="2" t="n">
        <f>158898</f>
        <v>158898.0</v>
      </c>
      <c r="J38" s="10"/>
      <c r="K38" s="2" t="n">
        <f>361076</f>
        <v>361076.0</v>
      </c>
    </row>
    <row r="39">
      <c r="A39" s="8" t="s">
        <v>21</v>
      </c>
      <c r="B39" s="9" t="s">
        <v>50</v>
      </c>
      <c r="C39" s="9" t="s">
        <v>51</v>
      </c>
      <c r="D39" s="10"/>
      <c r="E39" s="2"/>
      <c r="F39" s="10"/>
      <c r="G39" s="2"/>
      <c r="H39" s="10"/>
      <c r="I39" s="2"/>
      <c r="J39" s="10"/>
      <c r="K39" s="2"/>
    </row>
    <row r="40">
      <c r="A40" s="8" t="s">
        <v>22</v>
      </c>
      <c r="B40" s="9" t="s">
        <v>50</v>
      </c>
      <c r="C40" s="9" t="s">
        <v>51</v>
      </c>
      <c r="D40" s="10"/>
      <c r="E40" s="2"/>
      <c r="F40" s="10"/>
      <c r="G40" s="2"/>
      <c r="H40" s="10"/>
      <c r="I40" s="2"/>
      <c r="J40" s="10"/>
      <c r="K40" s="2"/>
    </row>
    <row r="41">
      <c r="A41" s="8" t="s">
        <v>23</v>
      </c>
      <c r="B41" s="9" t="s">
        <v>50</v>
      </c>
      <c r="C41" s="9" t="s">
        <v>51</v>
      </c>
      <c r="D41" s="10"/>
      <c r="E41" s="2" t="n">
        <f>1411691</f>
        <v>1411691.0</v>
      </c>
      <c r="F41" s="10"/>
      <c r="G41" s="2" t="n">
        <f>4157870273975</f>
        <v>4.157870273975E12</v>
      </c>
      <c r="H41" s="10"/>
      <c r="I41" s="2" t="n">
        <f>201000</f>
        <v>201000.0</v>
      </c>
      <c r="J41" s="10"/>
      <c r="K41" s="2" t="n">
        <f>385313</f>
        <v>385313.0</v>
      </c>
    </row>
    <row r="42">
      <c r="A42" s="8" t="s">
        <v>24</v>
      </c>
      <c r="B42" s="9" t="s">
        <v>50</v>
      </c>
      <c r="C42" s="9" t="s">
        <v>51</v>
      </c>
      <c r="D42" s="10"/>
      <c r="E42" s="2" t="n">
        <f>1068014</f>
        <v>1068014.0</v>
      </c>
      <c r="F42" s="10"/>
      <c r="G42" s="2" t="n">
        <f>3196676467145</f>
        <v>3.196676467145E12</v>
      </c>
      <c r="H42" s="10" t="s">
        <v>25</v>
      </c>
      <c r="I42" s="2" t="n">
        <f>226740</f>
        <v>226740.0</v>
      </c>
      <c r="J42" s="10"/>
      <c r="K42" s="2" t="n">
        <f>419622</f>
        <v>419622.0</v>
      </c>
    </row>
    <row r="43">
      <c r="A43" s="8" t="s">
        <v>26</v>
      </c>
      <c r="B43" s="9" t="s">
        <v>50</v>
      </c>
      <c r="C43" s="9" t="s">
        <v>51</v>
      </c>
      <c r="D43" s="10"/>
      <c r="E43" s="2" t="n">
        <f>1147674</f>
        <v>1147674.0</v>
      </c>
      <c r="F43" s="10"/>
      <c r="G43" s="2" t="n">
        <f>3431094532892</f>
        <v>3.431094532892E12</v>
      </c>
      <c r="H43" s="10"/>
      <c r="I43" s="2" t="n">
        <f>196846</f>
        <v>196846.0</v>
      </c>
      <c r="J43" s="10"/>
      <c r="K43" s="2" t="n">
        <f>412238</f>
        <v>412238.0</v>
      </c>
    </row>
    <row r="44">
      <c r="A44" s="8" t="s">
        <v>27</v>
      </c>
      <c r="B44" s="9" t="s">
        <v>50</v>
      </c>
      <c r="C44" s="9" t="s">
        <v>51</v>
      </c>
      <c r="D44" s="10"/>
      <c r="E44" s="2" t="n">
        <f>1141029</f>
        <v>1141029.0</v>
      </c>
      <c r="F44" s="10"/>
      <c r="G44" s="2" t="n">
        <f>3418228359317</f>
        <v>3.418228359317E12</v>
      </c>
      <c r="H44" s="10"/>
      <c r="I44" s="2" t="n">
        <f>161701</f>
        <v>161701.0</v>
      </c>
      <c r="J44" s="10"/>
      <c r="K44" s="2" t="n">
        <f>413217</f>
        <v>413217.0</v>
      </c>
    </row>
    <row r="45">
      <c r="A45" s="8" t="s">
        <v>28</v>
      </c>
      <c r="B45" s="9" t="s">
        <v>50</v>
      </c>
      <c r="C45" s="9" t="s">
        <v>51</v>
      </c>
      <c r="D45" s="10"/>
      <c r="E45" s="2" t="n">
        <f>1048580</f>
        <v>1048580.0</v>
      </c>
      <c r="F45" s="10"/>
      <c r="G45" s="2" t="n">
        <f>3146202592600</f>
        <v>3.1462025926E12</v>
      </c>
      <c r="H45" s="10"/>
      <c r="I45" s="2" t="n">
        <f>145963</f>
        <v>145963.0</v>
      </c>
      <c r="J45" s="10" t="s">
        <v>25</v>
      </c>
      <c r="K45" s="2" t="n">
        <f>445858</f>
        <v>445858.0</v>
      </c>
    </row>
    <row r="46">
      <c r="A46" s="8" t="s">
        <v>29</v>
      </c>
      <c r="B46" s="9" t="s">
        <v>50</v>
      </c>
      <c r="C46" s="9" t="s">
        <v>51</v>
      </c>
      <c r="D46" s="10"/>
      <c r="E46" s="2"/>
      <c r="F46" s="10"/>
      <c r="G46" s="2"/>
      <c r="H46" s="10"/>
      <c r="I46" s="2"/>
      <c r="J46" s="10"/>
      <c r="K46" s="2"/>
    </row>
    <row r="47">
      <c r="A47" s="8" t="s">
        <v>30</v>
      </c>
      <c r="B47" s="9" t="s">
        <v>50</v>
      </c>
      <c r="C47" s="9" t="s">
        <v>51</v>
      </c>
      <c r="D47" s="10"/>
      <c r="E47" s="2"/>
      <c r="F47" s="10"/>
      <c r="G47" s="2"/>
      <c r="H47" s="10"/>
      <c r="I47" s="2"/>
      <c r="J47" s="10"/>
      <c r="K47" s="2"/>
    </row>
    <row r="48">
      <c r="A48" s="8" t="s">
        <v>31</v>
      </c>
      <c r="B48" s="9" t="s">
        <v>50</v>
      </c>
      <c r="C48" s="9" t="s">
        <v>51</v>
      </c>
      <c r="D48" s="10"/>
      <c r="E48" s="2" t="n">
        <f>961518</f>
        <v>961518.0</v>
      </c>
      <c r="F48" s="10"/>
      <c r="G48" s="2" t="n">
        <f>2901514370560</f>
        <v>2.90151437056E12</v>
      </c>
      <c r="H48" s="10"/>
      <c r="I48" s="2" t="n">
        <f>123491</f>
        <v>123491.0</v>
      </c>
      <c r="J48" s="10"/>
      <c r="K48" s="2" t="n">
        <f>287633</f>
        <v>287633.0</v>
      </c>
    </row>
    <row r="49">
      <c r="A49" s="8" t="s">
        <v>33</v>
      </c>
      <c r="B49" s="9" t="s">
        <v>50</v>
      </c>
      <c r="C49" s="9" t="s">
        <v>51</v>
      </c>
      <c r="D49" s="10"/>
      <c r="E49" s="2" t="n">
        <f>1021646</f>
        <v>1021646.0</v>
      </c>
      <c r="F49" s="10"/>
      <c r="G49" s="2" t="n">
        <f>3106856783850</f>
        <v>3.10685678385E12</v>
      </c>
      <c r="H49" s="10"/>
      <c r="I49" s="2" t="n">
        <f>108685</f>
        <v>108685.0</v>
      </c>
      <c r="J49" s="10" t="s">
        <v>32</v>
      </c>
      <c r="K49" s="2" t="n">
        <f>260394</f>
        <v>260394.0</v>
      </c>
    </row>
    <row r="50">
      <c r="A50" s="8" t="s">
        <v>34</v>
      </c>
      <c r="B50" s="9" t="s">
        <v>50</v>
      </c>
      <c r="C50" s="9" t="s">
        <v>51</v>
      </c>
      <c r="D50" s="10"/>
      <c r="E50" s="2" t="n">
        <f>932503</f>
        <v>932503.0</v>
      </c>
      <c r="F50" s="10"/>
      <c r="G50" s="2" t="n">
        <f>2823495062007</f>
        <v>2.823495062007E12</v>
      </c>
      <c r="H50" s="10"/>
      <c r="I50" s="2" t="n">
        <f>147550</f>
        <v>147550.0</v>
      </c>
      <c r="J50" s="10"/>
      <c r="K50" s="2" t="n">
        <f>278889</f>
        <v>278889.0</v>
      </c>
    </row>
    <row r="51">
      <c r="A51" s="8" t="s">
        <v>35</v>
      </c>
      <c r="B51" s="9" t="s">
        <v>50</v>
      </c>
      <c r="C51" s="9" t="s">
        <v>51</v>
      </c>
      <c r="D51" s="10"/>
      <c r="E51" s="2" t="n">
        <f>933386</f>
        <v>933386.0</v>
      </c>
      <c r="F51" s="10"/>
      <c r="G51" s="2" t="n">
        <f>2822931125164</f>
        <v>2.822931125164E12</v>
      </c>
      <c r="H51" s="10"/>
      <c r="I51" s="2" t="n">
        <f>147644</f>
        <v>147644.0</v>
      </c>
      <c r="J51" s="10"/>
      <c r="K51" s="2" t="n">
        <f>284951</f>
        <v>284951.0</v>
      </c>
    </row>
    <row r="52">
      <c r="A52" s="8" t="s">
        <v>36</v>
      </c>
      <c r="B52" s="9" t="s">
        <v>50</v>
      </c>
      <c r="C52" s="9" t="s">
        <v>51</v>
      </c>
      <c r="D52" s="10"/>
      <c r="E52" s="2" t="n">
        <f>746829</f>
        <v>746829.0</v>
      </c>
      <c r="F52" s="10"/>
      <c r="G52" s="2" t="n">
        <f>2259219564472</f>
        <v>2.259219564472E12</v>
      </c>
      <c r="H52" s="10"/>
      <c r="I52" s="2" t="n">
        <f>105754</f>
        <v>105754.0</v>
      </c>
      <c r="J52" s="10"/>
      <c r="K52" s="2" t="n">
        <f>287171</f>
        <v>287171.0</v>
      </c>
    </row>
    <row r="53">
      <c r="A53" s="8" t="s">
        <v>37</v>
      </c>
      <c r="B53" s="9" t="s">
        <v>50</v>
      </c>
      <c r="C53" s="9" t="s">
        <v>51</v>
      </c>
      <c r="D53" s="10"/>
      <c r="E53" s="2"/>
      <c r="F53" s="10"/>
      <c r="G53" s="2"/>
      <c r="H53" s="10"/>
      <c r="I53" s="2"/>
      <c r="J53" s="10"/>
      <c r="K53" s="2"/>
    </row>
    <row r="54">
      <c r="A54" s="8" t="s">
        <v>38</v>
      </c>
      <c r="B54" s="9" t="s">
        <v>50</v>
      </c>
      <c r="C54" s="9" t="s">
        <v>51</v>
      </c>
      <c r="D54" s="10"/>
      <c r="E54" s="2"/>
      <c r="F54" s="10"/>
      <c r="G54" s="2"/>
      <c r="H54" s="10"/>
      <c r="I54" s="2"/>
      <c r="J54" s="10"/>
      <c r="K54" s="2"/>
    </row>
    <row r="55">
      <c r="A55" s="8" t="s">
        <v>39</v>
      </c>
      <c r="B55" s="9" t="s">
        <v>50</v>
      </c>
      <c r="C55" s="9" t="s">
        <v>51</v>
      </c>
      <c r="D55" s="10"/>
      <c r="E55" s="2"/>
      <c r="F55" s="10"/>
      <c r="G55" s="2"/>
      <c r="H55" s="10"/>
      <c r="I55" s="2"/>
      <c r="J55" s="10"/>
      <c r="K55" s="2"/>
    </row>
    <row r="56">
      <c r="A56" s="8" t="s">
        <v>40</v>
      </c>
      <c r="B56" s="9" t="s">
        <v>50</v>
      </c>
      <c r="C56" s="9" t="s">
        <v>51</v>
      </c>
      <c r="D56" s="10" t="s">
        <v>32</v>
      </c>
      <c r="E56" s="2" t="n">
        <f>506384</f>
        <v>506384.0</v>
      </c>
      <c r="F56" s="10" t="s">
        <v>32</v>
      </c>
      <c r="G56" s="2" t="n">
        <f>1505759337118</f>
        <v>1.505759337118E12</v>
      </c>
      <c r="H56" s="10" t="s">
        <v>32</v>
      </c>
      <c r="I56" s="2" t="n">
        <f>91004</f>
        <v>91004.0</v>
      </c>
      <c r="J56" s="10"/>
      <c r="K56" s="2" t="n">
        <f>300232</f>
        <v>300232.0</v>
      </c>
    </row>
    <row r="57">
      <c r="A57" s="8" t="s">
        <v>41</v>
      </c>
      <c r="B57" s="9" t="s">
        <v>50</v>
      </c>
      <c r="C57" s="9" t="s">
        <v>51</v>
      </c>
      <c r="D57" s="10"/>
      <c r="E57" s="2" t="n">
        <f>1164003</f>
        <v>1164003.0</v>
      </c>
      <c r="F57" s="10"/>
      <c r="G57" s="2" t="n">
        <f>3456868224410</f>
        <v>3.45686822441E12</v>
      </c>
      <c r="H57" s="10"/>
      <c r="I57" s="2" t="n">
        <f>200006</f>
        <v>200006.0</v>
      </c>
      <c r="J57" s="10"/>
      <c r="K57" s="2" t="n">
        <f>349411</f>
        <v>349411.0</v>
      </c>
    </row>
    <row r="58">
      <c r="A58" s="8" t="s">
        <v>42</v>
      </c>
      <c r="B58" s="9" t="s">
        <v>50</v>
      </c>
      <c r="C58" s="9" t="s">
        <v>51</v>
      </c>
      <c r="D58" s="10"/>
      <c r="E58" s="2"/>
      <c r="F58" s="10"/>
      <c r="G58" s="2"/>
      <c r="H58" s="10"/>
      <c r="I58" s="2"/>
      <c r="J58" s="10"/>
      <c r="K58" s="2"/>
    </row>
    <row r="59">
      <c r="A59" s="8" t="s">
        <v>43</v>
      </c>
      <c r="B59" s="9" t="s">
        <v>50</v>
      </c>
      <c r="C59" s="9" t="s">
        <v>51</v>
      </c>
      <c r="D59" s="10"/>
      <c r="E59" s="2" t="n">
        <f>872882</f>
        <v>872882.0</v>
      </c>
      <c r="F59" s="10"/>
      <c r="G59" s="2" t="n">
        <f>2609339784148</f>
        <v>2.609339784148E12</v>
      </c>
      <c r="H59" s="10"/>
      <c r="I59" s="2" t="n">
        <f>135018</f>
        <v>135018.0</v>
      </c>
      <c r="J59" s="10"/>
      <c r="K59" s="2" t="n">
        <f>342993</f>
        <v>342993.0</v>
      </c>
    </row>
    <row r="60">
      <c r="A60" s="8" t="s">
        <v>44</v>
      </c>
      <c r="B60" s="9" t="s">
        <v>50</v>
      </c>
      <c r="C60" s="9" t="s">
        <v>51</v>
      </c>
      <c r="D60" s="10"/>
      <c r="E60" s="2"/>
      <c r="F60" s="10"/>
      <c r="G60" s="2"/>
      <c r="H60" s="10"/>
      <c r="I60" s="2"/>
      <c r="J60" s="10"/>
      <c r="K60" s="2"/>
    </row>
    <row r="61">
      <c r="A61" s="8" t="s">
        <v>45</v>
      </c>
      <c r="B61" s="9" t="s">
        <v>50</v>
      </c>
      <c r="C61" s="9" t="s">
        <v>51</v>
      </c>
      <c r="D61" s="10"/>
      <c r="E61" s="2"/>
      <c r="F61" s="10"/>
      <c r="G61" s="2"/>
      <c r="H61" s="10"/>
      <c r="I61" s="2"/>
      <c r="J61" s="10"/>
      <c r="K61" s="2"/>
    </row>
    <row r="62">
      <c r="A62" s="8" t="s">
        <v>46</v>
      </c>
      <c r="B62" s="9" t="s">
        <v>50</v>
      </c>
      <c r="C62" s="9" t="s">
        <v>51</v>
      </c>
      <c r="D62" s="10"/>
      <c r="E62" s="2" t="n">
        <f>742531</f>
        <v>742531.0</v>
      </c>
      <c r="F62" s="10"/>
      <c r="G62" s="2" t="n">
        <f>2231589465234</f>
        <v>2.231589465234E12</v>
      </c>
      <c r="H62" s="10"/>
      <c r="I62" s="2" t="n">
        <f>122021</f>
        <v>122021.0</v>
      </c>
      <c r="J62" s="10"/>
      <c r="K62" s="2" t="n">
        <f>338424</f>
        <v>338424.0</v>
      </c>
    </row>
    <row r="63">
      <c r="A63" s="8" t="s">
        <v>47</v>
      </c>
      <c r="B63" s="9" t="s">
        <v>50</v>
      </c>
      <c r="C63" s="9" t="s">
        <v>51</v>
      </c>
      <c r="D63" s="10"/>
      <c r="E63" s="2" t="n">
        <f>727381</f>
        <v>727381.0</v>
      </c>
      <c r="F63" s="10"/>
      <c r="G63" s="2" t="n">
        <f>2180162075900</f>
        <v>2.1801620759E12</v>
      </c>
      <c r="H63" s="10"/>
      <c r="I63" s="2" t="n">
        <f>118916</f>
        <v>118916.0</v>
      </c>
      <c r="J63" s="10"/>
      <c r="K63" s="2" t="n">
        <f>337223</f>
        <v>337223.0</v>
      </c>
    </row>
    <row r="64">
      <c r="A64" s="8" t="s">
        <v>48</v>
      </c>
      <c r="B64" s="9" t="s">
        <v>50</v>
      </c>
      <c r="C64" s="9" t="s">
        <v>51</v>
      </c>
      <c r="D64" s="10" t="s">
        <v>25</v>
      </c>
      <c r="E64" s="2" t="n">
        <f>1482617</f>
        <v>1482617.0</v>
      </c>
      <c r="F64" s="10" t="s">
        <v>25</v>
      </c>
      <c r="G64" s="2" t="n">
        <f>4382869398600</f>
        <v>4.3828693986E12</v>
      </c>
      <c r="H64" s="10"/>
      <c r="I64" s="2" t="n">
        <f>214063</f>
        <v>214063.0</v>
      </c>
      <c r="J64" s="10"/>
      <c r="K64" s="2" t="n">
        <f>367628</f>
        <v>367628.0</v>
      </c>
    </row>
    <row r="65">
      <c r="A65" s="8" t="s">
        <v>49</v>
      </c>
      <c r="B65" s="9" t="s">
        <v>50</v>
      </c>
      <c r="C65" s="9" t="s">
        <v>51</v>
      </c>
      <c r="D65" s="10"/>
      <c r="E65" s="2" t="n">
        <f>1269644</f>
        <v>1269644.0</v>
      </c>
      <c r="F65" s="10"/>
      <c r="G65" s="2" t="n">
        <f>3758884814986</f>
        <v>3.758884814986E12</v>
      </c>
      <c r="H65" s="10"/>
      <c r="I65" s="2" t="n">
        <f>176729</f>
        <v>176729.0</v>
      </c>
      <c r="J65" s="10"/>
      <c r="K65" s="2" t="n">
        <f>374771</f>
        <v>374771.0</v>
      </c>
    </row>
    <row r="66">
      <c r="A66" s="8" t="s">
        <v>16</v>
      </c>
      <c r="B66" s="9" t="s">
        <v>52</v>
      </c>
      <c r="C66" s="9" t="s">
        <v>53</v>
      </c>
      <c r="D66" s="10"/>
      <c r="E66" s="2" t="n">
        <f>77541</f>
        <v>77541.0</v>
      </c>
      <c r="F66" s="10"/>
      <c r="G66" s="2" t="n">
        <f>1528703221850</f>
        <v>1.52870322185E12</v>
      </c>
      <c r="H66" s="10"/>
      <c r="I66" s="2" t="n">
        <f>17051</f>
        <v>17051.0</v>
      </c>
      <c r="J66" s="10"/>
      <c r="K66" s="2" t="n">
        <f>464933</f>
        <v>464933.0</v>
      </c>
    </row>
    <row r="67">
      <c r="A67" s="8" t="s">
        <v>19</v>
      </c>
      <c r="B67" s="9" t="s">
        <v>52</v>
      </c>
      <c r="C67" s="9" t="s">
        <v>53</v>
      </c>
      <c r="D67" s="10"/>
      <c r="E67" s="2" t="n">
        <f>96900</f>
        <v>96900.0</v>
      </c>
      <c r="F67" s="10"/>
      <c r="G67" s="2" t="n">
        <f>1915328785350</f>
        <v>1.91532878535E12</v>
      </c>
      <c r="H67" s="10"/>
      <c r="I67" s="2" t="n">
        <f>15510</f>
        <v>15510.0</v>
      </c>
      <c r="J67" s="10"/>
      <c r="K67" s="2" t="n">
        <f>481931</f>
        <v>481931.0</v>
      </c>
    </row>
    <row r="68">
      <c r="A68" s="8" t="s">
        <v>20</v>
      </c>
      <c r="B68" s="9" t="s">
        <v>52</v>
      </c>
      <c r="C68" s="9" t="s">
        <v>53</v>
      </c>
      <c r="D68" s="10"/>
      <c r="E68" s="2" t="n">
        <f>160208</f>
        <v>160208.0</v>
      </c>
      <c r="F68" s="10"/>
      <c r="G68" s="2" t="n">
        <f>3203630198558</f>
        <v>3.203630198558E12</v>
      </c>
      <c r="H68" s="10"/>
      <c r="I68" s="2" t="n">
        <f>30699</f>
        <v>30699.0</v>
      </c>
      <c r="J68" s="10"/>
      <c r="K68" s="2" t="n">
        <f>485977</f>
        <v>485977.0</v>
      </c>
    </row>
    <row r="69">
      <c r="A69" s="8" t="s">
        <v>21</v>
      </c>
      <c r="B69" s="9" t="s">
        <v>52</v>
      </c>
      <c r="C69" s="9" t="s">
        <v>53</v>
      </c>
      <c r="D69" s="10"/>
      <c r="E69" s="2"/>
      <c r="F69" s="10"/>
      <c r="G69" s="2"/>
      <c r="H69" s="10"/>
      <c r="I69" s="2"/>
      <c r="J69" s="10"/>
      <c r="K69" s="2"/>
    </row>
    <row r="70">
      <c r="A70" s="8" t="s">
        <v>22</v>
      </c>
      <c r="B70" s="9" t="s">
        <v>52</v>
      </c>
      <c r="C70" s="9" t="s">
        <v>53</v>
      </c>
      <c r="D70" s="10"/>
      <c r="E70" s="2"/>
      <c r="F70" s="10"/>
      <c r="G70" s="2"/>
      <c r="H70" s="10"/>
      <c r="I70" s="2"/>
      <c r="J70" s="10"/>
      <c r="K70" s="2"/>
    </row>
    <row r="71">
      <c r="A71" s="8" t="s">
        <v>23</v>
      </c>
      <c r="B71" s="9" t="s">
        <v>52</v>
      </c>
      <c r="C71" s="9" t="s">
        <v>53</v>
      </c>
      <c r="D71" s="10"/>
      <c r="E71" s="2" t="n">
        <f>503184</f>
        <v>503184.0</v>
      </c>
      <c r="F71" s="10"/>
      <c r="G71" s="2" t="n">
        <f>10219841321888</f>
        <v>1.0219841321888E13</v>
      </c>
      <c r="H71" s="10"/>
      <c r="I71" s="2" t="n">
        <f>145416</f>
        <v>145416.0</v>
      </c>
      <c r="J71" s="10"/>
      <c r="K71" s="2" t="n">
        <f>565884</f>
        <v>565884.0</v>
      </c>
    </row>
    <row r="72">
      <c r="A72" s="8" t="s">
        <v>24</v>
      </c>
      <c r="B72" s="9" t="s">
        <v>52</v>
      </c>
      <c r="C72" s="9" t="s">
        <v>53</v>
      </c>
      <c r="D72" s="10" t="s">
        <v>25</v>
      </c>
      <c r="E72" s="2" t="n">
        <f>841006</f>
        <v>841006.0</v>
      </c>
      <c r="F72" s="10" t="s">
        <v>25</v>
      </c>
      <c r="G72" s="2" t="n">
        <f>17282855598656</f>
        <v>1.7282855598656E13</v>
      </c>
      <c r="H72" s="10" t="s">
        <v>25</v>
      </c>
      <c r="I72" s="2" t="n">
        <f>204001</f>
        <v>204001.0</v>
      </c>
      <c r="J72" s="10" t="s">
        <v>25</v>
      </c>
      <c r="K72" s="2" t="n">
        <f>587347</f>
        <v>587347.0</v>
      </c>
    </row>
    <row r="73">
      <c r="A73" s="8" t="s">
        <v>26</v>
      </c>
      <c r="B73" s="9" t="s">
        <v>52</v>
      </c>
      <c r="C73" s="9" t="s">
        <v>53</v>
      </c>
      <c r="D73" s="10"/>
      <c r="E73" s="2" t="n">
        <f>416550</f>
        <v>416550.0</v>
      </c>
      <c r="F73" s="10"/>
      <c r="G73" s="2" t="n">
        <f>8588727543518</f>
        <v>8.588727543518E12</v>
      </c>
      <c r="H73" s="10"/>
      <c r="I73" s="2" t="n">
        <f>96391</f>
        <v>96391.0</v>
      </c>
      <c r="J73" s="10"/>
      <c r="K73" s="2" t="n">
        <f>532234</f>
        <v>532234.0</v>
      </c>
    </row>
    <row r="74">
      <c r="A74" s="8" t="s">
        <v>27</v>
      </c>
      <c r="B74" s="9" t="s">
        <v>52</v>
      </c>
      <c r="C74" s="9" t="s">
        <v>53</v>
      </c>
      <c r="D74" s="10"/>
      <c r="E74" s="2" t="n">
        <f>168595</f>
        <v>168595.0</v>
      </c>
      <c r="F74" s="10"/>
      <c r="G74" s="2" t="n">
        <f>3471087860518</f>
        <v>3.471087860518E12</v>
      </c>
      <c r="H74" s="10"/>
      <c r="I74" s="2" t="n">
        <f>15347</f>
        <v>15347.0</v>
      </c>
      <c r="J74" s="10"/>
      <c r="K74" s="2" t="n">
        <f>494203</f>
        <v>494203.0</v>
      </c>
    </row>
    <row r="75">
      <c r="A75" s="8" t="s">
        <v>28</v>
      </c>
      <c r="B75" s="9" t="s">
        <v>52</v>
      </c>
      <c r="C75" s="9" t="s">
        <v>53</v>
      </c>
      <c r="D75" s="10"/>
      <c r="E75" s="2" t="n">
        <f>106418</f>
        <v>106418.0</v>
      </c>
      <c r="F75" s="10"/>
      <c r="G75" s="2" t="n">
        <f>2195820048100</f>
        <v>2.1958200481E12</v>
      </c>
      <c r="H75" s="10"/>
      <c r="I75" s="2" t="n">
        <f>14946</f>
        <v>14946.0</v>
      </c>
      <c r="J75" s="10"/>
      <c r="K75" s="2" t="n">
        <f>514273</f>
        <v>514273.0</v>
      </c>
    </row>
    <row r="76">
      <c r="A76" s="8" t="s">
        <v>29</v>
      </c>
      <c r="B76" s="9" t="s">
        <v>52</v>
      </c>
      <c r="C76" s="9" t="s">
        <v>53</v>
      </c>
      <c r="D76" s="10"/>
      <c r="E76" s="2"/>
      <c r="F76" s="10"/>
      <c r="G76" s="2"/>
      <c r="H76" s="10"/>
      <c r="I76" s="2"/>
      <c r="J76" s="10"/>
      <c r="K76" s="2"/>
    </row>
    <row r="77">
      <c r="A77" s="8" t="s">
        <v>30</v>
      </c>
      <c r="B77" s="9" t="s">
        <v>52</v>
      </c>
      <c r="C77" s="9" t="s">
        <v>53</v>
      </c>
      <c r="D77" s="10"/>
      <c r="E77" s="2"/>
      <c r="F77" s="10"/>
      <c r="G77" s="2"/>
      <c r="H77" s="10"/>
      <c r="I77" s="2"/>
      <c r="J77" s="10"/>
      <c r="K77" s="2"/>
    </row>
    <row r="78">
      <c r="A78" s="8" t="s">
        <v>31</v>
      </c>
      <c r="B78" s="9" t="s">
        <v>52</v>
      </c>
      <c r="C78" s="9" t="s">
        <v>53</v>
      </c>
      <c r="D78" s="10"/>
      <c r="E78" s="2" t="n">
        <f>70199</f>
        <v>70199.0</v>
      </c>
      <c r="F78" s="10"/>
      <c r="G78" s="2" t="n">
        <f>1456926397000</f>
        <v>1.456926397E12</v>
      </c>
      <c r="H78" s="10"/>
      <c r="I78" s="2" t="n">
        <f>13973</f>
        <v>13973.0</v>
      </c>
      <c r="J78" s="10" t="s">
        <v>32</v>
      </c>
      <c r="K78" s="2" t="n">
        <f>445090</f>
        <v>445090.0</v>
      </c>
    </row>
    <row r="79">
      <c r="A79" s="8" t="s">
        <v>33</v>
      </c>
      <c r="B79" s="9" t="s">
        <v>52</v>
      </c>
      <c r="C79" s="9" t="s">
        <v>53</v>
      </c>
      <c r="D79" s="10"/>
      <c r="E79" s="2" t="n">
        <f>93401</f>
        <v>93401.0</v>
      </c>
      <c r="F79" s="10"/>
      <c r="G79" s="2" t="n">
        <f>1958000640160</f>
        <v>1.95800064016E12</v>
      </c>
      <c r="H79" s="10"/>
      <c r="I79" s="2" t="n">
        <f>17149</f>
        <v>17149.0</v>
      </c>
      <c r="J79" s="10"/>
      <c r="K79" s="2" t="n">
        <f>454222</f>
        <v>454222.0</v>
      </c>
    </row>
    <row r="80">
      <c r="A80" s="8" t="s">
        <v>34</v>
      </c>
      <c r="B80" s="9" t="s">
        <v>52</v>
      </c>
      <c r="C80" s="9" t="s">
        <v>53</v>
      </c>
      <c r="D80" s="10"/>
      <c r="E80" s="2" t="n">
        <f>78568</f>
        <v>78568.0</v>
      </c>
      <c r="F80" s="10"/>
      <c r="G80" s="2" t="n">
        <f>1635642905000</f>
        <v>1.635642905E12</v>
      </c>
      <c r="H80" s="10"/>
      <c r="I80" s="2" t="n">
        <f>15592</f>
        <v>15592.0</v>
      </c>
      <c r="J80" s="10"/>
      <c r="K80" s="2" t="n">
        <f>452939</f>
        <v>452939.0</v>
      </c>
    </row>
    <row r="81">
      <c r="A81" s="8" t="s">
        <v>35</v>
      </c>
      <c r="B81" s="9" t="s">
        <v>52</v>
      </c>
      <c r="C81" s="9" t="s">
        <v>53</v>
      </c>
      <c r="D81" s="10"/>
      <c r="E81" s="2" t="n">
        <f>83144</f>
        <v>83144.0</v>
      </c>
      <c r="F81" s="10"/>
      <c r="G81" s="2" t="n">
        <f>1725593856140</f>
        <v>1.72559385614E12</v>
      </c>
      <c r="H81" s="10"/>
      <c r="I81" s="2" t="n">
        <f>17461</f>
        <v>17461.0</v>
      </c>
      <c r="J81" s="10"/>
      <c r="K81" s="2" t="n">
        <f>452748</f>
        <v>452748.0</v>
      </c>
    </row>
    <row r="82">
      <c r="A82" s="8" t="s">
        <v>36</v>
      </c>
      <c r="B82" s="9" t="s">
        <v>52</v>
      </c>
      <c r="C82" s="9" t="s">
        <v>53</v>
      </c>
      <c r="D82" s="10"/>
      <c r="E82" s="2" t="n">
        <f>103887</f>
        <v>103887.0</v>
      </c>
      <c r="F82" s="10"/>
      <c r="G82" s="2" t="n">
        <f>2162449583598</f>
        <v>2.162449583598E12</v>
      </c>
      <c r="H82" s="10"/>
      <c r="I82" s="2" t="n">
        <f>19559</f>
        <v>19559.0</v>
      </c>
      <c r="J82" s="10"/>
      <c r="K82" s="2" t="n">
        <f>459714</f>
        <v>459714.0</v>
      </c>
    </row>
    <row r="83">
      <c r="A83" s="8" t="s">
        <v>37</v>
      </c>
      <c r="B83" s="9" t="s">
        <v>52</v>
      </c>
      <c r="C83" s="9" t="s">
        <v>53</v>
      </c>
      <c r="D83" s="10"/>
      <c r="E83" s="2"/>
      <c r="F83" s="10"/>
      <c r="G83" s="2"/>
      <c r="H83" s="10"/>
      <c r="I83" s="2"/>
      <c r="J83" s="10"/>
      <c r="K83" s="2"/>
    </row>
    <row r="84">
      <c r="A84" s="8" t="s">
        <v>38</v>
      </c>
      <c r="B84" s="9" t="s">
        <v>52</v>
      </c>
      <c r="C84" s="9" t="s">
        <v>53</v>
      </c>
      <c r="D84" s="10"/>
      <c r="E84" s="2"/>
      <c r="F84" s="10"/>
      <c r="G84" s="2"/>
      <c r="H84" s="10"/>
      <c r="I84" s="2"/>
      <c r="J84" s="10"/>
      <c r="K84" s="2"/>
    </row>
    <row r="85">
      <c r="A85" s="8" t="s">
        <v>39</v>
      </c>
      <c r="B85" s="9" t="s">
        <v>52</v>
      </c>
      <c r="C85" s="9" t="s">
        <v>53</v>
      </c>
      <c r="D85" s="10"/>
      <c r="E85" s="2"/>
      <c r="F85" s="10"/>
      <c r="G85" s="2"/>
      <c r="H85" s="10"/>
      <c r="I85" s="2"/>
      <c r="J85" s="10"/>
      <c r="K85" s="2"/>
    </row>
    <row r="86">
      <c r="A86" s="8" t="s">
        <v>40</v>
      </c>
      <c r="B86" s="9" t="s">
        <v>52</v>
      </c>
      <c r="C86" s="9" t="s">
        <v>53</v>
      </c>
      <c r="D86" s="10" t="s">
        <v>32</v>
      </c>
      <c r="E86" s="2" t="n">
        <f>60376</f>
        <v>60376.0</v>
      </c>
      <c r="F86" s="10" t="s">
        <v>32</v>
      </c>
      <c r="G86" s="2" t="n">
        <f>1237345022820</f>
        <v>1.23734502282E12</v>
      </c>
      <c r="H86" s="10"/>
      <c r="I86" s="2" t="n">
        <f>13804</f>
        <v>13804.0</v>
      </c>
      <c r="J86" s="10"/>
      <c r="K86" s="2" t="n">
        <f>461378</f>
        <v>461378.0</v>
      </c>
    </row>
    <row r="87">
      <c r="A87" s="8" t="s">
        <v>41</v>
      </c>
      <c r="B87" s="9" t="s">
        <v>52</v>
      </c>
      <c r="C87" s="9" t="s">
        <v>53</v>
      </c>
      <c r="D87" s="10"/>
      <c r="E87" s="2" t="n">
        <f>67573</f>
        <v>67573.0</v>
      </c>
      <c r="F87" s="10"/>
      <c r="G87" s="2" t="n">
        <f>1379879526064</f>
        <v>1.379879526064E12</v>
      </c>
      <c r="H87" s="10"/>
      <c r="I87" s="2" t="n">
        <f>17282</f>
        <v>17282.0</v>
      </c>
      <c r="J87" s="10"/>
      <c r="K87" s="2" t="n">
        <f>461621</f>
        <v>461621.0</v>
      </c>
    </row>
    <row r="88">
      <c r="A88" s="8" t="s">
        <v>42</v>
      </c>
      <c r="B88" s="9" t="s">
        <v>52</v>
      </c>
      <c r="C88" s="9" t="s">
        <v>53</v>
      </c>
      <c r="D88" s="10"/>
      <c r="E88" s="2"/>
      <c r="F88" s="10"/>
      <c r="G88" s="2"/>
      <c r="H88" s="10"/>
      <c r="I88" s="2"/>
      <c r="J88" s="10"/>
      <c r="K88" s="2"/>
    </row>
    <row r="89">
      <c r="A89" s="8" t="s">
        <v>43</v>
      </c>
      <c r="B89" s="9" t="s">
        <v>52</v>
      </c>
      <c r="C89" s="9" t="s">
        <v>53</v>
      </c>
      <c r="D89" s="10"/>
      <c r="E89" s="2" t="n">
        <f>93665</f>
        <v>93665.0</v>
      </c>
      <c r="F89" s="10"/>
      <c r="G89" s="2" t="n">
        <f>1936430673485</f>
        <v>1.936430673485E12</v>
      </c>
      <c r="H89" s="10"/>
      <c r="I89" s="2" t="n">
        <f>19259</f>
        <v>19259.0</v>
      </c>
      <c r="J89" s="10"/>
      <c r="K89" s="2" t="n">
        <f>469708</f>
        <v>469708.0</v>
      </c>
    </row>
    <row r="90">
      <c r="A90" s="8" t="s">
        <v>44</v>
      </c>
      <c r="B90" s="9" t="s">
        <v>52</v>
      </c>
      <c r="C90" s="9" t="s">
        <v>53</v>
      </c>
      <c r="D90" s="10"/>
      <c r="E90" s="2"/>
      <c r="F90" s="10"/>
      <c r="G90" s="2"/>
      <c r="H90" s="10"/>
      <c r="I90" s="2"/>
      <c r="J90" s="10"/>
      <c r="K90" s="2"/>
    </row>
    <row r="91">
      <c r="A91" s="8" t="s">
        <v>45</v>
      </c>
      <c r="B91" s="9" t="s">
        <v>52</v>
      </c>
      <c r="C91" s="9" t="s">
        <v>53</v>
      </c>
      <c r="D91" s="10"/>
      <c r="E91" s="2"/>
      <c r="F91" s="10"/>
      <c r="G91" s="2"/>
      <c r="H91" s="10"/>
      <c r="I91" s="2"/>
      <c r="J91" s="10"/>
      <c r="K91" s="2"/>
    </row>
    <row r="92">
      <c r="A92" s="8" t="s">
        <v>46</v>
      </c>
      <c r="B92" s="9" t="s">
        <v>52</v>
      </c>
      <c r="C92" s="9" t="s">
        <v>53</v>
      </c>
      <c r="D92" s="10"/>
      <c r="E92" s="2" t="n">
        <f>70452</f>
        <v>70452.0</v>
      </c>
      <c r="F92" s="10"/>
      <c r="G92" s="2" t="n">
        <f>1462729425700</f>
        <v>1.4627294257E12</v>
      </c>
      <c r="H92" s="10" t="s">
        <v>32</v>
      </c>
      <c r="I92" s="2" t="n">
        <f>13622</f>
        <v>13622.0</v>
      </c>
      <c r="J92" s="10"/>
      <c r="K92" s="2" t="n">
        <f>473076</f>
        <v>473076.0</v>
      </c>
    </row>
    <row r="93">
      <c r="A93" s="8" t="s">
        <v>47</v>
      </c>
      <c r="B93" s="9" t="s">
        <v>52</v>
      </c>
      <c r="C93" s="9" t="s">
        <v>53</v>
      </c>
      <c r="D93" s="10"/>
      <c r="E93" s="2" t="n">
        <f>102943</f>
        <v>102943.0</v>
      </c>
      <c r="F93" s="10"/>
      <c r="G93" s="2" t="n">
        <f>2123613738800</f>
        <v>2.1236137388E12</v>
      </c>
      <c r="H93" s="10"/>
      <c r="I93" s="2" t="n">
        <f>28484</f>
        <v>28484.0</v>
      </c>
      <c r="J93" s="10"/>
      <c r="K93" s="2" t="n">
        <f>481107</f>
        <v>481107.0</v>
      </c>
    </row>
    <row r="94">
      <c r="A94" s="8" t="s">
        <v>48</v>
      </c>
      <c r="B94" s="9" t="s">
        <v>52</v>
      </c>
      <c r="C94" s="9" t="s">
        <v>53</v>
      </c>
      <c r="D94" s="10"/>
      <c r="E94" s="2" t="n">
        <f>148177</f>
        <v>148177.0</v>
      </c>
      <c r="F94" s="10"/>
      <c r="G94" s="2" t="n">
        <f>3018274965811</f>
        <v>3.018274965811E12</v>
      </c>
      <c r="H94" s="10"/>
      <c r="I94" s="2" t="n">
        <f>28709</f>
        <v>28709.0</v>
      </c>
      <c r="J94" s="10"/>
      <c r="K94" s="2" t="n">
        <f>480448</f>
        <v>480448.0</v>
      </c>
    </row>
    <row r="95">
      <c r="A95" s="8" t="s">
        <v>49</v>
      </c>
      <c r="B95" s="9" t="s">
        <v>52</v>
      </c>
      <c r="C95" s="9" t="s">
        <v>53</v>
      </c>
      <c r="D95" s="10"/>
      <c r="E95" s="2" t="n">
        <f>106412</f>
        <v>106412.0</v>
      </c>
      <c r="F95" s="10"/>
      <c r="G95" s="2" t="n">
        <f>2165941165830</f>
        <v>2.16594116583E12</v>
      </c>
      <c r="H95" s="10"/>
      <c r="I95" s="2" t="n">
        <f>22398</f>
        <v>22398.0</v>
      </c>
      <c r="J95" s="10"/>
      <c r="K95" s="2" t="n">
        <f>475080</f>
        <v>475080.0</v>
      </c>
    </row>
    <row r="96">
      <c r="A96" s="8" t="s">
        <v>16</v>
      </c>
      <c r="B96" s="9" t="s">
        <v>54</v>
      </c>
      <c r="C96" s="9" t="s">
        <v>55</v>
      </c>
      <c r="D96" s="10"/>
      <c r="E96" s="2" t="n">
        <f>43175</f>
        <v>43175.0</v>
      </c>
      <c r="F96" s="10"/>
      <c r="G96" s="2" t="n">
        <f>85213701000</f>
        <v>8.5213701E10</v>
      </c>
      <c r="H96" s="10"/>
      <c r="I96" s="2" t="n">
        <f>3803</f>
        <v>3803.0</v>
      </c>
      <c r="J96" s="10"/>
      <c r="K96" s="2" t="n">
        <f>47351</f>
        <v>47351.0</v>
      </c>
    </row>
    <row r="97">
      <c r="A97" s="8" t="s">
        <v>19</v>
      </c>
      <c r="B97" s="9" t="s">
        <v>54</v>
      </c>
      <c r="C97" s="9" t="s">
        <v>55</v>
      </c>
      <c r="D97" s="10"/>
      <c r="E97" s="2" t="n">
        <f>37156</f>
        <v>37156.0</v>
      </c>
      <c r="F97" s="10"/>
      <c r="G97" s="2" t="n">
        <f>73564939530</f>
        <v>7.356493953E10</v>
      </c>
      <c r="H97" s="10"/>
      <c r="I97" s="2" t="n">
        <f>4157</f>
        <v>4157.0</v>
      </c>
      <c r="J97" s="10"/>
      <c r="K97" s="2" t="n">
        <f>48283</f>
        <v>48283.0</v>
      </c>
    </row>
    <row r="98">
      <c r="A98" s="8" t="s">
        <v>20</v>
      </c>
      <c r="B98" s="9" t="s">
        <v>54</v>
      </c>
      <c r="C98" s="9" t="s">
        <v>55</v>
      </c>
      <c r="D98" s="10"/>
      <c r="E98" s="2" t="n">
        <f>64942</f>
        <v>64942.0</v>
      </c>
      <c r="F98" s="10"/>
      <c r="G98" s="2" t="n">
        <f>130261773675</f>
        <v>1.30261773675E11</v>
      </c>
      <c r="H98" s="10"/>
      <c r="I98" s="2" t="n">
        <f>8884</f>
        <v>8884.0</v>
      </c>
      <c r="J98" s="10"/>
      <c r="K98" s="2" t="n">
        <f>42710</f>
        <v>42710.0</v>
      </c>
    </row>
    <row r="99">
      <c r="A99" s="8" t="s">
        <v>21</v>
      </c>
      <c r="B99" s="9" t="s">
        <v>54</v>
      </c>
      <c r="C99" s="9" t="s">
        <v>55</v>
      </c>
      <c r="D99" s="10"/>
      <c r="E99" s="2"/>
      <c r="F99" s="10"/>
      <c r="G99" s="2"/>
      <c r="H99" s="10"/>
      <c r="I99" s="2"/>
      <c r="J99" s="10"/>
      <c r="K99" s="2"/>
    </row>
    <row r="100">
      <c r="A100" s="8" t="s">
        <v>22</v>
      </c>
      <c r="B100" s="9" t="s">
        <v>54</v>
      </c>
      <c r="C100" s="9" t="s">
        <v>55</v>
      </c>
      <c r="D100" s="10"/>
      <c r="E100" s="2"/>
      <c r="F100" s="10"/>
      <c r="G100" s="2"/>
      <c r="H100" s="10"/>
      <c r="I100" s="2"/>
      <c r="J100" s="10"/>
      <c r="K100" s="2"/>
    </row>
    <row r="101">
      <c r="A101" s="8" t="s">
        <v>23</v>
      </c>
      <c r="B101" s="9" t="s">
        <v>54</v>
      </c>
      <c r="C101" s="9" t="s">
        <v>55</v>
      </c>
      <c r="D101" s="10"/>
      <c r="E101" s="2" t="n">
        <f>60458</f>
        <v>60458.0</v>
      </c>
      <c r="F101" s="10"/>
      <c r="G101" s="2" t="n">
        <f>123000794675</f>
        <v>1.23000794675E11</v>
      </c>
      <c r="H101" s="10" t="s">
        <v>25</v>
      </c>
      <c r="I101" s="2" t="n">
        <f>11634</f>
        <v>11634.0</v>
      </c>
      <c r="J101" s="10"/>
      <c r="K101" s="2" t="n">
        <f>45108</f>
        <v>45108.0</v>
      </c>
    </row>
    <row r="102">
      <c r="A102" s="8" t="s">
        <v>24</v>
      </c>
      <c r="B102" s="9" t="s">
        <v>54</v>
      </c>
      <c r="C102" s="9" t="s">
        <v>55</v>
      </c>
      <c r="D102" s="10" t="s">
        <v>25</v>
      </c>
      <c r="E102" s="2" t="n">
        <f>76166</f>
        <v>76166.0</v>
      </c>
      <c r="F102" s="10" t="s">
        <v>25</v>
      </c>
      <c r="G102" s="2" t="n">
        <f>157018449761</f>
        <v>1.57018449761E11</v>
      </c>
      <c r="H102" s="10"/>
      <c r="I102" s="2" t="n">
        <f>10167</f>
        <v>10167.0</v>
      </c>
      <c r="J102" s="10"/>
      <c r="K102" s="2" t="n">
        <f>55188</f>
        <v>55188.0</v>
      </c>
    </row>
    <row r="103">
      <c r="A103" s="8" t="s">
        <v>26</v>
      </c>
      <c r="B103" s="9" t="s">
        <v>54</v>
      </c>
      <c r="C103" s="9" t="s">
        <v>55</v>
      </c>
      <c r="D103" s="10"/>
      <c r="E103" s="2" t="n">
        <f>62381</f>
        <v>62381.0</v>
      </c>
      <c r="F103" s="10"/>
      <c r="G103" s="2" t="n">
        <f>128845477788</f>
        <v>1.28845477788E11</v>
      </c>
      <c r="H103" s="10"/>
      <c r="I103" s="2" t="n">
        <f>5066</f>
        <v>5066.0</v>
      </c>
      <c r="J103" s="10"/>
      <c r="K103" s="2" t="n">
        <f>60674</f>
        <v>60674.0</v>
      </c>
    </row>
    <row r="104">
      <c r="A104" s="8" t="s">
        <v>27</v>
      </c>
      <c r="B104" s="9" t="s">
        <v>54</v>
      </c>
      <c r="C104" s="9" t="s">
        <v>55</v>
      </c>
      <c r="D104" s="10"/>
      <c r="E104" s="2" t="n">
        <f>47096</f>
        <v>47096.0</v>
      </c>
      <c r="F104" s="10"/>
      <c r="G104" s="2" t="n">
        <f>96880615750</f>
        <v>9.688061575E10</v>
      </c>
      <c r="H104" s="10"/>
      <c r="I104" s="2" t="n">
        <f>2570</f>
        <v>2570.0</v>
      </c>
      <c r="J104" s="10"/>
      <c r="K104" s="2" t="n">
        <f>59112</f>
        <v>59112.0</v>
      </c>
    </row>
    <row r="105">
      <c r="A105" s="8" t="s">
        <v>28</v>
      </c>
      <c r="B105" s="9" t="s">
        <v>54</v>
      </c>
      <c r="C105" s="9" t="s">
        <v>55</v>
      </c>
      <c r="D105" s="10"/>
      <c r="E105" s="2" t="n">
        <f>54090</f>
        <v>54090.0</v>
      </c>
      <c r="F105" s="10"/>
      <c r="G105" s="2" t="n">
        <f>111631850600</f>
        <v>1.116318506E11</v>
      </c>
      <c r="H105" s="10"/>
      <c r="I105" s="2" t="n">
        <f>3800</f>
        <v>3800.0</v>
      </c>
      <c r="J105" s="10"/>
      <c r="K105" s="2" t="n">
        <f>64995</f>
        <v>64995.0</v>
      </c>
    </row>
    <row r="106">
      <c r="A106" s="8" t="s">
        <v>29</v>
      </c>
      <c r="B106" s="9" t="s">
        <v>54</v>
      </c>
      <c r="C106" s="9" t="s">
        <v>55</v>
      </c>
      <c r="D106" s="10"/>
      <c r="E106" s="2"/>
      <c r="F106" s="10"/>
      <c r="G106" s="2"/>
      <c r="H106" s="10"/>
      <c r="I106" s="2"/>
      <c r="J106" s="10"/>
      <c r="K106" s="2"/>
    </row>
    <row r="107">
      <c r="A107" s="8" t="s">
        <v>30</v>
      </c>
      <c r="B107" s="9" t="s">
        <v>54</v>
      </c>
      <c r="C107" s="9" t="s">
        <v>55</v>
      </c>
      <c r="D107" s="10"/>
      <c r="E107" s="2"/>
      <c r="F107" s="10"/>
      <c r="G107" s="2"/>
      <c r="H107" s="10"/>
      <c r="I107" s="2"/>
      <c r="J107" s="10"/>
      <c r="K107" s="2"/>
    </row>
    <row r="108">
      <c r="A108" s="8" t="s">
        <v>31</v>
      </c>
      <c r="B108" s="9" t="s">
        <v>54</v>
      </c>
      <c r="C108" s="9" t="s">
        <v>55</v>
      </c>
      <c r="D108" s="10"/>
      <c r="E108" s="2" t="n">
        <f>45303</f>
        <v>45303.0</v>
      </c>
      <c r="F108" s="10"/>
      <c r="G108" s="2" t="n">
        <f>93938825750</f>
        <v>9.393882575E10</v>
      </c>
      <c r="H108" s="10"/>
      <c r="I108" s="2" t="n">
        <f>3623</f>
        <v>3623.0</v>
      </c>
      <c r="J108" s="10" t="s">
        <v>32</v>
      </c>
      <c r="K108" s="2" t="n">
        <f>39545</f>
        <v>39545.0</v>
      </c>
    </row>
    <row r="109">
      <c r="A109" s="8" t="s">
        <v>33</v>
      </c>
      <c r="B109" s="9" t="s">
        <v>54</v>
      </c>
      <c r="C109" s="9" t="s">
        <v>55</v>
      </c>
      <c r="D109" s="10"/>
      <c r="E109" s="2" t="n">
        <f>59147</f>
        <v>59147.0</v>
      </c>
      <c r="F109" s="10"/>
      <c r="G109" s="2" t="n">
        <f>123909919650</f>
        <v>1.2390991965E11</v>
      </c>
      <c r="H109" s="10"/>
      <c r="I109" s="2" t="n">
        <f>4245</f>
        <v>4245.0</v>
      </c>
      <c r="J109" s="10"/>
      <c r="K109" s="2" t="n">
        <f>49016</f>
        <v>49016.0</v>
      </c>
    </row>
    <row r="110">
      <c r="A110" s="8" t="s">
        <v>34</v>
      </c>
      <c r="B110" s="9" t="s">
        <v>54</v>
      </c>
      <c r="C110" s="9" t="s">
        <v>55</v>
      </c>
      <c r="D110" s="10"/>
      <c r="E110" s="2" t="n">
        <f>33123</f>
        <v>33123.0</v>
      </c>
      <c r="F110" s="10"/>
      <c r="G110" s="2" t="n">
        <f>68987556540</f>
        <v>6.898755654E10</v>
      </c>
      <c r="H110" s="10"/>
      <c r="I110" s="2" t="n">
        <f>3239</f>
        <v>3239.0</v>
      </c>
      <c r="J110" s="10"/>
      <c r="K110" s="2" t="n">
        <f>48854</f>
        <v>48854.0</v>
      </c>
    </row>
    <row r="111">
      <c r="A111" s="8" t="s">
        <v>35</v>
      </c>
      <c r="B111" s="9" t="s">
        <v>54</v>
      </c>
      <c r="C111" s="9" t="s">
        <v>55</v>
      </c>
      <c r="D111" s="10"/>
      <c r="E111" s="2" t="n">
        <f>35085</f>
        <v>35085.0</v>
      </c>
      <c r="F111" s="10"/>
      <c r="G111" s="2" t="n">
        <f>72807680630</f>
        <v>7.280768063E10</v>
      </c>
      <c r="H111" s="10"/>
      <c r="I111" s="2" t="n">
        <f>3590</f>
        <v>3590.0</v>
      </c>
      <c r="J111" s="10"/>
      <c r="K111" s="2" t="n">
        <f>54330</f>
        <v>54330.0</v>
      </c>
    </row>
    <row r="112">
      <c r="A112" s="8" t="s">
        <v>36</v>
      </c>
      <c r="B112" s="9" t="s">
        <v>54</v>
      </c>
      <c r="C112" s="9" t="s">
        <v>55</v>
      </c>
      <c r="D112" s="10"/>
      <c r="E112" s="2" t="n">
        <f>36134</f>
        <v>36134.0</v>
      </c>
      <c r="F112" s="10"/>
      <c r="G112" s="2" t="n">
        <f>75163184050</f>
        <v>7.516318405E10</v>
      </c>
      <c r="H112" s="10"/>
      <c r="I112" s="2" t="n">
        <f>3124</f>
        <v>3124.0</v>
      </c>
      <c r="J112" s="10"/>
      <c r="K112" s="2" t="n">
        <f>59599</f>
        <v>59599.0</v>
      </c>
    </row>
    <row r="113">
      <c r="A113" s="8" t="s">
        <v>37</v>
      </c>
      <c r="B113" s="9" t="s">
        <v>54</v>
      </c>
      <c r="C113" s="9" t="s">
        <v>55</v>
      </c>
      <c r="D113" s="10"/>
      <c r="E113" s="2"/>
      <c r="F113" s="10"/>
      <c r="G113" s="2"/>
      <c r="H113" s="10"/>
      <c r="I113" s="2"/>
      <c r="J113" s="10"/>
      <c r="K113" s="2"/>
    </row>
    <row r="114">
      <c r="A114" s="8" t="s">
        <v>38</v>
      </c>
      <c r="B114" s="9" t="s">
        <v>54</v>
      </c>
      <c r="C114" s="9" t="s">
        <v>55</v>
      </c>
      <c r="D114" s="10"/>
      <c r="E114" s="2"/>
      <c r="F114" s="10"/>
      <c r="G114" s="2"/>
      <c r="H114" s="10"/>
      <c r="I114" s="2"/>
      <c r="J114" s="10"/>
      <c r="K114" s="2"/>
    </row>
    <row r="115">
      <c r="A115" s="8" t="s">
        <v>39</v>
      </c>
      <c r="B115" s="9" t="s">
        <v>54</v>
      </c>
      <c r="C115" s="9" t="s">
        <v>55</v>
      </c>
      <c r="D115" s="10"/>
      <c r="E115" s="2"/>
      <c r="F115" s="10"/>
      <c r="G115" s="2"/>
      <c r="H115" s="10"/>
      <c r="I115" s="2"/>
      <c r="J115" s="10"/>
      <c r="K115" s="2"/>
    </row>
    <row r="116">
      <c r="A116" s="8" t="s">
        <v>40</v>
      </c>
      <c r="B116" s="9" t="s">
        <v>54</v>
      </c>
      <c r="C116" s="9" t="s">
        <v>55</v>
      </c>
      <c r="D116" s="10" t="s">
        <v>32</v>
      </c>
      <c r="E116" s="2" t="n">
        <f>18587</f>
        <v>18587.0</v>
      </c>
      <c r="F116" s="10" t="s">
        <v>32</v>
      </c>
      <c r="G116" s="2" t="n">
        <f>38085982580</f>
        <v>3.808598258E10</v>
      </c>
      <c r="H116" s="10"/>
      <c r="I116" s="2" t="n">
        <f>3156</f>
        <v>3156.0</v>
      </c>
      <c r="J116" s="10"/>
      <c r="K116" s="2" t="n">
        <f>59924</f>
        <v>59924.0</v>
      </c>
    </row>
    <row r="117">
      <c r="A117" s="8" t="s">
        <v>41</v>
      </c>
      <c r="B117" s="9" t="s">
        <v>54</v>
      </c>
      <c r="C117" s="9" t="s">
        <v>55</v>
      </c>
      <c r="D117" s="10"/>
      <c r="E117" s="2" t="n">
        <f>29082</f>
        <v>29082.0</v>
      </c>
      <c r="F117" s="10"/>
      <c r="G117" s="2" t="n">
        <f>59458639400</f>
        <v>5.94586394E10</v>
      </c>
      <c r="H117" s="10"/>
      <c r="I117" s="2" t="n">
        <f>3990</f>
        <v>3990.0</v>
      </c>
      <c r="J117" s="10"/>
      <c r="K117" s="2" t="n">
        <f>60304</f>
        <v>60304.0</v>
      </c>
    </row>
    <row r="118">
      <c r="A118" s="8" t="s">
        <v>42</v>
      </c>
      <c r="B118" s="9" t="s">
        <v>54</v>
      </c>
      <c r="C118" s="9" t="s">
        <v>55</v>
      </c>
      <c r="D118" s="10"/>
      <c r="E118" s="2"/>
      <c r="F118" s="10"/>
      <c r="G118" s="2"/>
      <c r="H118" s="10"/>
      <c r="I118" s="2"/>
      <c r="J118" s="10"/>
      <c r="K118" s="2"/>
    </row>
    <row r="119">
      <c r="A119" s="8" t="s">
        <v>43</v>
      </c>
      <c r="B119" s="9" t="s">
        <v>54</v>
      </c>
      <c r="C119" s="9" t="s">
        <v>55</v>
      </c>
      <c r="D119" s="10"/>
      <c r="E119" s="2" t="n">
        <f>26724</f>
        <v>26724.0</v>
      </c>
      <c r="F119" s="10"/>
      <c r="G119" s="2" t="n">
        <f>55118033500</f>
        <v>5.51180335E10</v>
      </c>
      <c r="H119" s="10" t="s">
        <v>32</v>
      </c>
      <c r="I119" s="2" t="n">
        <f>2447</f>
        <v>2447.0</v>
      </c>
      <c r="J119" s="10"/>
      <c r="K119" s="2" t="n">
        <f>64499</f>
        <v>64499.0</v>
      </c>
    </row>
    <row r="120">
      <c r="A120" s="8" t="s">
        <v>44</v>
      </c>
      <c r="B120" s="9" t="s">
        <v>54</v>
      </c>
      <c r="C120" s="9" t="s">
        <v>55</v>
      </c>
      <c r="D120" s="10"/>
      <c r="E120" s="2"/>
      <c r="F120" s="10"/>
      <c r="G120" s="2"/>
      <c r="H120" s="10"/>
      <c r="I120" s="2"/>
      <c r="J120" s="10"/>
      <c r="K120" s="2"/>
    </row>
    <row r="121">
      <c r="A121" s="8" t="s">
        <v>45</v>
      </c>
      <c r="B121" s="9" t="s">
        <v>54</v>
      </c>
      <c r="C121" s="9" t="s">
        <v>55</v>
      </c>
      <c r="D121" s="10"/>
      <c r="E121" s="2"/>
      <c r="F121" s="10"/>
      <c r="G121" s="2"/>
      <c r="H121" s="10"/>
      <c r="I121" s="2"/>
      <c r="J121" s="10"/>
      <c r="K121" s="2"/>
    </row>
    <row r="122">
      <c r="A122" s="8" t="s">
        <v>46</v>
      </c>
      <c r="B122" s="9" t="s">
        <v>54</v>
      </c>
      <c r="C122" s="9" t="s">
        <v>55</v>
      </c>
      <c r="D122" s="10"/>
      <c r="E122" s="2" t="n">
        <f>25578</f>
        <v>25578.0</v>
      </c>
      <c r="F122" s="10"/>
      <c r="G122" s="2" t="n">
        <f>53101220000</f>
        <v>5.310122E10</v>
      </c>
      <c r="H122" s="10"/>
      <c r="I122" s="2" t="n">
        <f>3128</f>
        <v>3128.0</v>
      </c>
      <c r="J122" s="10" t="s">
        <v>25</v>
      </c>
      <c r="K122" s="2" t="n">
        <f>65192</f>
        <v>65192.0</v>
      </c>
    </row>
    <row r="123">
      <c r="A123" s="8" t="s">
        <v>47</v>
      </c>
      <c r="B123" s="9" t="s">
        <v>54</v>
      </c>
      <c r="C123" s="9" t="s">
        <v>55</v>
      </c>
      <c r="D123" s="10"/>
      <c r="E123" s="2" t="n">
        <f>42244</f>
        <v>42244.0</v>
      </c>
      <c r="F123" s="10"/>
      <c r="G123" s="2" t="n">
        <f>87095076530</f>
        <v>8.709507653E10</v>
      </c>
      <c r="H123" s="10"/>
      <c r="I123" s="2" t="n">
        <f>5448</f>
        <v>5448.0</v>
      </c>
      <c r="J123" s="10"/>
      <c r="K123" s="2" t="n">
        <f>64450</f>
        <v>64450.0</v>
      </c>
    </row>
    <row r="124">
      <c r="A124" s="8" t="s">
        <v>48</v>
      </c>
      <c r="B124" s="9" t="s">
        <v>54</v>
      </c>
      <c r="C124" s="9" t="s">
        <v>55</v>
      </c>
      <c r="D124" s="10"/>
      <c r="E124" s="2" t="n">
        <f>68126</f>
        <v>68126.0</v>
      </c>
      <c r="F124" s="10"/>
      <c r="G124" s="2" t="n">
        <f>138616554770</f>
        <v>1.3861655477E11</v>
      </c>
      <c r="H124" s="10"/>
      <c r="I124" s="2" t="n">
        <f>8255</f>
        <v>8255.0</v>
      </c>
      <c r="J124" s="10"/>
      <c r="K124" s="2" t="n">
        <f>59225</f>
        <v>59225.0</v>
      </c>
    </row>
    <row r="125">
      <c r="A125" s="8" t="s">
        <v>49</v>
      </c>
      <c r="B125" s="9" t="s">
        <v>54</v>
      </c>
      <c r="C125" s="9" t="s">
        <v>55</v>
      </c>
      <c r="D125" s="10"/>
      <c r="E125" s="2" t="n">
        <f>44300</f>
        <v>44300.0</v>
      </c>
      <c r="F125" s="10"/>
      <c r="G125" s="2" t="n">
        <f>90250852000</f>
        <v>9.0250852E10</v>
      </c>
      <c r="H125" s="10"/>
      <c r="I125" s="2" t="n">
        <f>6091</f>
        <v>6091.0</v>
      </c>
      <c r="J125" s="10"/>
      <c r="K125" s="2" t="n">
        <f>56693</f>
        <v>56693.0</v>
      </c>
    </row>
    <row r="126">
      <c r="A126" s="8" t="s">
        <v>16</v>
      </c>
      <c r="B126" s="9" t="s">
        <v>56</v>
      </c>
      <c r="C126" s="9" t="s">
        <v>57</v>
      </c>
      <c r="D126" s="10"/>
      <c r="E126" s="2" t="n">
        <f>14468</f>
        <v>14468.0</v>
      </c>
      <c r="F126" s="10"/>
      <c r="G126" s="2" t="n">
        <f>25742601308</f>
        <v>2.5742601308E10</v>
      </c>
      <c r="H126" s="10"/>
      <c r="I126" s="2" t="n">
        <f>818</f>
        <v>818.0</v>
      </c>
      <c r="J126" s="10"/>
      <c r="K126" s="2" t="n">
        <f>81154</f>
        <v>81154.0</v>
      </c>
    </row>
    <row r="127">
      <c r="A127" s="8" t="s">
        <v>19</v>
      </c>
      <c r="B127" s="9" t="s">
        <v>56</v>
      </c>
      <c r="C127" s="9" t="s">
        <v>57</v>
      </c>
      <c r="D127" s="10"/>
      <c r="E127" s="2" t="n">
        <f>13099</f>
        <v>13099.0</v>
      </c>
      <c r="F127" s="10"/>
      <c r="G127" s="2" t="n">
        <f>23434872186</f>
        <v>2.3434872186E10</v>
      </c>
      <c r="H127" s="10" t="s">
        <v>25</v>
      </c>
      <c r="I127" s="2" t="n">
        <f>2428</f>
        <v>2428.0</v>
      </c>
      <c r="J127" s="10"/>
      <c r="K127" s="2" t="n">
        <f>80477</f>
        <v>80477.0</v>
      </c>
    </row>
    <row r="128">
      <c r="A128" s="8" t="s">
        <v>20</v>
      </c>
      <c r="B128" s="9" t="s">
        <v>56</v>
      </c>
      <c r="C128" s="9" t="s">
        <v>57</v>
      </c>
      <c r="D128" s="10"/>
      <c r="E128" s="2" t="n">
        <f>13374</f>
        <v>13374.0</v>
      </c>
      <c r="F128" s="10"/>
      <c r="G128" s="2" t="n">
        <f>24223865900</f>
        <v>2.42238659E10</v>
      </c>
      <c r="H128" s="10"/>
      <c r="I128" s="2" t="n">
        <f>690</f>
        <v>690.0</v>
      </c>
      <c r="J128" s="10"/>
      <c r="K128" s="2" t="n">
        <f>79960</f>
        <v>79960.0</v>
      </c>
    </row>
    <row r="129">
      <c r="A129" s="8" t="s">
        <v>21</v>
      </c>
      <c r="B129" s="9" t="s">
        <v>56</v>
      </c>
      <c r="C129" s="9" t="s">
        <v>57</v>
      </c>
      <c r="D129" s="10"/>
      <c r="E129" s="2"/>
      <c r="F129" s="10"/>
      <c r="G129" s="2"/>
      <c r="H129" s="10"/>
      <c r="I129" s="2"/>
      <c r="J129" s="10"/>
      <c r="K129" s="2"/>
    </row>
    <row r="130">
      <c r="A130" s="8" t="s">
        <v>22</v>
      </c>
      <c r="B130" s="9" t="s">
        <v>56</v>
      </c>
      <c r="C130" s="9" t="s">
        <v>57</v>
      </c>
      <c r="D130" s="10"/>
      <c r="E130" s="2"/>
      <c r="F130" s="10"/>
      <c r="G130" s="2"/>
      <c r="H130" s="10"/>
      <c r="I130" s="2"/>
      <c r="J130" s="10"/>
      <c r="K130" s="2"/>
    </row>
    <row r="131">
      <c r="A131" s="8" t="s">
        <v>23</v>
      </c>
      <c r="B131" s="9" t="s">
        <v>56</v>
      </c>
      <c r="C131" s="9" t="s">
        <v>57</v>
      </c>
      <c r="D131" s="10"/>
      <c r="E131" s="2" t="n">
        <f>16836</f>
        <v>16836.0</v>
      </c>
      <c r="F131" s="10"/>
      <c r="G131" s="2" t="n">
        <f>30994293300</f>
        <v>3.09942933E10</v>
      </c>
      <c r="H131" s="10"/>
      <c r="I131" s="2" t="n">
        <f>767</f>
        <v>767.0</v>
      </c>
      <c r="J131" s="10"/>
      <c r="K131" s="2" t="n">
        <f>83706</f>
        <v>83706.0</v>
      </c>
    </row>
    <row r="132">
      <c r="A132" s="8" t="s">
        <v>24</v>
      </c>
      <c r="B132" s="9" t="s">
        <v>56</v>
      </c>
      <c r="C132" s="9" t="s">
        <v>57</v>
      </c>
      <c r="D132" s="10"/>
      <c r="E132" s="2" t="n">
        <f>54350</f>
        <v>54350.0</v>
      </c>
      <c r="F132" s="10"/>
      <c r="G132" s="2" t="n">
        <f>101349897178</f>
        <v>1.01349897178E11</v>
      </c>
      <c r="H132" s="10"/>
      <c r="I132" s="2" t="n">
        <f>463</f>
        <v>463.0</v>
      </c>
      <c r="J132" s="10"/>
      <c r="K132" s="2" t="n">
        <f>85149</f>
        <v>85149.0</v>
      </c>
    </row>
    <row r="133">
      <c r="A133" s="8" t="s">
        <v>26</v>
      </c>
      <c r="B133" s="9" t="s">
        <v>56</v>
      </c>
      <c r="C133" s="9" t="s">
        <v>57</v>
      </c>
      <c r="D133" s="10" t="s">
        <v>25</v>
      </c>
      <c r="E133" s="2" t="n">
        <f>58362</f>
        <v>58362.0</v>
      </c>
      <c r="F133" s="10" t="s">
        <v>25</v>
      </c>
      <c r="G133" s="2" t="n">
        <f>108823084630</f>
        <v>1.0882308463E11</v>
      </c>
      <c r="H133" s="10"/>
      <c r="I133" s="2" t="n">
        <f>1627</f>
        <v>1627.0</v>
      </c>
      <c r="J133" s="10"/>
      <c r="K133" s="2" t="n">
        <f>87231</f>
        <v>87231.0</v>
      </c>
    </row>
    <row r="134">
      <c r="A134" s="8" t="s">
        <v>27</v>
      </c>
      <c r="B134" s="9" t="s">
        <v>56</v>
      </c>
      <c r="C134" s="9" t="s">
        <v>57</v>
      </c>
      <c r="D134" s="10"/>
      <c r="E134" s="2" t="n">
        <f>23200</f>
        <v>23200.0</v>
      </c>
      <c r="F134" s="10"/>
      <c r="G134" s="2" t="n">
        <f>43317952950</f>
        <v>4.331795295E10</v>
      </c>
      <c r="H134" s="10"/>
      <c r="I134" s="2" t="n">
        <f>376</f>
        <v>376.0</v>
      </c>
      <c r="J134" s="10"/>
      <c r="K134" s="2" t="n">
        <f>88569</f>
        <v>88569.0</v>
      </c>
    </row>
    <row r="135">
      <c r="A135" s="8" t="s">
        <v>28</v>
      </c>
      <c r="B135" s="9" t="s">
        <v>56</v>
      </c>
      <c r="C135" s="9" t="s">
        <v>57</v>
      </c>
      <c r="D135" s="10"/>
      <c r="E135" s="2" t="n">
        <f>11548</f>
        <v>11548.0</v>
      </c>
      <c r="F135" s="10"/>
      <c r="G135" s="2" t="n">
        <f>21523405000</f>
        <v>2.1523405E10</v>
      </c>
      <c r="H135" s="10"/>
      <c r="I135" s="2" t="n">
        <f>510</f>
        <v>510.0</v>
      </c>
      <c r="J135" s="10" t="s">
        <v>25</v>
      </c>
      <c r="K135" s="2" t="n">
        <f>89049</f>
        <v>89049.0</v>
      </c>
    </row>
    <row r="136">
      <c r="A136" s="8" t="s">
        <v>29</v>
      </c>
      <c r="B136" s="9" t="s">
        <v>56</v>
      </c>
      <c r="C136" s="9" t="s">
        <v>57</v>
      </c>
      <c r="D136" s="10"/>
      <c r="E136" s="2"/>
      <c r="F136" s="10"/>
      <c r="G136" s="2"/>
      <c r="H136" s="10"/>
      <c r="I136" s="2"/>
      <c r="J136" s="10"/>
      <c r="K136" s="2"/>
    </row>
    <row r="137">
      <c r="A137" s="8" t="s">
        <v>30</v>
      </c>
      <c r="B137" s="9" t="s">
        <v>56</v>
      </c>
      <c r="C137" s="9" t="s">
        <v>57</v>
      </c>
      <c r="D137" s="10"/>
      <c r="E137" s="2"/>
      <c r="F137" s="10"/>
      <c r="G137" s="2"/>
      <c r="H137" s="10"/>
      <c r="I137" s="2"/>
      <c r="J137" s="10"/>
      <c r="K137" s="2"/>
    </row>
    <row r="138">
      <c r="A138" s="8" t="s">
        <v>31</v>
      </c>
      <c r="B138" s="9" t="s">
        <v>56</v>
      </c>
      <c r="C138" s="9" t="s">
        <v>57</v>
      </c>
      <c r="D138" s="10"/>
      <c r="E138" s="2" t="n">
        <f>13046</f>
        <v>13046.0</v>
      </c>
      <c r="F138" s="10"/>
      <c r="G138" s="2" t="n">
        <f>24483032900</f>
        <v>2.44830329E10</v>
      </c>
      <c r="H138" s="10"/>
      <c r="I138" s="2" t="n">
        <f>798</f>
        <v>798.0</v>
      </c>
      <c r="J138" s="10" t="s">
        <v>32</v>
      </c>
      <c r="K138" s="2" t="n">
        <f>40920</f>
        <v>40920.0</v>
      </c>
    </row>
    <row r="139">
      <c r="A139" s="8" t="s">
        <v>33</v>
      </c>
      <c r="B139" s="9" t="s">
        <v>56</v>
      </c>
      <c r="C139" s="9" t="s">
        <v>57</v>
      </c>
      <c r="D139" s="10"/>
      <c r="E139" s="2" t="n">
        <f>13067</f>
        <v>13067.0</v>
      </c>
      <c r="F139" s="10"/>
      <c r="G139" s="2" t="n">
        <f>24744338500</f>
        <v>2.47443385E10</v>
      </c>
      <c r="H139" s="10"/>
      <c r="I139" s="2" t="n">
        <f>461</f>
        <v>461.0</v>
      </c>
      <c r="J139" s="10"/>
      <c r="K139" s="2" t="n">
        <f>41372</f>
        <v>41372.0</v>
      </c>
    </row>
    <row r="140">
      <c r="A140" s="8" t="s">
        <v>34</v>
      </c>
      <c r="B140" s="9" t="s">
        <v>56</v>
      </c>
      <c r="C140" s="9" t="s">
        <v>57</v>
      </c>
      <c r="D140" s="10"/>
      <c r="E140" s="2" t="n">
        <f>9140</f>
        <v>9140.0</v>
      </c>
      <c r="F140" s="10"/>
      <c r="G140" s="2" t="n">
        <f>17216628500</f>
        <v>1.72166285E10</v>
      </c>
      <c r="H140" s="10"/>
      <c r="I140" s="2" t="n">
        <f>923</f>
        <v>923.0</v>
      </c>
      <c r="J140" s="10"/>
      <c r="K140" s="2" t="n">
        <f>41809</f>
        <v>41809.0</v>
      </c>
    </row>
    <row r="141">
      <c r="A141" s="8" t="s">
        <v>35</v>
      </c>
      <c r="B141" s="9" t="s">
        <v>56</v>
      </c>
      <c r="C141" s="9" t="s">
        <v>57</v>
      </c>
      <c r="D141" s="10"/>
      <c r="E141" s="2" t="n">
        <f>8261</f>
        <v>8261.0</v>
      </c>
      <c r="F141" s="10"/>
      <c r="G141" s="2" t="n">
        <f>15529488465</f>
        <v>1.5529488465E10</v>
      </c>
      <c r="H141" s="10"/>
      <c r="I141" s="2" t="n">
        <f>303</f>
        <v>303.0</v>
      </c>
      <c r="J141" s="10"/>
      <c r="K141" s="2" t="n">
        <f>41653</f>
        <v>41653.0</v>
      </c>
    </row>
    <row r="142">
      <c r="A142" s="8" t="s">
        <v>36</v>
      </c>
      <c r="B142" s="9" t="s">
        <v>56</v>
      </c>
      <c r="C142" s="9" t="s">
        <v>57</v>
      </c>
      <c r="D142" s="10"/>
      <c r="E142" s="2" t="n">
        <f>8119</f>
        <v>8119.0</v>
      </c>
      <c r="F142" s="10"/>
      <c r="G142" s="2" t="n">
        <f>15289637500</f>
        <v>1.52896375E10</v>
      </c>
      <c r="H142" s="10"/>
      <c r="I142" s="2" t="n">
        <f>751</f>
        <v>751.0</v>
      </c>
      <c r="J142" s="10"/>
      <c r="K142" s="2" t="n">
        <f>42008</f>
        <v>42008.0</v>
      </c>
    </row>
    <row r="143">
      <c r="A143" s="8" t="s">
        <v>37</v>
      </c>
      <c r="B143" s="9" t="s">
        <v>56</v>
      </c>
      <c r="C143" s="9" t="s">
        <v>57</v>
      </c>
      <c r="D143" s="10"/>
      <c r="E143" s="2"/>
      <c r="F143" s="10"/>
      <c r="G143" s="2"/>
      <c r="H143" s="10"/>
      <c r="I143" s="2"/>
      <c r="J143" s="10"/>
      <c r="K143" s="2"/>
    </row>
    <row r="144">
      <c r="A144" s="8" t="s">
        <v>38</v>
      </c>
      <c r="B144" s="9" t="s">
        <v>56</v>
      </c>
      <c r="C144" s="9" t="s">
        <v>57</v>
      </c>
      <c r="D144" s="10"/>
      <c r="E144" s="2"/>
      <c r="F144" s="10"/>
      <c r="G144" s="2"/>
      <c r="H144" s="10"/>
      <c r="I144" s="2"/>
      <c r="J144" s="10"/>
      <c r="K144" s="2"/>
    </row>
    <row r="145">
      <c r="A145" s="8" t="s">
        <v>39</v>
      </c>
      <c r="B145" s="9" t="s">
        <v>56</v>
      </c>
      <c r="C145" s="9" t="s">
        <v>57</v>
      </c>
      <c r="D145" s="10"/>
      <c r="E145" s="2"/>
      <c r="F145" s="10"/>
      <c r="G145" s="2"/>
      <c r="H145" s="10"/>
      <c r="I145" s="2"/>
      <c r="J145" s="10"/>
      <c r="K145" s="2"/>
    </row>
    <row r="146">
      <c r="A146" s="8" t="s">
        <v>40</v>
      </c>
      <c r="B146" s="9" t="s">
        <v>56</v>
      </c>
      <c r="C146" s="9" t="s">
        <v>57</v>
      </c>
      <c r="D146" s="10"/>
      <c r="E146" s="2" t="n">
        <f>9702</f>
        <v>9702.0</v>
      </c>
      <c r="F146" s="10"/>
      <c r="G146" s="2" t="n">
        <f>17985152746</f>
        <v>1.7985152746E10</v>
      </c>
      <c r="H146" s="10"/>
      <c r="I146" s="2" t="n">
        <f>429</f>
        <v>429.0</v>
      </c>
      <c r="J146" s="10"/>
      <c r="K146" s="2" t="n">
        <f>42452</f>
        <v>42452.0</v>
      </c>
    </row>
    <row r="147">
      <c r="A147" s="8" t="s">
        <v>41</v>
      </c>
      <c r="B147" s="9" t="s">
        <v>56</v>
      </c>
      <c r="C147" s="9" t="s">
        <v>57</v>
      </c>
      <c r="D147" s="10"/>
      <c r="E147" s="2" t="n">
        <f>14119</f>
        <v>14119.0</v>
      </c>
      <c r="F147" s="10"/>
      <c r="G147" s="2" t="n">
        <f>26097249727</f>
        <v>2.6097249727E10</v>
      </c>
      <c r="H147" s="10"/>
      <c r="I147" s="2" t="n">
        <f>2042</f>
        <v>2042.0</v>
      </c>
      <c r="J147" s="10"/>
      <c r="K147" s="2" t="n">
        <f>42877</f>
        <v>42877.0</v>
      </c>
    </row>
    <row r="148">
      <c r="A148" s="8" t="s">
        <v>42</v>
      </c>
      <c r="B148" s="9" t="s">
        <v>56</v>
      </c>
      <c r="C148" s="9" t="s">
        <v>57</v>
      </c>
      <c r="D148" s="10"/>
      <c r="E148" s="2"/>
      <c r="F148" s="10"/>
      <c r="G148" s="2"/>
      <c r="H148" s="10"/>
      <c r="I148" s="2"/>
      <c r="J148" s="10"/>
      <c r="K148" s="2"/>
    </row>
    <row r="149">
      <c r="A149" s="8" t="s">
        <v>43</v>
      </c>
      <c r="B149" s="9" t="s">
        <v>56</v>
      </c>
      <c r="C149" s="9" t="s">
        <v>57</v>
      </c>
      <c r="D149" s="10"/>
      <c r="E149" s="2" t="n">
        <f>11136</f>
        <v>11136.0</v>
      </c>
      <c r="F149" s="10"/>
      <c r="G149" s="2" t="n">
        <f>20732206741</f>
        <v>2.0732206741E10</v>
      </c>
      <c r="H149" s="10" t="s">
        <v>32</v>
      </c>
      <c r="I149" s="2" t="n">
        <f>229</f>
        <v>229.0</v>
      </c>
      <c r="J149" s="10"/>
      <c r="K149" s="2" t="n">
        <f>44734</f>
        <v>44734.0</v>
      </c>
    </row>
    <row r="150">
      <c r="A150" s="8" t="s">
        <v>44</v>
      </c>
      <c r="B150" s="9" t="s">
        <v>56</v>
      </c>
      <c r="C150" s="9" t="s">
        <v>57</v>
      </c>
      <c r="D150" s="10"/>
      <c r="E150" s="2"/>
      <c r="F150" s="10"/>
      <c r="G150" s="2"/>
      <c r="H150" s="10"/>
      <c r="I150" s="2"/>
      <c r="J150" s="10"/>
      <c r="K150" s="2"/>
    </row>
    <row r="151">
      <c r="A151" s="8" t="s">
        <v>45</v>
      </c>
      <c r="B151" s="9" t="s">
        <v>56</v>
      </c>
      <c r="C151" s="9" t="s">
        <v>57</v>
      </c>
      <c r="D151" s="10"/>
      <c r="E151" s="2"/>
      <c r="F151" s="10"/>
      <c r="G151" s="2"/>
      <c r="H151" s="10"/>
      <c r="I151" s="2"/>
      <c r="J151" s="10"/>
      <c r="K151" s="2"/>
    </row>
    <row r="152">
      <c r="A152" s="8" t="s">
        <v>46</v>
      </c>
      <c r="B152" s="9" t="s">
        <v>56</v>
      </c>
      <c r="C152" s="9" t="s">
        <v>57</v>
      </c>
      <c r="D152" s="10" t="s">
        <v>32</v>
      </c>
      <c r="E152" s="2" t="n">
        <f>8045</f>
        <v>8045.0</v>
      </c>
      <c r="F152" s="10" t="s">
        <v>32</v>
      </c>
      <c r="G152" s="2" t="n">
        <f>15071675184</f>
        <v>1.5071675184E10</v>
      </c>
      <c r="H152" s="10"/>
      <c r="I152" s="2" t="n">
        <f>410</f>
        <v>410.0</v>
      </c>
      <c r="J152" s="10"/>
      <c r="K152" s="2" t="n">
        <f>44633</f>
        <v>44633.0</v>
      </c>
    </row>
    <row r="153">
      <c r="A153" s="8" t="s">
        <v>47</v>
      </c>
      <c r="B153" s="9" t="s">
        <v>56</v>
      </c>
      <c r="C153" s="9" t="s">
        <v>57</v>
      </c>
      <c r="D153" s="10"/>
      <c r="E153" s="2" t="n">
        <f>17440</f>
        <v>17440.0</v>
      </c>
      <c r="F153" s="10"/>
      <c r="G153" s="2" t="n">
        <f>32459951302</f>
        <v>3.2459951302E10</v>
      </c>
      <c r="H153" s="10"/>
      <c r="I153" s="2" t="n">
        <f>666</f>
        <v>666.0</v>
      </c>
      <c r="J153" s="10"/>
      <c r="K153" s="2" t="n">
        <f>47743</f>
        <v>47743.0</v>
      </c>
    </row>
    <row r="154">
      <c r="A154" s="8" t="s">
        <v>48</v>
      </c>
      <c r="B154" s="9" t="s">
        <v>56</v>
      </c>
      <c r="C154" s="9" t="s">
        <v>57</v>
      </c>
      <c r="D154" s="10"/>
      <c r="E154" s="2" t="n">
        <f>34913</f>
        <v>34913.0</v>
      </c>
      <c r="F154" s="10"/>
      <c r="G154" s="2" t="n">
        <f>64335059548</f>
        <v>6.4335059548E10</v>
      </c>
      <c r="H154" s="10"/>
      <c r="I154" s="2" t="n">
        <f>1582</f>
        <v>1582.0</v>
      </c>
      <c r="J154" s="10"/>
      <c r="K154" s="2" t="n">
        <f>56508</f>
        <v>56508.0</v>
      </c>
    </row>
    <row r="155">
      <c r="A155" s="8" t="s">
        <v>49</v>
      </c>
      <c r="B155" s="9" t="s">
        <v>56</v>
      </c>
      <c r="C155" s="9" t="s">
        <v>57</v>
      </c>
      <c r="D155" s="10"/>
      <c r="E155" s="2" t="n">
        <f>17534</f>
        <v>17534.0</v>
      </c>
      <c r="F155" s="10"/>
      <c r="G155" s="2" t="n">
        <f>32161176300</f>
        <v>3.21611763E10</v>
      </c>
      <c r="H155" s="10"/>
      <c r="I155" s="2" t="n">
        <f>628</f>
        <v>628.0</v>
      </c>
      <c r="J155" s="10"/>
      <c r="K155" s="2" t="n">
        <f>56645</f>
        <v>56645.0</v>
      </c>
    </row>
    <row r="156">
      <c r="A156" s="8" t="s">
        <v>16</v>
      </c>
      <c r="B156" s="9" t="s">
        <v>58</v>
      </c>
      <c r="C156" s="9" t="s">
        <v>59</v>
      </c>
      <c r="D156" s="10" t="s">
        <v>32</v>
      </c>
      <c r="E156" s="2" t="str">
        <f>"－"</f>
        <v>－</v>
      </c>
      <c r="F156" s="10" t="s">
        <v>32</v>
      </c>
      <c r="G156" s="2" t="str">
        <f>"－"</f>
        <v>－</v>
      </c>
      <c r="H156" s="10" t="s">
        <v>60</v>
      </c>
      <c r="I156" s="2" t="str">
        <f>"－"</f>
        <v>－</v>
      </c>
      <c r="J156" s="10" t="s">
        <v>32</v>
      </c>
      <c r="K156" s="2" t="n">
        <f>36</f>
        <v>36.0</v>
      </c>
    </row>
    <row r="157">
      <c r="A157" s="8" t="s">
        <v>19</v>
      </c>
      <c r="B157" s="9" t="s">
        <v>58</v>
      </c>
      <c r="C157" s="9" t="s">
        <v>59</v>
      </c>
      <c r="D157" s="10"/>
      <c r="E157" s="2" t="str">
        <f>"－"</f>
        <v>－</v>
      </c>
      <c r="F157" s="10"/>
      <c r="G157" s="2" t="str">
        <f>"－"</f>
        <v>－</v>
      </c>
      <c r="H157" s="10"/>
      <c r="I157" s="2" t="str">
        <f>"－"</f>
        <v>－</v>
      </c>
      <c r="J157" s="10"/>
      <c r="K157" s="2" t="n">
        <f>36</f>
        <v>36.0</v>
      </c>
    </row>
    <row r="158">
      <c r="A158" s="8" t="s">
        <v>20</v>
      </c>
      <c r="B158" s="9" t="s">
        <v>58</v>
      </c>
      <c r="C158" s="9" t="s">
        <v>59</v>
      </c>
      <c r="D158" s="10"/>
      <c r="E158" s="2" t="n">
        <f>32</f>
        <v>32.0</v>
      </c>
      <c r="F158" s="10"/>
      <c r="G158" s="2" t="n">
        <f>29905600</f>
        <v>2.99056E7</v>
      </c>
      <c r="H158" s="10"/>
      <c r="I158" s="2" t="str">
        <f>"－"</f>
        <v>－</v>
      </c>
      <c r="J158" s="10"/>
      <c r="K158" s="2" t="n">
        <f>36</f>
        <v>36.0</v>
      </c>
    </row>
    <row r="159">
      <c r="A159" s="8" t="s">
        <v>21</v>
      </c>
      <c r="B159" s="9" t="s">
        <v>58</v>
      </c>
      <c r="C159" s="9" t="s">
        <v>59</v>
      </c>
      <c r="D159" s="10"/>
      <c r="E159" s="2"/>
      <c r="F159" s="10"/>
      <c r="G159" s="2"/>
      <c r="H159" s="10"/>
      <c r="I159" s="2"/>
      <c r="J159" s="10"/>
      <c r="K159" s="2"/>
    </row>
    <row r="160">
      <c r="A160" s="8" t="s">
        <v>22</v>
      </c>
      <c r="B160" s="9" t="s">
        <v>58</v>
      </c>
      <c r="C160" s="9" t="s">
        <v>59</v>
      </c>
      <c r="D160" s="10"/>
      <c r="E160" s="2"/>
      <c r="F160" s="10"/>
      <c r="G160" s="2"/>
      <c r="H160" s="10"/>
      <c r="I160" s="2"/>
      <c r="J160" s="10"/>
      <c r="K160" s="2"/>
    </row>
    <row r="161">
      <c r="A161" s="8" t="s">
        <v>23</v>
      </c>
      <c r="B161" s="9" t="s">
        <v>58</v>
      </c>
      <c r="C161" s="9" t="s">
        <v>59</v>
      </c>
      <c r="D161" s="10"/>
      <c r="E161" s="2" t="str">
        <f>"－"</f>
        <v>－</v>
      </c>
      <c r="F161" s="10"/>
      <c r="G161" s="2" t="str">
        <f>"－"</f>
        <v>－</v>
      </c>
      <c r="H161" s="10"/>
      <c r="I161" s="2" t="str">
        <f>"－"</f>
        <v>－</v>
      </c>
      <c r="J161" s="10"/>
      <c r="K161" s="2" t="n">
        <f>36</f>
        <v>36.0</v>
      </c>
    </row>
    <row r="162">
      <c r="A162" s="8" t="s">
        <v>24</v>
      </c>
      <c r="B162" s="9" t="s">
        <v>58</v>
      </c>
      <c r="C162" s="9" t="s">
        <v>59</v>
      </c>
      <c r="D162" s="10" t="s">
        <v>25</v>
      </c>
      <c r="E162" s="2" t="n">
        <f>40</f>
        <v>40.0</v>
      </c>
      <c r="F162" s="10" t="s">
        <v>25</v>
      </c>
      <c r="G162" s="2" t="n">
        <f>38960000</f>
        <v>3.896E7</v>
      </c>
      <c r="H162" s="10"/>
      <c r="I162" s="2" t="str">
        <f>"－"</f>
        <v>－</v>
      </c>
      <c r="J162" s="10"/>
      <c r="K162" s="2" t="n">
        <f>36</f>
        <v>36.0</v>
      </c>
    </row>
    <row r="163">
      <c r="A163" s="8" t="s">
        <v>26</v>
      </c>
      <c r="B163" s="9" t="s">
        <v>58</v>
      </c>
      <c r="C163" s="9" t="s">
        <v>59</v>
      </c>
      <c r="D163" s="10"/>
      <c r="E163" s="2" t="str">
        <f>"－"</f>
        <v>－</v>
      </c>
      <c r="F163" s="10"/>
      <c r="G163" s="2" t="str">
        <f>"－"</f>
        <v>－</v>
      </c>
      <c r="H163" s="10"/>
      <c r="I163" s="2" t="str">
        <f>"－"</f>
        <v>－</v>
      </c>
      <c r="J163" s="10"/>
      <c r="K163" s="2" t="n">
        <f>36</f>
        <v>36.0</v>
      </c>
    </row>
    <row r="164">
      <c r="A164" s="8" t="s">
        <v>27</v>
      </c>
      <c r="B164" s="9" t="s">
        <v>58</v>
      </c>
      <c r="C164" s="9" t="s">
        <v>59</v>
      </c>
      <c r="D164" s="10"/>
      <c r="E164" s="2" t="str">
        <f>"－"</f>
        <v>－</v>
      </c>
      <c r="F164" s="10"/>
      <c r="G164" s="2" t="str">
        <f>"－"</f>
        <v>－</v>
      </c>
      <c r="H164" s="10"/>
      <c r="I164" s="2" t="str">
        <f>"－"</f>
        <v>－</v>
      </c>
      <c r="J164" s="10"/>
      <c r="K164" s="2" t="n">
        <f>36</f>
        <v>36.0</v>
      </c>
    </row>
    <row r="165">
      <c r="A165" s="8" t="s">
        <v>28</v>
      </c>
      <c r="B165" s="9" t="s">
        <v>58</v>
      </c>
      <c r="C165" s="9" t="s">
        <v>59</v>
      </c>
      <c r="D165" s="10"/>
      <c r="E165" s="2" t="str">
        <f>"－"</f>
        <v>－</v>
      </c>
      <c r="F165" s="10"/>
      <c r="G165" s="2" t="str">
        <f>"－"</f>
        <v>－</v>
      </c>
      <c r="H165" s="10"/>
      <c r="I165" s="2" t="str">
        <f>"－"</f>
        <v>－</v>
      </c>
      <c r="J165" s="10"/>
      <c r="K165" s="2" t="n">
        <f>36</f>
        <v>36.0</v>
      </c>
    </row>
    <row r="166">
      <c r="A166" s="8" t="s">
        <v>29</v>
      </c>
      <c r="B166" s="9" t="s">
        <v>58</v>
      </c>
      <c r="C166" s="9" t="s">
        <v>59</v>
      </c>
      <c r="D166" s="10"/>
      <c r="E166" s="2"/>
      <c r="F166" s="10"/>
      <c r="G166" s="2"/>
      <c r="H166" s="10"/>
      <c r="I166" s="2"/>
      <c r="J166" s="10"/>
      <c r="K166" s="2"/>
    </row>
    <row r="167">
      <c r="A167" s="8" t="s">
        <v>30</v>
      </c>
      <c r="B167" s="9" t="s">
        <v>58</v>
      </c>
      <c r="C167" s="9" t="s">
        <v>59</v>
      </c>
      <c r="D167" s="10"/>
      <c r="E167" s="2"/>
      <c r="F167" s="10"/>
      <c r="G167" s="2"/>
      <c r="H167" s="10"/>
      <c r="I167" s="2"/>
      <c r="J167" s="10"/>
      <c r="K167" s="2"/>
    </row>
    <row r="168">
      <c r="A168" s="8" t="s">
        <v>31</v>
      </c>
      <c r="B168" s="9" t="s">
        <v>58</v>
      </c>
      <c r="C168" s="9" t="s">
        <v>59</v>
      </c>
      <c r="D168" s="10"/>
      <c r="E168" s="2" t="str">
        <f>"－"</f>
        <v>－</v>
      </c>
      <c r="F168" s="10"/>
      <c r="G168" s="2" t="str">
        <f>"－"</f>
        <v>－</v>
      </c>
      <c r="H168" s="10"/>
      <c r="I168" s="2" t="str">
        <f>"－"</f>
        <v>－</v>
      </c>
      <c r="J168" s="10"/>
      <c r="K168" s="2" t="n">
        <f>36</f>
        <v>36.0</v>
      </c>
    </row>
    <row r="169">
      <c r="A169" s="8" t="s">
        <v>33</v>
      </c>
      <c r="B169" s="9" t="s">
        <v>58</v>
      </c>
      <c r="C169" s="9" t="s">
        <v>59</v>
      </c>
      <c r="D169" s="10"/>
      <c r="E169" s="2" t="str">
        <f>"－"</f>
        <v>－</v>
      </c>
      <c r="F169" s="10"/>
      <c r="G169" s="2" t="str">
        <f>"－"</f>
        <v>－</v>
      </c>
      <c r="H169" s="10"/>
      <c r="I169" s="2" t="str">
        <f>"－"</f>
        <v>－</v>
      </c>
      <c r="J169" s="10"/>
      <c r="K169" s="2" t="n">
        <f>36</f>
        <v>36.0</v>
      </c>
    </row>
    <row r="170">
      <c r="A170" s="8" t="s">
        <v>34</v>
      </c>
      <c r="B170" s="9" t="s">
        <v>58</v>
      </c>
      <c r="C170" s="9" t="s">
        <v>59</v>
      </c>
      <c r="D170" s="10"/>
      <c r="E170" s="2" t="str">
        <f>"－"</f>
        <v>－</v>
      </c>
      <c r="F170" s="10"/>
      <c r="G170" s="2" t="str">
        <f>"－"</f>
        <v>－</v>
      </c>
      <c r="H170" s="10"/>
      <c r="I170" s="2" t="str">
        <f>"－"</f>
        <v>－</v>
      </c>
      <c r="J170" s="10"/>
      <c r="K170" s="2" t="n">
        <f>36</f>
        <v>36.0</v>
      </c>
    </row>
    <row r="171">
      <c r="A171" s="8" t="s">
        <v>35</v>
      </c>
      <c r="B171" s="9" t="s">
        <v>58</v>
      </c>
      <c r="C171" s="9" t="s">
        <v>59</v>
      </c>
      <c r="D171" s="10"/>
      <c r="E171" s="2" t="str">
        <f>"－"</f>
        <v>－</v>
      </c>
      <c r="F171" s="10"/>
      <c r="G171" s="2" t="str">
        <f>"－"</f>
        <v>－</v>
      </c>
      <c r="H171" s="10"/>
      <c r="I171" s="2" t="str">
        <f>"－"</f>
        <v>－</v>
      </c>
      <c r="J171" s="10"/>
      <c r="K171" s="2" t="n">
        <f>36</f>
        <v>36.0</v>
      </c>
    </row>
    <row r="172">
      <c r="A172" s="8" t="s">
        <v>36</v>
      </c>
      <c r="B172" s="9" t="s">
        <v>58</v>
      </c>
      <c r="C172" s="9" t="s">
        <v>59</v>
      </c>
      <c r="D172" s="10"/>
      <c r="E172" s="2" t="str">
        <f>"－"</f>
        <v>－</v>
      </c>
      <c r="F172" s="10"/>
      <c r="G172" s="2" t="str">
        <f>"－"</f>
        <v>－</v>
      </c>
      <c r="H172" s="10"/>
      <c r="I172" s="2" t="str">
        <f>"－"</f>
        <v>－</v>
      </c>
      <c r="J172" s="10"/>
      <c r="K172" s="2" t="n">
        <f>36</f>
        <v>36.0</v>
      </c>
    </row>
    <row r="173">
      <c r="A173" s="8" t="s">
        <v>37</v>
      </c>
      <c r="B173" s="9" t="s">
        <v>58</v>
      </c>
      <c r="C173" s="9" t="s">
        <v>59</v>
      </c>
      <c r="D173" s="10"/>
      <c r="E173" s="2"/>
      <c r="F173" s="10"/>
      <c r="G173" s="2"/>
      <c r="H173" s="10"/>
      <c r="I173" s="2"/>
      <c r="J173" s="10"/>
      <c r="K173" s="2"/>
    </row>
    <row r="174">
      <c r="A174" s="8" t="s">
        <v>38</v>
      </c>
      <c r="B174" s="9" t="s">
        <v>58</v>
      </c>
      <c r="C174" s="9" t="s">
        <v>59</v>
      </c>
      <c r="D174" s="10"/>
      <c r="E174" s="2"/>
      <c r="F174" s="10"/>
      <c r="G174" s="2"/>
      <c r="H174" s="10"/>
      <c r="I174" s="2"/>
      <c r="J174" s="10"/>
      <c r="K174" s="2"/>
    </row>
    <row r="175">
      <c r="A175" s="8" t="s">
        <v>39</v>
      </c>
      <c r="B175" s="9" t="s">
        <v>58</v>
      </c>
      <c r="C175" s="9" t="s">
        <v>59</v>
      </c>
      <c r="D175" s="10"/>
      <c r="E175" s="2"/>
      <c r="F175" s="10"/>
      <c r="G175" s="2"/>
      <c r="H175" s="10"/>
      <c r="I175" s="2"/>
      <c r="J175" s="10"/>
      <c r="K175" s="2"/>
    </row>
    <row r="176">
      <c r="A176" s="8" t="s">
        <v>40</v>
      </c>
      <c r="B176" s="9" t="s">
        <v>58</v>
      </c>
      <c r="C176" s="9" t="s">
        <v>59</v>
      </c>
      <c r="D176" s="10"/>
      <c r="E176" s="2" t="str">
        <f>"－"</f>
        <v>－</v>
      </c>
      <c r="F176" s="10"/>
      <c r="G176" s="2" t="str">
        <f>"－"</f>
        <v>－</v>
      </c>
      <c r="H176" s="10"/>
      <c r="I176" s="2" t="str">
        <f>"－"</f>
        <v>－</v>
      </c>
      <c r="J176" s="10"/>
      <c r="K176" s="2" t="n">
        <f>36</f>
        <v>36.0</v>
      </c>
    </row>
    <row r="177">
      <c r="A177" s="8" t="s">
        <v>41</v>
      </c>
      <c r="B177" s="9" t="s">
        <v>58</v>
      </c>
      <c r="C177" s="9" t="s">
        <v>59</v>
      </c>
      <c r="D177" s="10"/>
      <c r="E177" s="2" t="str">
        <f>"－"</f>
        <v>－</v>
      </c>
      <c r="F177" s="10"/>
      <c r="G177" s="2" t="str">
        <f>"－"</f>
        <v>－</v>
      </c>
      <c r="H177" s="10"/>
      <c r="I177" s="2" t="str">
        <f>"－"</f>
        <v>－</v>
      </c>
      <c r="J177" s="10"/>
      <c r="K177" s="2" t="n">
        <f>36</f>
        <v>36.0</v>
      </c>
    </row>
    <row r="178">
      <c r="A178" s="8" t="s">
        <v>42</v>
      </c>
      <c r="B178" s="9" t="s">
        <v>58</v>
      </c>
      <c r="C178" s="9" t="s">
        <v>59</v>
      </c>
      <c r="D178" s="10"/>
      <c r="E178" s="2"/>
      <c r="F178" s="10"/>
      <c r="G178" s="2"/>
      <c r="H178" s="10"/>
      <c r="I178" s="2"/>
      <c r="J178" s="10"/>
      <c r="K178" s="2"/>
    </row>
    <row r="179">
      <c r="A179" s="8" t="s">
        <v>43</v>
      </c>
      <c r="B179" s="9" t="s">
        <v>58</v>
      </c>
      <c r="C179" s="9" t="s">
        <v>59</v>
      </c>
      <c r="D179" s="10"/>
      <c r="E179" s="2" t="str">
        <f>"－"</f>
        <v>－</v>
      </c>
      <c r="F179" s="10"/>
      <c r="G179" s="2" t="str">
        <f>"－"</f>
        <v>－</v>
      </c>
      <c r="H179" s="10"/>
      <c r="I179" s="2" t="str">
        <f>"－"</f>
        <v>－</v>
      </c>
      <c r="J179" s="10"/>
      <c r="K179" s="2" t="n">
        <f>36</f>
        <v>36.0</v>
      </c>
    </row>
    <row r="180">
      <c r="A180" s="8" t="s">
        <v>44</v>
      </c>
      <c r="B180" s="9" t="s">
        <v>58</v>
      </c>
      <c r="C180" s="9" t="s">
        <v>59</v>
      </c>
      <c r="D180" s="10"/>
      <c r="E180" s="2"/>
      <c r="F180" s="10"/>
      <c r="G180" s="2"/>
      <c r="H180" s="10"/>
      <c r="I180" s="2"/>
      <c r="J180" s="10"/>
      <c r="K180" s="2"/>
    </row>
    <row r="181">
      <c r="A181" s="8" t="s">
        <v>45</v>
      </c>
      <c r="B181" s="9" t="s">
        <v>58</v>
      </c>
      <c r="C181" s="9" t="s">
        <v>59</v>
      </c>
      <c r="D181" s="10"/>
      <c r="E181" s="2"/>
      <c r="F181" s="10"/>
      <c r="G181" s="2"/>
      <c r="H181" s="10"/>
      <c r="I181" s="2"/>
      <c r="J181" s="10"/>
      <c r="K181" s="2"/>
    </row>
    <row r="182">
      <c r="A182" s="8" t="s">
        <v>46</v>
      </c>
      <c r="B182" s="9" t="s">
        <v>58</v>
      </c>
      <c r="C182" s="9" t="s">
        <v>59</v>
      </c>
      <c r="D182" s="10"/>
      <c r="E182" s="2" t="str">
        <f>"－"</f>
        <v>－</v>
      </c>
      <c r="F182" s="10"/>
      <c r="G182" s="2" t="str">
        <f>"－"</f>
        <v>－</v>
      </c>
      <c r="H182" s="10"/>
      <c r="I182" s="2" t="str">
        <f>"－"</f>
        <v>－</v>
      </c>
      <c r="J182" s="10"/>
      <c r="K182" s="2" t="n">
        <f>36</f>
        <v>36.0</v>
      </c>
    </row>
    <row r="183">
      <c r="A183" s="8" t="s">
        <v>47</v>
      </c>
      <c r="B183" s="9" t="s">
        <v>58</v>
      </c>
      <c r="C183" s="9" t="s">
        <v>59</v>
      </c>
      <c r="D183" s="10"/>
      <c r="E183" s="2" t="str">
        <f>"－"</f>
        <v>－</v>
      </c>
      <c r="F183" s="10"/>
      <c r="G183" s="2" t="str">
        <f>"－"</f>
        <v>－</v>
      </c>
      <c r="H183" s="10"/>
      <c r="I183" s="2" t="str">
        <f>"－"</f>
        <v>－</v>
      </c>
      <c r="J183" s="10"/>
      <c r="K183" s="2" t="n">
        <f>36</f>
        <v>36.0</v>
      </c>
    </row>
    <row r="184">
      <c r="A184" s="8" t="s">
        <v>48</v>
      </c>
      <c r="B184" s="9" t="s">
        <v>58</v>
      </c>
      <c r="C184" s="9" t="s">
        <v>59</v>
      </c>
      <c r="D184" s="10"/>
      <c r="E184" s="2" t="n">
        <f>29</f>
        <v>29.0</v>
      </c>
      <c r="F184" s="10"/>
      <c r="G184" s="2" t="n">
        <f>28058150</f>
        <v>2.805815E7</v>
      </c>
      <c r="H184" s="10"/>
      <c r="I184" s="2" t="str">
        <f>"－"</f>
        <v>－</v>
      </c>
      <c r="J184" s="10" t="s">
        <v>25</v>
      </c>
      <c r="K184" s="2" t="n">
        <f>65</f>
        <v>65.0</v>
      </c>
    </row>
    <row r="185">
      <c r="A185" s="8" t="s">
        <v>49</v>
      </c>
      <c r="B185" s="9" t="s">
        <v>58</v>
      </c>
      <c r="C185" s="9" t="s">
        <v>59</v>
      </c>
      <c r="D185" s="10"/>
      <c r="E185" s="2" t="n">
        <f>20</f>
        <v>20.0</v>
      </c>
      <c r="F185" s="10"/>
      <c r="G185" s="2" t="n">
        <f>19322000</f>
        <v>1.9322E7</v>
      </c>
      <c r="H185" s="10"/>
      <c r="I185" s="2" t="str">
        <f>"－"</f>
        <v>－</v>
      </c>
      <c r="J185" s="10"/>
      <c r="K185" s="2" t="n">
        <f>65</f>
        <v>65.0</v>
      </c>
    </row>
    <row r="186">
      <c r="A186" s="8" t="s">
        <v>16</v>
      </c>
      <c r="B186" s="9" t="s">
        <v>61</v>
      </c>
      <c r="C186" s="9" t="s">
        <v>62</v>
      </c>
      <c r="D186" s="10" t="s">
        <v>32</v>
      </c>
      <c r="E186" s="2" t="str">
        <f>"－"</f>
        <v>－</v>
      </c>
      <c r="F186" s="10" t="s">
        <v>32</v>
      </c>
      <c r="G186" s="2" t="str">
        <f>"－"</f>
        <v>－</v>
      </c>
      <c r="H186" s="10" t="s">
        <v>32</v>
      </c>
      <c r="I186" s="2" t="str">
        <f>"－"</f>
        <v>－</v>
      </c>
      <c r="J186" s="10"/>
      <c r="K186" s="2" t="n">
        <f>48934</f>
        <v>48934.0</v>
      </c>
    </row>
    <row r="187">
      <c r="A187" s="8" t="s">
        <v>19</v>
      </c>
      <c r="B187" s="9" t="s">
        <v>61</v>
      </c>
      <c r="C187" s="9" t="s">
        <v>62</v>
      </c>
      <c r="D187" s="10"/>
      <c r="E187" s="2" t="str">
        <f>"－"</f>
        <v>－</v>
      </c>
      <c r="F187" s="10"/>
      <c r="G187" s="2" t="str">
        <f>"－"</f>
        <v>－</v>
      </c>
      <c r="H187" s="10"/>
      <c r="I187" s="2" t="str">
        <f>"－"</f>
        <v>－</v>
      </c>
      <c r="J187" s="10"/>
      <c r="K187" s="2" t="n">
        <f>48934</f>
        <v>48934.0</v>
      </c>
    </row>
    <row r="188">
      <c r="A188" s="8" t="s">
        <v>20</v>
      </c>
      <c r="B188" s="9" t="s">
        <v>61</v>
      </c>
      <c r="C188" s="9" t="s">
        <v>62</v>
      </c>
      <c r="D188" s="10"/>
      <c r="E188" s="2" t="n">
        <f>13404</f>
        <v>13404.0</v>
      </c>
      <c r="F188" s="10"/>
      <c r="G188" s="2" t="n">
        <f>19097099000</f>
        <v>1.9097099E10</v>
      </c>
      <c r="H188" s="10"/>
      <c r="I188" s="2" t="str">
        <f>"－"</f>
        <v>－</v>
      </c>
      <c r="J188" s="10"/>
      <c r="K188" s="2" t="n">
        <f>50434</f>
        <v>50434.0</v>
      </c>
    </row>
    <row r="189">
      <c r="A189" s="8" t="s">
        <v>21</v>
      </c>
      <c r="B189" s="9" t="s">
        <v>61</v>
      </c>
      <c r="C189" s="9" t="s">
        <v>62</v>
      </c>
      <c r="D189" s="10"/>
      <c r="E189" s="2"/>
      <c r="F189" s="10"/>
      <c r="G189" s="2"/>
      <c r="H189" s="10"/>
      <c r="I189" s="2"/>
      <c r="J189" s="10"/>
      <c r="K189" s="2"/>
    </row>
    <row r="190">
      <c r="A190" s="8" t="s">
        <v>22</v>
      </c>
      <c r="B190" s="9" t="s">
        <v>61</v>
      </c>
      <c r="C190" s="9" t="s">
        <v>62</v>
      </c>
      <c r="D190" s="10"/>
      <c r="E190" s="2"/>
      <c r="F190" s="10"/>
      <c r="G190" s="2"/>
      <c r="H190" s="10"/>
      <c r="I190" s="2"/>
      <c r="J190" s="10"/>
      <c r="K190" s="2"/>
    </row>
    <row r="191">
      <c r="A191" s="8" t="s">
        <v>23</v>
      </c>
      <c r="B191" s="9" t="s">
        <v>61</v>
      </c>
      <c r="C191" s="9" t="s">
        <v>62</v>
      </c>
      <c r="D191" s="10" t="s">
        <v>25</v>
      </c>
      <c r="E191" s="2" t="n">
        <f>45024</f>
        <v>45024.0</v>
      </c>
      <c r="F191" s="10" t="s">
        <v>25</v>
      </c>
      <c r="G191" s="2" t="n">
        <f>64943304000</f>
        <v>6.4943304E10</v>
      </c>
      <c r="H191" s="10"/>
      <c r="I191" s="2" t="str">
        <f>"－"</f>
        <v>－</v>
      </c>
      <c r="J191" s="10" t="s">
        <v>25</v>
      </c>
      <c r="K191" s="2" t="n">
        <f>60946</f>
        <v>60946.0</v>
      </c>
    </row>
    <row r="192">
      <c r="A192" s="8" t="s">
        <v>24</v>
      </c>
      <c r="B192" s="9" t="s">
        <v>61</v>
      </c>
      <c r="C192" s="9" t="s">
        <v>62</v>
      </c>
      <c r="D192" s="10"/>
      <c r="E192" s="2" t="str">
        <f>"－"</f>
        <v>－</v>
      </c>
      <c r="F192" s="10"/>
      <c r="G192" s="2" t="str">
        <f>"－"</f>
        <v>－</v>
      </c>
      <c r="H192" s="10"/>
      <c r="I192" s="2" t="str">
        <f>"－"</f>
        <v>－</v>
      </c>
      <c r="J192" s="10"/>
      <c r="K192" s="2" t="n">
        <f>50946</f>
        <v>50946.0</v>
      </c>
    </row>
    <row r="193">
      <c r="A193" s="8" t="s">
        <v>26</v>
      </c>
      <c r="B193" s="9" t="s">
        <v>61</v>
      </c>
      <c r="C193" s="9" t="s">
        <v>62</v>
      </c>
      <c r="D193" s="10"/>
      <c r="E193" s="2" t="n">
        <f>13500</f>
        <v>13500.0</v>
      </c>
      <c r="F193" s="10"/>
      <c r="G193" s="2" t="n">
        <f>19666452250</f>
        <v>1.966645225E10</v>
      </c>
      <c r="H193" s="10" t="s">
        <v>25</v>
      </c>
      <c r="I193" s="2" t="n">
        <f>1406</f>
        <v>1406.0</v>
      </c>
      <c r="J193" s="10"/>
      <c r="K193" s="2" t="n">
        <f>51187</f>
        <v>51187.0</v>
      </c>
    </row>
    <row r="194">
      <c r="A194" s="8" t="s">
        <v>27</v>
      </c>
      <c r="B194" s="9" t="s">
        <v>61</v>
      </c>
      <c r="C194" s="9" t="s">
        <v>62</v>
      </c>
      <c r="D194" s="10"/>
      <c r="E194" s="2" t="n">
        <f>22000</f>
        <v>22000.0</v>
      </c>
      <c r="F194" s="10"/>
      <c r="G194" s="2" t="n">
        <f>32159650000</f>
        <v>3.215965E10</v>
      </c>
      <c r="H194" s="10"/>
      <c r="I194" s="2" t="str">
        <f>"－"</f>
        <v>－</v>
      </c>
      <c r="J194" s="10"/>
      <c r="K194" s="2" t="n">
        <f>49614</f>
        <v>49614.0</v>
      </c>
    </row>
    <row r="195">
      <c r="A195" s="8" t="s">
        <v>28</v>
      </c>
      <c r="B195" s="9" t="s">
        <v>61</v>
      </c>
      <c r="C195" s="9" t="s">
        <v>62</v>
      </c>
      <c r="D195" s="10"/>
      <c r="E195" s="2" t="n">
        <f>5136</f>
        <v>5136.0</v>
      </c>
      <c r="F195" s="10"/>
      <c r="G195" s="2" t="n">
        <f>7386081600</f>
        <v>7.3860816E9</v>
      </c>
      <c r="H195" s="10"/>
      <c r="I195" s="2" t="str">
        <f>"－"</f>
        <v>－</v>
      </c>
      <c r="J195" s="10"/>
      <c r="K195" s="2" t="n">
        <f>54750</f>
        <v>54750.0</v>
      </c>
    </row>
    <row r="196">
      <c r="A196" s="8" t="s">
        <v>29</v>
      </c>
      <c r="B196" s="9" t="s">
        <v>61</v>
      </c>
      <c r="C196" s="9" t="s">
        <v>62</v>
      </c>
      <c r="D196" s="10"/>
      <c r="E196" s="2"/>
      <c r="F196" s="10"/>
      <c r="G196" s="2"/>
      <c r="H196" s="10"/>
      <c r="I196" s="2"/>
      <c r="J196" s="10"/>
      <c r="K196" s="2"/>
    </row>
    <row r="197">
      <c r="A197" s="8" t="s">
        <v>30</v>
      </c>
      <c r="B197" s="9" t="s">
        <v>61</v>
      </c>
      <c r="C197" s="9" t="s">
        <v>62</v>
      </c>
      <c r="D197" s="10"/>
      <c r="E197" s="2"/>
      <c r="F197" s="10"/>
      <c r="G197" s="2"/>
      <c r="H197" s="10"/>
      <c r="I197" s="2"/>
      <c r="J197" s="10"/>
      <c r="K197" s="2"/>
    </row>
    <row r="198">
      <c r="A198" s="8" t="s">
        <v>31</v>
      </c>
      <c r="B198" s="9" t="s">
        <v>61</v>
      </c>
      <c r="C198" s="9" t="s">
        <v>62</v>
      </c>
      <c r="D198" s="10"/>
      <c r="E198" s="2" t="str">
        <f>"－"</f>
        <v>－</v>
      </c>
      <c r="F198" s="10"/>
      <c r="G198" s="2" t="str">
        <f>"－"</f>
        <v>－</v>
      </c>
      <c r="H198" s="10"/>
      <c r="I198" s="2" t="str">
        <f>"－"</f>
        <v>－</v>
      </c>
      <c r="J198" s="10" t="s">
        <v>32</v>
      </c>
      <c r="K198" s="2" t="n">
        <f>46079</f>
        <v>46079.0</v>
      </c>
    </row>
    <row r="199">
      <c r="A199" s="8" t="s">
        <v>33</v>
      </c>
      <c r="B199" s="9" t="s">
        <v>61</v>
      </c>
      <c r="C199" s="9" t="s">
        <v>62</v>
      </c>
      <c r="D199" s="10"/>
      <c r="E199" s="2" t="str">
        <f>"－"</f>
        <v>－</v>
      </c>
      <c r="F199" s="10"/>
      <c r="G199" s="2" t="str">
        <f>"－"</f>
        <v>－</v>
      </c>
      <c r="H199" s="10"/>
      <c r="I199" s="2" t="str">
        <f>"－"</f>
        <v>－</v>
      </c>
      <c r="J199" s="10"/>
      <c r="K199" s="2" t="n">
        <f>46079</f>
        <v>46079.0</v>
      </c>
    </row>
    <row r="200">
      <c r="A200" s="8" t="s">
        <v>34</v>
      </c>
      <c r="B200" s="9" t="s">
        <v>61</v>
      </c>
      <c r="C200" s="9" t="s">
        <v>62</v>
      </c>
      <c r="D200" s="10"/>
      <c r="E200" s="2" t="str">
        <f>"－"</f>
        <v>－</v>
      </c>
      <c r="F200" s="10"/>
      <c r="G200" s="2" t="str">
        <f>"－"</f>
        <v>－</v>
      </c>
      <c r="H200" s="10"/>
      <c r="I200" s="2" t="str">
        <f>"－"</f>
        <v>－</v>
      </c>
      <c r="J200" s="10"/>
      <c r="K200" s="2" t="n">
        <f>46079</f>
        <v>46079.0</v>
      </c>
    </row>
    <row r="201">
      <c r="A201" s="8" t="s">
        <v>35</v>
      </c>
      <c r="B201" s="9" t="s">
        <v>61</v>
      </c>
      <c r="C201" s="9" t="s">
        <v>62</v>
      </c>
      <c r="D201" s="10"/>
      <c r="E201" s="2" t="str">
        <f>"－"</f>
        <v>－</v>
      </c>
      <c r="F201" s="10"/>
      <c r="G201" s="2" t="str">
        <f>"－"</f>
        <v>－</v>
      </c>
      <c r="H201" s="10"/>
      <c r="I201" s="2" t="str">
        <f>"－"</f>
        <v>－</v>
      </c>
      <c r="J201" s="10"/>
      <c r="K201" s="2" t="n">
        <f>46079</f>
        <v>46079.0</v>
      </c>
    </row>
    <row r="202">
      <c r="A202" s="8" t="s">
        <v>36</v>
      </c>
      <c r="B202" s="9" t="s">
        <v>61</v>
      </c>
      <c r="C202" s="9" t="s">
        <v>62</v>
      </c>
      <c r="D202" s="10"/>
      <c r="E202" s="2" t="str">
        <f>"－"</f>
        <v>－</v>
      </c>
      <c r="F202" s="10"/>
      <c r="G202" s="2" t="str">
        <f>"－"</f>
        <v>－</v>
      </c>
      <c r="H202" s="10"/>
      <c r="I202" s="2" t="str">
        <f>"－"</f>
        <v>－</v>
      </c>
      <c r="J202" s="10"/>
      <c r="K202" s="2" t="n">
        <f>46079</f>
        <v>46079.0</v>
      </c>
    </row>
    <row r="203">
      <c r="A203" s="8" t="s">
        <v>37</v>
      </c>
      <c r="B203" s="9" t="s">
        <v>61</v>
      </c>
      <c r="C203" s="9" t="s">
        <v>62</v>
      </c>
      <c r="D203" s="10"/>
      <c r="E203" s="2"/>
      <c r="F203" s="10"/>
      <c r="G203" s="2"/>
      <c r="H203" s="10"/>
      <c r="I203" s="2"/>
      <c r="J203" s="10"/>
      <c r="K203" s="2"/>
    </row>
    <row r="204">
      <c r="A204" s="8" t="s">
        <v>38</v>
      </c>
      <c r="B204" s="9" t="s">
        <v>61</v>
      </c>
      <c r="C204" s="9" t="s">
        <v>62</v>
      </c>
      <c r="D204" s="10"/>
      <c r="E204" s="2"/>
      <c r="F204" s="10"/>
      <c r="G204" s="2"/>
      <c r="H204" s="10"/>
      <c r="I204" s="2"/>
      <c r="J204" s="10"/>
      <c r="K204" s="2"/>
    </row>
    <row r="205">
      <c r="A205" s="8" t="s">
        <v>39</v>
      </c>
      <c r="B205" s="9" t="s">
        <v>61</v>
      </c>
      <c r="C205" s="9" t="s">
        <v>62</v>
      </c>
      <c r="D205" s="10"/>
      <c r="E205" s="2"/>
      <c r="F205" s="10"/>
      <c r="G205" s="2"/>
      <c r="H205" s="10"/>
      <c r="I205" s="2"/>
      <c r="J205" s="10"/>
      <c r="K205" s="2"/>
    </row>
    <row r="206">
      <c r="A206" s="8" t="s">
        <v>40</v>
      </c>
      <c r="B206" s="9" t="s">
        <v>61</v>
      </c>
      <c r="C206" s="9" t="s">
        <v>62</v>
      </c>
      <c r="D206" s="10"/>
      <c r="E206" s="2" t="str">
        <f>"－"</f>
        <v>－</v>
      </c>
      <c r="F206" s="10"/>
      <c r="G206" s="2" t="str">
        <f>"－"</f>
        <v>－</v>
      </c>
      <c r="H206" s="10"/>
      <c r="I206" s="2" t="str">
        <f>"－"</f>
        <v>－</v>
      </c>
      <c r="J206" s="10"/>
      <c r="K206" s="2" t="n">
        <f>46079</f>
        <v>46079.0</v>
      </c>
    </row>
    <row r="207">
      <c r="A207" s="8" t="s">
        <v>41</v>
      </c>
      <c r="B207" s="9" t="s">
        <v>61</v>
      </c>
      <c r="C207" s="9" t="s">
        <v>62</v>
      </c>
      <c r="D207" s="10"/>
      <c r="E207" s="2" t="n">
        <f>10</f>
        <v>10.0</v>
      </c>
      <c r="F207" s="10"/>
      <c r="G207" s="2" t="n">
        <f>14520000</f>
        <v>1.452E7</v>
      </c>
      <c r="H207" s="10"/>
      <c r="I207" s="2" t="str">
        <f>"－"</f>
        <v>－</v>
      </c>
      <c r="J207" s="10"/>
      <c r="K207" s="2" t="n">
        <f>46089</f>
        <v>46089.0</v>
      </c>
    </row>
    <row r="208">
      <c r="A208" s="8" t="s">
        <v>42</v>
      </c>
      <c r="B208" s="9" t="s">
        <v>61</v>
      </c>
      <c r="C208" s="9" t="s">
        <v>62</v>
      </c>
      <c r="D208" s="10"/>
      <c r="E208" s="2"/>
      <c r="F208" s="10"/>
      <c r="G208" s="2"/>
      <c r="H208" s="10"/>
      <c r="I208" s="2"/>
      <c r="J208" s="10"/>
      <c r="K208" s="2"/>
    </row>
    <row r="209">
      <c r="A209" s="8" t="s">
        <v>43</v>
      </c>
      <c r="B209" s="9" t="s">
        <v>61</v>
      </c>
      <c r="C209" s="9" t="s">
        <v>62</v>
      </c>
      <c r="D209" s="10"/>
      <c r="E209" s="2" t="str">
        <f>"－"</f>
        <v>－</v>
      </c>
      <c r="F209" s="10"/>
      <c r="G209" s="2" t="str">
        <f>"－"</f>
        <v>－</v>
      </c>
      <c r="H209" s="10"/>
      <c r="I209" s="2" t="str">
        <f>"－"</f>
        <v>－</v>
      </c>
      <c r="J209" s="10"/>
      <c r="K209" s="2" t="n">
        <f>46089</f>
        <v>46089.0</v>
      </c>
    </row>
    <row r="210">
      <c r="A210" s="8" t="s">
        <v>44</v>
      </c>
      <c r="B210" s="9" t="s">
        <v>61</v>
      </c>
      <c r="C210" s="9" t="s">
        <v>62</v>
      </c>
      <c r="D210" s="10"/>
      <c r="E210" s="2"/>
      <c r="F210" s="10"/>
      <c r="G210" s="2"/>
      <c r="H210" s="10"/>
      <c r="I210" s="2"/>
      <c r="J210" s="10"/>
      <c r="K210" s="2"/>
    </row>
    <row r="211">
      <c r="A211" s="8" t="s">
        <v>45</v>
      </c>
      <c r="B211" s="9" t="s">
        <v>61</v>
      </c>
      <c r="C211" s="9" t="s">
        <v>62</v>
      </c>
      <c r="D211" s="10"/>
      <c r="E211" s="2"/>
      <c r="F211" s="10"/>
      <c r="G211" s="2"/>
      <c r="H211" s="10"/>
      <c r="I211" s="2"/>
      <c r="J211" s="10"/>
      <c r="K211" s="2"/>
    </row>
    <row r="212">
      <c r="A212" s="8" t="s">
        <v>46</v>
      </c>
      <c r="B212" s="9" t="s">
        <v>61</v>
      </c>
      <c r="C212" s="9" t="s">
        <v>62</v>
      </c>
      <c r="D212" s="10"/>
      <c r="E212" s="2" t="n">
        <f>107</f>
        <v>107.0</v>
      </c>
      <c r="F212" s="10"/>
      <c r="G212" s="2" t="n">
        <f>162472224</f>
        <v>1.62472224E8</v>
      </c>
      <c r="H212" s="10"/>
      <c r="I212" s="2" t="n">
        <f>107</f>
        <v>107.0</v>
      </c>
      <c r="J212" s="10"/>
      <c r="K212" s="2" t="n">
        <f>46196</f>
        <v>46196.0</v>
      </c>
    </row>
    <row r="213">
      <c r="A213" s="8" t="s">
        <v>47</v>
      </c>
      <c r="B213" s="9" t="s">
        <v>61</v>
      </c>
      <c r="C213" s="9" t="s">
        <v>62</v>
      </c>
      <c r="D213" s="10"/>
      <c r="E213" s="2" t="str">
        <f>"－"</f>
        <v>－</v>
      </c>
      <c r="F213" s="10"/>
      <c r="G213" s="2" t="str">
        <f>"－"</f>
        <v>－</v>
      </c>
      <c r="H213" s="10"/>
      <c r="I213" s="2" t="str">
        <f>"－"</f>
        <v>－</v>
      </c>
      <c r="J213" s="10"/>
      <c r="K213" s="2" t="n">
        <f>46196</f>
        <v>46196.0</v>
      </c>
    </row>
    <row r="214">
      <c r="A214" s="8" t="s">
        <v>48</v>
      </c>
      <c r="B214" s="9" t="s">
        <v>61</v>
      </c>
      <c r="C214" s="9" t="s">
        <v>62</v>
      </c>
      <c r="D214" s="10"/>
      <c r="E214" s="2" t="n">
        <f>20</f>
        <v>20.0</v>
      </c>
      <c r="F214" s="10"/>
      <c r="G214" s="2" t="n">
        <f>30280000</f>
        <v>3.028E7</v>
      </c>
      <c r="H214" s="10"/>
      <c r="I214" s="2" t="str">
        <f>"－"</f>
        <v>－</v>
      </c>
      <c r="J214" s="10"/>
      <c r="K214" s="2" t="n">
        <f>46216</f>
        <v>46216.0</v>
      </c>
    </row>
    <row r="215">
      <c r="A215" s="8" t="s">
        <v>49</v>
      </c>
      <c r="B215" s="9" t="s">
        <v>61</v>
      </c>
      <c r="C215" s="9" t="s">
        <v>62</v>
      </c>
      <c r="D215" s="10"/>
      <c r="E215" s="2" t="n">
        <f>181</f>
        <v>181.0</v>
      </c>
      <c r="F215" s="10"/>
      <c r="G215" s="2" t="n">
        <f>276922398</f>
        <v>2.76922398E8</v>
      </c>
      <c r="H215" s="10"/>
      <c r="I215" s="2" t="n">
        <f>181</f>
        <v>181.0</v>
      </c>
      <c r="J215" s="10"/>
      <c r="K215" s="2" t="n">
        <f>46397</f>
        <v>46397.0</v>
      </c>
    </row>
    <row r="216">
      <c r="A216" s="8" t="s">
        <v>16</v>
      </c>
      <c r="B216" s="9" t="s">
        <v>63</v>
      </c>
      <c r="C216" s="9" t="s">
        <v>64</v>
      </c>
      <c r="D216" s="10"/>
      <c r="E216" s="2" t="n">
        <f>2262</f>
        <v>2262.0</v>
      </c>
      <c r="F216" s="10"/>
      <c r="G216" s="2" t="n">
        <f>4831624780</f>
        <v>4.83162478E9</v>
      </c>
      <c r="H216" s="10"/>
      <c r="I216" s="2" t="n">
        <f>32</f>
        <v>32.0</v>
      </c>
      <c r="J216" s="10"/>
      <c r="K216" s="2" t="n">
        <f>69942</f>
        <v>69942.0</v>
      </c>
    </row>
    <row r="217">
      <c r="A217" s="8" t="s">
        <v>19</v>
      </c>
      <c r="B217" s="9" t="s">
        <v>63</v>
      </c>
      <c r="C217" s="9" t="s">
        <v>64</v>
      </c>
      <c r="D217" s="10" t="s">
        <v>32</v>
      </c>
      <c r="E217" s="2" t="n">
        <f>210</f>
        <v>210.0</v>
      </c>
      <c r="F217" s="10" t="s">
        <v>32</v>
      </c>
      <c r="G217" s="2" t="n">
        <f>450561000</f>
        <v>4.50561E8</v>
      </c>
      <c r="H217" s="10"/>
      <c r="I217" s="2" t="n">
        <f>10</f>
        <v>10.0</v>
      </c>
      <c r="J217" s="10"/>
      <c r="K217" s="2" t="n">
        <f>69828</f>
        <v>69828.0</v>
      </c>
    </row>
    <row r="218">
      <c r="A218" s="8" t="s">
        <v>20</v>
      </c>
      <c r="B218" s="9" t="s">
        <v>63</v>
      </c>
      <c r="C218" s="9" t="s">
        <v>64</v>
      </c>
      <c r="D218" s="10"/>
      <c r="E218" s="2" t="n">
        <f>14221</f>
        <v>14221.0</v>
      </c>
      <c r="F218" s="10"/>
      <c r="G218" s="2" t="n">
        <f>30398679440</f>
        <v>3.039867944E10</v>
      </c>
      <c r="H218" s="10"/>
      <c r="I218" s="2" t="n">
        <f>1</f>
        <v>1.0</v>
      </c>
      <c r="J218" s="10"/>
      <c r="K218" s="2" t="n">
        <f>72466</f>
        <v>72466.0</v>
      </c>
    </row>
    <row r="219">
      <c r="A219" s="8" t="s">
        <v>21</v>
      </c>
      <c r="B219" s="9" t="s">
        <v>63</v>
      </c>
      <c r="C219" s="9" t="s">
        <v>64</v>
      </c>
      <c r="D219" s="10"/>
      <c r="E219" s="2"/>
      <c r="F219" s="10"/>
      <c r="G219" s="2"/>
      <c r="H219" s="10"/>
      <c r="I219" s="2"/>
      <c r="J219" s="10"/>
      <c r="K219" s="2"/>
    </row>
    <row r="220">
      <c r="A220" s="8" t="s">
        <v>22</v>
      </c>
      <c r="B220" s="9" t="s">
        <v>63</v>
      </c>
      <c r="C220" s="9" t="s">
        <v>64</v>
      </c>
      <c r="D220" s="10"/>
      <c r="E220" s="2"/>
      <c r="F220" s="10"/>
      <c r="G220" s="2"/>
      <c r="H220" s="10"/>
      <c r="I220" s="2"/>
      <c r="J220" s="10"/>
      <c r="K220" s="2"/>
    </row>
    <row r="221">
      <c r="A221" s="8" t="s">
        <v>23</v>
      </c>
      <c r="B221" s="9" t="s">
        <v>63</v>
      </c>
      <c r="C221" s="9" t="s">
        <v>64</v>
      </c>
      <c r="D221" s="10"/>
      <c r="E221" s="2" t="n">
        <f>47076</f>
        <v>47076.0</v>
      </c>
      <c r="F221" s="10"/>
      <c r="G221" s="2" t="n">
        <f>101369276530</f>
        <v>1.0136927653E11</v>
      </c>
      <c r="H221" s="10"/>
      <c r="I221" s="2" t="n">
        <f>8</f>
        <v>8.0</v>
      </c>
      <c r="J221" s="10"/>
      <c r="K221" s="2" t="n">
        <f>72951</f>
        <v>72951.0</v>
      </c>
    </row>
    <row r="222">
      <c r="A222" s="8" t="s">
        <v>24</v>
      </c>
      <c r="B222" s="9" t="s">
        <v>63</v>
      </c>
      <c r="C222" s="9" t="s">
        <v>64</v>
      </c>
      <c r="D222" s="10" t="s">
        <v>25</v>
      </c>
      <c r="E222" s="2" t="n">
        <f>51044</f>
        <v>51044.0</v>
      </c>
      <c r="F222" s="10" t="s">
        <v>25</v>
      </c>
      <c r="G222" s="2" t="n">
        <f>109517767870</f>
        <v>1.0951776787E11</v>
      </c>
      <c r="H222" s="10"/>
      <c r="I222" s="2" t="n">
        <f>214</f>
        <v>214.0</v>
      </c>
      <c r="J222" s="10"/>
      <c r="K222" s="2" t="n">
        <f>72411</f>
        <v>72411.0</v>
      </c>
    </row>
    <row r="223">
      <c r="A223" s="8" t="s">
        <v>26</v>
      </c>
      <c r="B223" s="9" t="s">
        <v>63</v>
      </c>
      <c r="C223" s="9" t="s">
        <v>64</v>
      </c>
      <c r="D223" s="10"/>
      <c r="E223" s="2" t="n">
        <f>33657</f>
        <v>33657.0</v>
      </c>
      <c r="F223" s="10"/>
      <c r="G223" s="2" t="n">
        <f>71945328210</f>
        <v>7.194532821E10</v>
      </c>
      <c r="H223" s="10" t="s">
        <v>25</v>
      </c>
      <c r="I223" s="2" t="n">
        <f>726</f>
        <v>726.0</v>
      </c>
      <c r="J223" s="10" t="s">
        <v>25</v>
      </c>
      <c r="K223" s="2" t="n">
        <f>75424</f>
        <v>75424.0</v>
      </c>
    </row>
    <row r="224">
      <c r="A224" s="8" t="s">
        <v>27</v>
      </c>
      <c r="B224" s="9" t="s">
        <v>63</v>
      </c>
      <c r="C224" s="9" t="s">
        <v>64</v>
      </c>
      <c r="D224" s="10"/>
      <c r="E224" s="2" t="n">
        <f>1742</f>
        <v>1742.0</v>
      </c>
      <c r="F224" s="10"/>
      <c r="G224" s="2" t="n">
        <f>3712345450</f>
        <v>3.71234545E9</v>
      </c>
      <c r="H224" s="10"/>
      <c r="I224" s="2" t="n">
        <f>3</f>
        <v>3.0</v>
      </c>
      <c r="J224" s="10"/>
      <c r="K224" s="2" t="n">
        <f>75334</f>
        <v>75334.0</v>
      </c>
    </row>
    <row r="225">
      <c r="A225" s="8" t="s">
        <v>28</v>
      </c>
      <c r="B225" s="9" t="s">
        <v>63</v>
      </c>
      <c r="C225" s="9" t="s">
        <v>64</v>
      </c>
      <c r="D225" s="10"/>
      <c r="E225" s="2" t="n">
        <f>361</f>
        <v>361.0</v>
      </c>
      <c r="F225" s="10"/>
      <c r="G225" s="2" t="n">
        <f>765162000</f>
        <v>7.65162E8</v>
      </c>
      <c r="H225" s="10"/>
      <c r="I225" s="2" t="n">
        <f>6</f>
        <v>6.0</v>
      </c>
      <c r="J225" s="10"/>
      <c r="K225" s="2" t="n">
        <f>75284</f>
        <v>75284.0</v>
      </c>
    </row>
    <row r="226">
      <c r="A226" s="8" t="s">
        <v>29</v>
      </c>
      <c r="B226" s="9" t="s">
        <v>63</v>
      </c>
      <c r="C226" s="9" t="s">
        <v>64</v>
      </c>
      <c r="D226" s="10"/>
      <c r="E226" s="2"/>
      <c r="F226" s="10"/>
      <c r="G226" s="2"/>
      <c r="H226" s="10"/>
      <c r="I226" s="2"/>
      <c r="J226" s="10"/>
      <c r="K226" s="2"/>
    </row>
    <row r="227">
      <c r="A227" s="8" t="s">
        <v>30</v>
      </c>
      <c r="B227" s="9" t="s">
        <v>63</v>
      </c>
      <c r="C227" s="9" t="s">
        <v>64</v>
      </c>
      <c r="D227" s="10"/>
      <c r="E227" s="2"/>
      <c r="F227" s="10"/>
      <c r="G227" s="2"/>
      <c r="H227" s="10"/>
      <c r="I227" s="2"/>
      <c r="J227" s="10"/>
      <c r="K227" s="2"/>
    </row>
    <row r="228">
      <c r="A228" s="8" t="s">
        <v>31</v>
      </c>
      <c r="B228" s="9" t="s">
        <v>63</v>
      </c>
      <c r="C228" s="9" t="s">
        <v>64</v>
      </c>
      <c r="D228" s="10"/>
      <c r="E228" s="2" t="n">
        <f>338</f>
        <v>338.0</v>
      </c>
      <c r="F228" s="10"/>
      <c r="G228" s="2" t="n">
        <f>712755000</f>
        <v>7.12755E8</v>
      </c>
      <c r="H228" s="10"/>
      <c r="I228" s="2" t="n">
        <f>13</f>
        <v>13.0</v>
      </c>
      <c r="J228" s="10"/>
      <c r="K228" s="2" t="n">
        <f>64560</f>
        <v>64560.0</v>
      </c>
    </row>
    <row r="229">
      <c r="A229" s="8" t="s">
        <v>33</v>
      </c>
      <c r="B229" s="9" t="s">
        <v>63</v>
      </c>
      <c r="C229" s="9" t="s">
        <v>64</v>
      </c>
      <c r="D229" s="10"/>
      <c r="E229" s="2" t="n">
        <f>327</f>
        <v>327.0</v>
      </c>
      <c r="F229" s="10"/>
      <c r="G229" s="2" t="n">
        <f>694675000</f>
        <v>6.94675E8</v>
      </c>
      <c r="H229" s="10" t="s">
        <v>32</v>
      </c>
      <c r="I229" s="2" t="str">
        <f>"－"</f>
        <v>－</v>
      </c>
      <c r="J229" s="10" t="s">
        <v>32</v>
      </c>
      <c r="K229" s="2" t="n">
        <f>64534</f>
        <v>64534.0</v>
      </c>
    </row>
    <row r="230">
      <c r="A230" s="8" t="s">
        <v>34</v>
      </c>
      <c r="B230" s="9" t="s">
        <v>63</v>
      </c>
      <c r="C230" s="9" t="s">
        <v>64</v>
      </c>
      <c r="D230" s="10"/>
      <c r="E230" s="2" t="n">
        <f>782</f>
        <v>782.0</v>
      </c>
      <c r="F230" s="10"/>
      <c r="G230" s="2" t="n">
        <f>1650684160</f>
        <v>1.65068416E9</v>
      </c>
      <c r="H230" s="10"/>
      <c r="I230" s="2" t="str">
        <f>"－"</f>
        <v>－</v>
      </c>
      <c r="J230" s="10"/>
      <c r="K230" s="2" t="n">
        <f>64594</f>
        <v>64594.0</v>
      </c>
    </row>
    <row r="231">
      <c r="A231" s="8" t="s">
        <v>35</v>
      </c>
      <c r="B231" s="9" t="s">
        <v>63</v>
      </c>
      <c r="C231" s="9" t="s">
        <v>64</v>
      </c>
      <c r="D231" s="10"/>
      <c r="E231" s="2" t="n">
        <f>444</f>
        <v>444.0</v>
      </c>
      <c r="F231" s="10"/>
      <c r="G231" s="2" t="n">
        <f>934766140</f>
        <v>9.3476614E8</v>
      </c>
      <c r="H231" s="10"/>
      <c r="I231" s="2" t="str">
        <f>"－"</f>
        <v>－</v>
      </c>
      <c r="J231" s="10"/>
      <c r="K231" s="2" t="n">
        <f>64693</f>
        <v>64693.0</v>
      </c>
    </row>
    <row r="232">
      <c r="A232" s="8" t="s">
        <v>36</v>
      </c>
      <c r="B232" s="9" t="s">
        <v>63</v>
      </c>
      <c r="C232" s="9" t="s">
        <v>64</v>
      </c>
      <c r="D232" s="10"/>
      <c r="E232" s="2" t="n">
        <f>258</f>
        <v>258.0</v>
      </c>
      <c r="F232" s="10"/>
      <c r="G232" s="2" t="n">
        <f>543538430</f>
        <v>5.4353843E8</v>
      </c>
      <c r="H232" s="10"/>
      <c r="I232" s="2" t="n">
        <f>133</f>
        <v>133.0</v>
      </c>
      <c r="J232" s="10"/>
      <c r="K232" s="2" t="n">
        <f>64757</f>
        <v>64757.0</v>
      </c>
    </row>
    <row r="233">
      <c r="A233" s="8" t="s">
        <v>37</v>
      </c>
      <c r="B233" s="9" t="s">
        <v>63</v>
      </c>
      <c r="C233" s="9" t="s">
        <v>64</v>
      </c>
      <c r="D233" s="10"/>
      <c r="E233" s="2"/>
      <c r="F233" s="10"/>
      <c r="G233" s="2"/>
      <c r="H233" s="10"/>
      <c r="I233" s="2"/>
      <c r="J233" s="10"/>
      <c r="K233" s="2"/>
    </row>
    <row r="234">
      <c r="A234" s="8" t="s">
        <v>38</v>
      </c>
      <c r="B234" s="9" t="s">
        <v>63</v>
      </c>
      <c r="C234" s="9" t="s">
        <v>64</v>
      </c>
      <c r="D234" s="10"/>
      <c r="E234" s="2"/>
      <c r="F234" s="10"/>
      <c r="G234" s="2"/>
      <c r="H234" s="10"/>
      <c r="I234" s="2"/>
      <c r="J234" s="10"/>
      <c r="K234" s="2"/>
    </row>
    <row r="235">
      <c r="A235" s="8" t="s">
        <v>39</v>
      </c>
      <c r="B235" s="9" t="s">
        <v>63</v>
      </c>
      <c r="C235" s="9" t="s">
        <v>64</v>
      </c>
      <c r="D235" s="10"/>
      <c r="E235" s="2"/>
      <c r="F235" s="10"/>
      <c r="G235" s="2"/>
      <c r="H235" s="10"/>
      <c r="I235" s="2"/>
      <c r="J235" s="10"/>
      <c r="K235" s="2"/>
    </row>
    <row r="236">
      <c r="A236" s="8" t="s">
        <v>40</v>
      </c>
      <c r="B236" s="9" t="s">
        <v>63</v>
      </c>
      <c r="C236" s="9" t="s">
        <v>64</v>
      </c>
      <c r="D236" s="10"/>
      <c r="E236" s="2" t="n">
        <f>392</f>
        <v>392.0</v>
      </c>
      <c r="F236" s="10"/>
      <c r="G236" s="2" t="n">
        <f>821769800</f>
        <v>8.217698E8</v>
      </c>
      <c r="H236" s="10"/>
      <c r="I236" s="2" t="n">
        <f>4</f>
        <v>4.0</v>
      </c>
      <c r="J236" s="10"/>
      <c r="K236" s="2" t="n">
        <f>64613</f>
        <v>64613.0</v>
      </c>
    </row>
    <row r="237">
      <c r="A237" s="8" t="s">
        <v>41</v>
      </c>
      <c r="B237" s="9" t="s">
        <v>63</v>
      </c>
      <c r="C237" s="9" t="s">
        <v>64</v>
      </c>
      <c r="D237" s="10"/>
      <c r="E237" s="2" t="n">
        <f>990</f>
        <v>990.0</v>
      </c>
      <c r="F237" s="10"/>
      <c r="G237" s="2" t="n">
        <f>2063417690</f>
        <v>2.06341769E9</v>
      </c>
      <c r="H237" s="10"/>
      <c r="I237" s="2" t="n">
        <f>22</f>
        <v>22.0</v>
      </c>
      <c r="J237" s="10"/>
      <c r="K237" s="2" t="n">
        <f>64656</f>
        <v>64656.0</v>
      </c>
    </row>
    <row r="238">
      <c r="A238" s="8" t="s">
        <v>42</v>
      </c>
      <c r="B238" s="9" t="s">
        <v>63</v>
      </c>
      <c r="C238" s="9" t="s">
        <v>64</v>
      </c>
      <c r="D238" s="10"/>
      <c r="E238" s="2"/>
      <c r="F238" s="10"/>
      <c r="G238" s="2"/>
      <c r="H238" s="10"/>
      <c r="I238" s="2"/>
      <c r="J238" s="10"/>
      <c r="K238" s="2"/>
    </row>
    <row r="239">
      <c r="A239" s="8" t="s">
        <v>43</v>
      </c>
      <c r="B239" s="9" t="s">
        <v>63</v>
      </c>
      <c r="C239" s="9" t="s">
        <v>64</v>
      </c>
      <c r="D239" s="10"/>
      <c r="E239" s="2" t="n">
        <f>775</f>
        <v>775.0</v>
      </c>
      <c r="F239" s="10"/>
      <c r="G239" s="2" t="n">
        <f>1610927740</f>
        <v>1.61092774E9</v>
      </c>
      <c r="H239" s="10"/>
      <c r="I239" s="2" t="n">
        <f>18</f>
        <v>18.0</v>
      </c>
      <c r="J239" s="10"/>
      <c r="K239" s="2" t="n">
        <f>64892</f>
        <v>64892.0</v>
      </c>
    </row>
    <row r="240">
      <c r="A240" s="8" t="s">
        <v>44</v>
      </c>
      <c r="B240" s="9" t="s">
        <v>63</v>
      </c>
      <c r="C240" s="9" t="s">
        <v>64</v>
      </c>
      <c r="D240" s="10"/>
      <c r="E240" s="2"/>
      <c r="F240" s="10"/>
      <c r="G240" s="2"/>
      <c r="H240" s="10"/>
      <c r="I240" s="2"/>
      <c r="J240" s="10"/>
      <c r="K240" s="2"/>
    </row>
    <row r="241">
      <c r="A241" s="8" t="s">
        <v>45</v>
      </c>
      <c r="B241" s="9" t="s">
        <v>63</v>
      </c>
      <c r="C241" s="9" t="s">
        <v>64</v>
      </c>
      <c r="D241" s="10"/>
      <c r="E241" s="2"/>
      <c r="F241" s="10"/>
      <c r="G241" s="2"/>
      <c r="H241" s="10"/>
      <c r="I241" s="2"/>
      <c r="J241" s="10"/>
      <c r="K241" s="2"/>
    </row>
    <row r="242">
      <c r="A242" s="8" t="s">
        <v>46</v>
      </c>
      <c r="B242" s="9" t="s">
        <v>63</v>
      </c>
      <c r="C242" s="9" t="s">
        <v>64</v>
      </c>
      <c r="D242" s="10"/>
      <c r="E242" s="2" t="n">
        <f>653</f>
        <v>653.0</v>
      </c>
      <c r="F242" s="10"/>
      <c r="G242" s="2" t="n">
        <f>1366358740</f>
        <v>1.36635874E9</v>
      </c>
      <c r="H242" s="10"/>
      <c r="I242" s="2" t="n">
        <f>40</f>
        <v>40.0</v>
      </c>
      <c r="J242" s="10"/>
      <c r="K242" s="2" t="n">
        <f>65025</f>
        <v>65025.0</v>
      </c>
    </row>
    <row r="243">
      <c r="A243" s="8" t="s">
        <v>47</v>
      </c>
      <c r="B243" s="9" t="s">
        <v>63</v>
      </c>
      <c r="C243" s="9" t="s">
        <v>64</v>
      </c>
      <c r="D243" s="10"/>
      <c r="E243" s="2" t="n">
        <f>939</f>
        <v>939.0</v>
      </c>
      <c r="F243" s="10"/>
      <c r="G243" s="2" t="n">
        <f>1967381410</f>
        <v>1.96738141E9</v>
      </c>
      <c r="H243" s="10"/>
      <c r="I243" s="2" t="n">
        <f>18</f>
        <v>18.0</v>
      </c>
      <c r="J243" s="10"/>
      <c r="K243" s="2" t="n">
        <f>65249</f>
        <v>65249.0</v>
      </c>
    </row>
    <row r="244">
      <c r="A244" s="8" t="s">
        <v>48</v>
      </c>
      <c r="B244" s="9" t="s">
        <v>63</v>
      </c>
      <c r="C244" s="9" t="s">
        <v>64</v>
      </c>
      <c r="D244" s="10"/>
      <c r="E244" s="2" t="n">
        <f>1548</f>
        <v>1548.0</v>
      </c>
      <c r="F244" s="10"/>
      <c r="G244" s="2" t="n">
        <f>3241691750</f>
        <v>3.24169175E9</v>
      </c>
      <c r="H244" s="10"/>
      <c r="I244" s="2" t="str">
        <f>"－"</f>
        <v>－</v>
      </c>
      <c r="J244" s="10"/>
      <c r="K244" s="2" t="n">
        <f>66295</f>
        <v>66295.0</v>
      </c>
    </row>
    <row r="245">
      <c r="A245" s="8" t="s">
        <v>49</v>
      </c>
      <c r="B245" s="9" t="s">
        <v>63</v>
      </c>
      <c r="C245" s="9" t="s">
        <v>64</v>
      </c>
      <c r="D245" s="10"/>
      <c r="E245" s="2" t="n">
        <f>295</f>
        <v>295.0</v>
      </c>
      <c r="F245" s="10"/>
      <c r="G245" s="2" t="n">
        <f>613656780</f>
        <v>6.1365678E8</v>
      </c>
      <c r="H245" s="10"/>
      <c r="I245" s="2" t="str">
        <f>"－"</f>
        <v>－</v>
      </c>
      <c r="J245" s="10"/>
      <c r="K245" s="2" t="n">
        <f>66284</f>
        <v>66284.0</v>
      </c>
    </row>
    <row r="246">
      <c r="A246" s="8" t="s">
        <v>16</v>
      </c>
      <c r="B246" s="9" t="s">
        <v>65</v>
      </c>
      <c r="C246" s="9" t="s">
        <v>66</v>
      </c>
      <c r="D246" s="10" t="s">
        <v>60</v>
      </c>
      <c r="E246" s="2" t="str">
        <f>"－"</f>
        <v>－</v>
      </c>
      <c r="F246" s="10" t="s">
        <v>60</v>
      </c>
      <c r="G246" s="2" t="str">
        <f>"－"</f>
        <v>－</v>
      </c>
      <c r="H246" s="10" t="s">
        <v>60</v>
      </c>
      <c r="I246" s="2" t="str">
        <f>"－"</f>
        <v>－</v>
      </c>
      <c r="J246" s="10" t="s">
        <v>60</v>
      </c>
      <c r="K246" s="2" t="str">
        <f>"－"</f>
        <v>－</v>
      </c>
    </row>
    <row r="247">
      <c r="A247" s="8" t="s">
        <v>19</v>
      </c>
      <c r="B247" s="9" t="s">
        <v>65</v>
      </c>
      <c r="C247" s="9" t="s">
        <v>66</v>
      </c>
      <c r="D247" s="10"/>
      <c r="E247" s="2" t="str">
        <f>"－"</f>
        <v>－</v>
      </c>
      <c r="F247" s="10"/>
      <c r="G247" s="2" t="str">
        <f>"－"</f>
        <v>－</v>
      </c>
      <c r="H247" s="10"/>
      <c r="I247" s="2" t="str">
        <f>"－"</f>
        <v>－</v>
      </c>
      <c r="J247" s="10"/>
      <c r="K247" s="2" t="str">
        <f>"－"</f>
        <v>－</v>
      </c>
    </row>
    <row r="248">
      <c r="A248" s="8" t="s">
        <v>20</v>
      </c>
      <c r="B248" s="9" t="s">
        <v>65</v>
      </c>
      <c r="C248" s="9" t="s">
        <v>66</v>
      </c>
      <c r="D248" s="10"/>
      <c r="E248" s="2" t="str">
        <f>"－"</f>
        <v>－</v>
      </c>
      <c r="F248" s="10"/>
      <c r="G248" s="2" t="str">
        <f>"－"</f>
        <v>－</v>
      </c>
      <c r="H248" s="10"/>
      <c r="I248" s="2" t="str">
        <f>"－"</f>
        <v>－</v>
      </c>
      <c r="J248" s="10"/>
      <c r="K248" s="2" t="str">
        <f>"－"</f>
        <v>－</v>
      </c>
    </row>
    <row r="249">
      <c r="A249" s="8" t="s">
        <v>21</v>
      </c>
      <c r="B249" s="9" t="s">
        <v>65</v>
      </c>
      <c r="C249" s="9" t="s">
        <v>66</v>
      </c>
      <c r="D249" s="10"/>
      <c r="E249" s="2"/>
      <c r="F249" s="10"/>
      <c r="G249" s="2"/>
      <c r="H249" s="10"/>
      <c r="I249" s="2"/>
      <c r="J249" s="10"/>
      <c r="K249" s="2"/>
    </row>
    <row r="250">
      <c r="A250" s="8" t="s">
        <v>22</v>
      </c>
      <c r="B250" s="9" t="s">
        <v>65</v>
      </c>
      <c r="C250" s="9" t="s">
        <v>66</v>
      </c>
      <c r="D250" s="10"/>
      <c r="E250" s="2"/>
      <c r="F250" s="10"/>
      <c r="G250" s="2"/>
      <c r="H250" s="10"/>
      <c r="I250" s="2"/>
      <c r="J250" s="10"/>
      <c r="K250" s="2"/>
    </row>
    <row r="251">
      <c r="A251" s="8" t="s">
        <v>23</v>
      </c>
      <c r="B251" s="9" t="s">
        <v>65</v>
      </c>
      <c r="C251" s="9" t="s">
        <v>66</v>
      </c>
      <c r="D251" s="10"/>
      <c r="E251" s="2" t="str">
        <f>"－"</f>
        <v>－</v>
      </c>
      <c r="F251" s="10"/>
      <c r="G251" s="2" t="str">
        <f>"－"</f>
        <v>－</v>
      </c>
      <c r="H251" s="10"/>
      <c r="I251" s="2" t="str">
        <f>"－"</f>
        <v>－</v>
      </c>
      <c r="J251" s="10"/>
      <c r="K251" s="2" t="str">
        <f>"－"</f>
        <v>－</v>
      </c>
    </row>
    <row r="252">
      <c r="A252" s="8" t="s">
        <v>24</v>
      </c>
      <c r="B252" s="9" t="s">
        <v>65</v>
      </c>
      <c r="C252" s="9" t="s">
        <v>66</v>
      </c>
      <c r="D252" s="10"/>
      <c r="E252" s="2" t="str">
        <f>"－"</f>
        <v>－</v>
      </c>
      <c r="F252" s="10"/>
      <c r="G252" s="2" t="str">
        <f>"－"</f>
        <v>－</v>
      </c>
      <c r="H252" s="10"/>
      <c r="I252" s="2" t="str">
        <f>"－"</f>
        <v>－</v>
      </c>
      <c r="J252" s="10"/>
      <c r="K252" s="2" t="str">
        <f>"－"</f>
        <v>－</v>
      </c>
    </row>
    <row r="253">
      <c r="A253" s="8" t="s">
        <v>26</v>
      </c>
      <c r="B253" s="9" t="s">
        <v>65</v>
      </c>
      <c r="C253" s="9" t="s">
        <v>66</v>
      </c>
      <c r="D253" s="10"/>
      <c r="E253" s="2" t="str">
        <f>"－"</f>
        <v>－</v>
      </c>
      <c r="F253" s="10"/>
      <c r="G253" s="2" t="str">
        <f>"－"</f>
        <v>－</v>
      </c>
      <c r="H253" s="10"/>
      <c r="I253" s="2" t="str">
        <f>"－"</f>
        <v>－</v>
      </c>
      <c r="J253" s="10"/>
      <c r="K253" s="2" t="str">
        <f>"－"</f>
        <v>－</v>
      </c>
    </row>
    <row r="254">
      <c r="A254" s="8" t="s">
        <v>27</v>
      </c>
      <c r="B254" s="9" t="s">
        <v>65</v>
      </c>
      <c r="C254" s="9" t="s">
        <v>66</v>
      </c>
      <c r="D254" s="10"/>
      <c r="E254" s="2" t="str">
        <f>"－"</f>
        <v>－</v>
      </c>
      <c r="F254" s="10"/>
      <c r="G254" s="2" t="str">
        <f>"－"</f>
        <v>－</v>
      </c>
      <c r="H254" s="10"/>
      <c r="I254" s="2" t="str">
        <f>"－"</f>
        <v>－</v>
      </c>
      <c r="J254" s="10"/>
      <c r="K254" s="2" t="str">
        <f>"－"</f>
        <v>－</v>
      </c>
    </row>
    <row r="255">
      <c r="A255" s="8" t="s">
        <v>28</v>
      </c>
      <c r="B255" s="9" t="s">
        <v>65</v>
      </c>
      <c r="C255" s="9" t="s">
        <v>66</v>
      </c>
      <c r="D255" s="10"/>
      <c r="E255" s="2" t="str">
        <f>"－"</f>
        <v>－</v>
      </c>
      <c r="F255" s="10"/>
      <c r="G255" s="2" t="str">
        <f>"－"</f>
        <v>－</v>
      </c>
      <c r="H255" s="10"/>
      <c r="I255" s="2" t="str">
        <f>"－"</f>
        <v>－</v>
      </c>
      <c r="J255" s="10"/>
      <c r="K255" s="2" t="str">
        <f>"－"</f>
        <v>－</v>
      </c>
    </row>
    <row r="256">
      <c r="A256" s="8" t="s">
        <v>29</v>
      </c>
      <c r="B256" s="9" t="s">
        <v>65</v>
      </c>
      <c r="C256" s="9" t="s">
        <v>66</v>
      </c>
      <c r="D256" s="10"/>
      <c r="E256" s="2"/>
      <c r="F256" s="10"/>
      <c r="G256" s="2"/>
      <c r="H256" s="10"/>
      <c r="I256" s="2"/>
      <c r="J256" s="10"/>
      <c r="K256" s="2"/>
    </row>
    <row r="257">
      <c r="A257" s="8" t="s">
        <v>30</v>
      </c>
      <c r="B257" s="9" t="s">
        <v>65</v>
      </c>
      <c r="C257" s="9" t="s">
        <v>66</v>
      </c>
      <c r="D257" s="10"/>
      <c r="E257" s="2"/>
      <c r="F257" s="10"/>
      <c r="G257" s="2"/>
      <c r="H257" s="10"/>
      <c r="I257" s="2"/>
      <c r="J257" s="10"/>
      <c r="K257" s="2"/>
    </row>
    <row r="258">
      <c r="A258" s="8" t="s">
        <v>31</v>
      </c>
      <c r="B258" s="9" t="s">
        <v>65</v>
      </c>
      <c r="C258" s="9" t="s">
        <v>66</v>
      </c>
      <c r="D258" s="10"/>
      <c r="E258" s="2" t="str">
        <f>"－"</f>
        <v>－</v>
      </c>
      <c r="F258" s="10"/>
      <c r="G258" s="2" t="str">
        <f>"－"</f>
        <v>－</v>
      </c>
      <c r="H258" s="10"/>
      <c r="I258" s="2" t="str">
        <f>"－"</f>
        <v>－</v>
      </c>
      <c r="J258" s="10"/>
      <c r="K258" s="2" t="str">
        <f>"－"</f>
        <v>－</v>
      </c>
    </row>
    <row r="259">
      <c r="A259" s="8" t="s">
        <v>33</v>
      </c>
      <c r="B259" s="9" t="s">
        <v>65</v>
      </c>
      <c r="C259" s="9" t="s">
        <v>66</v>
      </c>
      <c r="D259" s="10"/>
      <c r="E259" s="2" t="str">
        <f>"－"</f>
        <v>－</v>
      </c>
      <c r="F259" s="10"/>
      <c r="G259" s="2" t="str">
        <f>"－"</f>
        <v>－</v>
      </c>
      <c r="H259" s="10"/>
      <c r="I259" s="2" t="str">
        <f>"－"</f>
        <v>－</v>
      </c>
      <c r="J259" s="10"/>
      <c r="K259" s="2" t="str">
        <f>"－"</f>
        <v>－</v>
      </c>
    </row>
    <row r="260">
      <c r="A260" s="8" t="s">
        <v>34</v>
      </c>
      <c r="B260" s="9" t="s">
        <v>65</v>
      </c>
      <c r="C260" s="9" t="s">
        <v>66</v>
      </c>
      <c r="D260" s="10"/>
      <c r="E260" s="2" t="str">
        <f>"－"</f>
        <v>－</v>
      </c>
      <c r="F260" s="10"/>
      <c r="G260" s="2" t="str">
        <f>"－"</f>
        <v>－</v>
      </c>
      <c r="H260" s="10"/>
      <c r="I260" s="2" t="str">
        <f>"－"</f>
        <v>－</v>
      </c>
      <c r="J260" s="10"/>
      <c r="K260" s="2" t="str">
        <f>"－"</f>
        <v>－</v>
      </c>
    </row>
    <row r="261">
      <c r="A261" s="8" t="s">
        <v>35</v>
      </c>
      <c r="B261" s="9" t="s">
        <v>65</v>
      </c>
      <c r="C261" s="9" t="s">
        <v>66</v>
      </c>
      <c r="D261" s="10"/>
      <c r="E261" s="2" t="str">
        <f>"－"</f>
        <v>－</v>
      </c>
      <c r="F261" s="10"/>
      <c r="G261" s="2" t="str">
        <f>"－"</f>
        <v>－</v>
      </c>
      <c r="H261" s="10"/>
      <c r="I261" s="2" t="str">
        <f>"－"</f>
        <v>－</v>
      </c>
      <c r="J261" s="10"/>
      <c r="K261" s="2" t="str">
        <f>"－"</f>
        <v>－</v>
      </c>
    </row>
    <row r="262">
      <c r="A262" s="8" t="s">
        <v>36</v>
      </c>
      <c r="B262" s="9" t="s">
        <v>65</v>
      </c>
      <c r="C262" s="9" t="s">
        <v>66</v>
      </c>
      <c r="D262" s="10"/>
      <c r="E262" s="2" t="str">
        <f>"－"</f>
        <v>－</v>
      </c>
      <c r="F262" s="10"/>
      <c r="G262" s="2" t="str">
        <f>"－"</f>
        <v>－</v>
      </c>
      <c r="H262" s="10"/>
      <c r="I262" s="2" t="str">
        <f>"－"</f>
        <v>－</v>
      </c>
      <c r="J262" s="10"/>
      <c r="K262" s="2" t="str">
        <f>"－"</f>
        <v>－</v>
      </c>
    </row>
    <row r="263">
      <c r="A263" s="8" t="s">
        <v>37</v>
      </c>
      <c r="B263" s="9" t="s">
        <v>65</v>
      </c>
      <c r="C263" s="9" t="s">
        <v>66</v>
      </c>
      <c r="D263" s="10"/>
      <c r="E263" s="2"/>
      <c r="F263" s="10"/>
      <c r="G263" s="2"/>
      <c r="H263" s="10"/>
      <c r="I263" s="2"/>
      <c r="J263" s="10"/>
      <c r="K263" s="2"/>
    </row>
    <row r="264">
      <c r="A264" s="8" t="s">
        <v>38</v>
      </c>
      <c r="B264" s="9" t="s">
        <v>65</v>
      </c>
      <c r="C264" s="9" t="s">
        <v>66</v>
      </c>
      <c r="D264" s="10"/>
      <c r="E264" s="2"/>
      <c r="F264" s="10"/>
      <c r="G264" s="2"/>
      <c r="H264" s="10"/>
      <c r="I264" s="2"/>
      <c r="J264" s="10"/>
      <c r="K264" s="2"/>
    </row>
    <row r="265">
      <c r="A265" s="8" t="s">
        <v>39</v>
      </c>
      <c r="B265" s="9" t="s">
        <v>65</v>
      </c>
      <c r="C265" s="9" t="s">
        <v>66</v>
      </c>
      <c r="D265" s="10"/>
      <c r="E265" s="2"/>
      <c r="F265" s="10"/>
      <c r="G265" s="2"/>
      <c r="H265" s="10"/>
      <c r="I265" s="2"/>
      <c r="J265" s="10"/>
      <c r="K265" s="2"/>
    </row>
    <row r="266">
      <c r="A266" s="8" t="s">
        <v>40</v>
      </c>
      <c r="B266" s="9" t="s">
        <v>65</v>
      </c>
      <c r="C266" s="9" t="s">
        <v>66</v>
      </c>
      <c r="D266" s="10"/>
      <c r="E266" s="2" t="str">
        <f>"－"</f>
        <v>－</v>
      </c>
      <c r="F266" s="10"/>
      <c r="G266" s="2" t="str">
        <f>"－"</f>
        <v>－</v>
      </c>
      <c r="H266" s="10"/>
      <c r="I266" s="2" t="str">
        <f>"－"</f>
        <v>－</v>
      </c>
      <c r="J266" s="10"/>
      <c r="K266" s="2" t="str">
        <f>"－"</f>
        <v>－</v>
      </c>
    </row>
    <row r="267">
      <c r="A267" s="8" t="s">
        <v>41</v>
      </c>
      <c r="B267" s="9" t="s">
        <v>65</v>
      </c>
      <c r="C267" s="9" t="s">
        <v>66</v>
      </c>
      <c r="D267" s="10"/>
      <c r="E267" s="2" t="str">
        <f>"－"</f>
        <v>－</v>
      </c>
      <c r="F267" s="10"/>
      <c r="G267" s="2" t="str">
        <f>"－"</f>
        <v>－</v>
      </c>
      <c r="H267" s="10"/>
      <c r="I267" s="2" t="str">
        <f>"－"</f>
        <v>－</v>
      </c>
      <c r="J267" s="10"/>
      <c r="K267" s="2" t="str">
        <f>"－"</f>
        <v>－</v>
      </c>
    </row>
    <row r="268">
      <c r="A268" s="8" t="s">
        <v>42</v>
      </c>
      <c r="B268" s="9" t="s">
        <v>65</v>
      </c>
      <c r="C268" s="9" t="s">
        <v>66</v>
      </c>
      <c r="D268" s="10"/>
      <c r="E268" s="2"/>
      <c r="F268" s="10"/>
      <c r="G268" s="2"/>
      <c r="H268" s="10"/>
      <c r="I268" s="2"/>
      <c r="J268" s="10"/>
      <c r="K268" s="2"/>
    </row>
    <row r="269">
      <c r="A269" s="8" t="s">
        <v>43</v>
      </c>
      <c r="B269" s="9" t="s">
        <v>65</v>
      </c>
      <c r="C269" s="9" t="s">
        <v>66</v>
      </c>
      <c r="D269" s="10"/>
      <c r="E269" s="2" t="str">
        <f>"－"</f>
        <v>－</v>
      </c>
      <c r="F269" s="10"/>
      <c r="G269" s="2" t="str">
        <f>"－"</f>
        <v>－</v>
      </c>
      <c r="H269" s="10"/>
      <c r="I269" s="2" t="str">
        <f>"－"</f>
        <v>－</v>
      </c>
      <c r="J269" s="10"/>
      <c r="K269" s="2" t="str">
        <f>"－"</f>
        <v>－</v>
      </c>
    </row>
    <row r="270">
      <c r="A270" s="8" t="s">
        <v>44</v>
      </c>
      <c r="B270" s="9" t="s">
        <v>65</v>
      </c>
      <c r="C270" s="9" t="s">
        <v>66</v>
      </c>
      <c r="D270" s="10"/>
      <c r="E270" s="2"/>
      <c r="F270" s="10"/>
      <c r="G270" s="2"/>
      <c r="H270" s="10"/>
      <c r="I270" s="2"/>
      <c r="J270" s="10"/>
      <c r="K270" s="2"/>
    </row>
    <row r="271">
      <c r="A271" s="8" t="s">
        <v>45</v>
      </c>
      <c r="B271" s="9" t="s">
        <v>65</v>
      </c>
      <c r="C271" s="9" t="s">
        <v>66</v>
      </c>
      <c r="D271" s="10"/>
      <c r="E271" s="2"/>
      <c r="F271" s="10"/>
      <c r="G271" s="2"/>
      <c r="H271" s="10"/>
      <c r="I271" s="2"/>
      <c r="J271" s="10"/>
      <c r="K271" s="2"/>
    </row>
    <row r="272">
      <c r="A272" s="8" t="s">
        <v>46</v>
      </c>
      <c r="B272" s="9" t="s">
        <v>65</v>
      </c>
      <c r="C272" s="9" t="s">
        <v>66</v>
      </c>
      <c r="D272" s="10"/>
      <c r="E272" s="2" t="str">
        <f>"－"</f>
        <v>－</v>
      </c>
      <c r="F272" s="10"/>
      <c r="G272" s="2" t="str">
        <f>"－"</f>
        <v>－</v>
      </c>
      <c r="H272" s="10"/>
      <c r="I272" s="2" t="str">
        <f>"－"</f>
        <v>－</v>
      </c>
      <c r="J272" s="10"/>
      <c r="K272" s="2" t="str">
        <f>"－"</f>
        <v>－</v>
      </c>
    </row>
    <row r="273">
      <c r="A273" s="8" t="s">
        <v>47</v>
      </c>
      <c r="B273" s="9" t="s">
        <v>65</v>
      </c>
      <c r="C273" s="9" t="s">
        <v>66</v>
      </c>
      <c r="D273" s="10"/>
      <c r="E273" s="2" t="str">
        <f>"－"</f>
        <v>－</v>
      </c>
      <c r="F273" s="10"/>
      <c r="G273" s="2" t="str">
        <f>"－"</f>
        <v>－</v>
      </c>
      <c r="H273" s="10"/>
      <c r="I273" s="2" t="str">
        <f>"－"</f>
        <v>－</v>
      </c>
      <c r="J273" s="10"/>
      <c r="K273" s="2" t="str">
        <f>"－"</f>
        <v>－</v>
      </c>
    </row>
    <row r="274">
      <c r="A274" s="8" t="s">
        <v>48</v>
      </c>
      <c r="B274" s="9" t="s">
        <v>65</v>
      </c>
      <c r="C274" s="9" t="s">
        <v>66</v>
      </c>
      <c r="D274" s="10"/>
      <c r="E274" s="2" t="str">
        <f>"－"</f>
        <v>－</v>
      </c>
      <c r="F274" s="10"/>
      <c r="G274" s="2" t="str">
        <f>"－"</f>
        <v>－</v>
      </c>
      <c r="H274" s="10"/>
      <c r="I274" s="2" t="str">
        <f>"－"</f>
        <v>－</v>
      </c>
      <c r="J274" s="10"/>
      <c r="K274" s="2" t="str">
        <f>"－"</f>
        <v>－</v>
      </c>
    </row>
    <row r="275">
      <c r="A275" s="8" t="s">
        <v>49</v>
      </c>
      <c r="B275" s="9" t="s">
        <v>65</v>
      </c>
      <c r="C275" s="9" t="s">
        <v>66</v>
      </c>
      <c r="D275" s="10"/>
      <c r="E275" s="2" t="str">
        <f>"－"</f>
        <v>－</v>
      </c>
      <c r="F275" s="10"/>
      <c r="G275" s="2" t="str">
        <f>"－"</f>
        <v>－</v>
      </c>
      <c r="H275" s="10"/>
      <c r="I275" s="2" t="str">
        <f>"－"</f>
        <v>－</v>
      </c>
      <c r="J275" s="10"/>
      <c r="K275" s="2" t="str">
        <f>"－"</f>
        <v>－</v>
      </c>
    </row>
    <row r="276">
      <c r="A276" s="8" t="s">
        <v>16</v>
      </c>
      <c r="B276" s="9" t="s">
        <v>67</v>
      </c>
      <c r="C276" s="9" t="s">
        <v>68</v>
      </c>
      <c r="D276" s="10"/>
      <c r="E276" s="2" t="n">
        <f>5358</f>
        <v>5358.0</v>
      </c>
      <c r="F276" s="10"/>
      <c r="G276" s="2" t="n">
        <f>6017567640</f>
        <v>6.01756764E9</v>
      </c>
      <c r="H276" s="10"/>
      <c r="I276" s="2" t="n">
        <f>291</f>
        <v>291.0</v>
      </c>
      <c r="J276" s="10"/>
      <c r="K276" s="2" t="n">
        <f>23214</f>
        <v>23214.0</v>
      </c>
    </row>
    <row r="277">
      <c r="A277" s="8" t="s">
        <v>19</v>
      </c>
      <c r="B277" s="9" t="s">
        <v>67</v>
      </c>
      <c r="C277" s="9" t="s">
        <v>68</v>
      </c>
      <c r="D277" s="10"/>
      <c r="E277" s="2" t="n">
        <f>5049</f>
        <v>5049.0</v>
      </c>
      <c r="F277" s="10"/>
      <c r="G277" s="2" t="n">
        <f>5649530680</f>
        <v>5.64953068E9</v>
      </c>
      <c r="H277" s="10"/>
      <c r="I277" s="2" t="n">
        <f>242</f>
        <v>242.0</v>
      </c>
      <c r="J277" s="10"/>
      <c r="K277" s="2" t="n">
        <f>23546</f>
        <v>23546.0</v>
      </c>
    </row>
    <row r="278">
      <c r="A278" s="8" t="s">
        <v>20</v>
      </c>
      <c r="B278" s="9" t="s">
        <v>67</v>
      </c>
      <c r="C278" s="9" t="s">
        <v>68</v>
      </c>
      <c r="D278" s="10"/>
      <c r="E278" s="2" t="n">
        <f>18251</f>
        <v>18251.0</v>
      </c>
      <c r="F278" s="10"/>
      <c r="G278" s="2" t="n">
        <f>20309986040</f>
        <v>2.030998604E10</v>
      </c>
      <c r="H278" s="10"/>
      <c r="I278" s="2" t="n">
        <f>374</f>
        <v>374.0</v>
      </c>
      <c r="J278" s="10" t="s">
        <v>25</v>
      </c>
      <c r="K278" s="2" t="n">
        <f>29802</f>
        <v>29802.0</v>
      </c>
    </row>
    <row r="279">
      <c r="A279" s="8" t="s">
        <v>21</v>
      </c>
      <c r="B279" s="9" t="s">
        <v>67</v>
      </c>
      <c r="C279" s="9" t="s">
        <v>68</v>
      </c>
      <c r="D279" s="10"/>
      <c r="E279" s="2"/>
      <c r="F279" s="10"/>
      <c r="G279" s="2"/>
      <c r="H279" s="10"/>
      <c r="I279" s="2"/>
      <c r="J279" s="10"/>
      <c r="K279" s="2"/>
    </row>
    <row r="280">
      <c r="A280" s="8" t="s">
        <v>22</v>
      </c>
      <c r="B280" s="9" t="s">
        <v>67</v>
      </c>
      <c r="C280" s="9" t="s">
        <v>68</v>
      </c>
      <c r="D280" s="10"/>
      <c r="E280" s="2"/>
      <c r="F280" s="10"/>
      <c r="G280" s="2"/>
      <c r="H280" s="10"/>
      <c r="I280" s="2"/>
      <c r="J280" s="10"/>
      <c r="K280" s="2"/>
    </row>
    <row r="281">
      <c r="A281" s="8" t="s">
        <v>23</v>
      </c>
      <c r="B281" s="9" t="s">
        <v>67</v>
      </c>
      <c r="C281" s="9" t="s">
        <v>68</v>
      </c>
      <c r="D281" s="10"/>
      <c r="E281" s="2" t="n">
        <f>7354</f>
        <v>7354.0</v>
      </c>
      <c r="F281" s="10"/>
      <c r="G281" s="2" t="n">
        <f>8258499360</f>
        <v>8.25849936E9</v>
      </c>
      <c r="H281" s="10"/>
      <c r="I281" s="2" t="n">
        <f>360</f>
        <v>360.0</v>
      </c>
      <c r="J281" s="10"/>
      <c r="K281" s="2" t="n">
        <f>29029</f>
        <v>29029.0</v>
      </c>
    </row>
    <row r="282">
      <c r="A282" s="8" t="s">
        <v>24</v>
      </c>
      <c r="B282" s="9" t="s">
        <v>67</v>
      </c>
      <c r="C282" s="9" t="s">
        <v>68</v>
      </c>
      <c r="D282" s="10" t="s">
        <v>25</v>
      </c>
      <c r="E282" s="2" t="n">
        <f>38220</f>
        <v>38220.0</v>
      </c>
      <c r="F282" s="10" t="s">
        <v>25</v>
      </c>
      <c r="G282" s="2" t="n">
        <f>43501368500</f>
        <v>4.35013685E10</v>
      </c>
      <c r="H282" s="10"/>
      <c r="I282" s="2" t="n">
        <f>329</f>
        <v>329.0</v>
      </c>
      <c r="J282" s="10"/>
      <c r="K282" s="2" t="n">
        <f>29571</f>
        <v>29571.0</v>
      </c>
    </row>
    <row r="283">
      <c r="A283" s="8" t="s">
        <v>26</v>
      </c>
      <c r="B283" s="9" t="s">
        <v>67</v>
      </c>
      <c r="C283" s="9" t="s">
        <v>68</v>
      </c>
      <c r="D283" s="10"/>
      <c r="E283" s="2" t="n">
        <f>11174</f>
        <v>11174.0</v>
      </c>
      <c r="F283" s="10"/>
      <c r="G283" s="2" t="n">
        <f>12770314860</f>
        <v>1.277031486E10</v>
      </c>
      <c r="H283" s="10"/>
      <c r="I283" s="2" t="n">
        <f>159</f>
        <v>159.0</v>
      </c>
      <c r="J283" s="10"/>
      <c r="K283" s="2" t="n">
        <f>24388</f>
        <v>24388.0</v>
      </c>
    </row>
    <row r="284">
      <c r="A284" s="8" t="s">
        <v>27</v>
      </c>
      <c r="B284" s="9" t="s">
        <v>67</v>
      </c>
      <c r="C284" s="9" t="s">
        <v>68</v>
      </c>
      <c r="D284" s="10"/>
      <c r="E284" s="2" t="n">
        <f>6810</f>
        <v>6810.0</v>
      </c>
      <c r="F284" s="10"/>
      <c r="G284" s="2" t="n">
        <f>7750146380</f>
        <v>7.75014638E9</v>
      </c>
      <c r="H284" s="10"/>
      <c r="I284" s="2" t="n">
        <f>120</f>
        <v>120.0</v>
      </c>
      <c r="J284" s="10"/>
      <c r="K284" s="2" t="n">
        <f>24024</f>
        <v>24024.0</v>
      </c>
    </row>
    <row r="285">
      <c r="A285" s="8" t="s">
        <v>28</v>
      </c>
      <c r="B285" s="9" t="s">
        <v>67</v>
      </c>
      <c r="C285" s="9" t="s">
        <v>68</v>
      </c>
      <c r="D285" s="10"/>
      <c r="E285" s="2" t="n">
        <f>4117</f>
        <v>4117.0</v>
      </c>
      <c r="F285" s="10"/>
      <c r="G285" s="2" t="n">
        <f>4702406820</f>
        <v>4.70240682E9</v>
      </c>
      <c r="H285" s="10"/>
      <c r="I285" s="2" t="n">
        <f>176</f>
        <v>176.0</v>
      </c>
      <c r="J285" s="10"/>
      <c r="K285" s="2" t="n">
        <f>24507</f>
        <v>24507.0</v>
      </c>
    </row>
    <row r="286">
      <c r="A286" s="8" t="s">
        <v>29</v>
      </c>
      <c r="B286" s="9" t="s">
        <v>67</v>
      </c>
      <c r="C286" s="9" t="s">
        <v>68</v>
      </c>
      <c r="D286" s="10"/>
      <c r="E286" s="2"/>
      <c r="F286" s="10"/>
      <c r="G286" s="2"/>
      <c r="H286" s="10"/>
      <c r="I286" s="2"/>
      <c r="J286" s="10"/>
      <c r="K286" s="2"/>
    </row>
    <row r="287">
      <c r="A287" s="8" t="s">
        <v>30</v>
      </c>
      <c r="B287" s="9" t="s">
        <v>67</v>
      </c>
      <c r="C287" s="9" t="s">
        <v>68</v>
      </c>
      <c r="D287" s="10"/>
      <c r="E287" s="2"/>
      <c r="F287" s="10"/>
      <c r="G287" s="2"/>
      <c r="H287" s="10"/>
      <c r="I287" s="2"/>
      <c r="J287" s="10"/>
      <c r="K287" s="2"/>
    </row>
    <row r="288">
      <c r="A288" s="8" t="s">
        <v>31</v>
      </c>
      <c r="B288" s="9" t="s">
        <v>67</v>
      </c>
      <c r="C288" s="9" t="s">
        <v>68</v>
      </c>
      <c r="D288" s="10"/>
      <c r="E288" s="2" t="n">
        <f>4031</f>
        <v>4031.0</v>
      </c>
      <c r="F288" s="10"/>
      <c r="G288" s="2" t="n">
        <f>4658510960</f>
        <v>4.65851096E9</v>
      </c>
      <c r="H288" s="10"/>
      <c r="I288" s="2" t="n">
        <f>217</f>
        <v>217.0</v>
      </c>
      <c r="J288" s="10"/>
      <c r="K288" s="2" t="n">
        <f>20827</f>
        <v>20827.0</v>
      </c>
    </row>
    <row r="289">
      <c r="A289" s="8" t="s">
        <v>33</v>
      </c>
      <c r="B289" s="9" t="s">
        <v>67</v>
      </c>
      <c r="C289" s="9" t="s">
        <v>68</v>
      </c>
      <c r="D289" s="10"/>
      <c r="E289" s="2" t="n">
        <f>4461</f>
        <v>4461.0</v>
      </c>
      <c r="F289" s="10"/>
      <c r="G289" s="2" t="n">
        <f>5207546700</f>
        <v>5.2075467E9</v>
      </c>
      <c r="H289" s="10"/>
      <c r="I289" s="2" t="n">
        <f>198</f>
        <v>198.0</v>
      </c>
      <c r="J289" s="10"/>
      <c r="K289" s="2" t="n">
        <f>20553</f>
        <v>20553.0</v>
      </c>
    </row>
    <row r="290">
      <c r="A290" s="8" t="s">
        <v>34</v>
      </c>
      <c r="B290" s="9" t="s">
        <v>67</v>
      </c>
      <c r="C290" s="9" t="s">
        <v>68</v>
      </c>
      <c r="D290" s="10"/>
      <c r="E290" s="2" t="n">
        <f>3999</f>
        <v>3999.0</v>
      </c>
      <c r="F290" s="10"/>
      <c r="G290" s="2" t="n">
        <f>4650381010</f>
        <v>4.65038101E9</v>
      </c>
      <c r="H290" s="10"/>
      <c r="I290" s="2" t="n">
        <f>178</f>
        <v>178.0</v>
      </c>
      <c r="J290" s="10"/>
      <c r="K290" s="2" t="n">
        <f>20556</f>
        <v>20556.0</v>
      </c>
    </row>
    <row r="291">
      <c r="A291" s="8" t="s">
        <v>35</v>
      </c>
      <c r="B291" s="9" t="s">
        <v>67</v>
      </c>
      <c r="C291" s="9" t="s">
        <v>68</v>
      </c>
      <c r="D291" s="10"/>
      <c r="E291" s="2" t="n">
        <f>6324</f>
        <v>6324.0</v>
      </c>
      <c r="F291" s="10"/>
      <c r="G291" s="2" t="n">
        <f>7151423320</f>
        <v>7.15142332E9</v>
      </c>
      <c r="H291" s="10" t="s">
        <v>25</v>
      </c>
      <c r="I291" s="2" t="n">
        <f>478</f>
        <v>478.0</v>
      </c>
      <c r="J291" s="10"/>
      <c r="K291" s="2" t="n">
        <f>20861</f>
        <v>20861.0</v>
      </c>
    </row>
    <row r="292">
      <c r="A292" s="8" t="s">
        <v>36</v>
      </c>
      <c r="B292" s="9" t="s">
        <v>67</v>
      </c>
      <c r="C292" s="9" t="s">
        <v>68</v>
      </c>
      <c r="D292" s="10"/>
      <c r="E292" s="2" t="n">
        <f>5221</f>
        <v>5221.0</v>
      </c>
      <c r="F292" s="10"/>
      <c r="G292" s="2" t="n">
        <f>5879805500</f>
        <v>5.8798055E9</v>
      </c>
      <c r="H292" s="10"/>
      <c r="I292" s="2" t="n">
        <f>254</f>
        <v>254.0</v>
      </c>
      <c r="J292" s="10" t="s">
        <v>32</v>
      </c>
      <c r="K292" s="2" t="n">
        <f>20338</f>
        <v>20338.0</v>
      </c>
    </row>
    <row r="293">
      <c r="A293" s="8" t="s">
        <v>37</v>
      </c>
      <c r="B293" s="9" t="s">
        <v>67</v>
      </c>
      <c r="C293" s="9" t="s">
        <v>68</v>
      </c>
      <c r="D293" s="10"/>
      <c r="E293" s="2"/>
      <c r="F293" s="10"/>
      <c r="G293" s="2"/>
      <c r="H293" s="10"/>
      <c r="I293" s="2"/>
      <c r="J293" s="10"/>
      <c r="K293" s="2"/>
    </row>
    <row r="294">
      <c r="A294" s="8" t="s">
        <v>38</v>
      </c>
      <c r="B294" s="9" t="s">
        <v>67</v>
      </c>
      <c r="C294" s="9" t="s">
        <v>68</v>
      </c>
      <c r="D294" s="10"/>
      <c r="E294" s="2"/>
      <c r="F294" s="10"/>
      <c r="G294" s="2"/>
      <c r="H294" s="10"/>
      <c r="I294" s="2"/>
      <c r="J294" s="10"/>
      <c r="K294" s="2"/>
    </row>
    <row r="295">
      <c r="A295" s="8" t="s">
        <v>39</v>
      </c>
      <c r="B295" s="9" t="s">
        <v>67</v>
      </c>
      <c r="C295" s="9" t="s">
        <v>68</v>
      </c>
      <c r="D295" s="10"/>
      <c r="E295" s="2"/>
      <c r="F295" s="10"/>
      <c r="G295" s="2"/>
      <c r="H295" s="10"/>
      <c r="I295" s="2"/>
      <c r="J295" s="10"/>
      <c r="K295" s="2"/>
    </row>
    <row r="296">
      <c r="A296" s="8" t="s">
        <v>40</v>
      </c>
      <c r="B296" s="9" t="s">
        <v>67</v>
      </c>
      <c r="C296" s="9" t="s">
        <v>68</v>
      </c>
      <c r="D296" s="10"/>
      <c r="E296" s="2" t="n">
        <f>2727</f>
        <v>2727.0</v>
      </c>
      <c r="F296" s="10"/>
      <c r="G296" s="2" t="n">
        <f>3034551120</f>
        <v>3.03455112E9</v>
      </c>
      <c r="H296" s="10"/>
      <c r="I296" s="2" t="n">
        <f>275</f>
        <v>275.0</v>
      </c>
      <c r="J296" s="10"/>
      <c r="K296" s="2" t="n">
        <f>20544</f>
        <v>20544.0</v>
      </c>
    </row>
    <row r="297">
      <c r="A297" s="8" t="s">
        <v>41</v>
      </c>
      <c r="B297" s="9" t="s">
        <v>67</v>
      </c>
      <c r="C297" s="9" t="s">
        <v>68</v>
      </c>
      <c r="D297" s="10"/>
      <c r="E297" s="2" t="n">
        <f>5252</f>
        <v>5252.0</v>
      </c>
      <c r="F297" s="10"/>
      <c r="G297" s="2" t="n">
        <f>5831891260</f>
        <v>5.83189126E9</v>
      </c>
      <c r="H297" s="10"/>
      <c r="I297" s="2" t="n">
        <f>293</f>
        <v>293.0</v>
      </c>
      <c r="J297" s="10"/>
      <c r="K297" s="2" t="n">
        <f>20626</f>
        <v>20626.0</v>
      </c>
    </row>
    <row r="298">
      <c r="A298" s="8" t="s">
        <v>42</v>
      </c>
      <c r="B298" s="9" t="s">
        <v>67</v>
      </c>
      <c r="C298" s="9" t="s">
        <v>68</v>
      </c>
      <c r="D298" s="10"/>
      <c r="E298" s="2"/>
      <c r="F298" s="10"/>
      <c r="G298" s="2"/>
      <c r="H298" s="10"/>
      <c r="I298" s="2"/>
      <c r="J298" s="10"/>
      <c r="K298" s="2"/>
    </row>
    <row r="299">
      <c r="A299" s="8" t="s">
        <v>43</v>
      </c>
      <c r="B299" s="9" t="s">
        <v>67</v>
      </c>
      <c r="C299" s="9" t="s">
        <v>68</v>
      </c>
      <c r="D299" s="10"/>
      <c r="E299" s="2" t="n">
        <f>3354</f>
        <v>3354.0</v>
      </c>
      <c r="F299" s="10"/>
      <c r="G299" s="2" t="n">
        <f>3800747450</f>
        <v>3.80074745E9</v>
      </c>
      <c r="H299" s="10" t="s">
        <v>32</v>
      </c>
      <c r="I299" s="2" t="n">
        <f>109</f>
        <v>109.0</v>
      </c>
      <c r="J299" s="10"/>
      <c r="K299" s="2" t="n">
        <f>20520</f>
        <v>20520.0</v>
      </c>
    </row>
    <row r="300">
      <c r="A300" s="8" t="s">
        <v>44</v>
      </c>
      <c r="B300" s="9" t="s">
        <v>67</v>
      </c>
      <c r="C300" s="9" t="s">
        <v>68</v>
      </c>
      <c r="D300" s="10"/>
      <c r="E300" s="2"/>
      <c r="F300" s="10"/>
      <c r="G300" s="2"/>
      <c r="H300" s="10"/>
      <c r="I300" s="2"/>
      <c r="J300" s="10"/>
      <c r="K300" s="2"/>
    </row>
    <row r="301">
      <c r="A301" s="8" t="s">
        <v>45</v>
      </c>
      <c r="B301" s="9" t="s">
        <v>67</v>
      </c>
      <c r="C301" s="9" t="s">
        <v>68</v>
      </c>
      <c r="D301" s="10"/>
      <c r="E301" s="2"/>
      <c r="F301" s="10"/>
      <c r="G301" s="2"/>
      <c r="H301" s="10"/>
      <c r="I301" s="2"/>
      <c r="J301" s="10"/>
      <c r="K301" s="2"/>
    </row>
    <row r="302">
      <c r="A302" s="8" t="s">
        <v>46</v>
      </c>
      <c r="B302" s="9" t="s">
        <v>67</v>
      </c>
      <c r="C302" s="9" t="s">
        <v>68</v>
      </c>
      <c r="D302" s="10" t="s">
        <v>32</v>
      </c>
      <c r="E302" s="2" t="n">
        <f>2404</f>
        <v>2404.0</v>
      </c>
      <c r="F302" s="10" t="s">
        <v>32</v>
      </c>
      <c r="G302" s="2" t="n">
        <f>2741921820</f>
        <v>2.74192182E9</v>
      </c>
      <c r="H302" s="10"/>
      <c r="I302" s="2" t="n">
        <f>126</f>
        <v>126.0</v>
      </c>
      <c r="J302" s="10"/>
      <c r="K302" s="2" t="n">
        <f>20583</f>
        <v>20583.0</v>
      </c>
    </row>
    <row r="303">
      <c r="A303" s="8" t="s">
        <v>47</v>
      </c>
      <c r="B303" s="9" t="s">
        <v>67</v>
      </c>
      <c r="C303" s="9" t="s">
        <v>68</v>
      </c>
      <c r="D303" s="10"/>
      <c r="E303" s="2" t="n">
        <f>4154</f>
        <v>4154.0</v>
      </c>
      <c r="F303" s="10"/>
      <c r="G303" s="2" t="n">
        <f>4638784690</f>
        <v>4.63878469E9</v>
      </c>
      <c r="H303" s="10"/>
      <c r="I303" s="2" t="n">
        <f>314</f>
        <v>314.0</v>
      </c>
      <c r="J303" s="10"/>
      <c r="K303" s="2" t="n">
        <f>20721</f>
        <v>20721.0</v>
      </c>
    </row>
    <row r="304">
      <c r="A304" s="8" t="s">
        <v>48</v>
      </c>
      <c r="B304" s="9" t="s">
        <v>67</v>
      </c>
      <c r="C304" s="9" t="s">
        <v>68</v>
      </c>
      <c r="D304" s="10"/>
      <c r="E304" s="2" t="n">
        <f>5030</f>
        <v>5030.0</v>
      </c>
      <c r="F304" s="10"/>
      <c r="G304" s="2" t="n">
        <f>5498611160</f>
        <v>5.49861116E9</v>
      </c>
      <c r="H304" s="10"/>
      <c r="I304" s="2" t="n">
        <f>471</f>
        <v>471.0</v>
      </c>
      <c r="J304" s="10"/>
      <c r="K304" s="2" t="n">
        <f>20743</f>
        <v>20743.0</v>
      </c>
    </row>
    <row r="305">
      <c r="A305" s="8" t="s">
        <v>49</v>
      </c>
      <c r="B305" s="9" t="s">
        <v>67</v>
      </c>
      <c r="C305" s="9" t="s">
        <v>68</v>
      </c>
      <c r="D305" s="10"/>
      <c r="E305" s="2" t="n">
        <f>4253</f>
        <v>4253.0</v>
      </c>
      <c r="F305" s="10"/>
      <c r="G305" s="2" t="n">
        <f>4702854070</f>
        <v>4.70285407E9</v>
      </c>
      <c r="H305" s="10"/>
      <c r="I305" s="2" t="n">
        <f>462</f>
        <v>462.0</v>
      </c>
      <c r="J305" s="10"/>
      <c r="K305" s="2" t="n">
        <f>20842</f>
        <v>20842.0</v>
      </c>
    </row>
    <row r="306">
      <c r="A306" s="8" t="s">
        <v>16</v>
      </c>
      <c r="B306" s="9" t="s">
        <v>69</v>
      </c>
      <c r="C306" s="9" t="s">
        <v>70</v>
      </c>
      <c r="D306" s="10"/>
      <c r="E306" s="2" t="n">
        <f>1262</f>
        <v>1262.0</v>
      </c>
      <c r="F306" s="10"/>
      <c r="G306" s="2" t="n">
        <f>4461150500</f>
        <v>4.4611505E9</v>
      </c>
      <c r="H306" s="10"/>
      <c r="I306" s="2" t="n">
        <f>306</f>
        <v>306.0</v>
      </c>
      <c r="J306" s="10"/>
      <c r="K306" s="2" t="n">
        <f>2293</f>
        <v>2293.0</v>
      </c>
    </row>
    <row r="307">
      <c r="A307" s="8" t="s">
        <v>19</v>
      </c>
      <c r="B307" s="9" t="s">
        <v>69</v>
      </c>
      <c r="C307" s="9" t="s">
        <v>70</v>
      </c>
      <c r="D307" s="10"/>
      <c r="E307" s="2" t="n">
        <f>2127</f>
        <v>2127.0</v>
      </c>
      <c r="F307" s="10"/>
      <c r="G307" s="2" t="n">
        <f>7505581100</f>
        <v>7.5055811E9</v>
      </c>
      <c r="H307" s="10"/>
      <c r="I307" s="2" t="n">
        <f>234</f>
        <v>234.0</v>
      </c>
      <c r="J307" s="10"/>
      <c r="K307" s="2" t="n">
        <f>2953</f>
        <v>2953.0</v>
      </c>
    </row>
    <row r="308">
      <c r="A308" s="8" t="s">
        <v>20</v>
      </c>
      <c r="B308" s="9" t="s">
        <v>69</v>
      </c>
      <c r="C308" s="9" t="s">
        <v>70</v>
      </c>
      <c r="D308" s="10"/>
      <c r="E308" s="2" t="n">
        <f>1967</f>
        <v>1967.0</v>
      </c>
      <c r="F308" s="10"/>
      <c r="G308" s="2" t="n">
        <f>6974618900</f>
        <v>6.9746189E9</v>
      </c>
      <c r="H308" s="10"/>
      <c r="I308" s="2" t="n">
        <f>207</f>
        <v>207.0</v>
      </c>
      <c r="J308" s="10" t="s">
        <v>32</v>
      </c>
      <c r="K308" s="2" t="n">
        <f>2090</f>
        <v>2090.0</v>
      </c>
    </row>
    <row r="309">
      <c r="A309" s="8" t="s">
        <v>21</v>
      </c>
      <c r="B309" s="9" t="s">
        <v>69</v>
      </c>
      <c r="C309" s="9" t="s">
        <v>70</v>
      </c>
      <c r="D309" s="10"/>
      <c r="E309" s="2"/>
      <c r="F309" s="10"/>
      <c r="G309" s="2"/>
      <c r="H309" s="10"/>
      <c r="I309" s="2"/>
      <c r="J309" s="10"/>
      <c r="K309" s="2"/>
    </row>
    <row r="310">
      <c r="A310" s="8" t="s">
        <v>22</v>
      </c>
      <c r="B310" s="9" t="s">
        <v>69</v>
      </c>
      <c r="C310" s="9" t="s">
        <v>70</v>
      </c>
      <c r="D310" s="10"/>
      <c r="E310" s="2"/>
      <c r="F310" s="10"/>
      <c r="G310" s="2"/>
      <c r="H310" s="10"/>
      <c r="I310" s="2"/>
      <c r="J310" s="10"/>
      <c r="K310" s="2"/>
    </row>
    <row r="311">
      <c r="A311" s="8" t="s">
        <v>23</v>
      </c>
      <c r="B311" s="9" t="s">
        <v>69</v>
      </c>
      <c r="C311" s="9" t="s">
        <v>70</v>
      </c>
      <c r="D311" s="10"/>
      <c r="E311" s="2" t="n">
        <f>2985</f>
        <v>2985.0</v>
      </c>
      <c r="F311" s="10"/>
      <c r="G311" s="2" t="n">
        <f>10552886400</f>
        <v>1.05528864E10</v>
      </c>
      <c r="H311" s="10"/>
      <c r="I311" s="2" t="n">
        <f>633</f>
        <v>633.0</v>
      </c>
      <c r="J311" s="10"/>
      <c r="K311" s="2" t="n">
        <f>2209</f>
        <v>2209.0</v>
      </c>
    </row>
    <row r="312">
      <c r="A312" s="8" t="s">
        <v>24</v>
      </c>
      <c r="B312" s="9" t="s">
        <v>69</v>
      </c>
      <c r="C312" s="9" t="s">
        <v>70</v>
      </c>
      <c r="D312" s="10" t="s">
        <v>32</v>
      </c>
      <c r="E312" s="2" t="n">
        <f>309</f>
        <v>309.0</v>
      </c>
      <c r="F312" s="10" t="s">
        <v>32</v>
      </c>
      <c r="G312" s="2" t="n">
        <f>1093886800</f>
        <v>1.0938868E9</v>
      </c>
      <c r="H312" s="10"/>
      <c r="I312" s="2" t="n">
        <f>84</f>
        <v>84.0</v>
      </c>
      <c r="J312" s="10"/>
      <c r="K312" s="2" t="n">
        <f>2182</f>
        <v>2182.0</v>
      </c>
    </row>
    <row r="313">
      <c r="A313" s="8" t="s">
        <v>26</v>
      </c>
      <c r="B313" s="9" t="s">
        <v>69</v>
      </c>
      <c r="C313" s="9" t="s">
        <v>70</v>
      </c>
      <c r="D313" s="10"/>
      <c r="E313" s="2" t="n">
        <f>2364</f>
        <v>2364.0</v>
      </c>
      <c r="F313" s="10"/>
      <c r="G313" s="2" t="n">
        <f>8311371200</f>
        <v>8.3113712E9</v>
      </c>
      <c r="H313" s="10"/>
      <c r="I313" s="2" t="n">
        <f>289</f>
        <v>289.0</v>
      </c>
      <c r="J313" s="10"/>
      <c r="K313" s="2" t="n">
        <f>2918</f>
        <v>2918.0</v>
      </c>
    </row>
    <row r="314">
      <c r="A314" s="8" t="s">
        <v>27</v>
      </c>
      <c r="B314" s="9" t="s">
        <v>69</v>
      </c>
      <c r="C314" s="9" t="s">
        <v>70</v>
      </c>
      <c r="D314" s="10"/>
      <c r="E314" s="2" t="n">
        <f>1152</f>
        <v>1152.0</v>
      </c>
      <c r="F314" s="10"/>
      <c r="G314" s="2" t="n">
        <f>4029542800</f>
        <v>4.0295428E9</v>
      </c>
      <c r="H314" s="10"/>
      <c r="I314" s="2" t="n">
        <f>266</f>
        <v>266.0</v>
      </c>
      <c r="J314" s="10"/>
      <c r="K314" s="2" t="n">
        <f>2897</f>
        <v>2897.0</v>
      </c>
    </row>
    <row r="315">
      <c r="A315" s="8" t="s">
        <v>28</v>
      </c>
      <c r="B315" s="9" t="s">
        <v>69</v>
      </c>
      <c r="C315" s="9" t="s">
        <v>70</v>
      </c>
      <c r="D315" s="10"/>
      <c r="E315" s="2" t="n">
        <f>1193</f>
        <v>1193.0</v>
      </c>
      <c r="F315" s="10"/>
      <c r="G315" s="2" t="n">
        <f>4171758800</f>
        <v>4.1717588E9</v>
      </c>
      <c r="H315" s="10"/>
      <c r="I315" s="2" t="n">
        <f>269</f>
        <v>269.0</v>
      </c>
      <c r="J315" s="10"/>
      <c r="K315" s="2" t="n">
        <f>2952</f>
        <v>2952.0</v>
      </c>
    </row>
    <row r="316">
      <c r="A316" s="8" t="s">
        <v>29</v>
      </c>
      <c r="B316" s="9" t="s">
        <v>69</v>
      </c>
      <c r="C316" s="9" t="s">
        <v>70</v>
      </c>
      <c r="D316" s="10"/>
      <c r="E316" s="2"/>
      <c r="F316" s="10"/>
      <c r="G316" s="2"/>
      <c r="H316" s="10"/>
      <c r="I316" s="2"/>
      <c r="J316" s="10"/>
      <c r="K316" s="2"/>
    </row>
    <row r="317">
      <c r="A317" s="8" t="s">
        <v>30</v>
      </c>
      <c r="B317" s="9" t="s">
        <v>69</v>
      </c>
      <c r="C317" s="9" t="s">
        <v>70</v>
      </c>
      <c r="D317" s="10"/>
      <c r="E317" s="2"/>
      <c r="F317" s="10"/>
      <c r="G317" s="2"/>
      <c r="H317" s="10"/>
      <c r="I317" s="2"/>
      <c r="J317" s="10"/>
      <c r="K317" s="2"/>
    </row>
    <row r="318">
      <c r="A318" s="8" t="s">
        <v>31</v>
      </c>
      <c r="B318" s="9" t="s">
        <v>69</v>
      </c>
      <c r="C318" s="9" t="s">
        <v>70</v>
      </c>
      <c r="D318" s="10"/>
      <c r="E318" s="2" t="n">
        <f>3546</f>
        <v>3546.0</v>
      </c>
      <c r="F318" s="10"/>
      <c r="G318" s="2" t="n">
        <f>12333985800</f>
        <v>1.23339858E10</v>
      </c>
      <c r="H318" s="10"/>
      <c r="I318" s="2" t="n">
        <f>433</f>
        <v>433.0</v>
      </c>
      <c r="J318" s="10"/>
      <c r="K318" s="2" t="n">
        <f>4696</f>
        <v>4696.0</v>
      </c>
    </row>
    <row r="319">
      <c r="A319" s="8" t="s">
        <v>33</v>
      </c>
      <c r="B319" s="9" t="s">
        <v>69</v>
      </c>
      <c r="C319" s="9" t="s">
        <v>70</v>
      </c>
      <c r="D319" s="10"/>
      <c r="E319" s="2" t="n">
        <f>2932</f>
        <v>2932.0</v>
      </c>
      <c r="F319" s="10"/>
      <c r="G319" s="2" t="n">
        <f>10219517700</f>
        <v>1.02195177E10</v>
      </c>
      <c r="H319" s="10"/>
      <c r="I319" s="2" t="n">
        <f>206</f>
        <v>206.0</v>
      </c>
      <c r="J319" s="10"/>
      <c r="K319" s="2" t="n">
        <f>3172</f>
        <v>3172.0</v>
      </c>
    </row>
    <row r="320">
      <c r="A320" s="8" t="s">
        <v>34</v>
      </c>
      <c r="B320" s="9" t="s">
        <v>69</v>
      </c>
      <c r="C320" s="9" t="s">
        <v>70</v>
      </c>
      <c r="D320" s="10"/>
      <c r="E320" s="2" t="n">
        <f>2734</f>
        <v>2734.0</v>
      </c>
      <c r="F320" s="10"/>
      <c r="G320" s="2" t="n">
        <f>9470460000</f>
        <v>9.47046E9</v>
      </c>
      <c r="H320" s="10"/>
      <c r="I320" s="2" t="n">
        <f>228</f>
        <v>228.0</v>
      </c>
      <c r="J320" s="10"/>
      <c r="K320" s="2" t="n">
        <f>4308</f>
        <v>4308.0</v>
      </c>
    </row>
    <row r="321">
      <c r="A321" s="8" t="s">
        <v>35</v>
      </c>
      <c r="B321" s="9" t="s">
        <v>69</v>
      </c>
      <c r="C321" s="9" t="s">
        <v>70</v>
      </c>
      <c r="D321" s="10"/>
      <c r="E321" s="2" t="n">
        <f>3221</f>
        <v>3221.0</v>
      </c>
      <c r="F321" s="10"/>
      <c r="G321" s="2" t="n">
        <f>11182576500</f>
        <v>1.11825765E10</v>
      </c>
      <c r="H321" s="10"/>
      <c r="I321" s="2" t="n">
        <f>167</f>
        <v>167.0</v>
      </c>
      <c r="J321" s="10"/>
      <c r="K321" s="2" t="n">
        <f>2767</f>
        <v>2767.0</v>
      </c>
    </row>
    <row r="322">
      <c r="A322" s="8" t="s">
        <v>36</v>
      </c>
      <c r="B322" s="9" t="s">
        <v>69</v>
      </c>
      <c r="C322" s="9" t="s">
        <v>70</v>
      </c>
      <c r="D322" s="10"/>
      <c r="E322" s="2" t="n">
        <f>1648</f>
        <v>1648.0</v>
      </c>
      <c r="F322" s="10"/>
      <c r="G322" s="2" t="n">
        <f>5718168800</f>
        <v>5.7181688E9</v>
      </c>
      <c r="H322" s="10"/>
      <c r="I322" s="2" t="n">
        <f>265</f>
        <v>265.0</v>
      </c>
      <c r="J322" s="10"/>
      <c r="K322" s="2" t="n">
        <f>2665</f>
        <v>2665.0</v>
      </c>
    </row>
    <row r="323">
      <c r="A323" s="8" t="s">
        <v>37</v>
      </c>
      <c r="B323" s="9" t="s">
        <v>69</v>
      </c>
      <c r="C323" s="9" t="s">
        <v>70</v>
      </c>
      <c r="D323" s="10"/>
      <c r="E323" s="2"/>
      <c r="F323" s="10"/>
      <c r="G323" s="2"/>
      <c r="H323" s="10"/>
      <c r="I323" s="2"/>
      <c r="J323" s="10"/>
      <c r="K323" s="2"/>
    </row>
    <row r="324">
      <c r="A324" s="8" t="s">
        <v>38</v>
      </c>
      <c r="B324" s="9" t="s">
        <v>69</v>
      </c>
      <c r="C324" s="9" t="s">
        <v>70</v>
      </c>
      <c r="D324" s="10"/>
      <c r="E324" s="2"/>
      <c r="F324" s="10"/>
      <c r="G324" s="2"/>
      <c r="H324" s="10"/>
      <c r="I324" s="2"/>
      <c r="J324" s="10"/>
      <c r="K324" s="2"/>
    </row>
    <row r="325">
      <c r="A325" s="8" t="s">
        <v>39</v>
      </c>
      <c r="B325" s="9" t="s">
        <v>69</v>
      </c>
      <c r="C325" s="9" t="s">
        <v>70</v>
      </c>
      <c r="D325" s="10"/>
      <c r="E325" s="2"/>
      <c r="F325" s="10"/>
      <c r="G325" s="2"/>
      <c r="H325" s="10"/>
      <c r="I325" s="2"/>
      <c r="J325" s="10"/>
      <c r="K325" s="2"/>
    </row>
    <row r="326">
      <c r="A326" s="8" t="s">
        <v>40</v>
      </c>
      <c r="B326" s="9" t="s">
        <v>69</v>
      </c>
      <c r="C326" s="9" t="s">
        <v>70</v>
      </c>
      <c r="D326" s="10" t="s">
        <v>25</v>
      </c>
      <c r="E326" s="2" t="n">
        <f>4362</f>
        <v>4362.0</v>
      </c>
      <c r="F326" s="10" t="s">
        <v>25</v>
      </c>
      <c r="G326" s="2" t="n">
        <f>14826305500</f>
        <v>1.48263055E10</v>
      </c>
      <c r="H326" s="10" t="s">
        <v>32</v>
      </c>
      <c r="I326" s="2" t="n">
        <f>54</f>
        <v>54.0</v>
      </c>
      <c r="J326" s="10" t="s">
        <v>25</v>
      </c>
      <c r="K326" s="2" t="n">
        <f>6402</f>
        <v>6402.0</v>
      </c>
    </row>
    <row r="327">
      <c r="A327" s="8" t="s">
        <v>41</v>
      </c>
      <c r="B327" s="9" t="s">
        <v>69</v>
      </c>
      <c r="C327" s="9" t="s">
        <v>70</v>
      </c>
      <c r="D327" s="10"/>
      <c r="E327" s="2" t="n">
        <f>1490</f>
        <v>1490.0</v>
      </c>
      <c r="F327" s="10"/>
      <c r="G327" s="2" t="n">
        <f>5053126600</f>
        <v>5.0531266E9</v>
      </c>
      <c r="H327" s="10"/>
      <c r="I327" s="2" t="n">
        <f>416</f>
        <v>416.0</v>
      </c>
      <c r="J327" s="10"/>
      <c r="K327" s="2" t="n">
        <f>4658</f>
        <v>4658.0</v>
      </c>
    </row>
    <row r="328">
      <c r="A328" s="8" t="s">
        <v>42</v>
      </c>
      <c r="B328" s="9" t="s">
        <v>69</v>
      </c>
      <c r="C328" s="9" t="s">
        <v>70</v>
      </c>
      <c r="D328" s="10"/>
      <c r="E328" s="2"/>
      <c r="F328" s="10"/>
      <c r="G328" s="2"/>
      <c r="H328" s="10"/>
      <c r="I328" s="2"/>
      <c r="J328" s="10"/>
      <c r="K328" s="2"/>
    </row>
    <row r="329">
      <c r="A329" s="8" t="s">
        <v>43</v>
      </c>
      <c r="B329" s="9" t="s">
        <v>69</v>
      </c>
      <c r="C329" s="9" t="s">
        <v>70</v>
      </c>
      <c r="D329" s="10"/>
      <c r="E329" s="2" t="n">
        <f>2618</f>
        <v>2618.0</v>
      </c>
      <c r="F329" s="10"/>
      <c r="G329" s="2" t="n">
        <f>8981293600</f>
        <v>8.9812936E9</v>
      </c>
      <c r="H329" s="10"/>
      <c r="I329" s="2" t="n">
        <f>652</f>
        <v>652.0</v>
      </c>
      <c r="J329" s="10"/>
      <c r="K329" s="2" t="n">
        <f>4057</f>
        <v>4057.0</v>
      </c>
    </row>
    <row r="330">
      <c r="A330" s="8" t="s">
        <v>44</v>
      </c>
      <c r="B330" s="9" t="s">
        <v>69</v>
      </c>
      <c r="C330" s="9" t="s">
        <v>70</v>
      </c>
      <c r="D330" s="10"/>
      <c r="E330" s="2"/>
      <c r="F330" s="10"/>
      <c r="G330" s="2"/>
      <c r="H330" s="10"/>
      <c r="I330" s="2"/>
      <c r="J330" s="10"/>
      <c r="K330" s="2"/>
    </row>
    <row r="331">
      <c r="A331" s="8" t="s">
        <v>45</v>
      </c>
      <c r="B331" s="9" t="s">
        <v>69</v>
      </c>
      <c r="C331" s="9" t="s">
        <v>70</v>
      </c>
      <c r="D331" s="10"/>
      <c r="E331" s="2"/>
      <c r="F331" s="10"/>
      <c r="G331" s="2"/>
      <c r="H331" s="10"/>
      <c r="I331" s="2"/>
      <c r="J331" s="10"/>
      <c r="K331" s="2"/>
    </row>
    <row r="332">
      <c r="A332" s="8" t="s">
        <v>46</v>
      </c>
      <c r="B332" s="9" t="s">
        <v>69</v>
      </c>
      <c r="C332" s="9" t="s">
        <v>70</v>
      </c>
      <c r="D332" s="10"/>
      <c r="E332" s="2" t="n">
        <f>1139</f>
        <v>1139.0</v>
      </c>
      <c r="F332" s="10"/>
      <c r="G332" s="2" t="n">
        <f>3939782200</f>
        <v>3.9397822E9</v>
      </c>
      <c r="H332" s="10"/>
      <c r="I332" s="2" t="n">
        <f>202</f>
        <v>202.0</v>
      </c>
      <c r="J332" s="10"/>
      <c r="K332" s="2" t="n">
        <f>4089</f>
        <v>4089.0</v>
      </c>
    </row>
    <row r="333">
      <c r="A333" s="8" t="s">
        <v>47</v>
      </c>
      <c r="B333" s="9" t="s">
        <v>69</v>
      </c>
      <c r="C333" s="9" t="s">
        <v>70</v>
      </c>
      <c r="D333" s="10"/>
      <c r="E333" s="2" t="n">
        <f>2060</f>
        <v>2060.0</v>
      </c>
      <c r="F333" s="10"/>
      <c r="G333" s="2" t="n">
        <f>7156741800</f>
        <v>7.1567418E9</v>
      </c>
      <c r="H333" s="10"/>
      <c r="I333" s="2" t="n">
        <f>448</f>
        <v>448.0</v>
      </c>
      <c r="J333" s="10"/>
      <c r="K333" s="2" t="n">
        <f>3443</f>
        <v>3443.0</v>
      </c>
    </row>
    <row r="334">
      <c r="A334" s="8" t="s">
        <v>48</v>
      </c>
      <c r="B334" s="9" t="s">
        <v>69</v>
      </c>
      <c r="C334" s="9" t="s">
        <v>70</v>
      </c>
      <c r="D334" s="10"/>
      <c r="E334" s="2" t="n">
        <f>2282</f>
        <v>2282.0</v>
      </c>
      <c r="F334" s="10"/>
      <c r="G334" s="2" t="n">
        <f>7834621100</f>
        <v>7.8346211E9</v>
      </c>
      <c r="H334" s="10" t="s">
        <v>25</v>
      </c>
      <c r="I334" s="2" t="n">
        <f>883</f>
        <v>883.0</v>
      </c>
      <c r="J334" s="10"/>
      <c r="K334" s="2" t="n">
        <f>3509</f>
        <v>3509.0</v>
      </c>
    </row>
    <row r="335">
      <c r="A335" s="8" t="s">
        <v>49</v>
      </c>
      <c r="B335" s="9" t="s">
        <v>69</v>
      </c>
      <c r="C335" s="9" t="s">
        <v>70</v>
      </c>
      <c r="D335" s="10"/>
      <c r="E335" s="2" t="n">
        <f>1689</f>
        <v>1689.0</v>
      </c>
      <c r="F335" s="10"/>
      <c r="G335" s="2" t="n">
        <f>5793155300</f>
        <v>5.7931553E9</v>
      </c>
      <c r="H335" s="10"/>
      <c r="I335" s="2" t="n">
        <f>699</f>
        <v>699.0</v>
      </c>
      <c r="J335" s="10"/>
      <c r="K335" s="2" t="n">
        <f>3497</f>
        <v>3497.0</v>
      </c>
    </row>
    <row r="336">
      <c r="A336" s="8" t="s">
        <v>16</v>
      </c>
      <c r="B336" s="9" t="s">
        <v>71</v>
      </c>
      <c r="C336" s="9" t="s">
        <v>72</v>
      </c>
      <c r="D336" s="10" t="s">
        <v>60</v>
      </c>
      <c r="E336" s="2" t="str">
        <f>"－"</f>
        <v>－</v>
      </c>
      <c r="F336" s="10" t="s">
        <v>60</v>
      </c>
      <c r="G336" s="2" t="str">
        <f>"－"</f>
        <v>－</v>
      </c>
      <c r="H336" s="10" t="s">
        <v>60</v>
      </c>
      <c r="I336" s="2" t="str">
        <f>"－"</f>
        <v>－</v>
      </c>
      <c r="J336" s="10" t="s">
        <v>60</v>
      </c>
      <c r="K336" s="2" t="str">
        <f>"－"</f>
        <v>－</v>
      </c>
    </row>
    <row r="337">
      <c r="A337" s="8" t="s">
        <v>19</v>
      </c>
      <c r="B337" s="9" t="s">
        <v>71</v>
      </c>
      <c r="C337" s="9" t="s">
        <v>72</v>
      </c>
      <c r="D337" s="10"/>
      <c r="E337" s="2" t="str">
        <f>"－"</f>
        <v>－</v>
      </c>
      <c r="F337" s="10"/>
      <c r="G337" s="2" t="str">
        <f>"－"</f>
        <v>－</v>
      </c>
      <c r="H337" s="10"/>
      <c r="I337" s="2" t="str">
        <f>"－"</f>
        <v>－</v>
      </c>
      <c r="J337" s="10"/>
      <c r="K337" s="2" t="str">
        <f>"－"</f>
        <v>－</v>
      </c>
    </row>
    <row r="338">
      <c r="A338" s="8" t="s">
        <v>20</v>
      </c>
      <c r="B338" s="9" t="s">
        <v>71</v>
      </c>
      <c r="C338" s="9" t="s">
        <v>72</v>
      </c>
      <c r="D338" s="10"/>
      <c r="E338" s="2" t="str">
        <f>"－"</f>
        <v>－</v>
      </c>
      <c r="F338" s="10"/>
      <c r="G338" s="2" t="str">
        <f>"－"</f>
        <v>－</v>
      </c>
      <c r="H338" s="10"/>
      <c r="I338" s="2" t="str">
        <f>"－"</f>
        <v>－</v>
      </c>
      <c r="J338" s="10"/>
      <c r="K338" s="2" t="str">
        <f>"－"</f>
        <v>－</v>
      </c>
    </row>
    <row r="339">
      <c r="A339" s="8" t="s">
        <v>21</v>
      </c>
      <c r="B339" s="9" t="s">
        <v>71</v>
      </c>
      <c r="C339" s="9" t="s">
        <v>72</v>
      </c>
      <c r="D339" s="10"/>
      <c r="E339" s="2"/>
      <c r="F339" s="10"/>
      <c r="G339" s="2"/>
      <c r="H339" s="10"/>
      <c r="I339" s="2"/>
      <c r="J339" s="10"/>
      <c r="K339" s="2"/>
    </row>
    <row r="340">
      <c r="A340" s="8" t="s">
        <v>22</v>
      </c>
      <c r="B340" s="9" t="s">
        <v>71</v>
      </c>
      <c r="C340" s="9" t="s">
        <v>72</v>
      </c>
      <c r="D340" s="10"/>
      <c r="E340" s="2"/>
      <c r="F340" s="10"/>
      <c r="G340" s="2"/>
      <c r="H340" s="10"/>
      <c r="I340" s="2"/>
      <c r="J340" s="10"/>
      <c r="K340" s="2"/>
    </row>
    <row r="341">
      <c r="A341" s="8" t="s">
        <v>23</v>
      </c>
      <c r="B341" s="9" t="s">
        <v>71</v>
      </c>
      <c r="C341" s="9" t="s">
        <v>72</v>
      </c>
      <c r="D341" s="10"/>
      <c r="E341" s="2" t="str">
        <f>"－"</f>
        <v>－</v>
      </c>
      <c r="F341" s="10"/>
      <c r="G341" s="2" t="str">
        <f>"－"</f>
        <v>－</v>
      </c>
      <c r="H341" s="10"/>
      <c r="I341" s="2" t="str">
        <f>"－"</f>
        <v>－</v>
      </c>
      <c r="J341" s="10"/>
      <c r="K341" s="2" t="str">
        <f>"－"</f>
        <v>－</v>
      </c>
    </row>
    <row r="342">
      <c r="A342" s="8" t="s">
        <v>24</v>
      </c>
      <c r="B342" s="9" t="s">
        <v>71</v>
      </c>
      <c r="C342" s="9" t="s">
        <v>72</v>
      </c>
      <c r="D342" s="10"/>
      <c r="E342" s="2" t="str">
        <f>"－"</f>
        <v>－</v>
      </c>
      <c r="F342" s="10"/>
      <c r="G342" s="2" t="str">
        <f>"－"</f>
        <v>－</v>
      </c>
      <c r="H342" s="10"/>
      <c r="I342" s="2" t="str">
        <f>"－"</f>
        <v>－</v>
      </c>
      <c r="J342" s="10"/>
      <c r="K342" s="2" t="str">
        <f>"－"</f>
        <v>－</v>
      </c>
    </row>
    <row r="343">
      <c r="A343" s="8" t="s">
        <v>26</v>
      </c>
      <c r="B343" s="9" t="s">
        <v>71</v>
      </c>
      <c r="C343" s="9" t="s">
        <v>72</v>
      </c>
      <c r="D343" s="10"/>
      <c r="E343" s="2" t="str">
        <f>"－"</f>
        <v>－</v>
      </c>
      <c r="F343" s="10"/>
      <c r="G343" s="2" t="str">
        <f>"－"</f>
        <v>－</v>
      </c>
      <c r="H343" s="10"/>
      <c r="I343" s="2" t="str">
        <f>"－"</f>
        <v>－</v>
      </c>
      <c r="J343" s="10"/>
      <c r="K343" s="2" t="str">
        <f>"－"</f>
        <v>－</v>
      </c>
    </row>
    <row r="344">
      <c r="A344" s="8" t="s">
        <v>27</v>
      </c>
      <c r="B344" s="9" t="s">
        <v>71</v>
      </c>
      <c r="C344" s="9" t="s">
        <v>72</v>
      </c>
      <c r="D344" s="10"/>
      <c r="E344" s="2" t="str">
        <f>"－"</f>
        <v>－</v>
      </c>
      <c r="F344" s="10"/>
      <c r="G344" s="2" t="str">
        <f>"－"</f>
        <v>－</v>
      </c>
      <c r="H344" s="10"/>
      <c r="I344" s="2" t="str">
        <f>"－"</f>
        <v>－</v>
      </c>
      <c r="J344" s="10"/>
      <c r="K344" s="2" t="str">
        <f>"－"</f>
        <v>－</v>
      </c>
    </row>
    <row r="345">
      <c r="A345" s="8" t="s">
        <v>28</v>
      </c>
      <c r="B345" s="9" t="s">
        <v>71</v>
      </c>
      <c r="C345" s="9" t="s">
        <v>72</v>
      </c>
      <c r="D345" s="10"/>
      <c r="E345" s="2" t="str">
        <f>"－"</f>
        <v>－</v>
      </c>
      <c r="F345" s="10"/>
      <c r="G345" s="2" t="str">
        <f>"－"</f>
        <v>－</v>
      </c>
      <c r="H345" s="10"/>
      <c r="I345" s="2" t="str">
        <f>"－"</f>
        <v>－</v>
      </c>
      <c r="J345" s="10"/>
      <c r="K345" s="2" t="str">
        <f>"－"</f>
        <v>－</v>
      </c>
    </row>
    <row r="346">
      <c r="A346" s="8" t="s">
        <v>29</v>
      </c>
      <c r="B346" s="9" t="s">
        <v>71</v>
      </c>
      <c r="C346" s="9" t="s">
        <v>72</v>
      </c>
      <c r="D346" s="10"/>
      <c r="E346" s="2"/>
      <c r="F346" s="10"/>
      <c r="G346" s="2"/>
      <c r="H346" s="10"/>
      <c r="I346" s="2"/>
      <c r="J346" s="10"/>
      <c r="K346" s="2"/>
    </row>
    <row r="347">
      <c r="A347" s="8" t="s">
        <v>30</v>
      </c>
      <c r="B347" s="9" t="s">
        <v>71</v>
      </c>
      <c r="C347" s="9" t="s">
        <v>72</v>
      </c>
      <c r="D347" s="10"/>
      <c r="E347" s="2"/>
      <c r="F347" s="10"/>
      <c r="G347" s="2"/>
      <c r="H347" s="10"/>
      <c r="I347" s="2"/>
      <c r="J347" s="10"/>
      <c r="K347" s="2"/>
    </row>
    <row r="348">
      <c r="A348" s="8" t="s">
        <v>31</v>
      </c>
      <c r="B348" s="9" t="s">
        <v>71</v>
      </c>
      <c r="C348" s="9" t="s">
        <v>72</v>
      </c>
      <c r="D348" s="10"/>
      <c r="E348" s="2" t="str">
        <f>"－"</f>
        <v>－</v>
      </c>
      <c r="F348" s="10"/>
      <c r="G348" s="2" t="str">
        <f>"－"</f>
        <v>－</v>
      </c>
      <c r="H348" s="10"/>
      <c r="I348" s="2" t="str">
        <f>"－"</f>
        <v>－</v>
      </c>
      <c r="J348" s="10"/>
      <c r="K348" s="2" t="str">
        <f>"－"</f>
        <v>－</v>
      </c>
    </row>
    <row r="349">
      <c r="A349" s="8" t="s">
        <v>33</v>
      </c>
      <c r="B349" s="9" t="s">
        <v>71</v>
      </c>
      <c r="C349" s="9" t="s">
        <v>72</v>
      </c>
      <c r="D349" s="10"/>
      <c r="E349" s="2" t="str">
        <f>"－"</f>
        <v>－</v>
      </c>
      <c r="F349" s="10"/>
      <c r="G349" s="2" t="str">
        <f>"－"</f>
        <v>－</v>
      </c>
      <c r="H349" s="10"/>
      <c r="I349" s="2" t="str">
        <f>"－"</f>
        <v>－</v>
      </c>
      <c r="J349" s="10"/>
      <c r="K349" s="2" t="str">
        <f>"－"</f>
        <v>－</v>
      </c>
    </row>
    <row r="350">
      <c r="A350" s="8" t="s">
        <v>34</v>
      </c>
      <c r="B350" s="9" t="s">
        <v>71</v>
      </c>
      <c r="C350" s="9" t="s">
        <v>72</v>
      </c>
      <c r="D350" s="10"/>
      <c r="E350" s="2" t="str">
        <f>"－"</f>
        <v>－</v>
      </c>
      <c r="F350" s="10"/>
      <c r="G350" s="2" t="str">
        <f>"－"</f>
        <v>－</v>
      </c>
      <c r="H350" s="10"/>
      <c r="I350" s="2" t="str">
        <f>"－"</f>
        <v>－</v>
      </c>
      <c r="J350" s="10"/>
      <c r="K350" s="2" t="str">
        <f>"－"</f>
        <v>－</v>
      </c>
    </row>
    <row r="351">
      <c r="A351" s="8" t="s">
        <v>35</v>
      </c>
      <c r="B351" s="9" t="s">
        <v>71</v>
      </c>
      <c r="C351" s="9" t="s">
        <v>72</v>
      </c>
      <c r="D351" s="10"/>
      <c r="E351" s="2" t="str">
        <f>"－"</f>
        <v>－</v>
      </c>
      <c r="F351" s="10"/>
      <c r="G351" s="2" t="str">
        <f>"－"</f>
        <v>－</v>
      </c>
      <c r="H351" s="10"/>
      <c r="I351" s="2" t="str">
        <f>"－"</f>
        <v>－</v>
      </c>
      <c r="J351" s="10"/>
      <c r="K351" s="2" t="str">
        <f>"－"</f>
        <v>－</v>
      </c>
    </row>
    <row r="352">
      <c r="A352" s="8" t="s">
        <v>36</v>
      </c>
      <c r="B352" s="9" t="s">
        <v>71</v>
      </c>
      <c r="C352" s="9" t="s">
        <v>72</v>
      </c>
      <c r="D352" s="10"/>
      <c r="E352" s="2" t="str">
        <f>"－"</f>
        <v>－</v>
      </c>
      <c r="F352" s="10"/>
      <c r="G352" s="2" t="str">
        <f>"－"</f>
        <v>－</v>
      </c>
      <c r="H352" s="10"/>
      <c r="I352" s="2" t="str">
        <f>"－"</f>
        <v>－</v>
      </c>
      <c r="J352" s="10"/>
      <c r="K352" s="2" t="str">
        <f>"－"</f>
        <v>－</v>
      </c>
    </row>
    <row r="353">
      <c r="A353" s="8" t="s">
        <v>37</v>
      </c>
      <c r="B353" s="9" t="s">
        <v>71</v>
      </c>
      <c r="C353" s="9" t="s">
        <v>72</v>
      </c>
      <c r="D353" s="10"/>
      <c r="E353" s="2"/>
      <c r="F353" s="10"/>
      <c r="G353" s="2"/>
      <c r="H353" s="10"/>
      <c r="I353" s="2"/>
      <c r="J353" s="10"/>
      <c r="K353" s="2"/>
    </row>
    <row r="354">
      <c r="A354" s="8" t="s">
        <v>38</v>
      </c>
      <c r="B354" s="9" t="s">
        <v>71</v>
      </c>
      <c r="C354" s="9" t="s">
        <v>72</v>
      </c>
      <c r="D354" s="10"/>
      <c r="E354" s="2"/>
      <c r="F354" s="10"/>
      <c r="G354" s="2"/>
      <c r="H354" s="10"/>
      <c r="I354" s="2"/>
      <c r="J354" s="10"/>
      <c r="K354" s="2"/>
    </row>
    <row r="355">
      <c r="A355" s="8" t="s">
        <v>39</v>
      </c>
      <c r="B355" s="9" t="s">
        <v>71</v>
      </c>
      <c r="C355" s="9" t="s">
        <v>72</v>
      </c>
      <c r="D355" s="10"/>
      <c r="E355" s="2"/>
      <c r="F355" s="10"/>
      <c r="G355" s="2"/>
      <c r="H355" s="10"/>
      <c r="I355" s="2"/>
      <c r="J355" s="10"/>
      <c r="K355" s="2"/>
    </row>
    <row r="356">
      <c r="A356" s="8" t="s">
        <v>40</v>
      </c>
      <c r="B356" s="9" t="s">
        <v>71</v>
      </c>
      <c r="C356" s="9" t="s">
        <v>72</v>
      </c>
      <c r="D356" s="10"/>
      <c r="E356" s="2" t="str">
        <f>"－"</f>
        <v>－</v>
      </c>
      <c r="F356" s="10"/>
      <c r="G356" s="2" t="str">
        <f>"－"</f>
        <v>－</v>
      </c>
      <c r="H356" s="10"/>
      <c r="I356" s="2" t="str">
        <f>"－"</f>
        <v>－</v>
      </c>
      <c r="J356" s="10"/>
      <c r="K356" s="2" t="str">
        <f>"－"</f>
        <v>－</v>
      </c>
    </row>
    <row r="357">
      <c r="A357" s="8" t="s">
        <v>41</v>
      </c>
      <c r="B357" s="9" t="s">
        <v>71</v>
      </c>
      <c r="C357" s="9" t="s">
        <v>72</v>
      </c>
      <c r="D357" s="10"/>
      <c r="E357" s="2" t="str">
        <f>"－"</f>
        <v>－</v>
      </c>
      <c r="F357" s="10"/>
      <c r="G357" s="2" t="str">
        <f>"－"</f>
        <v>－</v>
      </c>
      <c r="H357" s="10"/>
      <c r="I357" s="2" t="str">
        <f>"－"</f>
        <v>－</v>
      </c>
      <c r="J357" s="10"/>
      <c r="K357" s="2" t="str">
        <f>"－"</f>
        <v>－</v>
      </c>
    </row>
    <row r="358">
      <c r="A358" s="8" t="s">
        <v>42</v>
      </c>
      <c r="B358" s="9" t="s">
        <v>71</v>
      </c>
      <c r="C358" s="9" t="s">
        <v>72</v>
      </c>
      <c r="D358" s="10"/>
      <c r="E358" s="2"/>
      <c r="F358" s="10"/>
      <c r="G358" s="2"/>
      <c r="H358" s="10"/>
      <c r="I358" s="2"/>
      <c r="J358" s="10"/>
      <c r="K358" s="2"/>
    </row>
    <row r="359">
      <c r="A359" s="8" t="s">
        <v>43</v>
      </c>
      <c r="B359" s="9" t="s">
        <v>71</v>
      </c>
      <c r="C359" s="9" t="s">
        <v>72</v>
      </c>
      <c r="D359" s="10"/>
      <c r="E359" s="2" t="str">
        <f>"－"</f>
        <v>－</v>
      </c>
      <c r="F359" s="10"/>
      <c r="G359" s="2" t="str">
        <f>"－"</f>
        <v>－</v>
      </c>
      <c r="H359" s="10"/>
      <c r="I359" s="2" t="str">
        <f>"－"</f>
        <v>－</v>
      </c>
      <c r="J359" s="10"/>
      <c r="K359" s="2" t="str">
        <f>"－"</f>
        <v>－</v>
      </c>
    </row>
    <row r="360">
      <c r="A360" s="8" t="s">
        <v>44</v>
      </c>
      <c r="B360" s="9" t="s">
        <v>71</v>
      </c>
      <c r="C360" s="9" t="s">
        <v>72</v>
      </c>
      <c r="D360" s="10"/>
      <c r="E360" s="2"/>
      <c r="F360" s="10"/>
      <c r="G360" s="2"/>
      <c r="H360" s="10"/>
      <c r="I360" s="2"/>
      <c r="J360" s="10"/>
      <c r="K360" s="2"/>
    </row>
    <row r="361">
      <c r="A361" s="8" t="s">
        <v>45</v>
      </c>
      <c r="B361" s="9" t="s">
        <v>71</v>
      </c>
      <c r="C361" s="9" t="s">
        <v>72</v>
      </c>
      <c r="D361" s="10"/>
      <c r="E361" s="2"/>
      <c r="F361" s="10"/>
      <c r="G361" s="2"/>
      <c r="H361" s="10"/>
      <c r="I361" s="2"/>
      <c r="J361" s="10"/>
      <c r="K361" s="2"/>
    </row>
    <row r="362">
      <c r="A362" s="8" t="s">
        <v>46</v>
      </c>
      <c r="B362" s="9" t="s">
        <v>71</v>
      </c>
      <c r="C362" s="9" t="s">
        <v>72</v>
      </c>
      <c r="D362" s="10"/>
      <c r="E362" s="2" t="str">
        <f>"－"</f>
        <v>－</v>
      </c>
      <c r="F362" s="10"/>
      <c r="G362" s="2" t="str">
        <f>"－"</f>
        <v>－</v>
      </c>
      <c r="H362" s="10"/>
      <c r="I362" s="2" t="str">
        <f>"－"</f>
        <v>－</v>
      </c>
      <c r="J362" s="10"/>
      <c r="K362" s="2" t="str">
        <f>"－"</f>
        <v>－</v>
      </c>
    </row>
    <row r="363">
      <c r="A363" s="8" t="s">
        <v>47</v>
      </c>
      <c r="B363" s="9" t="s">
        <v>71</v>
      </c>
      <c r="C363" s="9" t="s">
        <v>72</v>
      </c>
      <c r="D363" s="10"/>
      <c r="E363" s="2" t="str">
        <f>"－"</f>
        <v>－</v>
      </c>
      <c r="F363" s="10"/>
      <c r="G363" s="2" t="str">
        <f>"－"</f>
        <v>－</v>
      </c>
      <c r="H363" s="10"/>
      <c r="I363" s="2" t="str">
        <f>"－"</f>
        <v>－</v>
      </c>
      <c r="J363" s="10"/>
      <c r="K363" s="2" t="str">
        <f>"－"</f>
        <v>－</v>
      </c>
    </row>
    <row r="364">
      <c r="A364" s="8" t="s">
        <v>48</v>
      </c>
      <c r="B364" s="9" t="s">
        <v>71</v>
      </c>
      <c r="C364" s="9" t="s">
        <v>72</v>
      </c>
      <c r="D364" s="10"/>
      <c r="E364" s="2" t="str">
        <f>"－"</f>
        <v>－</v>
      </c>
      <c r="F364" s="10"/>
      <c r="G364" s="2" t="str">
        <f>"－"</f>
        <v>－</v>
      </c>
      <c r="H364" s="10"/>
      <c r="I364" s="2" t="str">
        <f>"－"</f>
        <v>－</v>
      </c>
      <c r="J364" s="10"/>
      <c r="K364" s="2" t="str">
        <f>"－"</f>
        <v>－</v>
      </c>
    </row>
    <row r="365">
      <c r="A365" s="8" t="s">
        <v>49</v>
      </c>
      <c r="B365" s="9" t="s">
        <v>71</v>
      </c>
      <c r="C365" s="9" t="s">
        <v>72</v>
      </c>
      <c r="D365" s="10"/>
      <c r="E365" s="2" t="str">
        <f>"－"</f>
        <v>－</v>
      </c>
      <c r="F365" s="10"/>
      <c r="G365" s="2" t="str">
        <f>"－"</f>
        <v>－</v>
      </c>
      <c r="H365" s="10"/>
      <c r="I365" s="2" t="str">
        <f>"－"</f>
        <v>－</v>
      </c>
      <c r="J365" s="10"/>
      <c r="K365" s="2" t="str">
        <f>"－"</f>
        <v>－</v>
      </c>
    </row>
    <row r="366">
      <c r="A366" s="8" t="s">
        <v>16</v>
      </c>
      <c r="B366" s="9" t="s">
        <v>73</v>
      </c>
      <c r="C366" s="9" t="s">
        <v>74</v>
      </c>
      <c r="D366" s="10" t="s">
        <v>60</v>
      </c>
      <c r="E366" s="2" t="str">
        <f>"－"</f>
        <v>－</v>
      </c>
      <c r="F366" s="10" t="s">
        <v>60</v>
      </c>
      <c r="G366" s="2" t="str">
        <f>"－"</f>
        <v>－</v>
      </c>
      <c r="H366" s="10" t="s">
        <v>60</v>
      </c>
      <c r="I366" s="2" t="str">
        <f>"－"</f>
        <v>－</v>
      </c>
      <c r="J366" s="10" t="s">
        <v>60</v>
      </c>
      <c r="K366" s="2" t="str">
        <f>"－"</f>
        <v>－</v>
      </c>
    </row>
    <row r="367">
      <c r="A367" s="8" t="s">
        <v>19</v>
      </c>
      <c r="B367" s="9" t="s">
        <v>73</v>
      </c>
      <c r="C367" s="9" t="s">
        <v>74</v>
      </c>
      <c r="D367" s="10"/>
      <c r="E367" s="2" t="str">
        <f>"－"</f>
        <v>－</v>
      </c>
      <c r="F367" s="10"/>
      <c r="G367" s="2" t="str">
        <f>"－"</f>
        <v>－</v>
      </c>
      <c r="H367" s="10"/>
      <c r="I367" s="2" t="str">
        <f>"－"</f>
        <v>－</v>
      </c>
      <c r="J367" s="10"/>
      <c r="K367" s="2" t="str">
        <f>"－"</f>
        <v>－</v>
      </c>
    </row>
    <row r="368">
      <c r="A368" s="8" t="s">
        <v>20</v>
      </c>
      <c r="B368" s="9" t="s">
        <v>73</v>
      </c>
      <c r="C368" s="9" t="s">
        <v>74</v>
      </c>
      <c r="D368" s="10"/>
      <c r="E368" s="2" t="str">
        <f>"－"</f>
        <v>－</v>
      </c>
      <c r="F368" s="10"/>
      <c r="G368" s="2" t="str">
        <f>"－"</f>
        <v>－</v>
      </c>
      <c r="H368" s="10"/>
      <c r="I368" s="2" t="str">
        <f>"－"</f>
        <v>－</v>
      </c>
      <c r="J368" s="10"/>
      <c r="K368" s="2" t="str">
        <f>"－"</f>
        <v>－</v>
      </c>
    </row>
    <row r="369">
      <c r="A369" s="8" t="s">
        <v>21</v>
      </c>
      <c r="B369" s="9" t="s">
        <v>73</v>
      </c>
      <c r="C369" s="9" t="s">
        <v>74</v>
      </c>
      <c r="D369" s="10"/>
      <c r="E369" s="2"/>
      <c r="F369" s="10"/>
      <c r="G369" s="2"/>
      <c r="H369" s="10"/>
      <c r="I369" s="2"/>
      <c r="J369" s="10"/>
      <c r="K369" s="2"/>
    </row>
    <row r="370">
      <c r="A370" s="8" t="s">
        <v>22</v>
      </c>
      <c r="B370" s="9" t="s">
        <v>73</v>
      </c>
      <c r="C370" s="9" t="s">
        <v>74</v>
      </c>
      <c r="D370" s="10"/>
      <c r="E370" s="2"/>
      <c r="F370" s="10"/>
      <c r="G370" s="2"/>
      <c r="H370" s="10"/>
      <c r="I370" s="2"/>
      <c r="J370" s="10"/>
      <c r="K370" s="2"/>
    </row>
    <row r="371">
      <c r="A371" s="8" t="s">
        <v>23</v>
      </c>
      <c r="B371" s="9" t="s">
        <v>73</v>
      </c>
      <c r="C371" s="9" t="s">
        <v>74</v>
      </c>
      <c r="D371" s="10"/>
      <c r="E371" s="2" t="str">
        <f>"－"</f>
        <v>－</v>
      </c>
      <c r="F371" s="10"/>
      <c r="G371" s="2" t="str">
        <f>"－"</f>
        <v>－</v>
      </c>
      <c r="H371" s="10"/>
      <c r="I371" s="2" t="str">
        <f>"－"</f>
        <v>－</v>
      </c>
      <c r="J371" s="10"/>
      <c r="K371" s="2" t="str">
        <f>"－"</f>
        <v>－</v>
      </c>
    </row>
    <row r="372">
      <c r="A372" s="8" t="s">
        <v>24</v>
      </c>
      <c r="B372" s="9" t="s">
        <v>73</v>
      </c>
      <c r="C372" s="9" t="s">
        <v>74</v>
      </c>
      <c r="D372" s="10"/>
      <c r="E372" s="2" t="str">
        <f>"－"</f>
        <v>－</v>
      </c>
      <c r="F372" s="10"/>
      <c r="G372" s="2" t="str">
        <f>"－"</f>
        <v>－</v>
      </c>
      <c r="H372" s="10"/>
      <c r="I372" s="2" t="str">
        <f>"－"</f>
        <v>－</v>
      </c>
      <c r="J372" s="10"/>
      <c r="K372" s="2" t="str">
        <f>"－"</f>
        <v>－</v>
      </c>
    </row>
    <row r="373">
      <c r="A373" s="8" t="s">
        <v>26</v>
      </c>
      <c r="B373" s="9" t="s">
        <v>73</v>
      </c>
      <c r="C373" s="9" t="s">
        <v>74</v>
      </c>
      <c r="D373" s="10"/>
      <c r="E373" s="2" t="str">
        <f>"－"</f>
        <v>－</v>
      </c>
      <c r="F373" s="10"/>
      <c r="G373" s="2" t="str">
        <f>"－"</f>
        <v>－</v>
      </c>
      <c r="H373" s="10"/>
      <c r="I373" s="2" t="str">
        <f>"－"</f>
        <v>－</v>
      </c>
      <c r="J373" s="10"/>
      <c r="K373" s="2" t="str">
        <f>"－"</f>
        <v>－</v>
      </c>
    </row>
    <row r="374">
      <c r="A374" s="8" t="s">
        <v>27</v>
      </c>
      <c r="B374" s="9" t="s">
        <v>73</v>
      </c>
      <c r="C374" s="9" t="s">
        <v>74</v>
      </c>
      <c r="D374" s="10"/>
      <c r="E374" s="2" t="str">
        <f>"－"</f>
        <v>－</v>
      </c>
      <c r="F374" s="10"/>
      <c r="G374" s="2" t="str">
        <f>"－"</f>
        <v>－</v>
      </c>
      <c r="H374" s="10"/>
      <c r="I374" s="2" t="str">
        <f>"－"</f>
        <v>－</v>
      </c>
      <c r="J374" s="10"/>
      <c r="K374" s="2" t="str">
        <f>"－"</f>
        <v>－</v>
      </c>
    </row>
    <row r="375">
      <c r="A375" s="8" t="s">
        <v>28</v>
      </c>
      <c r="B375" s="9" t="s">
        <v>73</v>
      </c>
      <c r="C375" s="9" t="s">
        <v>74</v>
      </c>
      <c r="D375" s="10"/>
      <c r="E375" s="2" t="str">
        <f>"－"</f>
        <v>－</v>
      </c>
      <c r="F375" s="10"/>
      <c r="G375" s="2" t="str">
        <f>"－"</f>
        <v>－</v>
      </c>
      <c r="H375" s="10"/>
      <c r="I375" s="2" t="str">
        <f>"－"</f>
        <v>－</v>
      </c>
      <c r="J375" s="10"/>
      <c r="K375" s="2" t="str">
        <f>"－"</f>
        <v>－</v>
      </c>
    </row>
    <row r="376">
      <c r="A376" s="8" t="s">
        <v>29</v>
      </c>
      <c r="B376" s="9" t="s">
        <v>73</v>
      </c>
      <c r="C376" s="9" t="s">
        <v>74</v>
      </c>
      <c r="D376" s="10"/>
      <c r="E376" s="2"/>
      <c r="F376" s="10"/>
      <c r="G376" s="2"/>
      <c r="H376" s="10"/>
      <c r="I376" s="2"/>
      <c r="J376" s="10"/>
      <c r="K376" s="2"/>
    </row>
    <row r="377">
      <c r="A377" s="8" t="s">
        <v>30</v>
      </c>
      <c r="B377" s="9" t="s">
        <v>73</v>
      </c>
      <c r="C377" s="9" t="s">
        <v>74</v>
      </c>
      <c r="D377" s="10"/>
      <c r="E377" s="2"/>
      <c r="F377" s="10"/>
      <c r="G377" s="2"/>
      <c r="H377" s="10"/>
      <c r="I377" s="2"/>
      <c r="J377" s="10"/>
      <c r="K377" s="2"/>
    </row>
    <row r="378">
      <c r="A378" s="8" t="s">
        <v>31</v>
      </c>
      <c r="B378" s="9" t="s">
        <v>73</v>
      </c>
      <c r="C378" s="9" t="s">
        <v>74</v>
      </c>
      <c r="D378" s="10"/>
      <c r="E378" s="2" t="str">
        <f>"－"</f>
        <v>－</v>
      </c>
      <c r="F378" s="10"/>
      <c r="G378" s="2" t="str">
        <f>"－"</f>
        <v>－</v>
      </c>
      <c r="H378" s="10"/>
      <c r="I378" s="2" t="str">
        <f>"－"</f>
        <v>－</v>
      </c>
      <c r="J378" s="10"/>
      <c r="K378" s="2" t="str">
        <f>"－"</f>
        <v>－</v>
      </c>
    </row>
    <row r="379">
      <c r="A379" s="8" t="s">
        <v>33</v>
      </c>
      <c r="B379" s="9" t="s">
        <v>73</v>
      </c>
      <c r="C379" s="9" t="s">
        <v>74</v>
      </c>
      <c r="D379" s="10"/>
      <c r="E379" s="2" t="str">
        <f>"－"</f>
        <v>－</v>
      </c>
      <c r="F379" s="10"/>
      <c r="G379" s="2" t="str">
        <f>"－"</f>
        <v>－</v>
      </c>
      <c r="H379" s="10"/>
      <c r="I379" s="2" t="str">
        <f>"－"</f>
        <v>－</v>
      </c>
      <c r="J379" s="10"/>
      <c r="K379" s="2" t="str">
        <f>"－"</f>
        <v>－</v>
      </c>
    </row>
    <row r="380">
      <c r="A380" s="8" t="s">
        <v>34</v>
      </c>
      <c r="B380" s="9" t="s">
        <v>73</v>
      </c>
      <c r="C380" s="9" t="s">
        <v>74</v>
      </c>
      <c r="D380" s="10"/>
      <c r="E380" s="2" t="str">
        <f>"－"</f>
        <v>－</v>
      </c>
      <c r="F380" s="10"/>
      <c r="G380" s="2" t="str">
        <f>"－"</f>
        <v>－</v>
      </c>
      <c r="H380" s="10"/>
      <c r="I380" s="2" t="str">
        <f>"－"</f>
        <v>－</v>
      </c>
      <c r="J380" s="10"/>
      <c r="K380" s="2" t="str">
        <f>"－"</f>
        <v>－</v>
      </c>
    </row>
    <row r="381">
      <c r="A381" s="8" t="s">
        <v>35</v>
      </c>
      <c r="B381" s="9" t="s">
        <v>73</v>
      </c>
      <c r="C381" s="9" t="s">
        <v>74</v>
      </c>
      <c r="D381" s="10"/>
      <c r="E381" s="2" t="str">
        <f>"－"</f>
        <v>－</v>
      </c>
      <c r="F381" s="10"/>
      <c r="G381" s="2" t="str">
        <f>"－"</f>
        <v>－</v>
      </c>
      <c r="H381" s="10"/>
      <c r="I381" s="2" t="str">
        <f>"－"</f>
        <v>－</v>
      </c>
      <c r="J381" s="10"/>
      <c r="K381" s="2" t="str">
        <f>"－"</f>
        <v>－</v>
      </c>
    </row>
    <row r="382">
      <c r="A382" s="8" t="s">
        <v>36</v>
      </c>
      <c r="B382" s="9" t="s">
        <v>73</v>
      </c>
      <c r="C382" s="9" t="s">
        <v>74</v>
      </c>
      <c r="D382" s="10"/>
      <c r="E382" s="2" t="str">
        <f>"－"</f>
        <v>－</v>
      </c>
      <c r="F382" s="10"/>
      <c r="G382" s="2" t="str">
        <f>"－"</f>
        <v>－</v>
      </c>
      <c r="H382" s="10"/>
      <c r="I382" s="2" t="str">
        <f>"－"</f>
        <v>－</v>
      </c>
      <c r="J382" s="10"/>
      <c r="K382" s="2" t="str">
        <f>"－"</f>
        <v>－</v>
      </c>
    </row>
    <row r="383">
      <c r="A383" s="8" t="s">
        <v>37</v>
      </c>
      <c r="B383" s="9" t="s">
        <v>73</v>
      </c>
      <c r="C383" s="9" t="s">
        <v>74</v>
      </c>
      <c r="D383" s="10"/>
      <c r="E383" s="2"/>
      <c r="F383" s="10"/>
      <c r="G383" s="2"/>
      <c r="H383" s="10"/>
      <c r="I383" s="2"/>
      <c r="J383" s="10"/>
      <c r="K383" s="2"/>
    </row>
    <row r="384">
      <c r="A384" s="8" t="s">
        <v>38</v>
      </c>
      <c r="B384" s="9" t="s">
        <v>73</v>
      </c>
      <c r="C384" s="9" t="s">
        <v>74</v>
      </c>
      <c r="D384" s="10"/>
      <c r="E384" s="2"/>
      <c r="F384" s="10"/>
      <c r="G384" s="2"/>
      <c r="H384" s="10"/>
      <c r="I384" s="2"/>
      <c r="J384" s="10"/>
      <c r="K384" s="2"/>
    </row>
    <row r="385">
      <c r="A385" s="8" t="s">
        <v>39</v>
      </c>
      <c r="B385" s="9" t="s">
        <v>73</v>
      </c>
      <c r="C385" s="9" t="s">
        <v>74</v>
      </c>
      <c r="D385" s="10"/>
      <c r="E385" s="2"/>
      <c r="F385" s="10"/>
      <c r="G385" s="2"/>
      <c r="H385" s="10"/>
      <c r="I385" s="2"/>
      <c r="J385" s="10"/>
      <c r="K385" s="2"/>
    </row>
    <row r="386">
      <c r="A386" s="8" t="s">
        <v>40</v>
      </c>
      <c r="B386" s="9" t="s">
        <v>73</v>
      </c>
      <c r="C386" s="9" t="s">
        <v>74</v>
      </c>
      <c r="D386" s="10"/>
      <c r="E386" s="2" t="str">
        <f>"－"</f>
        <v>－</v>
      </c>
      <c r="F386" s="10"/>
      <c r="G386" s="2" t="str">
        <f>"－"</f>
        <v>－</v>
      </c>
      <c r="H386" s="10"/>
      <c r="I386" s="2" t="str">
        <f>"－"</f>
        <v>－</v>
      </c>
      <c r="J386" s="10"/>
      <c r="K386" s="2" t="str">
        <f>"－"</f>
        <v>－</v>
      </c>
    </row>
    <row r="387">
      <c r="A387" s="8" t="s">
        <v>41</v>
      </c>
      <c r="B387" s="9" t="s">
        <v>73</v>
      </c>
      <c r="C387" s="9" t="s">
        <v>74</v>
      </c>
      <c r="D387" s="10"/>
      <c r="E387" s="2" t="str">
        <f>"－"</f>
        <v>－</v>
      </c>
      <c r="F387" s="10"/>
      <c r="G387" s="2" t="str">
        <f>"－"</f>
        <v>－</v>
      </c>
      <c r="H387" s="10"/>
      <c r="I387" s="2" t="str">
        <f>"－"</f>
        <v>－</v>
      </c>
      <c r="J387" s="10"/>
      <c r="K387" s="2" t="str">
        <f>"－"</f>
        <v>－</v>
      </c>
    </row>
    <row r="388">
      <c r="A388" s="8" t="s">
        <v>42</v>
      </c>
      <c r="B388" s="9" t="s">
        <v>73</v>
      </c>
      <c r="C388" s="9" t="s">
        <v>74</v>
      </c>
      <c r="D388" s="10"/>
      <c r="E388" s="2"/>
      <c r="F388" s="10"/>
      <c r="G388" s="2"/>
      <c r="H388" s="10"/>
      <c r="I388" s="2"/>
      <c r="J388" s="10"/>
      <c r="K388" s="2"/>
    </row>
    <row r="389">
      <c r="A389" s="8" t="s">
        <v>43</v>
      </c>
      <c r="B389" s="9" t="s">
        <v>73</v>
      </c>
      <c r="C389" s="9" t="s">
        <v>74</v>
      </c>
      <c r="D389" s="10"/>
      <c r="E389" s="2" t="str">
        <f>"－"</f>
        <v>－</v>
      </c>
      <c r="F389" s="10"/>
      <c r="G389" s="2" t="str">
        <f>"－"</f>
        <v>－</v>
      </c>
      <c r="H389" s="10"/>
      <c r="I389" s="2" t="str">
        <f>"－"</f>
        <v>－</v>
      </c>
      <c r="J389" s="10"/>
      <c r="K389" s="2" t="str">
        <f>"－"</f>
        <v>－</v>
      </c>
    </row>
    <row r="390">
      <c r="A390" s="8" t="s">
        <v>44</v>
      </c>
      <c r="B390" s="9" t="s">
        <v>73</v>
      </c>
      <c r="C390" s="9" t="s">
        <v>74</v>
      </c>
      <c r="D390" s="10"/>
      <c r="E390" s="2"/>
      <c r="F390" s="10"/>
      <c r="G390" s="2"/>
      <c r="H390" s="10"/>
      <c r="I390" s="2"/>
      <c r="J390" s="10"/>
      <c r="K390" s="2"/>
    </row>
    <row r="391">
      <c r="A391" s="8" t="s">
        <v>45</v>
      </c>
      <c r="B391" s="9" t="s">
        <v>73</v>
      </c>
      <c r="C391" s="9" t="s">
        <v>74</v>
      </c>
      <c r="D391" s="10"/>
      <c r="E391" s="2"/>
      <c r="F391" s="10"/>
      <c r="G391" s="2"/>
      <c r="H391" s="10"/>
      <c r="I391" s="2"/>
      <c r="J391" s="10"/>
      <c r="K391" s="2"/>
    </row>
    <row r="392">
      <c r="A392" s="8" t="s">
        <v>46</v>
      </c>
      <c r="B392" s="9" t="s">
        <v>73</v>
      </c>
      <c r="C392" s="9" t="s">
        <v>74</v>
      </c>
      <c r="D392" s="10"/>
      <c r="E392" s="2" t="str">
        <f>"－"</f>
        <v>－</v>
      </c>
      <c r="F392" s="10"/>
      <c r="G392" s="2" t="str">
        <f>"－"</f>
        <v>－</v>
      </c>
      <c r="H392" s="10"/>
      <c r="I392" s="2" t="str">
        <f>"－"</f>
        <v>－</v>
      </c>
      <c r="J392" s="10"/>
      <c r="K392" s="2" t="str">
        <f>"－"</f>
        <v>－</v>
      </c>
    </row>
    <row r="393">
      <c r="A393" s="8" t="s">
        <v>47</v>
      </c>
      <c r="B393" s="9" t="s">
        <v>73</v>
      </c>
      <c r="C393" s="9" t="s">
        <v>74</v>
      </c>
      <c r="D393" s="10"/>
      <c r="E393" s="2" t="str">
        <f>"－"</f>
        <v>－</v>
      </c>
      <c r="F393" s="10"/>
      <c r="G393" s="2" t="str">
        <f>"－"</f>
        <v>－</v>
      </c>
      <c r="H393" s="10"/>
      <c r="I393" s="2" t="str">
        <f>"－"</f>
        <v>－</v>
      </c>
      <c r="J393" s="10"/>
      <c r="K393" s="2" t="str">
        <f>"－"</f>
        <v>－</v>
      </c>
    </row>
    <row r="394">
      <c r="A394" s="8" t="s">
        <v>48</v>
      </c>
      <c r="B394" s="9" t="s">
        <v>73</v>
      </c>
      <c r="C394" s="9" t="s">
        <v>74</v>
      </c>
      <c r="D394" s="10"/>
      <c r="E394" s="2" t="str">
        <f>"－"</f>
        <v>－</v>
      </c>
      <c r="F394" s="10"/>
      <c r="G394" s="2" t="str">
        <f>"－"</f>
        <v>－</v>
      </c>
      <c r="H394" s="10"/>
      <c r="I394" s="2" t="str">
        <f>"－"</f>
        <v>－</v>
      </c>
      <c r="J394" s="10"/>
      <c r="K394" s="2" t="str">
        <f>"－"</f>
        <v>－</v>
      </c>
    </row>
    <row r="395">
      <c r="A395" s="8" t="s">
        <v>49</v>
      </c>
      <c r="B395" s="9" t="s">
        <v>73</v>
      </c>
      <c r="C395" s="9" t="s">
        <v>74</v>
      </c>
      <c r="D395" s="10"/>
      <c r="E395" s="2" t="str">
        <f>"－"</f>
        <v>－</v>
      </c>
      <c r="F395" s="10"/>
      <c r="G395" s="2" t="str">
        <f>"－"</f>
        <v>－</v>
      </c>
      <c r="H395" s="10"/>
      <c r="I395" s="2" t="str">
        <f>"－"</f>
        <v>－</v>
      </c>
      <c r="J395" s="10"/>
      <c r="K395" s="2" t="str">
        <f>"－"</f>
        <v>－</v>
      </c>
    </row>
    <row r="396">
      <c r="A396" s="8" t="s">
        <v>16</v>
      </c>
      <c r="B396" s="9" t="s">
        <v>75</v>
      </c>
      <c r="C396" s="9" t="s">
        <v>76</v>
      </c>
      <c r="D396" s="10"/>
      <c r="E396" s="2" t="n">
        <f>13</f>
        <v>13.0</v>
      </c>
      <c r="F396" s="10"/>
      <c r="G396" s="2" t="n">
        <f>6833800</f>
        <v>6833800.0</v>
      </c>
      <c r="H396" s="10" t="s">
        <v>60</v>
      </c>
      <c r="I396" s="2" t="str">
        <f>"－"</f>
        <v>－</v>
      </c>
      <c r="J396" s="10" t="s">
        <v>25</v>
      </c>
      <c r="K396" s="2" t="n">
        <f>36220</f>
        <v>36220.0</v>
      </c>
    </row>
    <row r="397">
      <c r="A397" s="8" t="s">
        <v>19</v>
      </c>
      <c r="B397" s="9" t="s">
        <v>75</v>
      </c>
      <c r="C397" s="9" t="s">
        <v>76</v>
      </c>
      <c r="D397" s="10" t="s">
        <v>32</v>
      </c>
      <c r="E397" s="2" t="str">
        <f>"－"</f>
        <v>－</v>
      </c>
      <c r="F397" s="10" t="s">
        <v>32</v>
      </c>
      <c r="G397" s="2" t="str">
        <f>"－"</f>
        <v>－</v>
      </c>
      <c r="H397" s="10"/>
      <c r="I397" s="2" t="str">
        <f>"－"</f>
        <v>－</v>
      </c>
      <c r="J397" s="10"/>
      <c r="K397" s="2" t="n">
        <f>36220</f>
        <v>36220.0</v>
      </c>
    </row>
    <row r="398">
      <c r="A398" s="8" t="s">
        <v>20</v>
      </c>
      <c r="B398" s="9" t="s">
        <v>75</v>
      </c>
      <c r="C398" s="9" t="s">
        <v>76</v>
      </c>
      <c r="D398" s="10"/>
      <c r="E398" s="2" t="str">
        <f>"－"</f>
        <v>－</v>
      </c>
      <c r="F398" s="10"/>
      <c r="G398" s="2" t="str">
        <f>"－"</f>
        <v>－</v>
      </c>
      <c r="H398" s="10"/>
      <c r="I398" s="2" t="str">
        <f>"－"</f>
        <v>－</v>
      </c>
      <c r="J398" s="10"/>
      <c r="K398" s="2" t="n">
        <f>36220</f>
        <v>36220.0</v>
      </c>
    </row>
    <row r="399">
      <c r="A399" s="8" t="s">
        <v>21</v>
      </c>
      <c r="B399" s="9" t="s">
        <v>75</v>
      </c>
      <c r="C399" s="9" t="s">
        <v>76</v>
      </c>
      <c r="D399" s="10"/>
      <c r="E399" s="2"/>
      <c r="F399" s="10"/>
      <c r="G399" s="2"/>
      <c r="H399" s="10"/>
      <c r="I399" s="2"/>
      <c r="J399" s="10"/>
      <c r="K399" s="2"/>
    </row>
    <row r="400">
      <c r="A400" s="8" t="s">
        <v>22</v>
      </c>
      <c r="B400" s="9" t="s">
        <v>75</v>
      </c>
      <c r="C400" s="9" t="s">
        <v>76</v>
      </c>
      <c r="D400" s="10"/>
      <c r="E400" s="2"/>
      <c r="F400" s="10"/>
      <c r="G400" s="2"/>
      <c r="H400" s="10"/>
      <c r="I400" s="2"/>
      <c r="J400" s="10"/>
      <c r="K400" s="2"/>
    </row>
    <row r="401">
      <c r="A401" s="8" t="s">
        <v>23</v>
      </c>
      <c r="B401" s="9" t="s">
        <v>75</v>
      </c>
      <c r="C401" s="9" t="s">
        <v>76</v>
      </c>
      <c r="D401" s="10"/>
      <c r="E401" s="2" t="str">
        <f>"－"</f>
        <v>－</v>
      </c>
      <c r="F401" s="10"/>
      <c r="G401" s="2" t="str">
        <f>"－"</f>
        <v>－</v>
      </c>
      <c r="H401" s="10"/>
      <c r="I401" s="2" t="str">
        <f>"－"</f>
        <v>－</v>
      </c>
      <c r="J401" s="10"/>
      <c r="K401" s="2" t="n">
        <f>36220</f>
        <v>36220.0</v>
      </c>
    </row>
    <row r="402">
      <c r="A402" s="8" t="s">
        <v>24</v>
      </c>
      <c r="B402" s="9" t="s">
        <v>75</v>
      </c>
      <c r="C402" s="9" t="s">
        <v>76</v>
      </c>
      <c r="D402" s="10"/>
      <c r="E402" s="2" t="str">
        <f>"－"</f>
        <v>－</v>
      </c>
      <c r="F402" s="10"/>
      <c r="G402" s="2" t="str">
        <f>"－"</f>
        <v>－</v>
      </c>
      <c r="H402" s="10"/>
      <c r="I402" s="2" t="str">
        <f>"－"</f>
        <v>－</v>
      </c>
      <c r="J402" s="10"/>
      <c r="K402" s="2" t="n">
        <f>36220</f>
        <v>36220.0</v>
      </c>
    </row>
    <row r="403">
      <c r="A403" s="8" t="s">
        <v>26</v>
      </c>
      <c r="B403" s="9" t="s">
        <v>75</v>
      </c>
      <c r="C403" s="9" t="s">
        <v>76</v>
      </c>
      <c r="D403" s="10" t="s">
        <v>25</v>
      </c>
      <c r="E403" s="2" t="n">
        <f>617</f>
        <v>617.0</v>
      </c>
      <c r="F403" s="10" t="s">
        <v>25</v>
      </c>
      <c r="G403" s="2" t="n">
        <f>299923700</f>
        <v>2.999237E8</v>
      </c>
      <c r="H403" s="10"/>
      <c r="I403" s="2" t="str">
        <f>"－"</f>
        <v>－</v>
      </c>
      <c r="J403" s="10"/>
      <c r="K403" s="2" t="n">
        <f>35603</f>
        <v>35603.0</v>
      </c>
    </row>
    <row r="404">
      <c r="A404" s="8" t="s">
        <v>27</v>
      </c>
      <c r="B404" s="9" t="s">
        <v>75</v>
      </c>
      <c r="C404" s="9" t="s">
        <v>76</v>
      </c>
      <c r="D404" s="10"/>
      <c r="E404" s="2" t="str">
        <f>"－"</f>
        <v>－</v>
      </c>
      <c r="F404" s="10"/>
      <c r="G404" s="2" t="str">
        <f>"－"</f>
        <v>－</v>
      </c>
      <c r="H404" s="10"/>
      <c r="I404" s="2" t="str">
        <f>"－"</f>
        <v>－</v>
      </c>
      <c r="J404" s="10"/>
      <c r="K404" s="2" t="n">
        <f>35603</f>
        <v>35603.0</v>
      </c>
    </row>
    <row r="405">
      <c r="A405" s="8" t="s">
        <v>28</v>
      </c>
      <c r="B405" s="9" t="s">
        <v>75</v>
      </c>
      <c r="C405" s="9" t="s">
        <v>76</v>
      </c>
      <c r="D405" s="10"/>
      <c r="E405" s="2" t="str">
        <f>"－"</f>
        <v>－</v>
      </c>
      <c r="F405" s="10"/>
      <c r="G405" s="2" t="str">
        <f>"－"</f>
        <v>－</v>
      </c>
      <c r="H405" s="10"/>
      <c r="I405" s="2" t="str">
        <f>"－"</f>
        <v>－</v>
      </c>
      <c r="J405" s="10"/>
      <c r="K405" s="2" t="n">
        <f>35603</f>
        <v>35603.0</v>
      </c>
    </row>
    <row r="406">
      <c r="A406" s="8" t="s">
        <v>29</v>
      </c>
      <c r="B406" s="9" t="s">
        <v>75</v>
      </c>
      <c r="C406" s="9" t="s">
        <v>76</v>
      </c>
      <c r="D406" s="10"/>
      <c r="E406" s="2"/>
      <c r="F406" s="10"/>
      <c r="G406" s="2"/>
      <c r="H406" s="10"/>
      <c r="I406" s="2"/>
      <c r="J406" s="10"/>
      <c r="K406" s="2"/>
    </row>
    <row r="407">
      <c r="A407" s="8" t="s">
        <v>30</v>
      </c>
      <c r="B407" s="9" t="s">
        <v>75</v>
      </c>
      <c r="C407" s="9" t="s">
        <v>76</v>
      </c>
      <c r="D407" s="10"/>
      <c r="E407" s="2"/>
      <c r="F407" s="10"/>
      <c r="G407" s="2"/>
      <c r="H407" s="10"/>
      <c r="I407" s="2"/>
      <c r="J407" s="10"/>
      <c r="K407" s="2"/>
    </row>
    <row r="408">
      <c r="A408" s="8" t="s">
        <v>31</v>
      </c>
      <c r="B408" s="9" t="s">
        <v>75</v>
      </c>
      <c r="C408" s="9" t="s">
        <v>76</v>
      </c>
      <c r="D408" s="10"/>
      <c r="E408" s="2" t="str">
        <f>"－"</f>
        <v>－</v>
      </c>
      <c r="F408" s="10"/>
      <c r="G408" s="2" t="str">
        <f>"－"</f>
        <v>－</v>
      </c>
      <c r="H408" s="10"/>
      <c r="I408" s="2" t="str">
        <f>"－"</f>
        <v>－</v>
      </c>
      <c r="J408" s="10"/>
      <c r="K408" s="2" t="n">
        <f>35603</f>
        <v>35603.0</v>
      </c>
    </row>
    <row r="409">
      <c r="A409" s="8" t="s">
        <v>33</v>
      </c>
      <c r="B409" s="9" t="s">
        <v>75</v>
      </c>
      <c r="C409" s="9" t="s">
        <v>76</v>
      </c>
      <c r="D409" s="10"/>
      <c r="E409" s="2" t="str">
        <f>"－"</f>
        <v>－</v>
      </c>
      <c r="F409" s="10"/>
      <c r="G409" s="2" t="str">
        <f>"－"</f>
        <v>－</v>
      </c>
      <c r="H409" s="10"/>
      <c r="I409" s="2" t="str">
        <f>"－"</f>
        <v>－</v>
      </c>
      <c r="J409" s="10"/>
      <c r="K409" s="2" t="n">
        <f>35603</f>
        <v>35603.0</v>
      </c>
    </row>
    <row r="410">
      <c r="A410" s="8" t="s">
        <v>34</v>
      </c>
      <c r="B410" s="9" t="s">
        <v>75</v>
      </c>
      <c r="C410" s="9" t="s">
        <v>76</v>
      </c>
      <c r="D410" s="10"/>
      <c r="E410" s="2" t="str">
        <f>"－"</f>
        <v>－</v>
      </c>
      <c r="F410" s="10"/>
      <c r="G410" s="2" t="str">
        <f>"－"</f>
        <v>－</v>
      </c>
      <c r="H410" s="10"/>
      <c r="I410" s="2" t="str">
        <f>"－"</f>
        <v>－</v>
      </c>
      <c r="J410" s="10"/>
      <c r="K410" s="2" t="n">
        <f>35603</f>
        <v>35603.0</v>
      </c>
    </row>
    <row r="411">
      <c r="A411" s="8" t="s">
        <v>35</v>
      </c>
      <c r="B411" s="9" t="s">
        <v>75</v>
      </c>
      <c r="C411" s="9" t="s">
        <v>76</v>
      </c>
      <c r="D411" s="10"/>
      <c r="E411" s="2" t="str">
        <f>"－"</f>
        <v>－</v>
      </c>
      <c r="F411" s="10"/>
      <c r="G411" s="2" t="str">
        <f>"－"</f>
        <v>－</v>
      </c>
      <c r="H411" s="10"/>
      <c r="I411" s="2" t="str">
        <f>"－"</f>
        <v>－</v>
      </c>
      <c r="J411" s="10"/>
      <c r="K411" s="2" t="n">
        <f>35603</f>
        <v>35603.0</v>
      </c>
    </row>
    <row r="412">
      <c r="A412" s="8" t="s">
        <v>36</v>
      </c>
      <c r="B412" s="9" t="s">
        <v>75</v>
      </c>
      <c r="C412" s="9" t="s">
        <v>76</v>
      </c>
      <c r="D412" s="10"/>
      <c r="E412" s="2" t="str">
        <f>"－"</f>
        <v>－</v>
      </c>
      <c r="F412" s="10"/>
      <c r="G412" s="2" t="str">
        <f>"－"</f>
        <v>－</v>
      </c>
      <c r="H412" s="10"/>
      <c r="I412" s="2" t="str">
        <f>"－"</f>
        <v>－</v>
      </c>
      <c r="J412" s="10"/>
      <c r="K412" s="2" t="n">
        <f>35603</f>
        <v>35603.0</v>
      </c>
    </row>
    <row r="413">
      <c r="A413" s="8" t="s">
        <v>37</v>
      </c>
      <c r="B413" s="9" t="s">
        <v>75</v>
      </c>
      <c r="C413" s="9" t="s">
        <v>76</v>
      </c>
      <c r="D413" s="10"/>
      <c r="E413" s="2"/>
      <c r="F413" s="10"/>
      <c r="G413" s="2"/>
      <c r="H413" s="10"/>
      <c r="I413" s="2"/>
      <c r="J413" s="10"/>
      <c r="K413" s="2"/>
    </row>
    <row r="414">
      <c r="A414" s="8" t="s">
        <v>38</v>
      </c>
      <c r="B414" s="9" t="s">
        <v>75</v>
      </c>
      <c r="C414" s="9" t="s">
        <v>76</v>
      </c>
      <c r="D414" s="10"/>
      <c r="E414" s="2"/>
      <c r="F414" s="10"/>
      <c r="G414" s="2"/>
      <c r="H414" s="10"/>
      <c r="I414" s="2"/>
      <c r="J414" s="10"/>
      <c r="K414" s="2"/>
    </row>
    <row r="415">
      <c r="A415" s="8" t="s">
        <v>39</v>
      </c>
      <c r="B415" s="9" t="s">
        <v>75</v>
      </c>
      <c r="C415" s="9" t="s">
        <v>76</v>
      </c>
      <c r="D415" s="10"/>
      <c r="E415" s="2"/>
      <c r="F415" s="10"/>
      <c r="G415" s="2"/>
      <c r="H415" s="10"/>
      <c r="I415" s="2"/>
      <c r="J415" s="10"/>
      <c r="K415" s="2"/>
    </row>
    <row r="416">
      <c r="A416" s="8" t="s">
        <v>40</v>
      </c>
      <c r="B416" s="9" t="s">
        <v>75</v>
      </c>
      <c r="C416" s="9" t="s">
        <v>76</v>
      </c>
      <c r="D416" s="10"/>
      <c r="E416" s="2" t="str">
        <f>"－"</f>
        <v>－</v>
      </c>
      <c r="F416" s="10"/>
      <c r="G416" s="2" t="str">
        <f>"－"</f>
        <v>－</v>
      </c>
      <c r="H416" s="10"/>
      <c r="I416" s="2" t="str">
        <f>"－"</f>
        <v>－</v>
      </c>
      <c r="J416" s="10"/>
      <c r="K416" s="2" t="n">
        <f>35603</f>
        <v>35603.0</v>
      </c>
    </row>
    <row r="417">
      <c r="A417" s="8" t="s">
        <v>41</v>
      </c>
      <c r="B417" s="9" t="s">
        <v>75</v>
      </c>
      <c r="C417" s="9" t="s">
        <v>76</v>
      </c>
      <c r="D417" s="10"/>
      <c r="E417" s="2" t="str">
        <f>"－"</f>
        <v>－</v>
      </c>
      <c r="F417" s="10"/>
      <c r="G417" s="2" t="str">
        <f>"－"</f>
        <v>－</v>
      </c>
      <c r="H417" s="10"/>
      <c r="I417" s="2" t="str">
        <f>"－"</f>
        <v>－</v>
      </c>
      <c r="J417" s="10"/>
      <c r="K417" s="2" t="n">
        <f>35603</f>
        <v>35603.0</v>
      </c>
    </row>
    <row r="418">
      <c r="A418" s="8" t="s">
        <v>42</v>
      </c>
      <c r="B418" s="9" t="s">
        <v>75</v>
      </c>
      <c r="C418" s="9" t="s">
        <v>76</v>
      </c>
      <c r="D418" s="10"/>
      <c r="E418" s="2"/>
      <c r="F418" s="10"/>
      <c r="G418" s="2"/>
      <c r="H418" s="10"/>
      <c r="I418" s="2"/>
      <c r="J418" s="10"/>
      <c r="K418" s="2"/>
    </row>
    <row r="419">
      <c r="A419" s="8" t="s">
        <v>43</v>
      </c>
      <c r="B419" s="9" t="s">
        <v>75</v>
      </c>
      <c r="C419" s="9" t="s">
        <v>76</v>
      </c>
      <c r="D419" s="10"/>
      <c r="E419" s="2" t="str">
        <f>"－"</f>
        <v>－</v>
      </c>
      <c r="F419" s="10"/>
      <c r="G419" s="2" t="str">
        <f>"－"</f>
        <v>－</v>
      </c>
      <c r="H419" s="10"/>
      <c r="I419" s="2" t="str">
        <f>"－"</f>
        <v>－</v>
      </c>
      <c r="J419" s="10"/>
      <c r="K419" s="2" t="n">
        <f>35603</f>
        <v>35603.0</v>
      </c>
    </row>
    <row r="420">
      <c r="A420" s="8" t="s">
        <v>44</v>
      </c>
      <c r="B420" s="9" t="s">
        <v>75</v>
      </c>
      <c r="C420" s="9" t="s">
        <v>76</v>
      </c>
      <c r="D420" s="10"/>
      <c r="E420" s="2"/>
      <c r="F420" s="10"/>
      <c r="G420" s="2"/>
      <c r="H420" s="10"/>
      <c r="I420" s="2"/>
      <c r="J420" s="10"/>
      <c r="K420" s="2"/>
    </row>
    <row r="421">
      <c r="A421" s="8" t="s">
        <v>45</v>
      </c>
      <c r="B421" s="9" t="s">
        <v>75</v>
      </c>
      <c r="C421" s="9" t="s">
        <v>76</v>
      </c>
      <c r="D421" s="10"/>
      <c r="E421" s="2"/>
      <c r="F421" s="10"/>
      <c r="G421" s="2"/>
      <c r="H421" s="10"/>
      <c r="I421" s="2"/>
      <c r="J421" s="10"/>
      <c r="K421" s="2"/>
    </row>
    <row r="422">
      <c r="A422" s="8" t="s">
        <v>46</v>
      </c>
      <c r="B422" s="9" t="s">
        <v>75</v>
      </c>
      <c r="C422" s="9" t="s">
        <v>76</v>
      </c>
      <c r="D422" s="10"/>
      <c r="E422" s="2" t="n">
        <f>12</f>
        <v>12.0</v>
      </c>
      <c r="F422" s="10"/>
      <c r="G422" s="2" t="n">
        <f>5772000</f>
        <v>5772000.0</v>
      </c>
      <c r="H422" s="10"/>
      <c r="I422" s="2" t="str">
        <f>"－"</f>
        <v>－</v>
      </c>
      <c r="J422" s="10" t="s">
        <v>32</v>
      </c>
      <c r="K422" s="2" t="n">
        <f>35591</f>
        <v>35591.0</v>
      </c>
    </row>
    <row r="423">
      <c r="A423" s="8" t="s">
        <v>47</v>
      </c>
      <c r="B423" s="9" t="s">
        <v>75</v>
      </c>
      <c r="C423" s="9" t="s">
        <v>76</v>
      </c>
      <c r="D423" s="10"/>
      <c r="E423" s="2" t="str">
        <f>"－"</f>
        <v>－</v>
      </c>
      <c r="F423" s="10"/>
      <c r="G423" s="2" t="str">
        <f>"－"</f>
        <v>－</v>
      </c>
      <c r="H423" s="10"/>
      <c r="I423" s="2" t="str">
        <f>"－"</f>
        <v>－</v>
      </c>
      <c r="J423" s="10"/>
      <c r="K423" s="2" t="n">
        <f>35591</f>
        <v>35591.0</v>
      </c>
    </row>
    <row r="424">
      <c r="A424" s="8" t="s">
        <v>48</v>
      </c>
      <c r="B424" s="9" t="s">
        <v>75</v>
      </c>
      <c r="C424" s="9" t="s">
        <v>76</v>
      </c>
      <c r="D424" s="10"/>
      <c r="E424" s="2" t="str">
        <f>"－"</f>
        <v>－</v>
      </c>
      <c r="F424" s="10"/>
      <c r="G424" s="2" t="str">
        <f>"－"</f>
        <v>－</v>
      </c>
      <c r="H424" s="10"/>
      <c r="I424" s="2" t="str">
        <f>"－"</f>
        <v>－</v>
      </c>
      <c r="J424" s="10"/>
      <c r="K424" s="2" t="n">
        <f>35591</f>
        <v>35591.0</v>
      </c>
    </row>
    <row r="425">
      <c r="A425" s="8" t="s">
        <v>49</v>
      </c>
      <c r="B425" s="9" t="s">
        <v>75</v>
      </c>
      <c r="C425" s="9" t="s">
        <v>76</v>
      </c>
      <c r="D425" s="10"/>
      <c r="E425" s="2" t="str">
        <f>"－"</f>
        <v>－</v>
      </c>
      <c r="F425" s="10"/>
      <c r="G425" s="2" t="str">
        <f>"－"</f>
        <v>－</v>
      </c>
      <c r="H425" s="10"/>
      <c r="I425" s="2" t="str">
        <f>"－"</f>
        <v>－</v>
      </c>
      <c r="J425" s="10"/>
      <c r="K425" s="2" t="n">
        <f>35591</f>
        <v>35591.0</v>
      </c>
    </row>
    <row r="426">
      <c r="A426" s="8" t="s">
        <v>16</v>
      </c>
      <c r="B426" s="9" t="s">
        <v>77</v>
      </c>
      <c r="C426" s="9" t="s">
        <v>78</v>
      </c>
      <c r="D426" s="10" t="s">
        <v>25</v>
      </c>
      <c r="E426" s="2" t="n">
        <f>787</f>
        <v>787.0</v>
      </c>
      <c r="F426" s="10" t="s">
        <v>25</v>
      </c>
      <c r="G426" s="2" t="n">
        <f>145446000</f>
        <v>1.45446E8</v>
      </c>
      <c r="H426" s="10" t="s">
        <v>60</v>
      </c>
      <c r="I426" s="2" t="str">
        <f>"－"</f>
        <v>－</v>
      </c>
      <c r="J426" s="10"/>
      <c r="K426" s="2" t="n">
        <f>2005</f>
        <v>2005.0</v>
      </c>
    </row>
    <row r="427">
      <c r="A427" s="8" t="s">
        <v>19</v>
      </c>
      <c r="B427" s="9" t="s">
        <v>77</v>
      </c>
      <c r="C427" s="9" t="s">
        <v>78</v>
      </c>
      <c r="D427" s="10"/>
      <c r="E427" s="2" t="n">
        <f>252</f>
        <v>252.0</v>
      </c>
      <c r="F427" s="10"/>
      <c r="G427" s="2" t="n">
        <f>43137000</f>
        <v>4.3137E7</v>
      </c>
      <c r="H427" s="10"/>
      <c r="I427" s="2" t="str">
        <f>"－"</f>
        <v>－</v>
      </c>
      <c r="J427" s="10"/>
      <c r="K427" s="2" t="n">
        <f>2102</f>
        <v>2102.0</v>
      </c>
    </row>
    <row r="428">
      <c r="A428" s="8" t="s">
        <v>20</v>
      </c>
      <c r="B428" s="9" t="s">
        <v>77</v>
      </c>
      <c r="C428" s="9" t="s">
        <v>78</v>
      </c>
      <c r="D428" s="10"/>
      <c r="E428" s="2" t="n">
        <f>512</f>
        <v>512.0</v>
      </c>
      <c r="F428" s="10"/>
      <c r="G428" s="2" t="n">
        <f>98278000</f>
        <v>9.8278E7</v>
      </c>
      <c r="H428" s="10"/>
      <c r="I428" s="2" t="str">
        <f>"－"</f>
        <v>－</v>
      </c>
      <c r="J428" s="10"/>
      <c r="K428" s="2" t="n">
        <f>2516</f>
        <v>2516.0</v>
      </c>
    </row>
    <row r="429">
      <c r="A429" s="8" t="s">
        <v>21</v>
      </c>
      <c r="B429" s="9" t="s">
        <v>77</v>
      </c>
      <c r="C429" s="9" t="s">
        <v>78</v>
      </c>
      <c r="D429" s="10"/>
      <c r="E429" s="2"/>
      <c r="F429" s="10"/>
      <c r="G429" s="2"/>
      <c r="H429" s="10"/>
      <c r="I429" s="2"/>
      <c r="J429" s="10"/>
      <c r="K429" s="2"/>
    </row>
    <row r="430">
      <c r="A430" s="8" t="s">
        <v>22</v>
      </c>
      <c r="B430" s="9" t="s">
        <v>77</v>
      </c>
      <c r="C430" s="9" t="s">
        <v>78</v>
      </c>
      <c r="D430" s="10"/>
      <c r="E430" s="2"/>
      <c r="F430" s="10"/>
      <c r="G430" s="2"/>
      <c r="H430" s="10"/>
      <c r="I430" s="2"/>
      <c r="J430" s="10"/>
      <c r="K430" s="2"/>
    </row>
    <row r="431">
      <c r="A431" s="8" t="s">
        <v>23</v>
      </c>
      <c r="B431" s="9" t="s">
        <v>77</v>
      </c>
      <c r="C431" s="9" t="s">
        <v>78</v>
      </c>
      <c r="D431" s="10"/>
      <c r="E431" s="2" t="n">
        <f>371</f>
        <v>371.0</v>
      </c>
      <c r="F431" s="10"/>
      <c r="G431" s="2" t="n">
        <f>73335000</f>
        <v>7.3335E7</v>
      </c>
      <c r="H431" s="10"/>
      <c r="I431" s="2" t="str">
        <f>"－"</f>
        <v>－</v>
      </c>
      <c r="J431" s="10" t="s">
        <v>25</v>
      </c>
      <c r="K431" s="2" t="n">
        <f>2704</f>
        <v>2704.0</v>
      </c>
    </row>
    <row r="432">
      <c r="A432" s="8" t="s">
        <v>24</v>
      </c>
      <c r="B432" s="9" t="s">
        <v>77</v>
      </c>
      <c r="C432" s="9" t="s">
        <v>78</v>
      </c>
      <c r="D432" s="10"/>
      <c r="E432" s="2" t="n">
        <f>77</f>
        <v>77.0</v>
      </c>
      <c r="F432" s="10"/>
      <c r="G432" s="2" t="n">
        <f>15716000</f>
        <v>1.5716E7</v>
      </c>
      <c r="H432" s="10"/>
      <c r="I432" s="2" t="str">
        <f>"－"</f>
        <v>－</v>
      </c>
      <c r="J432" s="10"/>
      <c r="K432" s="2" t="n">
        <f>2701</f>
        <v>2701.0</v>
      </c>
    </row>
    <row r="433">
      <c r="A433" s="8" t="s">
        <v>26</v>
      </c>
      <c r="B433" s="9" t="s">
        <v>77</v>
      </c>
      <c r="C433" s="9" t="s">
        <v>78</v>
      </c>
      <c r="D433" s="10"/>
      <c r="E433" s="2" t="n">
        <f>273</f>
        <v>273.0</v>
      </c>
      <c r="F433" s="10"/>
      <c r="G433" s="2" t="n">
        <f>58279500</f>
        <v>5.82795E7</v>
      </c>
      <c r="H433" s="10"/>
      <c r="I433" s="2" t="str">
        <f>"－"</f>
        <v>－</v>
      </c>
      <c r="J433" s="10"/>
      <c r="K433" s="2" t="n">
        <f>2550</f>
        <v>2550.0</v>
      </c>
    </row>
    <row r="434">
      <c r="A434" s="8" t="s">
        <v>27</v>
      </c>
      <c r="B434" s="9" t="s">
        <v>77</v>
      </c>
      <c r="C434" s="9" t="s">
        <v>78</v>
      </c>
      <c r="D434" s="10"/>
      <c r="E434" s="2" t="n">
        <f>407</f>
        <v>407.0</v>
      </c>
      <c r="F434" s="10"/>
      <c r="G434" s="2" t="n">
        <f>86396500</f>
        <v>8.63965E7</v>
      </c>
      <c r="H434" s="10"/>
      <c r="I434" s="2" t="str">
        <f>"－"</f>
        <v>－</v>
      </c>
      <c r="J434" s="10"/>
      <c r="K434" s="2" t="n">
        <f>792</f>
        <v>792.0</v>
      </c>
    </row>
    <row r="435">
      <c r="A435" s="8" t="s">
        <v>28</v>
      </c>
      <c r="B435" s="9" t="s">
        <v>77</v>
      </c>
      <c r="C435" s="9" t="s">
        <v>78</v>
      </c>
      <c r="D435" s="10"/>
      <c r="E435" s="2" t="n">
        <f>142</f>
        <v>142.0</v>
      </c>
      <c r="F435" s="10"/>
      <c r="G435" s="2" t="n">
        <f>29740000</f>
        <v>2.974E7</v>
      </c>
      <c r="H435" s="10"/>
      <c r="I435" s="2" t="str">
        <f>"－"</f>
        <v>－</v>
      </c>
      <c r="J435" s="10"/>
      <c r="K435" s="2" t="n">
        <f>883</f>
        <v>883.0</v>
      </c>
    </row>
    <row r="436">
      <c r="A436" s="8" t="s">
        <v>29</v>
      </c>
      <c r="B436" s="9" t="s">
        <v>77</v>
      </c>
      <c r="C436" s="9" t="s">
        <v>78</v>
      </c>
      <c r="D436" s="10"/>
      <c r="E436" s="2"/>
      <c r="F436" s="10"/>
      <c r="G436" s="2"/>
      <c r="H436" s="10"/>
      <c r="I436" s="2"/>
      <c r="J436" s="10"/>
      <c r="K436" s="2"/>
    </row>
    <row r="437">
      <c r="A437" s="8" t="s">
        <v>30</v>
      </c>
      <c r="B437" s="9" t="s">
        <v>77</v>
      </c>
      <c r="C437" s="9" t="s">
        <v>78</v>
      </c>
      <c r="D437" s="10"/>
      <c r="E437" s="2"/>
      <c r="F437" s="10"/>
      <c r="G437" s="2"/>
      <c r="H437" s="10"/>
      <c r="I437" s="2"/>
      <c r="J437" s="10"/>
      <c r="K437" s="2"/>
    </row>
    <row r="438">
      <c r="A438" s="8" t="s">
        <v>31</v>
      </c>
      <c r="B438" s="9" t="s">
        <v>77</v>
      </c>
      <c r="C438" s="9" t="s">
        <v>78</v>
      </c>
      <c r="D438" s="10"/>
      <c r="E438" s="2" t="n">
        <f>16</f>
        <v>16.0</v>
      </c>
      <c r="F438" s="10"/>
      <c r="G438" s="2" t="n">
        <f>3396500</f>
        <v>3396500.0</v>
      </c>
      <c r="H438" s="10"/>
      <c r="I438" s="2" t="str">
        <f>"－"</f>
        <v>－</v>
      </c>
      <c r="J438" s="10"/>
      <c r="K438" s="2" t="n">
        <f>890</f>
        <v>890.0</v>
      </c>
    </row>
    <row r="439">
      <c r="A439" s="8" t="s">
        <v>33</v>
      </c>
      <c r="B439" s="9" t="s">
        <v>77</v>
      </c>
      <c r="C439" s="9" t="s">
        <v>78</v>
      </c>
      <c r="D439" s="10"/>
      <c r="E439" s="2" t="n">
        <f>24</f>
        <v>24.0</v>
      </c>
      <c r="F439" s="10"/>
      <c r="G439" s="2" t="n">
        <f>5353000</f>
        <v>5353000.0</v>
      </c>
      <c r="H439" s="10"/>
      <c r="I439" s="2" t="str">
        <f>"－"</f>
        <v>－</v>
      </c>
      <c r="J439" s="10"/>
      <c r="K439" s="2" t="n">
        <f>908</f>
        <v>908.0</v>
      </c>
    </row>
    <row r="440">
      <c r="A440" s="8" t="s">
        <v>34</v>
      </c>
      <c r="B440" s="9" t="s">
        <v>77</v>
      </c>
      <c r="C440" s="9" t="s">
        <v>78</v>
      </c>
      <c r="D440" s="10"/>
      <c r="E440" s="2" t="n">
        <f>113</f>
        <v>113.0</v>
      </c>
      <c r="F440" s="10"/>
      <c r="G440" s="2" t="n">
        <f>24987500</f>
        <v>2.49875E7</v>
      </c>
      <c r="H440" s="10"/>
      <c r="I440" s="2" t="str">
        <f>"－"</f>
        <v>－</v>
      </c>
      <c r="J440" s="10"/>
      <c r="K440" s="2" t="n">
        <f>958</f>
        <v>958.0</v>
      </c>
    </row>
    <row r="441">
      <c r="A441" s="8" t="s">
        <v>35</v>
      </c>
      <c r="B441" s="9" t="s">
        <v>77</v>
      </c>
      <c r="C441" s="9" t="s">
        <v>78</v>
      </c>
      <c r="D441" s="10"/>
      <c r="E441" s="2" t="n">
        <f>266</f>
        <v>266.0</v>
      </c>
      <c r="F441" s="10"/>
      <c r="G441" s="2" t="n">
        <f>56794500</f>
        <v>5.67945E7</v>
      </c>
      <c r="H441" s="10"/>
      <c r="I441" s="2" t="str">
        <f>"－"</f>
        <v>－</v>
      </c>
      <c r="J441" s="10"/>
      <c r="K441" s="2" t="n">
        <f>958</f>
        <v>958.0</v>
      </c>
    </row>
    <row r="442">
      <c r="A442" s="8" t="s">
        <v>36</v>
      </c>
      <c r="B442" s="9" t="s">
        <v>77</v>
      </c>
      <c r="C442" s="9" t="s">
        <v>78</v>
      </c>
      <c r="D442" s="10" t="s">
        <v>32</v>
      </c>
      <c r="E442" s="2" t="n">
        <f>15</f>
        <v>15.0</v>
      </c>
      <c r="F442" s="10" t="s">
        <v>32</v>
      </c>
      <c r="G442" s="2" t="n">
        <f>3254500</f>
        <v>3254500.0</v>
      </c>
      <c r="H442" s="10"/>
      <c r="I442" s="2" t="str">
        <f>"－"</f>
        <v>－</v>
      </c>
      <c r="J442" s="10"/>
      <c r="K442" s="2" t="n">
        <f>967</f>
        <v>967.0</v>
      </c>
    </row>
    <row r="443">
      <c r="A443" s="8" t="s">
        <v>37</v>
      </c>
      <c r="B443" s="9" t="s">
        <v>77</v>
      </c>
      <c r="C443" s="9" t="s">
        <v>78</v>
      </c>
      <c r="D443" s="10"/>
      <c r="E443" s="2"/>
      <c r="F443" s="10"/>
      <c r="G443" s="2"/>
      <c r="H443" s="10"/>
      <c r="I443" s="2"/>
      <c r="J443" s="10"/>
      <c r="K443" s="2"/>
    </row>
    <row r="444">
      <c r="A444" s="8" t="s">
        <v>38</v>
      </c>
      <c r="B444" s="9" t="s">
        <v>77</v>
      </c>
      <c r="C444" s="9" t="s">
        <v>78</v>
      </c>
      <c r="D444" s="10"/>
      <c r="E444" s="2"/>
      <c r="F444" s="10"/>
      <c r="G444" s="2"/>
      <c r="H444" s="10"/>
      <c r="I444" s="2"/>
      <c r="J444" s="10"/>
      <c r="K444" s="2"/>
    </row>
    <row r="445">
      <c r="A445" s="8" t="s">
        <v>39</v>
      </c>
      <c r="B445" s="9" t="s">
        <v>77</v>
      </c>
      <c r="C445" s="9" t="s">
        <v>78</v>
      </c>
      <c r="D445" s="10"/>
      <c r="E445" s="2"/>
      <c r="F445" s="10"/>
      <c r="G445" s="2"/>
      <c r="H445" s="10"/>
      <c r="I445" s="2"/>
      <c r="J445" s="10"/>
      <c r="K445" s="2"/>
    </row>
    <row r="446">
      <c r="A446" s="8" t="s">
        <v>40</v>
      </c>
      <c r="B446" s="9" t="s">
        <v>77</v>
      </c>
      <c r="C446" s="9" t="s">
        <v>78</v>
      </c>
      <c r="D446" s="10"/>
      <c r="E446" s="2" t="n">
        <f>234</f>
        <v>234.0</v>
      </c>
      <c r="F446" s="10"/>
      <c r="G446" s="2" t="n">
        <f>52438000</f>
        <v>5.2438E7</v>
      </c>
      <c r="H446" s="10"/>
      <c r="I446" s="2" t="str">
        <f>"－"</f>
        <v>－</v>
      </c>
      <c r="J446" s="10"/>
      <c r="K446" s="2" t="n">
        <f>938</f>
        <v>938.0</v>
      </c>
    </row>
    <row r="447">
      <c r="A447" s="8" t="s">
        <v>41</v>
      </c>
      <c r="B447" s="9" t="s">
        <v>77</v>
      </c>
      <c r="C447" s="9" t="s">
        <v>78</v>
      </c>
      <c r="D447" s="10"/>
      <c r="E447" s="2" t="n">
        <f>181</f>
        <v>181.0</v>
      </c>
      <c r="F447" s="10"/>
      <c r="G447" s="2" t="n">
        <f>41670500</f>
        <v>4.16705E7</v>
      </c>
      <c r="H447" s="10"/>
      <c r="I447" s="2" t="str">
        <f>"－"</f>
        <v>－</v>
      </c>
      <c r="J447" s="10"/>
      <c r="K447" s="2" t="n">
        <f>881</f>
        <v>881.0</v>
      </c>
    </row>
    <row r="448">
      <c r="A448" s="8" t="s">
        <v>42</v>
      </c>
      <c r="B448" s="9" t="s">
        <v>77</v>
      </c>
      <c r="C448" s="9" t="s">
        <v>78</v>
      </c>
      <c r="D448" s="10"/>
      <c r="E448" s="2"/>
      <c r="F448" s="10"/>
      <c r="G448" s="2"/>
      <c r="H448" s="10"/>
      <c r="I448" s="2"/>
      <c r="J448" s="10"/>
      <c r="K448" s="2"/>
    </row>
    <row r="449">
      <c r="A449" s="8" t="s">
        <v>43</v>
      </c>
      <c r="B449" s="9" t="s">
        <v>77</v>
      </c>
      <c r="C449" s="9" t="s">
        <v>78</v>
      </c>
      <c r="D449" s="10"/>
      <c r="E449" s="2" t="n">
        <f>99</f>
        <v>99.0</v>
      </c>
      <c r="F449" s="10"/>
      <c r="G449" s="2" t="n">
        <f>21024000</f>
        <v>2.1024E7</v>
      </c>
      <c r="H449" s="10"/>
      <c r="I449" s="2" t="str">
        <f>"－"</f>
        <v>－</v>
      </c>
      <c r="J449" s="10"/>
      <c r="K449" s="2" t="n">
        <f>893</f>
        <v>893.0</v>
      </c>
    </row>
    <row r="450">
      <c r="A450" s="8" t="s">
        <v>44</v>
      </c>
      <c r="B450" s="9" t="s">
        <v>77</v>
      </c>
      <c r="C450" s="9" t="s">
        <v>78</v>
      </c>
      <c r="D450" s="10"/>
      <c r="E450" s="2"/>
      <c r="F450" s="10"/>
      <c r="G450" s="2"/>
      <c r="H450" s="10"/>
      <c r="I450" s="2"/>
      <c r="J450" s="10"/>
      <c r="K450" s="2"/>
    </row>
    <row r="451">
      <c r="A451" s="8" t="s">
        <v>45</v>
      </c>
      <c r="B451" s="9" t="s">
        <v>77</v>
      </c>
      <c r="C451" s="9" t="s">
        <v>78</v>
      </c>
      <c r="D451" s="10"/>
      <c r="E451" s="2"/>
      <c r="F451" s="10"/>
      <c r="G451" s="2"/>
      <c r="H451" s="10"/>
      <c r="I451" s="2"/>
      <c r="J451" s="10"/>
      <c r="K451" s="2"/>
    </row>
    <row r="452">
      <c r="A452" s="8" t="s">
        <v>46</v>
      </c>
      <c r="B452" s="9" t="s">
        <v>77</v>
      </c>
      <c r="C452" s="9" t="s">
        <v>78</v>
      </c>
      <c r="D452" s="10"/>
      <c r="E452" s="2" t="n">
        <f>251</f>
        <v>251.0</v>
      </c>
      <c r="F452" s="10"/>
      <c r="G452" s="2" t="n">
        <f>54975500</f>
        <v>5.49755E7</v>
      </c>
      <c r="H452" s="10"/>
      <c r="I452" s="2" t="str">
        <f>"－"</f>
        <v>－</v>
      </c>
      <c r="J452" s="10"/>
      <c r="K452" s="2" t="n">
        <f>821</f>
        <v>821.0</v>
      </c>
    </row>
    <row r="453">
      <c r="A453" s="8" t="s">
        <v>47</v>
      </c>
      <c r="B453" s="9" t="s">
        <v>77</v>
      </c>
      <c r="C453" s="9" t="s">
        <v>78</v>
      </c>
      <c r="D453" s="10"/>
      <c r="E453" s="2" t="n">
        <f>82</f>
        <v>82.0</v>
      </c>
      <c r="F453" s="10"/>
      <c r="G453" s="2" t="n">
        <f>16900000</f>
        <v>1.69E7</v>
      </c>
      <c r="H453" s="10"/>
      <c r="I453" s="2" t="str">
        <f>"－"</f>
        <v>－</v>
      </c>
      <c r="J453" s="10"/>
      <c r="K453" s="2" t="n">
        <f>765</f>
        <v>765.0</v>
      </c>
    </row>
    <row r="454">
      <c r="A454" s="8" t="s">
        <v>48</v>
      </c>
      <c r="B454" s="9" t="s">
        <v>77</v>
      </c>
      <c r="C454" s="9" t="s">
        <v>78</v>
      </c>
      <c r="D454" s="10"/>
      <c r="E454" s="2" t="n">
        <f>92</f>
        <v>92.0</v>
      </c>
      <c r="F454" s="10"/>
      <c r="G454" s="2" t="n">
        <f>19895500</f>
        <v>1.98955E7</v>
      </c>
      <c r="H454" s="10"/>
      <c r="I454" s="2" t="str">
        <f>"－"</f>
        <v>－</v>
      </c>
      <c r="J454" s="10" t="s">
        <v>32</v>
      </c>
      <c r="K454" s="2" t="n">
        <f>725</f>
        <v>725.0</v>
      </c>
    </row>
    <row r="455">
      <c r="A455" s="8" t="s">
        <v>49</v>
      </c>
      <c r="B455" s="9" t="s">
        <v>77</v>
      </c>
      <c r="C455" s="9" t="s">
        <v>78</v>
      </c>
      <c r="D455" s="10"/>
      <c r="E455" s="2" t="n">
        <f>211</f>
        <v>211.0</v>
      </c>
      <c r="F455" s="10"/>
      <c r="G455" s="2" t="n">
        <f>49703500</f>
        <v>4.97035E7</v>
      </c>
      <c r="H455" s="10"/>
      <c r="I455" s="2" t="str">
        <f>"－"</f>
        <v>－</v>
      </c>
      <c r="J455" s="10"/>
      <c r="K455" s="2" t="n">
        <f>880</f>
        <v>880.0</v>
      </c>
    </row>
    <row r="456">
      <c r="A456" s="8" t="s">
        <v>16</v>
      </c>
      <c r="B456" s="9" t="s">
        <v>79</v>
      </c>
      <c r="C456" s="9" t="s">
        <v>80</v>
      </c>
      <c r="D456" s="10"/>
      <c r="E456" s="2"/>
      <c r="F456" s="10"/>
      <c r="G456" s="2"/>
      <c r="H456" s="10"/>
      <c r="I456" s="2"/>
      <c r="J456" s="10"/>
      <c r="K456" s="2"/>
    </row>
    <row r="457">
      <c r="A457" s="8" t="s">
        <v>19</v>
      </c>
      <c r="B457" s="9" t="s">
        <v>79</v>
      </c>
      <c r="C457" s="9" t="s">
        <v>80</v>
      </c>
      <c r="D457" s="10"/>
      <c r="E457" s="2"/>
      <c r="F457" s="10"/>
      <c r="G457" s="2"/>
      <c r="H457" s="10"/>
      <c r="I457" s="2"/>
      <c r="J457" s="10"/>
      <c r="K457" s="2"/>
    </row>
    <row r="458">
      <c r="A458" s="8" t="s">
        <v>20</v>
      </c>
      <c r="B458" s="9" t="s">
        <v>79</v>
      </c>
      <c r="C458" s="9" t="s">
        <v>80</v>
      </c>
      <c r="D458" s="10"/>
      <c r="E458" s="2"/>
      <c r="F458" s="10"/>
      <c r="G458" s="2"/>
      <c r="H458" s="10"/>
      <c r="I458" s="2"/>
      <c r="J458" s="10"/>
      <c r="K458" s="2"/>
    </row>
    <row r="459">
      <c r="A459" s="8" t="s">
        <v>21</v>
      </c>
      <c r="B459" s="9" t="s">
        <v>79</v>
      </c>
      <c r="C459" s="9" t="s">
        <v>80</v>
      </c>
      <c r="D459" s="10"/>
      <c r="E459" s="2"/>
      <c r="F459" s="10"/>
      <c r="G459" s="2"/>
      <c r="H459" s="10"/>
      <c r="I459" s="2"/>
      <c r="J459" s="10"/>
      <c r="K459" s="2"/>
    </row>
    <row r="460">
      <c r="A460" s="8" t="s">
        <v>22</v>
      </c>
      <c r="B460" s="9" t="s">
        <v>79</v>
      </c>
      <c r="C460" s="9" t="s">
        <v>80</v>
      </c>
      <c r="D460" s="10"/>
      <c r="E460" s="2"/>
      <c r="F460" s="10"/>
      <c r="G460" s="2"/>
      <c r="H460" s="10"/>
      <c r="I460" s="2"/>
      <c r="J460" s="10"/>
      <c r="K460" s="2"/>
    </row>
    <row r="461">
      <c r="A461" s="8" t="s">
        <v>23</v>
      </c>
      <c r="B461" s="9" t="s">
        <v>79</v>
      </c>
      <c r="C461" s="9" t="s">
        <v>80</v>
      </c>
      <c r="D461" s="10"/>
      <c r="E461" s="2"/>
      <c r="F461" s="10"/>
      <c r="G461" s="2"/>
      <c r="H461" s="10"/>
      <c r="I461" s="2"/>
      <c r="J461" s="10"/>
      <c r="K461" s="2"/>
    </row>
    <row r="462">
      <c r="A462" s="8" t="s">
        <v>24</v>
      </c>
      <c r="B462" s="9" t="s">
        <v>79</v>
      </c>
      <c r="C462" s="9" t="s">
        <v>80</v>
      </c>
      <c r="D462" s="10"/>
      <c r="E462" s="2"/>
      <c r="F462" s="10"/>
      <c r="G462" s="2"/>
      <c r="H462" s="10"/>
      <c r="I462" s="2"/>
      <c r="J462" s="10"/>
      <c r="K462" s="2"/>
    </row>
    <row r="463">
      <c r="A463" s="8" t="s">
        <v>26</v>
      </c>
      <c r="B463" s="9" t="s">
        <v>79</v>
      </c>
      <c r="C463" s="9" t="s">
        <v>80</v>
      </c>
      <c r="D463" s="10"/>
      <c r="E463" s="2"/>
      <c r="F463" s="10"/>
      <c r="G463" s="2"/>
      <c r="H463" s="10"/>
      <c r="I463" s="2"/>
      <c r="J463" s="10"/>
      <c r="K463" s="2"/>
    </row>
    <row r="464">
      <c r="A464" s="8" t="s">
        <v>27</v>
      </c>
      <c r="B464" s="9" t="s">
        <v>79</v>
      </c>
      <c r="C464" s="9" t="s">
        <v>80</v>
      </c>
      <c r="D464" s="10"/>
      <c r="E464" s="2"/>
      <c r="F464" s="10"/>
      <c r="G464" s="2"/>
      <c r="H464" s="10"/>
      <c r="I464" s="2"/>
      <c r="J464" s="10"/>
      <c r="K464" s="2"/>
    </row>
    <row r="465">
      <c r="A465" s="8" t="s">
        <v>28</v>
      </c>
      <c r="B465" s="9" t="s">
        <v>79</v>
      </c>
      <c r="C465" s="9" t="s">
        <v>80</v>
      </c>
      <c r="D465" s="10"/>
      <c r="E465" s="2"/>
      <c r="F465" s="10"/>
      <c r="G465" s="2"/>
      <c r="H465" s="10"/>
      <c r="I465" s="2"/>
      <c r="J465" s="10"/>
      <c r="K465" s="2"/>
    </row>
    <row r="466">
      <c r="A466" s="8" t="s">
        <v>29</v>
      </c>
      <c r="B466" s="9" t="s">
        <v>79</v>
      </c>
      <c r="C466" s="9" t="s">
        <v>80</v>
      </c>
      <c r="D466" s="10"/>
      <c r="E466" s="2"/>
      <c r="F466" s="10"/>
      <c r="G466" s="2"/>
      <c r="H466" s="10"/>
      <c r="I466" s="2"/>
      <c r="J466" s="10"/>
      <c r="K466" s="2"/>
    </row>
    <row r="467">
      <c r="A467" s="8" t="s">
        <v>30</v>
      </c>
      <c r="B467" s="9" t="s">
        <v>79</v>
      </c>
      <c r="C467" s="9" t="s">
        <v>80</v>
      </c>
      <c r="D467" s="10"/>
      <c r="E467" s="2"/>
      <c r="F467" s="10"/>
      <c r="G467" s="2"/>
      <c r="H467" s="10"/>
      <c r="I467" s="2"/>
      <c r="J467" s="10"/>
      <c r="K467" s="2"/>
    </row>
    <row r="468">
      <c r="A468" s="8" t="s">
        <v>31</v>
      </c>
      <c r="B468" s="9" t="s">
        <v>79</v>
      </c>
      <c r="C468" s="9" t="s">
        <v>80</v>
      </c>
      <c r="D468" s="10"/>
      <c r="E468" s="2"/>
      <c r="F468" s="10"/>
      <c r="G468" s="2"/>
      <c r="H468" s="10"/>
      <c r="I468" s="2"/>
      <c r="J468" s="10"/>
      <c r="K468" s="2"/>
    </row>
    <row r="469">
      <c r="A469" s="8" t="s">
        <v>33</v>
      </c>
      <c r="B469" s="9" t="s">
        <v>79</v>
      </c>
      <c r="C469" s="9" t="s">
        <v>80</v>
      </c>
      <c r="D469" s="10"/>
      <c r="E469" s="2"/>
      <c r="F469" s="10"/>
      <c r="G469" s="2"/>
      <c r="H469" s="10"/>
      <c r="I469" s="2"/>
      <c r="J469" s="10"/>
      <c r="K469" s="2"/>
    </row>
    <row r="470">
      <c r="A470" s="8" t="s">
        <v>34</v>
      </c>
      <c r="B470" s="9" t="s">
        <v>79</v>
      </c>
      <c r="C470" s="9" t="s">
        <v>80</v>
      </c>
      <c r="D470" s="10"/>
      <c r="E470" s="2"/>
      <c r="F470" s="10"/>
      <c r="G470" s="2"/>
      <c r="H470" s="10"/>
      <c r="I470" s="2"/>
      <c r="J470" s="10"/>
      <c r="K470" s="2"/>
    </row>
    <row r="471">
      <c r="A471" s="8" t="s">
        <v>35</v>
      </c>
      <c r="B471" s="9" t="s">
        <v>79</v>
      </c>
      <c r="C471" s="9" t="s">
        <v>80</v>
      </c>
      <c r="D471" s="10"/>
      <c r="E471" s="2"/>
      <c r="F471" s="10"/>
      <c r="G471" s="2"/>
      <c r="H471" s="10"/>
      <c r="I471" s="2"/>
      <c r="J471" s="10"/>
      <c r="K471" s="2"/>
    </row>
    <row r="472">
      <c r="A472" s="8" t="s">
        <v>36</v>
      </c>
      <c r="B472" s="9" t="s">
        <v>79</v>
      </c>
      <c r="C472" s="9" t="s">
        <v>80</v>
      </c>
      <c r="D472" s="10"/>
      <c r="E472" s="2"/>
      <c r="F472" s="10"/>
      <c r="G472" s="2"/>
      <c r="H472" s="10"/>
      <c r="I472" s="2"/>
      <c r="J472" s="10"/>
      <c r="K472" s="2"/>
    </row>
    <row r="473">
      <c r="A473" s="8" t="s">
        <v>37</v>
      </c>
      <c r="B473" s="9" t="s">
        <v>79</v>
      </c>
      <c r="C473" s="9" t="s">
        <v>80</v>
      </c>
      <c r="D473" s="10"/>
      <c r="E473" s="2"/>
      <c r="F473" s="10"/>
      <c r="G473" s="2"/>
      <c r="H473" s="10"/>
      <c r="I473" s="2"/>
      <c r="J473" s="10"/>
      <c r="K473" s="2"/>
    </row>
    <row r="474">
      <c r="A474" s="8" t="s">
        <v>38</v>
      </c>
      <c r="B474" s="9" t="s">
        <v>79</v>
      </c>
      <c r="C474" s="9" t="s">
        <v>80</v>
      </c>
      <c r="D474" s="10"/>
      <c r="E474" s="2"/>
      <c r="F474" s="10"/>
      <c r="G474" s="2"/>
      <c r="H474" s="10"/>
      <c r="I474" s="2"/>
      <c r="J474" s="10"/>
      <c r="K474" s="2"/>
    </row>
    <row r="475">
      <c r="A475" s="8" t="s">
        <v>39</v>
      </c>
      <c r="B475" s="9" t="s">
        <v>79</v>
      </c>
      <c r="C475" s="9" t="s">
        <v>80</v>
      </c>
      <c r="D475" s="10"/>
      <c r="E475" s="2"/>
      <c r="F475" s="10"/>
      <c r="G475" s="2"/>
      <c r="H475" s="10"/>
      <c r="I475" s="2"/>
      <c r="J475" s="10"/>
      <c r="K475" s="2"/>
    </row>
    <row r="476">
      <c r="A476" s="8" t="s">
        <v>40</v>
      </c>
      <c r="B476" s="9" t="s">
        <v>79</v>
      </c>
      <c r="C476" s="9" t="s">
        <v>80</v>
      </c>
      <c r="D476" s="10"/>
      <c r="E476" s="2"/>
      <c r="F476" s="10"/>
      <c r="G476" s="2"/>
      <c r="H476" s="10"/>
      <c r="I476" s="2"/>
      <c r="J476" s="10"/>
      <c r="K476" s="2"/>
    </row>
    <row r="477">
      <c r="A477" s="8" t="s">
        <v>41</v>
      </c>
      <c r="B477" s="9" t="s">
        <v>79</v>
      </c>
      <c r="C477" s="9" t="s">
        <v>80</v>
      </c>
      <c r="D477" s="10"/>
      <c r="E477" s="2"/>
      <c r="F477" s="10"/>
      <c r="G477" s="2"/>
      <c r="H477" s="10"/>
      <c r="I477" s="2"/>
      <c r="J477" s="10"/>
      <c r="K477" s="2"/>
    </row>
    <row r="478">
      <c r="A478" s="8" t="s">
        <v>42</v>
      </c>
      <c r="B478" s="9" t="s">
        <v>79</v>
      </c>
      <c r="C478" s="9" t="s">
        <v>80</v>
      </c>
      <c r="D478" s="10"/>
      <c r="E478" s="2"/>
      <c r="F478" s="10"/>
      <c r="G478" s="2"/>
      <c r="H478" s="10"/>
      <c r="I478" s="2"/>
      <c r="J478" s="10"/>
      <c r="K478" s="2"/>
    </row>
    <row r="479">
      <c r="A479" s="8" t="s">
        <v>43</v>
      </c>
      <c r="B479" s="9" t="s">
        <v>79</v>
      </c>
      <c r="C479" s="9" t="s">
        <v>80</v>
      </c>
      <c r="D479" s="10"/>
      <c r="E479" s="2"/>
      <c r="F479" s="10"/>
      <c r="G479" s="2"/>
      <c r="H479" s="10"/>
      <c r="I479" s="2"/>
      <c r="J479" s="10"/>
      <c r="K479" s="2"/>
    </row>
    <row r="480">
      <c r="A480" s="8" t="s">
        <v>44</v>
      </c>
      <c r="B480" s="9" t="s">
        <v>79</v>
      </c>
      <c r="C480" s="9" t="s">
        <v>80</v>
      </c>
      <c r="D480" s="10"/>
      <c r="E480" s="2"/>
      <c r="F480" s="10"/>
      <c r="G480" s="2"/>
      <c r="H480" s="10"/>
      <c r="I480" s="2"/>
      <c r="J480" s="10"/>
      <c r="K480" s="2"/>
    </row>
    <row r="481">
      <c r="A481" s="8" t="s">
        <v>45</v>
      </c>
      <c r="B481" s="9" t="s">
        <v>79</v>
      </c>
      <c r="C481" s="9" t="s">
        <v>80</v>
      </c>
      <c r="D481" s="10"/>
      <c r="E481" s="2"/>
      <c r="F481" s="10"/>
      <c r="G481" s="2"/>
      <c r="H481" s="10"/>
      <c r="I481" s="2"/>
      <c r="J481" s="10"/>
      <c r="K481" s="2"/>
    </row>
    <row r="482">
      <c r="A482" s="8" t="s">
        <v>46</v>
      </c>
      <c r="B482" s="9" t="s">
        <v>79</v>
      </c>
      <c r="C482" s="9" t="s">
        <v>80</v>
      </c>
      <c r="D482" s="10"/>
      <c r="E482" s="2"/>
      <c r="F482" s="10"/>
      <c r="G482" s="2"/>
      <c r="H482" s="10"/>
      <c r="I482" s="2"/>
      <c r="J482" s="10"/>
      <c r="K482" s="2"/>
    </row>
    <row r="483">
      <c r="A483" s="8" t="s">
        <v>47</v>
      </c>
      <c r="B483" s="9" t="s">
        <v>79</v>
      </c>
      <c r="C483" s="9" t="s">
        <v>80</v>
      </c>
      <c r="D483" s="10"/>
      <c r="E483" s="2"/>
      <c r="F483" s="10"/>
      <c r="G483" s="2"/>
      <c r="H483" s="10"/>
      <c r="I483" s="2"/>
      <c r="J483" s="10"/>
      <c r="K483" s="2"/>
    </row>
    <row r="484">
      <c r="A484" s="8" t="s">
        <v>48</v>
      </c>
      <c r="B484" s="9" t="s">
        <v>79</v>
      </c>
      <c r="C484" s="9" t="s">
        <v>80</v>
      </c>
      <c r="D484" s="10"/>
      <c r="E484" s="2"/>
      <c r="F484" s="10"/>
      <c r="G484" s="2"/>
      <c r="H484" s="10"/>
      <c r="I484" s="2"/>
      <c r="J484" s="10"/>
      <c r="K484" s="2"/>
    </row>
    <row r="485">
      <c r="A485" s="8" t="s">
        <v>49</v>
      </c>
      <c r="B485" s="9" t="s">
        <v>79</v>
      </c>
      <c r="C485" s="9" t="s">
        <v>80</v>
      </c>
      <c r="D485" s="10"/>
      <c r="E485" s="2"/>
      <c r="F485" s="10"/>
      <c r="G485" s="2"/>
      <c r="H485" s="10"/>
      <c r="I485" s="2"/>
      <c r="J485" s="10"/>
      <c r="K485" s="2"/>
    </row>
  </sheetData>
  <mergeCells count="12">
    <mergeCell ref="A1:C1"/>
    <mergeCell ref="A2:C2"/>
    <mergeCell ref="B4:B5"/>
    <mergeCell ref="C4:C5"/>
    <mergeCell ref="D4:E4"/>
    <mergeCell ref="H4:I4"/>
    <mergeCell ref="J4:K4"/>
    <mergeCell ref="D5:E5"/>
    <mergeCell ref="F5:G5"/>
    <mergeCell ref="H5:I5"/>
    <mergeCell ref="J5:K5"/>
    <mergeCell ref="F4:G4"/>
  </mergeCells>
  <phoneticPr fontId="4"/>
  <printOptions horizontalCentered="1"/>
  <pageMargins bottom="0.59055118110236227" footer="0.35433070866141736" header="0.35433070866141736" left="0.55118110236220474" right="0.55118110236220474" top="0.59055118110236227"/>
  <pageSetup fitToHeight="0" orientation="landscape" paperSize="9" r:id="rId1" scale="66" useFirstPageNumber="1"/>
  <headerFooter>
    <oddFooter>&amp;C&amp;P / &amp;N&amp;RCopyright (c) Japan Exchange Group, Inc. All Rights Reserved.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BO_DM0030</vt:lpstr>
      <vt:lpstr>BO_DM0030!Print_Titles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2018-10-19T05:56:44Z</dcterms:created>
  <dcterms:modified xsi:type="dcterms:W3CDTF">2020-09-02T23:56:50Z</dcterms:modified>
</cp:coreProperties>
</file>