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<sst xmlns="http://schemas.openxmlformats.org/spreadsheetml/2006/main" count="680" uniqueCount="71">
  <si>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</si>
  <si>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</si>
  <si>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</si>
  <si>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</si>
  <si>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</si>
  <si>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</si>
  <si>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</si>
  <si>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</si>
  <si>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</si>
  <si>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</si>
  <si>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</si>
  <si>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</si>
  <si>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</si>
  <si>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</si>
  <si>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</si>
  <si>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</si>
  <si>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</si>
  <si>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</si>
  <si>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</si>
  <si>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</si>
  <si>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</si>
  <si>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</si>
  <si>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</si>
  <si>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</si>
  <si>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</si>
  <si>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</si>
  <si>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</si>
  <si>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日経225オプション</t>
  </si>
  <si>
    <t>Nikkei 225 Options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</si>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</sst>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64023</f>
        <v>64023.0</v>
      </c>
      <c r="F10" s="23"/>
      <c r="G10" s="25" t="n">
        <f>76065</f>
        <v>76065.0</v>
      </c>
      <c r="H10" s="23"/>
      <c r="I10" s="26" t="n">
        <f>140088</f>
        <v>140088.0</v>
      </c>
      <c r="J10" s="24"/>
      <c r="K10" s="25" t="n">
        <f>13255830170</f>
        <v>1.325583017E10</v>
      </c>
      <c r="L10" s="23"/>
      <c r="M10" s="25" t="n">
        <f>11898331950</f>
        <v>1.189833195E10</v>
      </c>
      <c r="N10" s="23"/>
      <c r="O10" s="26" t="n">
        <f>25154162120</f>
        <v>2.515416212E10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6815</f>
        <v>6815.0</v>
      </c>
      <c r="U10" s="23"/>
      <c r="V10" s="25" t="n">
        <f>19557</f>
        <v>19557.0</v>
      </c>
      <c r="W10" s="23"/>
      <c r="X10" s="26" t="n">
        <f>26372</f>
        <v>26372.0</v>
      </c>
      <c r="Y10" s="24"/>
      <c r="Z10" s="25" t="n">
        <f>909920</f>
        <v>909920.0</v>
      </c>
      <c r="AA10" s="23"/>
      <c r="AB10" s="25" t="n">
        <f>584946</f>
        <v>584946.0</v>
      </c>
      <c r="AC10" s="23"/>
      <c r="AD10" s="26" t="n">
        <f>1494866</f>
        <v>1494866.0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49186</f>
        <v>49186.0</v>
      </c>
      <c r="F11" s="23"/>
      <c r="G11" s="25" t="n">
        <f>82325</f>
        <v>82325.0</v>
      </c>
      <c r="H11" s="23"/>
      <c r="I11" s="26" t="n">
        <f>131511</f>
        <v>131511.0</v>
      </c>
      <c r="J11" s="24"/>
      <c r="K11" s="25" t="n">
        <f>6466902388</f>
        <v>6.466902388E9</v>
      </c>
      <c r="L11" s="23"/>
      <c r="M11" s="25" t="n">
        <f>11243062100</f>
        <v>1.12430621E10</v>
      </c>
      <c r="N11" s="23"/>
      <c r="O11" s="26" t="n">
        <f>17709964488</f>
        <v>1.7709964488E10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5991</f>
        <v>5991.0</v>
      </c>
      <c r="U11" s="23"/>
      <c r="V11" s="25" t="n">
        <f>8804</f>
        <v>8804.0</v>
      </c>
      <c r="W11" s="23"/>
      <c r="X11" s="26" t="n">
        <f>14795</f>
        <v>14795.0</v>
      </c>
      <c r="Y11" s="24"/>
      <c r="Z11" s="25" t="n">
        <f>914032</f>
        <v>914032.0</v>
      </c>
      <c r="AA11" s="23"/>
      <c r="AB11" s="25" t="n">
        <f>590024</f>
        <v>590024.0</v>
      </c>
      <c r="AC11" s="23"/>
      <c r="AD11" s="26" t="n">
        <f>1504056</f>
        <v>1504056.0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73788</f>
        <v>73788.0</v>
      </c>
      <c r="F12" s="23" t="s">
        <v>31</v>
      </c>
      <c r="G12" s="25" t="n">
        <f>126836</f>
        <v>126836.0</v>
      </c>
      <c r="H12" s="23"/>
      <c r="I12" s="26" t="n">
        <f>200624</f>
        <v>200624.0</v>
      </c>
      <c r="J12" s="24"/>
      <c r="K12" s="25" t="n">
        <f>12818677390</f>
        <v>1.281867739E10</v>
      </c>
      <c r="L12" s="23"/>
      <c r="M12" s="25" t="n">
        <f>21876297010</f>
        <v>2.187629701E10</v>
      </c>
      <c r="N12" s="23"/>
      <c r="O12" s="26" t="n">
        <f>34694974400</f>
        <v>3.46949744E10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12486</f>
        <v>12486.0</v>
      </c>
      <c r="U12" s="23"/>
      <c r="V12" s="25" t="n">
        <f>23061</f>
        <v>23061.0</v>
      </c>
      <c r="W12" s="23"/>
      <c r="X12" s="26" t="n">
        <f>35547</f>
        <v>35547.0</v>
      </c>
      <c r="Y12" s="24"/>
      <c r="Z12" s="25" t="n">
        <f>928171</f>
        <v>928171.0</v>
      </c>
      <c r="AA12" s="23"/>
      <c r="AB12" s="25" t="n">
        <f>595633</f>
        <v>595633.0</v>
      </c>
      <c r="AC12" s="23"/>
      <c r="AD12" s="26" t="n">
        <f>1523804</f>
        <v>1523804.0</v>
      </c>
    </row>
    <row r="13">
      <c r="A13" s="30" t="s">
        <v>32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33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34</v>
      </c>
      <c r="B15" s="22" t="s">
        <v>27</v>
      </c>
      <c r="C15" s="22" t="s">
        <v>28</v>
      </c>
      <c r="D15" s="24" t="s">
        <v>31</v>
      </c>
      <c r="E15" s="25" t="n">
        <f>122089</f>
        <v>122089.0</v>
      </c>
      <c r="F15" s="23"/>
      <c r="G15" s="25" t="n">
        <f>126658</f>
        <v>126658.0</v>
      </c>
      <c r="H15" s="23" t="s">
        <v>31</v>
      </c>
      <c r="I15" s="26" t="n">
        <f>248747</f>
        <v>248747.0</v>
      </c>
      <c r="J15" s="24" t="s">
        <v>31</v>
      </c>
      <c r="K15" s="25" t="n">
        <f>30677841360</f>
        <v>3.067784136E10</v>
      </c>
      <c r="L15" s="23" t="s">
        <v>31</v>
      </c>
      <c r="M15" s="25" t="n">
        <f>33752748140</f>
        <v>3.375274814E10</v>
      </c>
      <c r="N15" s="23" t="s">
        <v>31</v>
      </c>
      <c r="O15" s="26" t="n">
        <f>64430589500</f>
        <v>6.44305895E10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 t="s">
        <v>31</v>
      </c>
      <c r="T15" s="25" t="n">
        <f>36656</f>
        <v>36656.0</v>
      </c>
      <c r="U15" s="23"/>
      <c r="V15" s="25" t="n">
        <f>36097</f>
        <v>36097.0</v>
      </c>
      <c r="W15" s="23" t="s">
        <v>31</v>
      </c>
      <c r="X15" s="26" t="n">
        <f>72753</f>
        <v>72753.0</v>
      </c>
      <c r="Y15" s="24"/>
      <c r="Z15" s="25" t="n">
        <f>968101</f>
        <v>968101.0</v>
      </c>
      <c r="AA15" s="23"/>
      <c r="AB15" s="25" t="n">
        <f>625740</f>
        <v>625740.0</v>
      </c>
      <c r="AC15" s="23"/>
      <c r="AD15" s="26" t="n">
        <f>1593841</f>
        <v>1593841.0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86052</f>
        <v>86052.0</v>
      </c>
      <c r="F16" s="23"/>
      <c r="G16" s="25" t="n">
        <f>100785</f>
        <v>100785.0</v>
      </c>
      <c r="H16" s="23"/>
      <c r="I16" s="26" t="n">
        <f>186837</f>
        <v>186837.0</v>
      </c>
      <c r="J16" s="24"/>
      <c r="K16" s="25" t="n">
        <f>24337074193</f>
        <v>2.4337074193E10</v>
      </c>
      <c r="L16" s="23"/>
      <c r="M16" s="25" t="n">
        <f>30700536520</f>
        <v>3.070053652E10</v>
      </c>
      <c r="N16" s="23"/>
      <c r="O16" s="26" t="n">
        <f>55037610713</f>
        <v>5.5037610713E10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14178</f>
        <v>14178.0</v>
      </c>
      <c r="U16" s="23"/>
      <c r="V16" s="25" t="n">
        <f>21356</f>
        <v>21356.0</v>
      </c>
      <c r="W16" s="23"/>
      <c r="X16" s="26" t="n">
        <f>35534</f>
        <v>35534.0</v>
      </c>
      <c r="Y16" s="24"/>
      <c r="Z16" s="25" t="n">
        <f>984101</f>
        <v>984101.0</v>
      </c>
      <c r="AA16" s="23"/>
      <c r="AB16" s="25" t="n">
        <f>639009</f>
        <v>639009.0</v>
      </c>
      <c r="AC16" s="23"/>
      <c r="AD16" s="26" t="n">
        <f>1623110</f>
        <v>1623110.0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85118</f>
        <v>85118.0</v>
      </c>
      <c r="F17" s="23"/>
      <c r="G17" s="25" t="n">
        <f>102335</f>
        <v>102335.0</v>
      </c>
      <c r="H17" s="23"/>
      <c r="I17" s="26" t="n">
        <f>187453</f>
        <v>187453.0</v>
      </c>
      <c r="J17" s="24"/>
      <c r="K17" s="25" t="n">
        <f>18109016489</f>
        <v>1.8109016489E10</v>
      </c>
      <c r="L17" s="23"/>
      <c r="M17" s="25" t="n">
        <f>27355705250</f>
        <v>2.735570525E10</v>
      </c>
      <c r="N17" s="23"/>
      <c r="O17" s="26" t="n">
        <f>45464721739</f>
        <v>4.5464721739E10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12604</f>
        <v>12604.0</v>
      </c>
      <c r="U17" s="23" t="s">
        <v>31</v>
      </c>
      <c r="V17" s="25" t="n">
        <f>36910</f>
        <v>36910.0</v>
      </c>
      <c r="W17" s="23"/>
      <c r="X17" s="26" t="n">
        <f>49514</f>
        <v>49514.0</v>
      </c>
      <c r="Y17" s="24"/>
      <c r="Z17" s="25" t="n">
        <f>994789</f>
        <v>994789.0</v>
      </c>
      <c r="AA17" s="23"/>
      <c r="AB17" s="25" t="n">
        <f>652705</f>
        <v>652705.0</v>
      </c>
      <c r="AC17" s="23"/>
      <c r="AD17" s="26" t="n">
        <f>1647494</f>
        <v>1647494.0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71185</f>
        <v>71185.0</v>
      </c>
      <c r="F18" s="23"/>
      <c r="G18" s="25" t="n">
        <f>73305</f>
        <v>73305.0</v>
      </c>
      <c r="H18" s="23"/>
      <c r="I18" s="26" t="n">
        <f>144490</f>
        <v>144490.0</v>
      </c>
      <c r="J18" s="24"/>
      <c r="K18" s="25" t="n">
        <f>24986668994</f>
        <v>2.4986668994E10</v>
      </c>
      <c r="L18" s="23"/>
      <c r="M18" s="25" t="n">
        <f>28954062910</f>
        <v>2.895406291E10</v>
      </c>
      <c r="N18" s="23"/>
      <c r="O18" s="26" t="n">
        <f>53940731904</f>
        <v>5.3940731904E10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21485</f>
        <v>21485.0</v>
      </c>
      <c r="U18" s="23"/>
      <c r="V18" s="25" t="n">
        <f>21715</f>
        <v>21715.0</v>
      </c>
      <c r="W18" s="23"/>
      <c r="X18" s="26" t="n">
        <f>43200</f>
        <v>43200.0</v>
      </c>
      <c r="Y18" s="24" t="s">
        <v>31</v>
      </c>
      <c r="Z18" s="25" t="n">
        <f>1010262</f>
        <v>1010262.0</v>
      </c>
      <c r="AA18" s="23" t="s">
        <v>31</v>
      </c>
      <c r="AB18" s="25" t="n">
        <f>658766</f>
        <v>658766.0</v>
      </c>
      <c r="AC18" s="23" t="s">
        <v>31</v>
      </c>
      <c r="AD18" s="26" t="n">
        <f>1669028</f>
        <v>1669028.0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43371</f>
        <v>43371.0</v>
      </c>
      <c r="F19" s="23"/>
      <c r="G19" s="25" t="n">
        <f>38648</f>
        <v>38648.0</v>
      </c>
      <c r="H19" s="23"/>
      <c r="I19" s="26" t="n">
        <f>82019</f>
        <v>82019.0</v>
      </c>
      <c r="J19" s="24"/>
      <c r="K19" s="25" t="n">
        <f>16655155220</f>
        <v>1.665515522E10</v>
      </c>
      <c r="L19" s="23"/>
      <c r="M19" s="25" t="n">
        <f>10477954040</f>
        <v>1.047795404E10</v>
      </c>
      <c r="N19" s="23"/>
      <c r="O19" s="26" t="n">
        <f>27133109260</f>
        <v>2.713310926E10</v>
      </c>
      <c r="P19" s="27" t="n">
        <f>567</f>
        <v>567.0</v>
      </c>
      <c r="Q19" s="28" t="n">
        <f>75808</f>
        <v>75808.0</v>
      </c>
      <c r="R19" s="29" t="n">
        <f>76375</f>
        <v>76375.0</v>
      </c>
      <c r="S19" s="24"/>
      <c r="T19" s="25" t="n">
        <f>4314</f>
        <v>4314.0</v>
      </c>
      <c r="U19" s="23"/>
      <c r="V19" s="25" t="n">
        <f>5872</f>
        <v>5872.0</v>
      </c>
      <c r="W19" s="23"/>
      <c r="X19" s="26" t="n">
        <f>10186</f>
        <v>10186.0</v>
      </c>
      <c r="Y19" s="24" t="s">
        <v>39</v>
      </c>
      <c r="Z19" s="25" t="n">
        <f>829080</f>
        <v>829080.0</v>
      </c>
      <c r="AA19" s="23" t="s">
        <v>39</v>
      </c>
      <c r="AB19" s="25" t="n">
        <f>527202</f>
        <v>527202.0</v>
      </c>
      <c r="AC19" s="23" t="s">
        <v>39</v>
      </c>
      <c r="AD19" s="26" t="n">
        <f>1356282</f>
        <v>1356282.0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 t="n">
        <f>42722</f>
        <v>42722.0</v>
      </c>
      <c r="F22" s="23"/>
      <c r="G22" s="25" t="n">
        <f>35026</f>
        <v>35026.0</v>
      </c>
      <c r="H22" s="23"/>
      <c r="I22" s="26" t="n">
        <f>77748</f>
        <v>77748.0</v>
      </c>
      <c r="J22" s="24"/>
      <c r="K22" s="25" t="n">
        <f>9007796610</f>
        <v>9.00779661E9</v>
      </c>
      <c r="L22" s="23"/>
      <c r="M22" s="25" t="n">
        <f>9802540370</f>
        <v>9.80254037E9</v>
      </c>
      <c r="N22" s="23"/>
      <c r="O22" s="26" t="n">
        <f>18810336980</f>
        <v>1.881033698E10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6050</f>
        <v>6050.0</v>
      </c>
      <c r="U22" s="23" t="s">
        <v>39</v>
      </c>
      <c r="V22" s="25" t="n">
        <f>5082</f>
        <v>5082.0</v>
      </c>
      <c r="W22" s="23"/>
      <c r="X22" s="26" t="n">
        <f>11132</f>
        <v>11132.0</v>
      </c>
      <c r="Y22" s="24"/>
      <c r="Z22" s="25" t="n">
        <f>839827</f>
        <v>839827.0</v>
      </c>
      <c r="AA22" s="23"/>
      <c r="AB22" s="25" t="n">
        <f>532751</f>
        <v>532751.0</v>
      </c>
      <c r="AC22" s="23"/>
      <c r="AD22" s="26" t="n">
        <f>1372578</f>
        <v>1372578.0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54230</f>
        <v>54230.0</v>
      </c>
      <c r="F23" s="23"/>
      <c r="G23" s="25" t="n">
        <f>48306</f>
        <v>48306.0</v>
      </c>
      <c r="H23" s="23"/>
      <c r="I23" s="26" t="n">
        <f>102536</f>
        <v>102536.0</v>
      </c>
      <c r="J23" s="24"/>
      <c r="K23" s="25" t="n">
        <f>15295010400</f>
        <v>1.52950104E10</v>
      </c>
      <c r="L23" s="23"/>
      <c r="M23" s="25" t="n">
        <f>17099398210</f>
        <v>1.709939821E10</v>
      </c>
      <c r="N23" s="23"/>
      <c r="O23" s="26" t="n">
        <f>32394408610</f>
        <v>3.239440861E10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4525</f>
        <v>4525.0</v>
      </c>
      <c r="U23" s="23"/>
      <c r="V23" s="25" t="n">
        <f>15791</f>
        <v>15791.0</v>
      </c>
      <c r="W23" s="23"/>
      <c r="X23" s="26" t="n">
        <f>20316</f>
        <v>20316.0</v>
      </c>
      <c r="Y23" s="24"/>
      <c r="Z23" s="25" t="n">
        <f>847957</f>
        <v>847957.0</v>
      </c>
      <c r="AA23" s="23"/>
      <c r="AB23" s="25" t="n">
        <f>533407</f>
        <v>533407.0</v>
      </c>
      <c r="AC23" s="23"/>
      <c r="AD23" s="26" t="n">
        <f>1381364</f>
        <v>1381364.0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45754</f>
        <v>45754.0</v>
      </c>
      <c r="F24" s="23"/>
      <c r="G24" s="25" t="n">
        <f>36263</f>
        <v>36263.0</v>
      </c>
      <c r="H24" s="23"/>
      <c r="I24" s="26" t="n">
        <f>82017</f>
        <v>82017.0</v>
      </c>
      <c r="J24" s="24"/>
      <c r="K24" s="25" t="n">
        <f>21360616510</f>
        <v>2.136061651E10</v>
      </c>
      <c r="L24" s="23"/>
      <c r="M24" s="25" t="n">
        <f>16086347300</f>
        <v>1.60863473E10</v>
      </c>
      <c r="N24" s="23"/>
      <c r="O24" s="26" t="n">
        <f>37446963810</f>
        <v>3.744696381E10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18643</f>
        <v>18643.0</v>
      </c>
      <c r="U24" s="23"/>
      <c r="V24" s="25" t="n">
        <f>10348</f>
        <v>10348.0</v>
      </c>
      <c r="W24" s="23"/>
      <c r="X24" s="26" t="n">
        <f>28991</f>
        <v>28991.0</v>
      </c>
      <c r="Y24" s="24"/>
      <c r="Z24" s="25" t="n">
        <f>861578</f>
        <v>861578.0</v>
      </c>
      <c r="AA24" s="23"/>
      <c r="AB24" s="25" t="n">
        <f>534723</f>
        <v>534723.0</v>
      </c>
      <c r="AC24" s="23"/>
      <c r="AD24" s="26" t="n">
        <f>1396301</f>
        <v>1396301.0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40595</f>
        <v>40595.0</v>
      </c>
      <c r="F25" s="23"/>
      <c r="G25" s="25" t="n">
        <f>49767</f>
        <v>49767.0</v>
      </c>
      <c r="H25" s="23"/>
      <c r="I25" s="26" t="n">
        <f>90362</f>
        <v>90362.0</v>
      </c>
      <c r="J25" s="24"/>
      <c r="K25" s="25" t="n">
        <f>8550021500</f>
        <v>8.5500215E9</v>
      </c>
      <c r="L25" s="23"/>
      <c r="M25" s="25" t="n">
        <f>22769723380</f>
        <v>2.276972338E10</v>
      </c>
      <c r="N25" s="23"/>
      <c r="O25" s="26" t="n">
        <f>31319744880</f>
        <v>3.131974488E10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4819</f>
        <v>4819.0</v>
      </c>
      <c r="U25" s="23"/>
      <c r="V25" s="25" t="n">
        <f>13518</f>
        <v>13518.0</v>
      </c>
      <c r="W25" s="23"/>
      <c r="X25" s="26" t="n">
        <f>18337</f>
        <v>18337.0</v>
      </c>
      <c r="Y25" s="24"/>
      <c r="Z25" s="25" t="n">
        <f>869898</f>
        <v>869898.0</v>
      </c>
      <c r="AA25" s="23"/>
      <c r="AB25" s="25" t="n">
        <f>547731</f>
        <v>547731.0</v>
      </c>
      <c r="AC25" s="23"/>
      <c r="AD25" s="26" t="n">
        <f>1417629</f>
        <v>1417629.0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48420</f>
        <v>48420.0</v>
      </c>
      <c r="F26" s="23" t="s">
        <v>39</v>
      </c>
      <c r="G26" s="25" t="n">
        <f>24790</f>
        <v>24790.0</v>
      </c>
      <c r="H26" s="23"/>
      <c r="I26" s="26" t="n">
        <f>73210</f>
        <v>73210.0</v>
      </c>
      <c r="J26" s="24"/>
      <c r="K26" s="25" t="n">
        <f>9460743231</f>
        <v>9.460743231E9</v>
      </c>
      <c r="L26" s="23" t="s">
        <v>39</v>
      </c>
      <c r="M26" s="25" t="n">
        <f>4397897440</f>
        <v>4.39789744E9</v>
      </c>
      <c r="N26" s="23"/>
      <c r="O26" s="26" t="n">
        <f>13858640671</f>
        <v>1.3858640671E10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14216</f>
        <v>14216.0</v>
      </c>
      <c r="U26" s="23"/>
      <c r="V26" s="25" t="n">
        <f>6553</f>
        <v>6553.0</v>
      </c>
      <c r="W26" s="23"/>
      <c r="X26" s="26" t="n">
        <f>20769</f>
        <v>20769.0</v>
      </c>
      <c r="Y26" s="24"/>
      <c r="Z26" s="25" t="n">
        <f>885657</f>
        <v>885657.0</v>
      </c>
      <c r="AA26" s="23"/>
      <c r="AB26" s="25" t="n">
        <f>550846</f>
        <v>550846.0</v>
      </c>
      <c r="AC26" s="23"/>
      <c r="AD26" s="26" t="n">
        <f>1436503</f>
        <v>1436503.0</v>
      </c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 t="s">
        <v>39</v>
      </c>
      <c r="E30" s="25" t="n">
        <f>33754</f>
        <v>33754.0</v>
      </c>
      <c r="F30" s="23"/>
      <c r="G30" s="25" t="n">
        <f>25160</f>
        <v>25160.0</v>
      </c>
      <c r="H30" s="23" t="s">
        <v>39</v>
      </c>
      <c r="I30" s="26" t="n">
        <f>58914</f>
        <v>58914.0</v>
      </c>
      <c r="J30" s="24"/>
      <c r="K30" s="25" t="n">
        <f>7529083920</f>
        <v>7.52908392E9</v>
      </c>
      <c r="L30" s="23"/>
      <c r="M30" s="25" t="n">
        <f>4644682040</f>
        <v>4.64468204E9</v>
      </c>
      <c r="N30" s="23" t="s">
        <v>39</v>
      </c>
      <c r="O30" s="26" t="n">
        <f>12173765960</f>
        <v>1.217376596E10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39</v>
      </c>
      <c r="T30" s="25" t="n">
        <f>2634</f>
        <v>2634.0</v>
      </c>
      <c r="U30" s="23"/>
      <c r="V30" s="25" t="n">
        <f>5820</f>
        <v>5820.0</v>
      </c>
      <c r="W30" s="23" t="s">
        <v>39</v>
      </c>
      <c r="X30" s="26" t="n">
        <f>8454</f>
        <v>8454.0</v>
      </c>
      <c r="Y30" s="24"/>
      <c r="Z30" s="25" t="n">
        <f>891354</f>
        <v>891354.0</v>
      </c>
      <c r="AA30" s="23"/>
      <c r="AB30" s="25" t="n">
        <f>556062</f>
        <v>556062.0</v>
      </c>
      <c r="AC30" s="23"/>
      <c r="AD30" s="26" t="n">
        <f>1447416</f>
        <v>1447416.0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56781</f>
        <v>56781.0</v>
      </c>
      <c r="F31" s="23"/>
      <c r="G31" s="25" t="n">
        <f>36192</f>
        <v>36192.0</v>
      </c>
      <c r="H31" s="23"/>
      <c r="I31" s="26" t="n">
        <f>92973</f>
        <v>92973.0</v>
      </c>
      <c r="J31" s="24"/>
      <c r="K31" s="25" t="n">
        <f>11490341340</f>
        <v>1.149034134E10</v>
      </c>
      <c r="L31" s="23"/>
      <c r="M31" s="25" t="n">
        <f>6662306467</f>
        <v>6.662306467E9</v>
      </c>
      <c r="N31" s="23"/>
      <c r="O31" s="26" t="n">
        <f>18152647807</f>
        <v>1.8152647807E10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9470</f>
        <v>9470.0</v>
      </c>
      <c r="U31" s="23"/>
      <c r="V31" s="25" t="n">
        <f>6884</f>
        <v>6884.0</v>
      </c>
      <c r="W31" s="23"/>
      <c r="X31" s="26" t="n">
        <f>16354</f>
        <v>16354.0</v>
      </c>
      <c r="Y31" s="24"/>
      <c r="Z31" s="25" t="n">
        <f>896991</f>
        <v>896991.0</v>
      </c>
      <c r="AA31" s="23"/>
      <c r="AB31" s="25" t="n">
        <f>559716</f>
        <v>559716.0</v>
      </c>
      <c r="AC31" s="23"/>
      <c r="AD31" s="26" t="n">
        <f>1456707</f>
        <v>1456707.0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55988</f>
        <v>55988.0</v>
      </c>
      <c r="F33" s="23"/>
      <c r="G33" s="25" t="n">
        <f>38318</f>
        <v>38318.0</v>
      </c>
      <c r="H33" s="23"/>
      <c r="I33" s="26" t="n">
        <f>94306</f>
        <v>94306.0</v>
      </c>
      <c r="J33" s="24"/>
      <c r="K33" s="25" t="n">
        <f>8893426491</f>
        <v>8.893426491E9</v>
      </c>
      <c r="L33" s="23"/>
      <c r="M33" s="25" t="n">
        <f>6976047440</f>
        <v>6.97604744E9</v>
      </c>
      <c r="N33" s="23"/>
      <c r="O33" s="26" t="n">
        <f>15869473931</f>
        <v>1.5869473931E10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17787</f>
        <v>17787.0</v>
      </c>
      <c r="U33" s="23"/>
      <c r="V33" s="25" t="n">
        <f>7658</f>
        <v>7658.0</v>
      </c>
      <c r="W33" s="23"/>
      <c r="X33" s="26" t="n">
        <f>25445</f>
        <v>25445.0</v>
      </c>
      <c r="Y33" s="24"/>
      <c r="Z33" s="25" t="n">
        <f>903408</f>
        <v>903408.0</v>
      </c>
      <c r="AA33" s="23"/>
      <c r="AB33" s="25" t="n">
        <f>561768</f>
        <v>561768.0</v>
      </c>
      <c r="AC33" s="23"/>
      <c r="AD33" s="26" t="n">
        <f>1465176</f>
        <v>1465176.0</v>
      </c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 t="n">
        <f>38950</f>
        <v>38950.0</v>
      </c>
      <c r="F36" s="23"/>
      <c r="G36" s="25" t="n">
        <f>32649</f>
        <v>32649.0</v>
      </c>
      <c r="H36" s="23"/>
      <c r="I36" s="26" t="n">
        <f>71599</f>
        <v>71599.0</v>
      </c>
      <c r="J36" s="24" t="s">
        <v>39</v>
      </c>
      <c r="K36" s="25" t="n">
        <f>5265023310</f>
        <v>5.26502331E9</v>
      </c>
      <c r="L36" s="23"/>
      <c r="M36" s="25" t="n">
        <f>11282899580</f>
        <v>1.128289958E10</v>
      </c>
      <c r="N36" s="23"/>
      <c r="O36" s="26" t="n">
        <f>16547922890</f>
        <v>1.654792289E10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10546</f>
        <v>10546.0</v>
      </c>
      <c r="U36" s="23"/>
      <c r="V36" s="25" t="n">
        <f>7651</f>
        <v>7651.0</v>
      </c>
      <c r="W36" s="23"/>
      <c r="X36" s="26" t="n">
        <f>18197</f>
        <v>18197.0</v>
      </c>
      <c r="Y36" s="24"/>
      <c r="Z36" s="25" t="n">
        <f>909724</f>
        <v>909724.0</v>
      </c>
      <c r="AA36" s="23"/>
      <c r="AB36" s="25" t="n">
        <f>563564</f>
        <v>563564.0</v>
      </c>
      <c r="AC36" s="23"/>
      <c r="AD36" s="26" t="n">
        <f>1473288</f>
        <v>1473288.0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42741</f>
        <v>42741.0</v>
      </c>
      <c r="F37" s="23"/>
      <c r="G37" s="25" t="n">
        <f>34922</f>
        <v>34922.0</v>
      </c>
      <c r="H37" s="23"/>
      <c r="I37" s="26" t="n">
        <f>77663</f>
        <v>77663.0</v>
      </c>
      <c r="J37" s="24"/>
      <c r="K37" s="25" t="n">
        <f>9376284160</f>
        <v>9.37628416E9</v>
      </c>
      <c r="L37" s="23"/>
      <c r="M37" s="25" t="n">
        <f>14912220080</f>
        <v>1.491222008E10</v>
      </c>
      <c r="N37" s="23"/>
      <c r="O37" s="26" t="n">
        <f>24288504240</f>
        <v>2.428850424E10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9361</f>
        <v>9361.0</v>
      </c>
      <c r="U37" s="23"/>
      <c r="V37" s="25" t="n">
        <f>8738</f>
        <v>8738.0</v>
      </c>
      <c r="W37" s="23"/>
      <c r="X37" s="26" t="n">
        <f>18099</f>
        <v>18099.0</v>
      </c>
      <c r="Y37" s="24"/>
      <c r="Z37" s="25" t="n">
        <f>914091</f>
        <v>914091.0</v>
      </c>
      <c r="AA37" s="23"/>
      <c r="AB37" s="25" t="n">
        <f>565428</f>
        <v>565428.0</v>
      </c>
      <c r="AC37" s="23"/>
      <c r="AD37" s="26" t="n">
        <f>1479519</f>
        <v>1479519.0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52930</f>
        <v>52930.0</v>
      </c>
      <c r="F38" s="23"/>
      <c r="G38" s="25" t="n">
        <f>45737</f>
        <v>45737.0</v>
      </c>
      <c r="H38" s="23"/>
      <c r="I38" s="26" t="n">
        <f>98667</f>
        <v>98667.0</v>
      </c>
      <c r="J38" s="24"/>
      <c r="K38" s="25" t="n">
        <f>12025634245</f>
        <v>1.2025634245E10</v>
      </c>
      <c r="L38" s="23"/>
      <c r="M38" s="25" t="n">
        <f>7192627460</f>
        <v>7.19262746E9</v>
      </c>
      <c r="N38" s="23"/>
      <c r="O38" s="26" t="n">
        <f>19218261705</f>
        <v>1.9218261705E10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11391</f>
        <v>11391.0</v>
      </c>
      <c r="U38" s="23"/>
      <c r="V38" s="25" t="n">
        <f>9469</f>
        <v>9469.0</v>
      </c>
      <c r="W38" s="23"/>
      <c r="X38" s="26" t="n">
        <f>20860</f>
        <v>20860.0</v>
      </c>
      <c r="Y38" s="24"/>
      <c r="Z38" s="25" t="n">
        <f>921463</f>
        <v>921463.0</v>
      </c>
      <c r="AA38" s="23"/>
      <c r="AB38" s="25" t="n">
        <f>572705</f>
        <v>572705.0</v>
      </c>
      <c r="AC38" s="23"/>
      <c r="AD38" s="26" t="n">
        <f>1494168</f>
        <v>1494168.0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62157</f>
        <v>62157.0</v>
      </c>
      <c r="F39" s="23"/>
      <c r="G39" s="25" t="n">
        <f>50597</f>
        <v>50597.0</v>
      </c>
      <c r="H39" s="23"/>
      <c r="I39" s="26" t="n">
        <f>112754</f>
        <v>112754.0</v>
      </c>
      <c r="J39" s="24"/>
      <c r="K39" s="25" t="n">
        <f>15762513660</f>
        <v>1.576251366E10</v>
      </c>
      <c r="L39" s="23"/>
      <c r="M39" s="25" t="n">
        <f>9567071420</f>
        <v>9.56707142E9</v>
      </c>
      <c r="N39" s="23"/>
      <c r="O39" s="26" t="n">
        <f>25329585080</f>
        <v>2.532958508E10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24484</f>
        <v>24484.0</v>
      </c>
      <c r="U39" s="23"/>
      <c r="V39" s="25" t="n">
        <f>10020</f>
        <v>10020.0</v>
      </c>
      <c r="W39" s="23"/>
      <c r="X39" s="26" t="n">
        <f>34504</f>
        <v>34504.0</v>
      </c>
      <c r="Y39" s="24"/>
      <c r="Z39" s="25" t="n">
        <f>932084</f>
        <v>932084.0</v>
      </c>
      <c r="AA39" s="23"/>
      <c r="AB39" s="25" t="n">
        <f>575834</f>
        <v>575834.0</v>
      </c>
      <c r="AC39" s="23"/>
      <c r="AD39" s="26" t="n">
        <f>1507918</f>
        <v>1507918.0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2377</f>
        <v>2377.0</v>
      </c>
      <c r="F40" s="23"/>
      <c r="G40" s="25" t="n">
        <f>1527</f>
        <v>1527.0</v>
      </c>
      <c r="H40" s="23"/>
      <c r="I40" s="26" t="n">
        <f>3904</f>
        <v>3904.0</v>
      </c>
      <c r="J40" s="24"/>
      <c r="K40" s="25" t="n">
        <f>57217000</f>
        <v>5.7217E7</v>
      </c>
      <c r="L40" s="23"/>
      <c r="M40" s="25" t="n">
        <f>123292000</f>
        <v>1.23292E8</v>
      </c>
      <c r="N40" s="23"/>
      <c r="O40" s="26" t="n">
        <f>180509000</f>
        <v>1.80509E8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198</f>
        <v>198.0</v>
      </c>
      <c r="U40" s="23"/>
      <c r="V40" s="25" t="n">
        <f>133</f>
        <v>133.0</v>
      </c>
      <c r="W40" s="23"/>
      <c r="X40" s="26" t="n">
        <f>331</f>
        <v>331.0</v>
      </c>
      <c r="Y40" s="24"/>
      <c r="Z40" s="25" t="n">
        <f>2916</f>
        <v>2916.0</v>
      </c>
      <c r="AA40" s="23"/>
      <c r="AB40" s="25" t="n">
        <f>2472</f>
        <v>2472.0</v>
      </c>
      <c r="AC40" s="23"/>
      <c r="AD40" s="26" t="n">
        <f>5388</f>
        <v>5388.0</v>
      </c>
    </row>
    <row r="41">
      <c r="A41" s="30" t="s">
        <v>29</v>
      </c>
      <c r="B41" s="22" t="s">
        <v>60</v>
      </c>
      <c r="C41" s="22" t="s">
        <v>61</v>
      </c>
      <c r="D41" s="24"/>
      <c r="E41" s="25" t="n">
        <f>2196</f>
        <v>2196.0</v>
      </c>
      <c r="F41" s="23"/>
      <c r="G41" s="25" t="n">
        <f>2174</f>
        <v>2174.0</v>
      </c>
      <c r="H41" s="23"/>
      <c r="I41" s="26" t="n">
        <f>4370</f>
        <v>4370.0</v>
      </c>
      <c r="J41" s="24"/>
      <c r="K41" s="25" t="n">
        <f>70399000</f>
        <v>7.0399E7</v>
      </c>
      <c r="L41" s="23"/>
      <c r="M41" s="25" t="n">
        <f>160558000</f>
        <v>1.60558E8</v>
      </c>
      <c r="N41" s="23"/>
      <c r="O41" s="26" t="n">
        <f>230957000</f>
        <v>2.30957E8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237</f>
        <v>237.0</v>
      </c>
      <c r="U41" s="23"/>
      <c r="V41" s="25" t="n">
        <f>189</f>
        <v>189.0</v>
      </c>
      <c r="W41" s="23"/>
      <c r="X41" s="26" t="n">
        <f>426</f>
        <v>426.0</v>
      </c>
      <c r="Y41" s="24"/>
      <c r="Z41" s="25" t="n">
        <f>3539</f>
        <v>3539.0</v>
      </c>
      <c r="AA41" s="23"/>
      <c r="AB41" s="25" t="n">
        <f>3246</f>
        <v>3246.0</v>
      </c>
      <c r="AC41" s="23"/>
      <c r="AD41" s="26" t="n">
        <f>6785</f>
        <v>6785.0</v>
      </c>
    </row>
    <row r="42">
      <c r="A42" s="30" t="s">
        <v>30</v>
      </c>
      <c r="B42" s="22" t="s">
        <v>60</v>
      </c>
      <c r="C42" s="22" t="s">
        <v>61</v>
      </c>
      <c r="D42" s="24" t="s">
        <v>39</v>
      </c>
      <c r="E42" s="25" t="n">
        <f>224</f>
        <v>224.0</v>
      </c>
      <c r="F42" s="23"/>
      <c r="G42" s="25" t="n">
        <f>300</f>
        <v>300.0</v>
      </c>
      <c r="H42" s="23"/>
      <c r="I42" s="26" t="n">
        <f>524</f>
        <v>524.0</v>
      </c>
      <c r="J42" s="24"/>
      <c r="K42" s="25" t="n">
        <f>25375000</f>
        <v>2.5375E7</v>
      </c>
      <c r="L42" s="23"/>
      <c r="M42" s="25" t="n">
        <f>74830000</f>
        <v>7.483E7</v>
      </c>
      <c r="N42" s="23"/>
      <c r="O42" s="26" t="n">
        <f>100205000</f>
        <v>1.00205E8</v>
      </c>
      <c r="P42" s="27" t="n">
        <f>16</f>
        <v>16.0</v>
      </c>
      <c r="Q42" s="28" t="n">
        <f>1123</f>
        <v>1123.0</v>
      </c>
      <c r="R42" s="29" t="n">
        <f>1139</f>
        <v>1139.0</v>
      </c>
      <c r="S42" s="24" t="s">
        <v>39</v>
      </c>
      <c r="T42" s="25" t="n">
        <f>1</f>
        <v>1.0</v>
      </c>
      <c r="U42" s="23"/>
      <c r="V42" s="25" t="n">
        <f>292</f>
        <v>292.0</v>
      </c>
      <c r="W42" s="23"/>
      <c r="X42" s="26" t="n">
        <f>293</f>
        <v>293.0</v>
      </c>
      <c r="Y42" s="24" t="s">
        <v>39</v>
      </c>
      <c r="Z42" s="25" t="n">
        <f>295</f>
        <v>295.0</v>
      </c>
      <c r="AA42" s="23" t="s">
        <v>39</v>
      </c>
      <c r="AB42" s="25" t="n">
        <f>1335</f>
        <v>1335.0</v>
      </c>
      <c r="AC42" s="23" t="s">
        <v>39</v>
      </c>
      <c r="AD42" s="26" t="n">
        <f>1630</f>
        <v>1630.0</v>
      </c>
    </row>
    <row r="43">
      <c r="A43" s="30" t="s">
        <v>32</v>
      </c>
      <c r="B43" s="22" t="s">
        <v>60</v>
      </c>
      <c r="C43" s="22" t="s">
        <v>61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33</v>
      </c>
      <c r="B44" s="22" t="s">
        <v>60</v>
      </c>
      <c r="C44" s="22" t="s">
        <v>61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34</v>
      </c>
      <c r="B45" s="22" t="s">
        <v>60</v>
      </c>
      <c r="C45" s="22" t="s">
        <v>61</v>
      </c>
      <c r="D45" s="24"/>
      <c r="E45" s="25" t="n">
        <f>305</f>
        <v>305.0</v>
      </c>
      <c r="F45" s="23"/>
      <c r="G45" s="25" t="n">
        <f>30</f>
        <v>30.0</v>
      </c>
      <c r="H45" s="23" t="s">
        <v>39</v>
      </c>
      <c r="I45" s="26" t="n">
        <f>335</f>
        <v>335.0</v>
      </c>
      <c r="J45" s="24" t="s">
        <v>39</v>
      </c>
      <c r="K45" s="25" t="n">
        <f>17814000</f>
        <v>1.7814E7</v>
      </c>
      <c r="L45" s="23"/>
      <c r="M45" s="25" t="n">
        <f>12240000</f>
        <v>1.224E7</v>
      </c>
      <c r="N45" s="23"/>
      <c r="O45" s="26" t="n">
        <f>30054000</f>
        <v>3.0054E7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18</f>
        <v>18.0</v>
      </c>
      <c r="U45" s="23"/>
      <c r="V45" s="25" t="n">
        <f>1</f>
        <v>1.0</v>
      </c>
      <c r="W45" s="23" t="s">
        <v>39</v>
      </c>
      <c r="X45" s="26" t="n">
        <f>19</f>
        <v>19.0</v>
      </c>
      <c r="Y45" s="24"/>
      <c r="Z45" s="25" t="n">
        <f>495</f>
        <v>495.0</v>
      </c>
      <c r="AA45" s="23"/>
      <c r="AB45" s="25" t="n">
        <f>1339</f>
        <v>1339.0</v>
      </c>
      <c r="AC45" s="23"/>
      <c r="AD45" s="26" t="n">
        <f>1834</f>
        <v>1834.0</v>
      </c>
    </row>
    <row r="46">
      <c r="A46" s="30" t="s">
        <v>35</v>
      </c>
      <c r="B46" s="22" t="s">
        <v>60</v>
      </c>
      <c r="C46" s="22" t="s">
        <v>61</v>
      </c>
      <c r="D46" s="24"/>
      <c r="E46" s="25" t="n">
        <f>455</f>
        <v>455.0</v>
      </c>
      <c r="F46" s="23" t="s">
        <v>39</v>
      </c>
      <c r="G46" s="25" t="str">
        <f>"－"</f>
        <v>－</v>
      </c>
      <c r="H46" s="23"/>
      <c r="I46" s="26" t="n">
        <f>455</f>
        <v>455.0</v>
      </c>
      <c r="J46" s="24"/>
      <c r="K46" s="25" t="n">
        <f>23447000</f>
        <v>2.3447E7</v>
      </c>
      <c r="L46" s="23" t="s">
        <v>39</v>
      </c>
      <c r="M46" s="25" t="str">
        <f>"－"</f>
        <v>－</v>
      </c>
      <c r="N46" s="23" t="s">
        <v>39</v>
      </c>
      <c r="O46" s="26" t="n">
        <f>23447000</f>
        <v>2.3447E7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19</f>
        <v>19.0</v>
      </c>
      <c r="U46" s="23" t="s">
        <v>39</v>
      </c>
      <c r="V46" s="25" t="str">
        <f>"－"</f>
        <v>－</v>
      </c>
      <c r="W46" s="23"/>
      <c r="X46" s="26" t="n">
        <f>19</f>
        <v>19.0</v>
      </c>
      <c r="Y46" s="24"/>
      <c r="Z46" s="25" t="n">
        <f>894</f>
        <v>894.0</v>
      </c>
      <c r="AA46" s="23"/>
      <c r="AB46" s="25" t="n">
        <f>1339</f>
        <v>1339.0</v>
      </c>
      <c r="AC46" s="23"/>
      <c r="AD46" s="26" t="n">
        <f>2233</f>
        <v>2233.0</v>
      </c>
    </row>
    <row r="47">
      <c r="A47" s="30" t="s">
        <v>36</v>
      </c>
      <c r="B47" s="22" t="s">
        <v>60</v>
      </c>
      <c r="C47" s="22" t="s">
        <v>61</v>
      </c>
      <c r="D47" s="24"/>
      <c r="E47" s="25" t="n">
        <f>900</f>
        <v>900.0</v>
      </c>
      <c r="F47" s="23"/>
      <c r="G47" s="25" t="n">
        <f>292</f>
        <v>292.0</v>
      </c>
      <c r="H47" s="23"/>
      <c r="I47" s="26" t="n">
        <f>1192</f>
        <v>1192.0</v>
      </c>
      <c r="J47" s="24"/>
      <c r="K47" s="25" t="n">
        <f>42884000</f>
        <v>4.2884E7</v>
      </c>
      <c r="L47" s="23"/>
      <c r="M47" s="25" t="n">
        <f>57497000</f>
        <v>5.7497E7</v>
      </c>
      <c r="N47" s="23"/>
      <c r="O47" s="26" t="n">
        <f>100381000</f>
        <v>1.00381E8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44</f>
        <v>44.0</v>
      </c>
      <c r="U47" s="23"/>
      <c r="V47" s="25" t="n">
        <f>38</f>
        <v>38.0</v>
      </c>
      <c r="W47" s="23"/>
      <c r="X47" s="26" t="n">
        <f>82</f>
        <v>82.0</v>
      </c>
      <c r="Y47" s="24"/>
      <c r="Z47" s="25" t="n">
        <f>1637</f>
        <v>1637.0</v>
      </c>
      <c r="AA47" s="23"/>
      <c r="AB47" s="25" t="n">
        <f>1584</f>
        <v>1584.0</v>
      </c>
      <c r="AC47" s="23"/>
      <c r="AD47" s="26" t="n">
        <f>3221</f>
        <v>3221.0</v>
      </c>
    </row>
    <row r="48">
      <c r="A48" s="30" t="s">
        <v>37</v>
      </c>
      <c r="B48" s="22" t="s">
        <v>60</v>
      </c>
      <c r="C48" s="22" t="s">
        <v>61</v>
      </c>
      <c r="D48" s="24"/>
      <c r="E48" s="25" t="n">
        <f>1028</f>
        <v>1028.0</v>
      </c>
      <c r="F48" s="23"/>
      <c r="G48" s="25" t="n">
        <f>242</f>
        <v>242.0</v>
      </c>
      <c r="H48" s="23"/>
      <c r="I48" s="26" t="n">
        <f>1270</f>
        <v>1270.0</v>
      </c>
      <c r="J48" s="24"/>
      <c r="K48" s="25" t="n">
        <f>57951000</f>
        <v>5.7951E7</v>
      </c>
      <c r="L48" s="23"/>
      <c r="M48" s="25" t="n">
        <f>28669000</f>
        <v>2.8669E7</v>
      </c>
      <c r="N48" s="23"/>
      <c r="O48" s="26" t="n">
        <f>86620000</f>
        <v>8.662E7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93</f>
        <v>93.0</v>
      </c>
      <c r="U48" s="23"/>
      <c r="V48" s="25" t="n">
        <f>30</f>
        <v>30.0</v>
      </c>
      <c r="W48" s="23"/>
      <c r="X48" s="26" t="n">
        <f>123</f>
        <v>123.0</v>
      </c>
      <c r="Y48" s="24"/>
      <c r="Z48" s="25" t="n">
        <f>2406</f>
        <v>2406.0</v>
      </c>
      <c r="AA48" s="23"/>
      <c r="AB48" s="25" t="n">
        <f>1749</f>
        <v>1749.0</v>
      </c>
      <c r="AC48" s="23"/>
      <c r="AD48" s="26" t="n">
        <f>4155</f>
        <v>4155.0</v>
      </c>
    </row>
    <row r="49">
      <c r="A49" s="30" t="s">
        <v>38</v>
      </c>
      <c r="B49" s="22" t="s">
        <v>60</v>
      </c>
      <c r="C49" s="22" t="s">
        <v>61</v>
      </c>
      <c r="D49" s="24"/>
      <c r="E49" s="25" t="n">
        <f>1871</f>
        <v>1871.0</v>
      </c>
      <c r="F49" s="23"/>
      <c r="G49" s="25" t="n">
        <f>1099</f>
        <v>1099.0</v>
      </c>
      <c r="H49" s="23"/>
      <c r="I49" s="26" t="n">
        <f>2970</f>
        <v>2970.0</v>
      </c>
      <c r="J49" s="24"/>
      <c r="K49" s="25" t="n">
        <f>109189000</f>
        <v>1.09189E8</v>
      </c>
      <c r="L49" s="23"/>
      <c r="M49" s="25" t="n">
        <f>130727000</f>
        <v>1.30727E8</v>
      </c>
      <c r="N49" s="23"/>
      <c r="O49" s="26" t="n">
        <f>239916000</f>
        <v>2.39916E8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108</f>
        <v>108.0</v>
      </c>
      <c r="U49" s="23"/>
      <c r="V49" s="25" t="n">
        <f>58</f>
        <v>58.0</v>
      </c>
      <c r="W49" s="23"/>
      <c r="X49" s="26" t="n">
        <f>166</f>
        <v>166.0</v>
      </c>
      <c r="Y49" s="24"/>
      <c r="Z49" s="25" t="n">
        <f>3373</f>
        <v>3373.0</v>
      </c>
      <c r="AA49" s="23"/>
      <c r="AB49" s="25" t="n">
        <f>2283</f>
        <v>2283.0</v>
      </c>
      <c r="AC49" s="23"/>
      <c r="AD49" s="26" t="n">
        <f>5656</f>
        <v>5656.0</v>
      </c>
    </row>
    <row r="50">
      <c r="A50" s="30" t="s">
        <v>40</v>
      </c>
      <c r="B50" s="22" t="s">
        <v>60</v>
      </c>
      <c r="C50" s="22" t="s">
        <v>61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41</v>
      </c>
      <c r="B51" s="22" t="s">
        <v>60</v>
      </c>
      <c r="C51" s="22" t="s">
        <v>61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42</v>
      </c>
      <c r="B52" s="22" t="s">
        <v>60</v>
      </c>
      <c r="C52" s="22" t="s">
        <v>61</v>
      </c>
      <c r="D52" s="24"/>
      <c r="E52" s="25" t="n">
        <f>4433</f>
        <v>4433.0</v>
      </c>
      <c r="F52" s="23"/>
      <c r="G52" s="25" t="n">
        <f>1614</f>
        <v>1614.0</v>
      </c>
      <c r="H52" s="23"/>
      <c r="I52" s="26" t="n">
        <f>6047</f>
        <v>6047.0</v>
      </c>
      <c r="J52" s="24"/>
      <c r="K52" s="25" t="n">
        <f>104395000</f>
        <v>1.04395E8</v>
      </c>
      <c r="L52" s="23"/>
      <c r="M52" s="25" t="n">
        <f>115027000</f>
        <v>1.15027E8</v>
      </c>
      <c r="N52" s="23"/>
      <c r="O52" s="26" t="n">
        <f>219422000</f>
        <v>2.19422E8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407</f>
        <v>407.0</v>
      </c>
      <c r="U52" s="23"/>
      <c r="V52" s="25" t="n">
        <f>393</f>
        <v>393.0</v>
      </c>
      <c r="W52" s="23"/>
      <c r="X52" s="26" t="n">
        <f>800</f>
        <v>800.0</v>
      </c>
      <c r="Y52" s="24"/>
      <c r="Z52" s="25" t="n">
        <f>6319</f>
        <v>6319.0</v>
      </c>
      <c r="AA52" s="23"/>
      <c r="AB52" s="25" t="n">
        <f>2804</f>
        <v>2804.0</v>
      </c>
      <c r="AC52" s="23"/>
      <c r="AD52" s="26" t="n">
        <f>9123</f>
        <v>9123.0</v>
      </c>
    </row>
    <row r="53">
      <c r="A53" s="30" t="s">
        <v>43</v>
      </c>
      <c r="B53" s="22" t="s">
        <v>60</v>
      </c>
      <c r="C53" s="22" t="s">
        <v>61</v>
      </c>
      <c r="D53" s="24"/>
      <c r="E53" s="25" t="n">
        <f>3379</f>
        <v>3379.0</v>
      </c>
      <c r="F53" s="23"/>
      <c r="G53" s="25" t="n">
        <f>1505</f>
        <v>1505.0</v>
      </c>
      <c r="H53" s="23"/>
      <c r="I53" s="26" t="n">
        <f>4884</f>
        <v>4884.0</v>
      </c>
      <c r="J53" s="24"/>
      <c r="K53" s="25" t="n">
        <f>102900000</f>
        <v>1.029E8</v>
      </c>
      <c r="L53" s="23"/>
      <c r="M53" s="25" t="n">
        <f>125227000</f>
        <v>1.25227E8</v>
      </c>
      <c r="N53" s="23"/>
      <c r="O53" s="26" t="n">
        <f>228127000</f>
        <v>2.28127E8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433</f>
        <v>433.0</v>
      </c>
      <c r="U53" s="23"/>
      <c r="V53" s="25" t="n">
        <f>198</f>
        <v>198.0</v>
      </c>
      <c r="W53" s="23"/>
      <c r="X53" s="26" t="n">
        <f>631</f>
        <v>631.0</v>
      </c>
      <c r="Y53" s="24"/>
      <c r="Z53" s="25" t="n">
        <f>6958</f>
        <v>6958.0</v>
      </c>
      <c r="AA53" s="23"/>
      <c r="AB53" s="25" t="n">
        <f>3251</f>
        <v>3251.0</v>
      </c>
      <c r="AC53" s="23"/>
      <c r="AD53" s="26" t="n">
        <f>10209</f>
        <v>10209.0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2997</f>
        <v>2997.0</v>
      </c>
      <c r="F54" s="23"/>
      <c r="G54" s="25" t="n">
        <f>1767</f>
        <v>1767.0</v>
      </c>
      <c r="H54" s="23"/>
      <c r="I54" s="26" t="n">
        <f>4764</f>
        <v>4764.0</v>
      </c>
      <c r="J54" s="24"/>
      <c r="K54" s="25" t="n">
        <f>79993000</f>
        <v>7.9993E7</v>
      </c>
      <c r="L54" s="23"/>
      <c r="M54" s="25" t="n">
        <f>67808000</f>
        <v>6.7808E7</v>
      </c>
      <c r="N54" s="23"/>
      <c r="O54" s="26" t="n">
        <f>147801000</f>
        <v>1.47801E8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223</f>
        <v>223.0</v>
      </c>
      <c r="U54" s="23"/>
      <c r="V54" s="25" t="n">
        <f>286</f>
        <v>286.0</v>
      </c>
      <c r="W54" s="23"/>
      <c r="X54" s="26" t="n">
        <f>509</f>
        <v>509.0</v>
      </c>
      <c r="Y54" s="24"/>
      <c r="Z54" s="25" t="n">
        <f>7832</f>
        <v>7832.0</v>
      </c>
      <c r="AA54" s="23"/>
      <c r="AB54" s="25" t="n">
        <f>3424</f>
        <v>3424.0</v>
      </c>
      <c r="AC54" s="23"/>
      <c r="AD54" s="26" t="n">
        <f>11256</f>
        <v>11256.0</v>
      </c>
    </row>
    <row r="55">
      <c r="A55" s="30" t="s">
        <v>45</v>
      </c>
      <c r="B55" s="22" t="s">
        <v>60</v>
      </c>
      <c r="C55" s="22" t="s">
        <v>61</v>
      </c>
      <c r="D55" s="24" t="s">
        <v>31</v>
      </c>
      <c r="E55" s="25" t="n">
        <f>4699</f>
        <v>4699.0</v>
      </c>
      <c r="F55" s="23"/>
      <c r="G55" s="25" t="n">
        <f>2420</f>
        <v>2420.0</v>
      </c>
      <c r="H55" s="23" t="s">
        <v>31</v>
      </c>
      <c r="I55" s="26" t="n">
        <f>7119</f>
        <v>7119.0</v>
      </c>
      <c r="J55" s="24"/>
      <c r="K55" s="25" t="n">
        <f>127516000</f>
        <v>1.27516E8</v>
      </c>
      <c r="L55" s="23"/>
      <c r="M55" s="25" t="n">
        <f>75031160</f>
        <v>7.503116E7</v>
      </c>
      <c r="N55" s="23"/>
      <c r="O55" s="26" t="n">
        <f>202547160</f>
        <v>2.0254716E8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384</f>
        <v>384.0</v>
      </c>
      <c r="U55" s="23"/>
      <c r="V55" s="25" t="n">
        <f>163</f>
        <v>163.0</v>
      </c>
      <c r="W55" s="23"/>
      <c r="X55" s="26" t="n">
        <f>547</f>
        <v>547.0</v>
      </c>
      <c r="Y55" s="24" t="s">
        <v>31</v>
      </c>
      <c r="Z55" s="25" t="n">
        <f>9318</f>
        <v>9318.0</v>
      </c>
      <c r="AA55" s="23" t="s">
        <v>31</v>
      </c>
      <c r="AB55" s="25" t="n">
        <f>3734</f>
        <v>3734.0</v>
      </c>
      <c r="AC55" s="23" t="s">
        <v>31</v>
      </c>
      <c r="AD55" s="26" t="n">
        <f>13052</f>
        <v>13052.0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1549</f>
        <v>1549.0</v>
      </c>
      <c r="F56" s="23"/>
      <c r="G56" s="25" t="n">
        <f>1530</f>
        <v>1530.0</v>
      </c>
      <c r="H56" s="23"/>
      <c r="I56" s="26" t="n">
        <f>3079</f>
        <v>3079.0</v>
      </c>
      <c r="J56" s="24"/>
      <c r="K56" s="25" t="n">
        <f>66757000</f>
        <v>6.6757E7</v>
      </c>
      <c r="L56" s="23"/>
      <c r="M56" s="25" t="n">
        <f>177008000</f>
        <v>1.77008E8</v>
      </c>
      <c r="N56" s="23"/>
      <c r="O56" s="26" t="n">
        <f>243765000</f>
        <v>2.43765E8</v>
      </c>
      <c r="P56" s="27" t="n">
        <f>35</f>
        <v>35.0</v>
      </c>
      <c r="Q56" s="28" t="n">
        <f>725</f>
        <v>725.0</v>
      </c>
      <c r="R56" s="29" t="n">
        <f>760</f>
        <v>760.0</v>
      </c>
      <c r="S56" s="24"/>
      <c r="T56" s="25" t="n">
        <f>284</f>
        <v>284.0</v>
      </c>
      <c r="U56" s="23"/>
      <c r="V56" s="25" t="n">
        <f>340</f>
        <v>340.0</v>
      </c>
      <c r="W56" s="23"/>
      <c r="X56" s="26" t="n">
        <f>624</f>
        <v>624.0</v>
      </c>
      <c r="Y56" s="24"/>
      <c r="Z56" s="25" t="n">
        <f>3240</f>
        <v>3240.0</v>
      </c>
      <c r="AA56" s="23"/>
      <c r="AB56" s="25" t="n">
        <f>2616</f>
        <v>2616.0</v>
      </c>
      <c r="AC56" s="23"/>
      <c r="AD56" s="26" t="n">
        <f>5856</f>
        <v>5856.0</v>
      </c>
    </row>
    <row r="57">
      <c r="A57" s="30" t="s">
        <v>47</v>
      </c>
      <c r="B57" s="22" t="s">
        <v>60</v>
      </c>
      <c r="C57" s="22" t="s">
        <v>61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50</v>
      </c>
      <c r="B60" s="22" t="s">
        <v>60</v>
      </c>
      <c r="C60" s="22" t="s">
        <v>61</v>
      </c>
      <c r="D60" s="24"/>
      <c r="E60" s="25" t="n">
        <f>2078</f>
        <v>2078.0</v>
      </c>
      <c r="F60" s="23"/>
      <c r="G60" s="25" t="n">
        <f>1281</f>
        <v>1281.0</v>
      </c>
      <c r="H60" s="23"/>
      <c r="I60" s="26" t="n">
        <f>3359</f>
        <v>3359.0</v>
      </c>
      <c r="J60" s="24"/>
      <c r="K60" s="25" t="n">
        <f>92832000</f>
        <v>9.2832E7</v>
      </c>
      <c r="L60" s="23"/>
      <c r="M60" s="25" t="n">
        <f>44167000</f>
        <v>4.4167E7</v>
      </c>
      <c r="N60" s="23"/>
      <c r="O60" s="26" t="n">
        <f>136999000</f>
        <v>1.36999E8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265</f>
        <v>265.0</v>
      </c>
      <c r="U60" s="23"/>
      <c r="V60" s="25" t="n">
        <f>53</f>
        <v>53.0</v>
      </c>
      <c r="W60" s="23"/>
      <c r="X60" s="26" t="n">
        <f>318</f>
        <v>318.0</v>
      </c>
      <c r="Y60" s="24"/>
      <c r="Z60" s="25" t="n">
        <f>4154</f>
        <v>4154.0</v>
      </c>
      <c r="AA60" s="23"/>
      <c r="AB60" s="25" t="n">
        <f>3021</f>
        <v>3021.0</v>
      </c>
      <c r="AC60" s="23"/>
      <c r="AD60" s="26" t="n">
        <f>7175</f>
        <v>7175.0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2784</f>
        <v>2784.0</v>
      </c>
      <c r="F61" s="23"/>
      <c r="G61" s="25" t="n">
        <f>2097</f>
        <v>2097.0</v>
      </c>
      <c r="H61" s="23"/>
      <c r="I61" s="26" t="n">
        <f>4881</f>
        <v>4881.0</v>
      </c>
      <c r="J61" s="24"/>
      <c r="K61" s="25" t="n">
        <f>131703000</f>
        <v>1.31703E8</v>
      </c>
      <c r="L61" s="23"/>
      <c r="M61" s="25" t="n">
        <f>79242000</f>
        <v>7.9242E7</v>
      </c>
      <c r="N61" s="23"/>
      <c r="O61" s="26" t="n">
        <f>210945000</f>
        <v>2.10945E8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224</f>
        <v>224.0</v>
      </c>
      <c r="U61" s="23"/>
      <c r="V61" s="25" t="n">
        <f>145</f>
        <v>145.0</v>
      </c>
      <c r="W61" s="23"/>
      <c r="X61" s="26" t="n">
        <f>369</f>
        <v>369.0</v>
      </c>
      <c r="Y61" s="24"/>
      <c r="Z61" s="25" t="n">
        <f>4559</f>
        <v>4559.0</v>
      </c>
      <c r="AA61" s="23"/>
      <c r="AB61" s="25" t="n">
        <f>3597</f>
        <v>3597.0</v>
      </c>
      <c r="AC61" s="23"/>
      <c r="AD61" s="26" t="n">
        <f>8156</f>
        <v>8156.0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/>
      <c r="E63" s="25" t="n">
        <f>1237</f>
        <v>1237.0</v>
      </c>
      <c r="F63" s="23"/>
      <c r="G63" s="25" t="n">
        <f>1130</f>
        <v>1130.0</v>
      </c>
      <c r="H63" s="23"/>
      <c r="I63" s="26" t="n">
        <f>2367</f>
        <v>2367.0</v>
      </c>
      <c r="J63" s="24"/>
      <c r="K63" s="25" t="n">
        <f>74055000</f>
        <v>7.4055E7</v>
      </c>
      <c r="L63" s="23" t="s">
        <v>31</v>
      </c>
      <c r="M63" s="25" t="n">
        <f>204927000</f>
        <v>2.04927E8</v>
      </c>
      <c r="N63" s="23" t="s">
        <v>31</v>
      </c>
      <c r="O63" s="26" t="n">
        <f>278982000</f>
        <v>2.78982E8</v>
      </c>
      <c r="P63" s="27" t="n">
        <f>19</f>
        <v>19.0</v>
      </c>
      <c r="Q63" s="28" t="n">
        <f>945</f>
        <v>945.0</v>
      </c>
      <c r="R63" s="29" t="n">
        <f>964</f>
        <v>964.0</v>
      </c>
      <c r="S63" s="24"/>
      <c r="T63" s="25" t="n">
        <f>281</f>
        <v>281.0</v>
      </c>
      <c r="U63" s="23" t="s">
        <v>31</v>
      </c>
      <c r="V63" s="25" t="n">
        <f>451</f>
        <v>451.0</v>
      </c>
      <c r="W63" s="23"/>
      <c r="X63" s="26" t="n">
        <f>732</f>
        <v>732.0</v>
      </c>
      <c r="Y63" s="24"/>
      <c r="Z63" s="25" t="n">
        <f>989</f>
        <v>989.0</v>
      </c>
      <c r="AA63" s="23"/>
      <c r="AB63" s="25" t="n">
        <f>1526</f>
        <v>1526.0</v>
      </c>
      <c r="AC63" s="23"/>
      <c r="AD63" s="26" t="n">
        <f>2515</f>
        <v>2515.0</v>
      </c>
    </row>
    <row r="64">
      <c r="A64" s="30" t="s">
        <v>54</v>
      </c>
      <c r="B64" s="22" t="s">
        <v>60</v>
      </c>
      <c r="C64" s="22" t="s">
        <v>61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55</v>
      </c>
      <c r="B65" s="22" t="s">
        <v>60</v>
      </c>
      <c r="C65" s="22" t="s">
        <v>61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56</v>
      </c>
      <c r="B66" s="22" t="s">
        <v>60</v>
      </c>
      <c r="C66" s="22" t="s">
        <v>61</v>
      </c>
      <c r="D66" s="24"/>
      <c r="E66" s="25" t="n">
        <f>1871</f>
        <v>1871.0</v>
      </c>
      <c r="F66" s="23"/>
      <c r="G66" s="25" t="n">
        <f>1150</f>
        <v>1150.0</v>
      </c>
      <c r="H66" s="23"/>
      <c r="I66" s="26" t="n">
        <f>3021</f>
        <v>3021.0</v>
      </c>
      <c r="J66" s="24"/>
      <c r="K66" s="25" t="n">
        <f>72153000</f>
        <v>7.2153E7</v>
      </c>
      <c r="L66" s="23"/>
      <c r="M66" s="25" t="n">
        <f>56908080</f>
        <v>5.690808E7</v>
      </c>
      <c r="N66" s="23"/>
      <c r="O66" s="26" t="n">
        <f>129061080</f>
        <v>1.2906108E8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112</f>
        <v>112.0</v>
      </c>
      <c r="U66" s="23"/>
      <c r="V66" s="25" t="n">
        <f>98</f>
        <v>98.0</v>
      </c>
      <c r="W66" s="23"/>
      <c r="X66" s="26" t="n">
        <f>210</f>
        <v>210.0</v>
      </c>
      <c r="Y66" s="24"/>
      <c r="Z66" s="25" t="n">
        <f>1807</f>
        <v>1807.0</v>
      </c>
      <c r="AA66" s="23"/>
      <c r="AB66" s="25" t="n">
        <f>2154</f>
        <v>2154.0</v>
      </c>
      <c r="AC66" s="23"/>
      <c r="AD66" s="26" t="n">
        <f>3961</f>
        <v>3961.0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2401</f>
        <v>2401.0</v>
      </c>
      <c r="F67" s="23"/>
      <c r="G67" s="25" t="n">
        <f>1103</f>
        <v>1103.0</v>
      </c>
      <c r="H67" s="23"/>
      <c r="I67" s="26" t="n">
        <f>3504</f>
        <v>3504.0</v>
      </c>
      <c r="J67" s="24" t="s">
        <v>31</v>
      </c>
      <c r="K67" s="25" t="n">
        <f>144165000</f>
        <v>1.44165E8</v>
      </c>
      <c r="L67" s="23"/>
      <c r="M67" s="25" t="n">
        <f>26383000</f>
        <v>2.6383E7</v>
      </c>
      <c r="N67" s="23"/>
      <c r="O67" s="26" t="n">
        <f>170548000</f>
        <v>1.70548E8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944</f>
        <v>944.0</v>
      </c>
      <c r="U67" s="23"/>
      <c r="V67" s="25" t="n">
        <f>112</f>
        <v>112.0</v>
      </c>
      <c r="W67" s="23"/>
      <c r="X67" s="26" t="n">
        <f>1056</f>
        <v>1056.0</v>
      </c>
      <c r="Y67" s="24"/>
      <c r="Z67" s="25" t="n">
        <f>3089</f>
        <v>3089.0</v>
      </c>
      <c r="AA67" s="23"/>
      <c r="AB67" s="25" t="n">
        <f>2622</f>
        <v>2622.0</v>
      </c>
      <c r="AC67" s="23"/>
      <c r="AD67" s="26" t="n">
        <f>5711</f>
        <v>5711.0</v>
      </c>
    </row>
    <row r="68">
      <c r="A68" s="30" t="s">
        <v>58</v>
      </c>
      <c r="B68" s="22" t="s">
        <v>60</v>
      </c>
      <c r="C68" s="22" t="s">
        <v>61</v>
      </c>
      <c r="D68" s="24"/>
      <c r="E68" s="25" t="n">
        <f>2104</f>
        <v>2104.0</v>
      </c>
      <c r="F68" s="23"/>
      <c r="G68" s="25" t="n">
        <f>1895</f>
        <v>1895.0</v>
      </c>
      <c r="H68" s="23"/>
      <c r="I68" s="26" t="n">
        <f>3999</f>
        <v>3999.0</v>
      </c>
      <c r="J68" s="24"/>
      <c r="K68" s="25" t="n">
        <f>110775000</f>
        <v>1.10775E8</v>
      </c>
      <c r="L68" s="23"/>
      <c r="M68" s="25" t="n">
        <f>54544000</f>
        <v>5.4544E7</v>
      </c>
      <c r="N68" s="23"/>
      <c r="O68" s="26" t="n">
        <f>165319000</f>
        <v>1.65319E8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233</f>
        <v>233.0</v>
      </c>
      <c r="U68" s="23"/>
      <c r="V68" s="25" t="n">
        <f>107</f>
        <v>107.0</v>
      </c>
      <c r="W68" s="23"/>
      <c r="X68" s="26" t="n">
        <f>340</f>
        <v>340.0</v>
      </c>
      <c r="Y68" s="24"/>
      <c r="Z68" s="25" t="n">
        <f>3317</f>
        <v>3317.0</v>
      </c>
      <c r="AA68" s="23"/>
      <c r="AB68" s="25" t="n">
        <f>3001</f>
        <v>3001.0</v>
      </c>
      <c r="AC68" s="23"/>
      <c r="AD68" s="26" t="n">
        <f>6318</f>
        <v>6318.0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3037</f>
        <v>3037.0</v>
      </c>
      <c r="F69" s="23" t="s">
        <v>31</v>
      </c>
      <c r="G69" s="25" t="n">
        <f>2508</f>
        <v>2508.0</v>
      </c>
      <c r="H69" s="23"/>
      <c r="I69" s="26" t="n">
        <f>5545</f>
        <v>5545.0</v>
      </c>
      <c r="J69" s="24"/>
      <c r="K69" s="25" t="n">
        <f>126697000</f>
        <v>1.26697E8</v>
      </c>
      <c r="L69" s="23"/>
      <c r="M69" s="25" t="n">
        <f>52737000</f>
        <v>5.2737E7</v>
      </c>
      <c r="N69" s="23"/>
      <c r="O69" s="26" t="n">
        <f>179434000</f>
        <v>1.79434E8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 t="s">
        <v>31</v>
      </c>
      <c r="T69" s="25" t="n">
        <f>985</f>
        <v>985.0</v>
      </c>
      <c r="U69" s="23"/>
      <c r="V69" s="25" t="n">
        <f>159</f>
        <v>159.0</v>
      </c>
      <c r="W69" s="23" t="s">
        <v>31</v>
      </c>
      <c r="X69" s="26" t="n">
        <f>1144</f>
        <v>1144.0</v>
      </c>
      <c r="Y69" s="24"/>
      <c r="Z69" s="25" t="n">
        <f>3389</f>
        <v>3389.0</v>
      </c>
      <c r="AA69" s="23"/>
      <c r="AB69" s="25" t="n">
        <f>3580</f>
        <v>3580.0</v>
      </c>
      <c r="AC69" s="23"/>
      <c r="AD69" s="26" t="n">
        <f>6969</f>
        <v>6969.0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1315</f>
        <v>1315.0</v>
      </c>
      <c r="F70" s="23" t="s">
        <v>39</v>
      </c>
      <c r="G70" s="25" t="str">
        <f>"－"</f>
        <v>－</v>
      </c>
      <c r="H70" s="23"/>
      <c r="I70" s="26" t="n">
        <f>1315</f>
        <v>1315.0</v>
      </c>
      <c r="J70" s="24"/>
      <c r="K70" s="25" t="n">
        <f>170741550</f>
        <v>1.7074155E8</v>
      </c>
      <c r="L70" s="23" t="s">
        <v>39</v>
      </c>
      <c r="M70" s="25" t="str">
        <f>"－"</f>
        <v>－</v>
      </c>
      <c r="N70" s="23"/>
      <c r="O70" s="26" t="n">
        <f>170741550</f>
        <v>1.7074155E8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1315</f>
        <v>1315.0</v>
      </c>
      <c r="U70" s="23" t="s">
        <v>39</v>
      </c>
      <c r="V70" s="25" t="str">
        <f>"－"</f>
        <v>－</v>
      </c>
      <c r="W70" s="23"/>
      <c r="X70" s="26" t="n">
        <f>1315</f>
        <v>1315.0</v>
      </c>
      <c r="Y70" s="24"/>
      <c r="Z70" s="25" t="n">
        <f>83436</f>
        <v>83436.0</v>
      </c>
      <c r="AA70" s="23"/>
      <c r="AB70" s="25" t="n">
        <f>28855</f>
        <v>28855.0</v>
      </c>
      <c r="AC70" s="23"/>
      <c r="AD70" s="26" t="n">
        <f>112291</f>
        <v>112291.0</v>
      </c>
    </row>
    <row r="71">
      <c r="A71" s="30" t="s">
        <v>29</v>
      </c>
      <c r="B71" s="22" t="s">
        <v>62</v>
      </c>
      <c r="C71" s="22" t="s">
        <v>63</v>
      </c>
      <c r="D71" s="24"/>
      <c r="E71" s="25" t="n">
        <f>1170</f>
        <v>1170.0</v>
      </c>
      <c r="F71" s="23"/>
      <c r="G71" s="25" t="str">
        <f>"－"</f>
        <v>－</v>
      </c>
      <c r="H71" s="23"/>
      <c r="I71" s="26" t="n">
        <f>1170</f>
        <v>1170.0</v>
      </c>
      <c r="J71" s="24"/>
      <c r="K71" s="25" t="n">
        <f>96384600</f>
        <v>9.63846E7</v>
      </c>
      <c r="L71" s="23"/>
      <c r="M71" s="25" t="str">
        <f>"－"</f>
        <v>－</v>
      </c>
      <c r="N71" s="23"/>
      <c r="O71" s="26" t="n">
        <f>96384600</f>
        <v>9.63846E7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1170</f>
        <v>1170.0</v>
      </c>
      <c r="U71" s="23"/>
      <c r="V71" s="25" t="str">
        <f>"－"</f>
        <v>－</v>
      </c>
      <c r="W71" s="23"/>
      <c r="X71" s="26" t="n">
        <f>1170</f>
        <v>1170.0</v>
      </c>
      <c r="Y71" s="24"/>
      <c r="Z71" s="25" t="n">
        <f>84606</f>
        <v>84606.0</v>
      </c>
      <c r="AA71" s="23"/>
      <c r="AB71" s="25" t="n">
        <f>28855</f>
        <v>28855.0</v>
      </c>
      <c r="AC71" s="23"/>
      <c r="AD71" s="26" t="n">
        <f>113461</f>
        <v>113461.0</v>
      </c>
    </row>
    <row r="72">
      <c r="A72" s="30" t="s">
        <v>30</v>
      </c>
      <c r="B72" s="22" t="s">
        <v>62</v>
      </c>
      <c r="C72" s="22" t="s">
        <v>63</v>
      </c>
      <c r="D72" s="24" t="s">
        <v>39</v>
      </c>
      <c r="E72" s="25" t="str">
        <f>"－"</f>
        <v>－</v>
      </c>
      <c r="F72" s="23"/>
      <c r="G72" s="25" t="str">
        <f>"－"</f>
        <v>－</v>
      </c>
      <c r="H72" s="23" t="s">
        <v>39</v>
      </c>
      <c r="I72" s="26" t="str">
        <f>"－"</f>
        <v>－</v>
      </c>
      <c r="J72" s="24" t="s">
        <v>39</v>
      </c>
      <c r="K72" s="25" t="str">
        <f>"－"</f>
        <v>－</v>
      </c>
      <c r="L72" s="23"/>
      <c r="M72" s="25" t="str">
        <f>"－"</f>
        <v>－</v>
      </c>
      <c r="N72" s="23" t="s">
        <v>39</v>
      </c>
      <c r="O72" s="26" t="str">
        <f>"－"</f>
        <v>－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 t="s">
        <v>39</v>
      </c>
      <c r="T72" s="25" t="str">
        <f>"－"</f>
        <v>－</v>
      </c>
      <c r="U72" s="23"/>
      <c r="V72" s="25" t="str">
        <f>"－"</f>
        <v>－</v>
      </c>
      <c r="W72" s="23" t="s">
        <v>39</v>
      </c>
      <c r="X72" s="26" t="str">
        <f>"－"</f>
        <v>－</v>
      </c>
      <c r="Y72" s="24"/>
      <c r="Z72" s="25" t="n">
        <f>84606</f>
        <v>84606.0</v>
      </c>
      <c r="AA72" s="23"/>
      <c r="AB72" s="25" t="n">
        <f>28855</f>
        <v>28855.0</v>
      </c>
      <c r="AC72" s="23"/>
      <c r="AD72" s="26" t="n">
        <f>113461</f>
        <v>113461.0</v>
      </c>
    </row>
    <row r="73">
      <c r="A73" s="30" t="s">
        <v>32</v>
      </c>
      <c r="B73" s="22" t="s">
        <v>62</v>
      </c>
      <c r="C73" s="22" t="s">
        <v>63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33</v>
      </c>
      <c r="B74" s="22" t="s">
        <v>62</v>
      </c>
      <c r="C74" s="22" t="s">
        <v>63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34</v>
      </c>
      <c r="B75" s="22" t="s">
        <v>62</v>
      </c>
      <c r="C75" s="22" t="s">
        <v>63</v>
      </c>
      <c r="D75" s="24" t="s">
        <v>31</v>
      </c>
      <c r="E75" s="25" t="n">
        <f>11340</f>
        <v>11340.0</v>
      </c>
      <c r="F75" s="23" t="s">
        <v>31</v>
      </c>
      <c r="G75" s="25" t="n">
        <f>3404</f>
        <v>3404.0</v>
      </c>
      <c r="H75" s="23" t="s">
        <v>31</v>
      </c>
      <c r="I75" s="26" t="n">
        <f>14744</f>
        <v>14744.0</v>
      </c>
      <c r="J75" s="24" t="s">
        <v>31</v>
      </c>
      <c r="K75" s="25" t="n">
        <f>3071891100</f>
        <v>3.0718911E9</v>
      </c>
      <c r="L75" s="23" t="s">
        <v>31</v>
      </c>
      <c r="M75" s="25" t="n">
        <f>5925517600</f>
        <v>5.9255176E9</v>
      </c>
      <c r="N75" s="23" t="s">
        <v>31</v>
      </c>
      <c r="O75" s="26" t="n">
        <f>8997408700</f>
        <v>8.9974087E9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31</v>
      </c>
      <c r="T75" s="25" t="n">
        <f>11340</f>
        <v>11340.0</v>
      </c>
      <c r="U75" s="23" t="s">
        <v>31</v>
      </c>
      <c r="V75" s="25" t="n">
        <f>3404</f>
        <v>3404.0</v>
      </c>
      <c r="W75" s="23" t="s">
        <v>31</v>
      </c>
      <c r="X75" s="26" t="n">
        <f>14744</f>
        <v>14744.0</v>
      </c>
      <c r="Y75" s="24"/>
      <c r="Z75" s="25" t="n">
        <f>90276</f>
        <v>90276.0</v>
      </c>
      <c r="AA75" s="23"/>
      <c r="AB75" s="25" t="n">
        <f>30679</f>
        <v>30679.0</v>
      </c>
      <c r="AC75" s="23"/>
      <c r="AD75" s="26" t="n">
        <f>120955</f>
        <v>120955.0</v>
      </c>
    </row>
    <row r="76">
      <c r="A76" s="30" t="s">
        <v>35</v>
      </c>
      <c r="B76" s="22" t="s">
        <v>62</v>
      </c>
      <c r="C76" s="22" t="s">
        <v>63</v>
      </c>
      <c r="D76" s="24"/>
      <c r="E76" s="25" t="n">
        <f>640</f>
        <v>640.0</v>
      </c>
      <c r="F76" s="23"/>
      <c r="G76" s="25" t="n">
        <f>421</f>
        <v>421.0</v>
      </c>
      <c r="H76" s="23"/>
      <c r="I76" s="26" t="n">
        <f>1061</f>
        <v>1061.0</v>
      </c>
      <c r="J76" s="24"/>
      <c r="K76" s="25" t="n">
        <f>66783500</f>
        <v>6.67835E7</v>
      </c>
      <c r="L76" s="23"/>
      <c r="M76" s="25" t="n">
        <f>2410140200</f>
        <v>2.4101402E9</v>
      </c>
      <c r="N76" s="23"/>
      <c r="O76" s="26" t="n">
        <f>2476923700</f>
        <v>2.4769237E9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90546</f>
        <v>90546.0</v>
      </c>
      <c r="AA76" s="23"/>
      <c r="AB76" s="25" t="n">
        <f>30730</f>
        <v>30730.0</v>
      </c>
      <c r="AC76" s="23"/>
      <c r="AD76" s="26" t="n">
        <f>121276</f>
        <v>121276.0</v>
      </c>
    </row>
    <row r="77">
      <c r="A77" s="30" t="s">
        <v>36</v>
      </c>
      <c r="B77" s="22" t="s">
        <v>62</v>
      </c>
      <c r="C77" s="22" t="s">
        <v>63</v>
      </c>
      <c r="D77" s="24"/>
      <c r="E77" s="25" t="n">
        <f>680</f>
        <v>680.0</v>
      </c>
      <c r="F77" s="23"/>
      <c r="G77" s="25" t="str">
        <f>"－"</f>
        <v>－</v>
      </c>
      <c r="H77" s="23"/>
      <c r="I77" s="26" t="n">
        <f>680</f>
        <v>680.0</v>
      </c>
      <c r="J77" s="24"/>
      <c r="K77" s="25" t="n">
        <f>63552800</f>
        <v>6.35528E7</v>
      </c>
      <c r="L77" s="23"/>
      <c r="M77" s="25" t="str">
        <f>"－"</f>
        <v>－</v>
      </c>
      <c r="N77" s="23"/>
      <c r="O77" s="26" t="n">
        <f>63552800</f>
        <v>6.35528E7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680</f>
        <v>680.0</v>
      </c>
      <c r="U77" s="23"/>
      <c r="V77" s="25" t="str">
        <f>"－"</f>
        <v>－</v>
      </c>
      <c r="W77" s="23"/>
      <c r="X77" s="26" t="n">
        <f>680</f>
        <v>680.0</v>
      </c>
      <c r="Y77" s="24"/>
      <c r="Z77" s="25" t="n">
        <f>90492</f>
        <v>90492.0</v>
      </c>
      <c r="AA77" s="23"/>
      <c r="AB77" s="25" t="n">
        <f>30730</f>
        <v>30730.0</v>
      </c>
      <c r="AC77" s="23"/>
      <c r="AD77" s="26" t="n">
        <f>121222</f>
        <v>121222.0</v>
      </c>
    </row>
    <row r="78">
      <c r="A78" s="30" t="s">
        <v>37</v>
      </c>
      <c r="B78" s="22" t="s">
        <v>62</v>
      </c>
      <c r="C78" s="22" t="s">
        <v>63</v>
      </c>
      <c r="D78" s="24"/>
      <c r="E78" s="25" t="n">
        <f>1360</f>
        <v>1360.0</v>
      </c>
      <c r="F78" s="23"/>
      <c r="G78" s="25" t="n">
        <f>1690</f>
        <v>1690.0</v>
      </c>
      <c r="H78" s="23"/>
      <c r="I78" s="26" t="n">
        <f>3050</f>
        <v>3050.0</v>
      </c>
      <c r="J78" s="24"/>
      <c r="K78" s="25" t="n">
        <f>268997940</f>
        <v>2.6899794E8</v>
      </c>
      <c r="L78" s="23"/>
      <c r="M78" s="25" t="n">
        <f>698917590</f>
        <v>6.9891759E8</v>
      </c>
      <c r="N78" s="23"/>
      <c r="O78" s="26" t="n">
        <f>967915530</f>
        <v>9.6791553E8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1060</f>
        <v>1060.0</v>
      </c>
      <c r="U78" s="23"/>
      <c r="V78" s="25" t="n">
        <f>1492</f>
        <v>1492.0</v>
      </c>
      <c r="W78" s="23"/>
      <c r="X78" s="26" t="n">
        <f>2552</f>
        <v>2552.0</v>
      </c>
      <c r="Y78" s="24" t="s">
        <v>31</v>
      </c>
      <c r="Z78" s="25" t="n">
        <f>91852</f>
        <v>91852.0</v>
      </c>
      <c r="AA78" s="23" t="s">
        <v>31</v>
      </c>
      <c r="AB78" s="25" t="n">
        <f>31330</f>
        <v>31330.0</v>
      </c>
      <c r="AC78" s="23" t="s">
        <v>31</v>
      </c>
      <c r="AD78" s="26" t="n">
        <f>123182</f>
        <v>123182.0</v>
      </c>
    </row>
    <row r="79">
      <c r="A79" s="30" t="s">
        <v>38</v>
      </c>
      <c r="B79" s="22" t="s">
        <v>62</v>
      </c>
      <c r="C79" s="22" t="s">
        <v>63</v>
      </c>
      <c r="D79" s="24"/>
      <c r="E79" s="25" t="str">
        <f>"－"</f>
        <v>－</v>
      </c>
      <c r="F79" s="23"/>
      <c r="G79" s="25" t="str">
        <f>"－"</f>
        <v>－</v>
      </c>
      <c r="H79" s="23"/>
      <c r="I79" s="26" t="str">
        <f>"－"</f>
        <v>－</v>
      </c>
      <c r="J79" s="24"/>
      <c r="K79" s="25" t="str">
        <f>"－"</f>
        <v>－</v>
      </c>
      <c r="L79" s="23"/>
      <c r="M79" s="25" t="str">
        <f>"－"</f>
        <v>－</v>
      </c>
      <c r="N79" s="23"/>
      <c r="O79" s="26" t="str">
        <f>"－"</f>
        <v>－</v>
      </c>
      <c r="P79" s="27" t="str">
        <f>"－"</f>
        <v>－</v>
      </c>
      <c r="Q79" s="28" t="n">
        <f>8108</f>
        <v>8108.0</v>
      </c>
      <c r="R79" s="29" t="n">
        <f>8108</f>
        <v>8108.0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/>
      <c r="Z79" s="25" t="n">
        <f>78398</f>
        <v>78398.0</v>
      </c>
      <c r="AA79" s="23"/>
      <c r="AB79" s="25" t="n">
        <f>21244</f>
        <v>21244.0</v>
      </c>
      <c r="AC79" s="23"/>
      <c r="AD79" s="26" t="n">
        <f>99642</f>
        <v>99642.0</v>
      </c>
    </row>
    <row r="80">
      <c r="A80" s="30" t="s">
        <v>40</v>
      </c>
      <c r="B80" s="22" t="s">
        <v>62</v>
      </c>
      <c r="C80" s="22" t="s">
        <v>63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41</v>
      </c>
      <c r="B81" s="22" t="s">
        <v>62</v>
      </c>
      <c r="C81" s="22" t="s">
        <v>63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42</v>
      </c>
      <c r="B82" s="22" t="s">
        <v>62</v>
      </c>
      <c r="C82" s="22" t="s">
        <v>63</v>
      </c>
      <c r="D82" s="24"/>
      <c r="E82" s="25" t="n">
        <f>200</f>
        <v>200.0</v>
      </c>
      <c r="F82" s="23"/>
      <c r="G82" s="25" t="str">
        <f>"－"</f>
        <v>－</v>
      </c>
      <c r="H82" s="23"/>
      <c r="I82" s="26" t="n">
        <f>200</f>
        <v>200.0</v>
      </c>
      <c r="J82" s="24"/>
      <c r="K82" s="25" t="n">
        <f>32230000</f>
        <v>3.223E7</v>
      </c>
      <c r="L82" s="23"/>
      <c r="M82" s="25" t="str">
        <f>"－"</f>
        <v>－</v>
      </c>
      <c r="N82" s="23"/>
      <c r="O82" s="26" t="n">
        <f>32230000</f>
        <v>3.223E7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200</f>
        <v>200.0</v>
      </c>
      <c r="U82" s="23"/>
      <c r="V82" s="25" t="str">
        <f>"－"</f>
        <v>－</v>
      </c>
      <c r="W82" s="23"/>
      <c r="X82" s="26" t="n">
        <f>200</f>
        <v>200.0</v>
      </c>
      <c r="Y82" s="24"/>
      <c r="Z82" s="25" t="n">
        <f>78598</f>
        <v>78598.0</v>
      </c>
      <c r="AA82" s="23" t="s">
        <v>39</v>
      </c>
      <c r="AB82" s="25" t="n">
        <f>21012</f>
        <v>21012.0</v>
      </c>
      <c r="AC82" s="23" t="s">
        <v>39</v>
      </c>
      <c r="AD82" s="26" t="n">
        <f>99610</f>
        <v>99610.0</v>
      </c>
    </row>
    <row r="83">
      <c r="A83" s="30" t="s">
        <v>43</v>
      </c>
      <c r="B83" s="22" t="s">
        <v>62</v>
      </c>
      <c r="C83" s="22" t="s">
        <v>63</v>
      </c>
      <c r="D83" s="24"/>
      <c r="E83" s="25" t="str">
        <f>"－"</f>
        <v>－</v>
      </c>
      <c r="F83" s="23"/>
      <c r="G83" s="25" t="str">
        <f>"－"</f>
        <v>－</v>
      </c>
      <c r="H83" s="23"/>
      <c r="I83" s="26" t="str">
        <f>"－"</f>
        <v>－</v>
      </c>
      <c r="J83" s="24"/>
      <c r="K83" s="25" t="str">
        <f>"－"</f>
        <v>－</v>
      </c>
      <c r="L83" s="23"/>
      <c r="M83" s="25" t="str">
        <f>"－"</f>
        <v>－</v>
      </c>
      <c r="N83" s="23"/>
      <c r="O83" s="26" t="str">
        <f>"－"</f>
        <v>－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78598</f>
        <v>78598.0</v>
      </c>
      <c r="AA83" s="23"/>
      <c r="AB83" s="25" t="n">
        <f>21012</f>
        <v>21012.0</v>
      </c>
      <c r="AC83" s="23"/>
      <c r="AD83" s="26" t="n">
        <f>99610</f>
        <v>99610.0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2204</f>
        <v>2204.0</v>
      </c>
      <c r="F84" s="23"/>
      <c r="G84" s="25" t="n">
        <f>3054</f>
        <v>3054.0</v>
      </c>
      <c r="H84" s="23"/>
      <c r="I84" s="26" t="n">
        <f>5258</f>
        <v>5258.0</v>
      </c>
      <c r="J84" s="24"/>
      <c r="K84" s="25" t="n">
        <f>253887576</f>
        <v>2.53887576E8</v>
      </c>
      <c r="L84" s="23"/>
      <c r="M84" s="25" t="n">
        <f>370546158</f>
        <v>3.70546158E8</v>
      </c>
      <c r="N84" s="23"/>
      <c r="O84" s="26" t="n">
        <f>624433734</f>
        <v>6.24433734E8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2204</f>
        <v>2204.0</v>
      </c>
      <c r="U84" s="23"/>
      <c r="V84" s="25" t="n">
        <f>2860</f>
        <v>2860.0</v>
      </c>
      <c r="W84" s="23"/>
      <c r="X84" s="26" t="n">
        <f>5064</f>
        <v>5064.0</v>
      </c>
      <c r="Y84" s="24"/>
      <c r="Z84" s="25" t="n">
        <f>80802</f>
        <v>80802.0</v>
      </c>
      <c r="AA84" s="23"/>
      <c r="AB84" s="25" t="n">
        <f>23398</f>
        <v>23398.0</v>
      </c>
      <c r="AC84" s="23"/>
      <c r="AD84" s="26" t="n">
        <f>104200</f>
        <v>104200.0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300</f>
        <v>300.0</v>
      </c>
      <c r="F85" s="23"/>
      <c r="G85" s="25" t="n">
        <f>927</f>
        <v>927.0</v>
      </c>
      <c r="H85" s="23"/>
      <c r="I85" s="26" t="n">
        <f>1227</f>
        <v>1227.0</v>
      </c>
      <c r="J85" s="24"/>
      <c r="K85" s="25" t="n">
        <f>9600000</f>
        <v>9600000.0</v>
      </c>
      <c r="L85" s="23"/>
      <c r="M85" s="25" t="n">
        <f>308922655</f>
        <v>3.08922655E8</v>
      </c>
      <c r="N85" s="23"/>
      <c r="O85" s="26" t="n">
        <f>318522655</f>
        <v>3.18522655E8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n">
        <f>654</f>
        <v>654.0</v>
      </c>
      <c r="W85" s="23"/>
      <c r="X85" s="26" t="n">
        <f>654</f>
        <v>654.0</v>
      </c>
      <c r="Y85" s="24"/>
      <c r="Z85" s="25" t="n">
        <f>81102</f>
        <v>81102.0</v>
      </c>
      <c r="AA85" s="23"/>
      <c r="AB85" s="25" t="n">
        <f>23543</f>
        <v>23543.0</v>
      </c>
      <c r="AC85" s="23"/>
      <c r="AD85" s="26" t="n">
        <f>104645</f>
        <v>104645.0</v>
      </c>
    </row>
    <row r="86">
      <c r="A86" s="30" t="s">
        <v>46</v>
      </c>
      <c r="B86" s="22" t="s">
        <v>62</v>
      </c>
      <c r="C86" s="22" t="s">
        <v>63</v>
      </c>
      <c r="D86" s="24"/>
      <c r="E86" s="25" t="n">
        <f>1511</f>
        <v>1511.0</v>
      </c>
      <c r="F86" s="23"/>
      <c r="G86" s="25" t="n">
        <f>2204</f>
        <v>2204.0</v>
      </c>
      <c r="H86" s="23"/>
      <c r="I86" s="26" t="n">
        <f>3715</f>
        <v>3715.0</v>
      </c>
      <c r="J86" s="24"/>
      <c r="K86" s="25" t="n">
        <f>145751000</f>
        <v>1.45751E8</v>
      </c>
      <c r="L86" s="23"/>
      <c r="M86" s="25" t="n">
        <f>50125572</f>
        <v>5.0125572E7</v>
      </c>
      <c r="N86" s="23"/>
      <c r="O86" s="26" t="n">
        <f>195876572</f>
        <v>1.95876572E8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1511</f>
        <v>1511.0</v>
      </c>
      <c r="U86" s="23"/>
      <c r="V86" s="25" t="n">
        <f>2204</f>
        <v>2204.0</v>
      </c>
      <c r="W86" s="23"/>
      <c r="X86" s="26" t="n">
        <f>3715</f>
        <v>3715.0</v>
      </c>
      <c r="Y86" s="24"/>
      <c r="Z86" s="25" t="n">
        <f>80493</f>
        <v>80493.0</v>
      </c>
      <c r="AA86" s="23"/>
      <c r="AB86" s="25" t="n">
        <f>23543</f>
        <v>23543.0</v>
      </c>
      <c r="AC86" s="23"/>
      <c r="AD86" s="26" t="n">
        <f>104036</f>
        <v>104036.0</v>
      </c>
    </row>
    <row r="87">
      <c r="A87" s="30" t="s">
        <v>47</v>
      </c>
      <c r="B87" s="22" t="s">
        <v>62</v>
      </c>
      <c r="C87" s="22" t="s">
        <v>63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50</v>
      </c>
      <c r="B90" s="22" t="s">
        <v>62</v>
      </c>
      <c r="C90" s="22" t="s">
        <v>63</v>
      </c>
      <c r="D90" s="24"/>
      <c r="E90" s="25" t="n">
        <f>500</f>
        <v>500.0</v>
      </c>
      <c r="F90" s="23"/>
      <c r="G90" s="25" t="n">
        <f>400</f>
        <v>400.0</v>
      </c>
      <c r="H90" s="23"/>
      <c r="I90" s="26" t="n">
        <f>900</f>
        <v>900.0</v>
      </c>
      <c r="J90" s="24"/>
      <c r="K90" s="25" t="n">
        <f>86274000</f>
        <v>8.6274E7</v>
      </c>
      <c r="L90" s="23"/>
      <c r="M90" s="25" t="n">
        <f>53800000</f>
        <v>5.38E7</v>
      </c>
      <c r="N90" s="23"/>
      <c r="O90" s="26" t="n">
        <f>140074000</f>
        <v>1.40074E8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n">
        <f>400</f>
        <v>400.0</v>
      </c>
      <c r="W90" s="23"/>
      <c r="X90" s="26" t="n">
        <f>400</f>
        <v>400.0</v>
      </c>
      <c r="Y90" s="24"/>
      <c r="Z90" s="25" t="n">
        <f>80193</f>
        <v>80193.0</v>
      </c>
      <c r="AA90" s="23"/>
      <c r="AB90" s="25" t="n">
        <f>23943</f>
        <v>23943.0</v>
      </c>
      <c r="AC90" s="23"/>
      <c r="AD90" s="26" t="n">
        <f>104136</f>
        <v>104136.0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553</f>
        <v>553.0</v>
      </c>
      <c r="F91" s="23"/>
      <c r="G91" s="25" t="n">
        <f>18</f>
        <v>18.0</v>
      </c>
      <c r="H91" s="23"/>
      <c r="I91" s="26" t="n">
        <f>571</f>
        <v>571.0</v>
      </c>
      <c r="J91" s="24"/>
      <c r="K91" s="25" t="n">
        <f>55638422</f>
        <v>5.5638422E7</v>
      </c>
      <c r="L91" s="23"/>
      <c r="M91" s="25" t="n">
        <f>4662000</f>
        <v>4662000.0</v>
      </c>
      <c r="N91" s="23"/>
      <c r="O91" s="26" t="n">
        <f>60300422</f>
        <v>6.0300422E7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353</f>
        <v>353.0</v>
      </c>
      <c r="U91" s="23"/>
      <c r="V91" s="25" t="str">
        <f>"－"</f>
        <v>－</v>
      </c>
      <c r="W91" s="23"/>
      <c r="X91" s="26" t="n">
        <f>353</f>
        <v>353.0</v>
      </c>
      <c r="Y91" s="24"/>
      <c r="Z91" s="25" t="n">
        <f>80393</f>
        <v>80393.0</v>
      </c>
      <c r="AA91" s="23"/>
      <c r="AB91" s="25" t="n">
        <f>23961</f>
        <v>23961.0</v>
      </c>
      <c r="AC91" s="23"/>
      <c r="AD91" s="26" t="n">
        <f>104354</f>
        <v>104354.0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 t="n">
        <f>2504</f>
        <v>2504.0</v>
      </c>
      <c r="F93" s="23"/>
      <c r="G93" s="25" t="str">
        <f>"－"</f>
        <v>－</v>
      </c>
      <c r="H93" s="23"/>
      <c r="I93" s="26" t="n">
        <f>2504</f>
        <v>2504.0</v>
      </c>
      <c r="J93" s="24"/>
      <c r="K93" s="25" t="n">
        <f>239056820</f>
        <v>2.3905682E8</v>
      </c>
      <c r="L93" s="23"/>
      <c r="M93" s="25" t="str">
        <f>"－"</f>
        <v>－</v>
      </c>
      <c r="N93" s="23"/>
      <c r="O93" s="26" t="n">
        <f>239056820</f>
        <v>2.3905682E8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2204</f>
        <v>2204.0</v>
      </c>
      <c r="U93" s="23"/>
      <c r="V93" s="25" t="str">
        <f>"－"</f>
        <v>－</v>
      </c>
      <c r="W93" s="23"/>
      <c r="X93" s="26" t="n">
        <f>2204</f>
        <v>2204.0</v>
      </c>
      <c r="Y93" s="24" t="s">
        <v>39</v>
      </c>
      <c r="Z93" s="25" t="n">
        <f>78089</f>
        <v>78089.0</v>
      </c>
      <c r="AA93" s="23"/>
      <c r="AB93" s="25" t="n">
        <f>23961</f>
        <v>23961.0</v>
      </c>
      <c r="AC93" s="23"/>
      <c r="AD93" s="26" t="n">
        <f>102050</f>
        <v>102050.0</v>
      </c>
    </row>
    <row r="94">
      <c r="A94" s="30" t="s">
        <v>54</v>
      </c>
      <c r="B94" s="22" t="s">
        <v>62</v>
      </c>
      <c r="C94" s="22" t="s">
        <v>63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55</v>
      </c>
      <c r="B95" s="22" t="s">
        <v>62</v>
      </c>
      <c r="C95" s="22" t="s">
        <v>63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56</v>
      </c>
      <c r="B96" s="22" t="s">
        <v>62</v>
      </c>
      <c r="C96" s="22" t="s">
        <v>63</v>
      </c>
      <c r="D96" s="24"/>
      <c r="E96" s="25" t="n">
        <f>793</f>
        <v>793.0</v>
      </c>
      <c r="F96" s="23"/>
      <c r="G96" s="25" t="str">
        <f>"－"</f>
        <v>－</v>
      </c>
      <c r="H96" s="23"/>
      <c r="I96" s="26" t="n">
        <f>793</f>
        <v>793.0</v>
      </c>
      <c r="J96" s="24"/>
      <c r="K96" s="25" t="n">
        <f>78359650</f>
        <v>7.835965E7</v>
      </c>
      <c r="L96" s="23"/>
      <c r="M96" s="25" t="str">
        <f>"－"</f>
        <v>－</v>
      </c>
      <c r="N96" s="23"/>
      <c r="O96" s="26" t="n">
        <f>78359650</f>
        <v>7.835965E7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200</f>
        <v>200.0</v>
      </c>
      <c r="U96" s="23"/>
      <c r="V96" s="25" t="str">
        <f>"－"</f>
        <v>－</v>
      </c>
      <c r="W96" s="23"/>
      <c r="X96" s="26" t="n">
        <f>200</f>
        <v>200.0</v>
      </c>
      <c r="Y96" s="24"/>
      <c r="Z96" s="25" t="n">
        <f>78786</f>
        <v>78786.0</v>
      </c>
      <c r="AA96" s="23"/>
      <c r="AB96" s="25" t="n">
        <f>23961</f>
        <v>23961.0</v>
      </c>
      <c r="AC96" s="23"/>
      <c r="AD96" s="26" t="n">
        <f>102747</f>
        <v>102747.0</v>
      </c>
    </row>
    <row r="97">
      <c r="A97" s="30" t="s">
        <v>57</v>
      </c>
      <c r="B97" s="22" t="s">
        <v>62</v>
      </c>
      <c r="C97" s="22" t="s">
        <v>63</v>
      </c>
      <c r="D97" s="24"/>
      <c r="E97" s="25" t="str">
        <f>"－"</f>
        <v>－</v>
      </c>
      <c r="F97" s="23"/>
      <c r="G97" s="25" t="str">
        <f>"－"</f>
        <v>－</v>
      </c>
      <c r="H97" s="23"/>
      <c r="I97" s="26" t="str">
        <f>"－"</f>
        <v>－</v>
      </c>
      <c r="J97" s="24"/>
      <c r="K97" s="25" t="str">
        <f>"－"</f>
        <v>－</v>
      </c>
      <c r="L97" s="23"/>
      <c r="M97" s="25" t="str">
        <f>"－"</f>
        <v>－</v>
      </c>
      <c r="N97" s="23"/>
      <c r="O97" s="26" t="str">
        <f>"－"</f>
        <v>－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78786</f>
        <v>78786.0</v>
      </c>
      <c r="AA97" s="23"/>
      <c r="AB97" s="25" t="n">
        <f>23961</f>
        <v>23961.0</v>
      </c>
      <c r="AC97" s="23"/>
      <c r="AD97" s="26" t="n">
        <f>102747</f>
        <v>102747.0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1850</f>
        <v>1850.0</v>
      </c>
      <c r="F98" s="23"/>
      <c r="G98" s="25" t="n">
        <f>2050</f>
        <v>2050.0</v>
      </c>
      <c r="H98" s="23"/>
      <c r="I98" s="26" t="n">
        <f>3900</f>
        <v>3900.0</v>
      </c>
      <c r="J98" s="24"/>
      <c r="K98" s="25" t="n">
        <f>409328800</f>
        <v>4.093288E8</v>
      </c>
      <c r="L98" s="23"/>
      <c r="M98" s="25" t="n">
        <f>189500000</f>
        <v>1.895E8</v>
      </c>
      <c r="N98" s="23"/>
      <c r="O98" s="26" t="n">
        <f>598828800</f>
        <v>5.988288E8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1350</f>
        <v>1350.0</v>
      </c>
      <c r="U98" s="23"/>
      <c r="V98" s="25" t="n">
        <f>1750</f>
        <v>1750.0</v>
      </c>
      <c r="W98" s="23"/>
      <c r="X98" s="26" t="n">
        <f>3100</f>
        <v>3100.0</v>
      </c>
      <c r="Y98" s="24"/>
      <c r="Z98" s="25" t="n">
        <f>80436</f>
        <v>80436.0</v>
      </c>
      <c r="AA98" s="23"/>
      <c r="AB98" s="25" t="n">
        <f>26011</f>
        <v>26011.0</v>
      </c>
      <c r="AC98" s="23"/>
      <c r="AD98" s="26" t="n">
        <f>106447</f>
        <v>106447.0</v>
      </c>
    </row>
    <row r="99">
      <c r="A99" s="30" t="s">
        <v>59</v>
      </c>
      <c r="B99" s="22" t="s">
        <v>62</v>
      </c>
      <c r="C99" s="22" t="s">
        <v>63</v>
      </c>
      <c r="D99" s="24"/>
      <c r="E99" s="25" t="str">
        <f>"－"</f>
        <v>－</v>
      </c>
      <c r="F99" s="23"/>
      <c r="G99" s="25" t="str">
        <f>"－"</f>
        <v>－</v>
      </c>
      <c r="H99" s="23"/>
      <c r="I99" s="26" t="str">
        <f>"－"</f>
        <v>－</v>
      </c>
      <c r="J99" s="24"/>
      <c r="K99" s="25" t="str">
        <f>"－"</f>
        <v>－</v>
      </c>
      <c r="L99" s="23"/>
      <c r="M99" s="25" t="str">
        <f>"－"</f>
        <v>－</v>
      </c>
      <c r="N99" s="23"/>
      <c r="O99" s="26" t="str">
        <f>"－"</f>
        <v>－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80436</f>
        <v>80436.0</v>
      </c>
      <c r="AA99" s="23"/>
      <c r="AB99" s="25" t="n">
        <f>26011</f>
        <v>26011.0</v>
      </c>
      <c r="AC99" s="23"/>
      <c r="AD99" s="26" t="n">
        <f>106447</f>
        <v>106447.0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30</v>
      </c>
      <c r="B102" s="22" t="s">
        <v>64</v>
      </c>
      <c r="C102" s="22" t="s">
        <v>65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str">
        <f>"－"</f>
        <v>－</v>
      </c>
      <c r="AA102" s="23"/>
      <c r="AB102" s="25" t="str">
        <f>"－"</f>
        <v>－</v>
      </c>
      <c r="AC102" s="23"/>
      <c r="AD102" s="26" t="str">
        <f>"－"</f>
        <v>－</v>
      </c>
    </row>
    <row r="103">
      <c r="A103" s="30" t="s">
        <v>32</v>
      </c>
      <c r="B103" s="22" t="s">
        <v>64</v>
      </c>
      <c r="C103" s="22" t="s">
        <v>65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33</v>
      </c>
      <c r="B104" s="22" t="s">
        <v>64</v>
      </c>
      <c r="C104" s="22" t="s">
        <v>65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34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35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36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37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38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40</v>
      </c>
      <c r="B110" s="22" t="s">
        <v>64</v>
      </c>
      <c r="C110" s="22" t="s">
        <v>65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41</v>
      </c>
      <c r="B111" s="22" t="s">
        <v>64</v>
      </c>
      <c r="C111" s="22" t="s">
        <v>65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55</v>
      </c>
      <c r="B125" s="22" t="s">
        <v>64</v>
      </c>
      <c r="C125" s="22" t="s">
        <v>65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29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30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32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33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34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35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36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37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38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29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30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32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33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34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35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36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37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38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