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<sst xmlns="http://schemas.openxmlformats.org/spreadsheetml/2006/main" count="2408" uniqueCount="98">
  <si>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</si>
  <si>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</si>
  <si>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</si>
  <si>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</si>
  <si>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</si>
  <si>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</si>
  <si>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</si>
  <si>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</si>
  <si>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</si>
  <si>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</si>
  <si>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</si>
  <si>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</si>
  <si>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</si>
  <si>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</si>
  <si>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</si>
  <si>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</si>
  <si>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10.1</t>
  </si>
  <si>
    <t>金標準先物</t>
  </si>
  <si>
    <t>Gold Standard Futures</t>
  </si>
  <si>
    <t>2</t>
  </si>
  <si>
    <t>3</t>
  </si>
  <si>
    <t>4</t>
  </si>
  <si>
    <t>●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</si>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</sst>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49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35600</f>
        <v>35600.0</v>
      </c>
      <c r="F6" s="10"/>
      <c r="G6" s="11" t="n">
        <f>223089086000</f>
        <v>2.23089086E11</v>
      </c>
      <c r="H6" s="10"/>
      <c r="I6" s="11" t="n">
        <f>18</f>
        <v>18.0</v>
      </c>
      <c r="J6" s="10"/>
      <c r="K6" s="11" t="n">
        <f>47023</f>
        <v>47023.0</v>
      </c>
    </row>
    <row r="7">
      <c r="A7" s="8" t="s">
        <v>19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20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21</v>
      </c>
      <c r="B9" s="9" t="s">
        <v>17</v>
      </c>
      <c r="C9" s="9" t="s">
        <v>18</v>
      </c>
      <c r="D9" s="10" t="s">
        <v>22</v>
      </c>
      <c r="E9" s="11" t="n">
        <f>15657</f>
        <v>15657.0</v>
      </c>
      <c r="F9" s="10" t="s">
        <v>22</v>
      </c>
      <c r="G9" s="11" t="n">
        <f>98185914000</f>
        <v>9.8185914E10</v>
      </c>
      <c r="H9" s="10" t="s">
        <v>22</v>
      </c>
      <c r="I9" s="11" t="str">
        <f>"－"</f>
        <v>－</v>
      </c>
      <c r="J9" s="10"/>
      <c r="K9" s="11" t="n">
        <f>46776</f>
        <v>46776.0</v>
      </c>
    </row>
    <row r="10">
      <c r="A10" s="8" t="s">
        <v>23</v>
      </c>
      <c r="B10" s="9" t="s">
        <v>17</v>
      </c>
      <c r="C10" s="9" t="s">
        <v>18</v>
      </c>
      <c r="D10" s="10"/>
      <c r="E10" s="11" t="n">
        <f>19962</f>
        <v>19962.0</v>
      </c>
      <c r="F10" s="10"/>
      <c r="G10" s="11" t="n">
        <f>125267139000</f>
        <v>1.25267139E11</v>
      </c>
      <c r="H10" s="10"/>
      <c r="I10" s="11" t="str">
        <f>"－"</f>
        <v>－</v>
      </c>
      <c r="J10" s="10"/>
      <c r="K10" s="11" t="n">
        <f>46634</f>
        <v>46634.0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17831</f>
        <v>17831.0</v>
      </c>
      <c r="F11" s="10"/>
      <c r="G11" s="11" t="n">
        <f>112094993000</f>
        <v>1.12094993E11</v>
      </c>
      <c r="H11" s="10"/>
      <c r="I11" s="11" t="str">
        <f>"－"</f>
        <v>－</v>
      </c>
      <c r="J11" s="10"/>
      <c r="K11" s="11" t="n">
        <f>46487</f>
        <v>46487.0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25977</f>
        <v>25977.0</v>
      </c>
      <c r="F12" s="10"/>
      <c r="G12" s="11" t="n">
        <f>163371422000</f>
        <v>1.63371422E11</v>
      </c>
      <c r="H12" s="10"/>
      <c r="I12" s="11" t="str">
        <f>"－"</f>
        <v>－</v>
      </c>
      <c r="J12" s="10" t="s">
        <v>26</v>
      </c>
      <c r="K12" s="11" t="n">
        <f>53454</f>
        <v>53454.0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22962</f>
        <v>22962.0</v>
      </c>
      <c r="F13" s="10"/>
      <c r="G13" s="11" t="n">
        <f>144698418000</f>
        <v>1.44698418E11</v>
      </c>
      <c r="H13" s="10"/>
      <c r="I13" s="11" t="str">
        <f>"－"</f>
        <v>－</v>
      </c>
      <c r="J13" s="10"/>
      <c r="K13" s="11" t="n">
        <f>46529</f>
        <v>46529.0</v>
      </c>
    </row>
    <row r="14">
      <c r="A14" s="8" t="s">
        <v>28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29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30</v>
      </c>
      <c r="B16" s="9" t="s">
        <v>17</v>
      </c>
      <c r="C16" s="9" t="s">
        <v>18</v>
      </c>
      <c r="D16" s="10"/>
      <c r="E16" s="11" t="n">
        <f>34947</f>
        <v>34947.0</v>
      </c>
      <c r="F16" s="10"/>
      <c r="G16" s="11" t="n">
        <f>221822851000</f>
        <v>2.21822851E11</v>
      </c>
      <c r="H16" s="10"/>
      <c r="I16" s="11" t="n">
        <f>2</f>
        <v>2.0</v>
      </c>
      <c r="J16" s="10"/>
      <c r="K16" s="11" t="n">
        <f>45581</f>
        <v>45581.0</v>
      </c>
    </row>
    <row r="17">
      <c r="A17" s="8" t="s">
        <v>31</v>
      </c>
      <c r="B17" s="9" t="s">
        <v>17</v>
      </c>
      <c r="C17" s="9" t="s">
        <v>18</v>
      </c>
      <c r="D17" s="10"/>
      <c r="E17" s="11" t="n">
        <f>21658</f>
        <v>21658.0</v>
      </c>
      <c r="F17" s="10"/>
      <c r="G17" s="11" t="n">
        <f>138234349000</f>
        <v>1.38234349E11</v>
      </c>
      <c r="H17" s="10"/>
      <c r="I17" s="11" t="str">
        <f>"－"</f>
        <v>－</v>
      </c>
      <c r="J17" s="10"/>
      <c r="K17" s="11" t="n">
        <f>45420</f>
        <v>45420.0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23353</f>
        <v>23353.0</v>
      </c>
      <c r="F18" s="10"/>
      <c r="G18" s="11" t="n">
        <f>149904217000</f>
        <v>1.49904217E11</v>
      </c>
      <c r="H18" s="10"/>
      <c r="I18" s="11" t="str">
        <f>"－"</f>
        <v>－</v>
      </c>
      <c r="J18" s="10"/>
      <c r="K18" s="11" t="n">
        <f>45066</f>
        <v>45066.0</v>
      </c>
    </row>
    <row r="19">
      <c r="A19" s="8" t="s">
        <v>33</v>
      </c>
      <c r="B19" s="9" t="s">
        <v>17</v>
      </c>
      <c r="C19" s="9" t="s">
        <v>18</v>
      </c>
      <c r="D19" s="10" t="s">
        <v>26</v>
      </c>
      <c r="E19" s="11" t="n">
        <f>47635</f>
        <v>47635.0</v>
      </c>
      <c r="F19" s="10" t="s">
        <v>26</v>
      </c>
      <c r="G19" s="11" t="n">
        <f>308979646000</f>
        <v>3.08979646E11</v>
      </c>
      <c r="H19" s="10"/>
      <c r="I19" s="11" t="n">
        <f>9</f>
        <v>9.0</v>
      </c>
      <c r="J19" s="10"/>
      <c r="K19" s="11" t="n">
        <f>42097</f>
        <v>42097.0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27188</f>
        <v>27188.0</v>
      </c>
      <c r="F20" s="10"/>
      <c r="G20" s="11" t="n">
        <f>178193277000</f>
        <v>1.78193277E11</v>
      </c>
      <c r="H20" s="10"/>
      <c r="I20" s="11" t="str">
        <f>"－"</f>
        <v>－</v>
      </c>
      <c r="J20" s="10"/>
      <c r="K20" s="11" t="n">
        <f>40306</f>
        <v>40306.0</v>
      </c>
    </row>
    <row r="21">
      <c r="A21" s="8" t="s">
        <v>35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/>
      <c r="E23" s="11" t="n">
        <f>32836</f>
        <v>32836.0</v>
      </c>
      <c r="F23" s="10"/>
      <c r="G23" s="11" t="n">
        <f>213642608000</f>
        <v>2.13642608E11</v>
      </c>
      <c r="H23" s="10"/>
      <c r="I23" s="11" t="n">
        <f>2</f>
        <v>2.0</v>
      </c>
      <c r="J23" s="10" t="s">
        <v>22</v>
      </c>
      <c r="K23" s="11" t="n">
        <f>39728</f>
        <v>39728.0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21245</f>
        <v>21245.0</v>
      </c>
      <c r="F24" s="10"/>
      <c r="G24" s="11" t="n">
        <f>137771903000</f>
        <v>1.37771903E11</v>
      </c>
      <c r="H24" s="10"/>
      <c r="I24" s="11" t="str">
        <f>"－"</f>
        <v>－</v>
      </c>
      <c r="J24" s="10"/>
      <c r="K24" s="11" t="n">
        <f>40127</f>
        <v>40127.0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22905</f>
        <v>22905.0</v>
      </c>
      <c r="F25" s="10"/>
      <c r="G25" s="11" t="n">
        <f>149295710000</f>
        <v>1.4929571E11</v>
      </c>
      <c r="H25" s="10"/>
      <c r="I25" s="11" t="n">
        <f>14</f>
        <v>14.0</v>
      </c>
      <c r="J25" s="10"/>
      <c r="K25" s="11" t="n">
        <f>40125</f>
        <v>40125.0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20712</f>
        <v>20712.0</v>
      </c>
      <c r="F26" s="10"/>
      <c r="G26" s="11" t="n">
        <f>135492734000</f>
        <v>1.35492734E11</v>
      </c>
      <c r="H26" s="10"/>
      <c r="I26" s="11" t="str">
        <f>"－"</f>
        <v>－</v>
      </c>
      <c r="J26" s="10"/>
      <c r="K26" s="11" t="n">
        <f>39909</f>
        <v>39909.0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17974</f>
        <v>17974.0</v>
      </c>
      <c r="F27" s="10"/>
      <c r="G27" s="11" t="n">
        <f>117357409000</f>
        <v>1.17357409E11</v>
      </c>
      <c r="H27" s="10"/>
      <c r="I27" s="11" t="str">
        <f>"－"</f>
        <v>－</v>
      </c>
      <c r="J27" s="10"/>
      <c r="K27" s="11" t="n">
        <f>40138</f>
        <v>40138.0</v>
      </c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44</v>
      </c>
      <c r="B30" s="9" t="s">
        <v>17</v>
      </c>
      <c r="C30" s="9" t="s">
        <v>18</v>
      </c>
      <c r="D30" s="10"/>
      <c r="E30" s="11" t="n">
        <f>39391</f>
        <v>39391.0</v>
      </c>
      <c r="F30" s="10"/>
      <c r="G30" s="11" t="n">
        <f>258535281000</f>
        <v>2.58535281E11</v>
      </c>
      <c r="H30" s="10"/>
      <c r="I30" s="11" t="str">
        <f>"－"</f>
        <v>－</v>
      </c>
      <c r="J30" s="10"/>
      <c r="K30" s="11" t="n">
        <f>40117</f>
        <v>40117.0</v>
      </c>
    </row>
    <row r="31">
      <c r="A31" s="8" t="s">
        <v>45</v>
      </c>
      <c r="B31" s="9" t="s">
        <v>17</v>
      </c>
      <c r="C31" s="9" t="s">
        <v>18</v>
      </c>
      <c r="D31" s="10"/>
      <c r="E31" s="11" t="n">
        <f>20413</f>
        <v>20413.0</v>
      </c>
      <c r="F31" s="10"/>
      <c r="G31" s="11" t="n">
        <f>134590062000</f>
        <v>1.34590062E11</v>
      </c>
      <c r="H31" s="10"/>
      <c r="I31" s="11" t="str">
        <f>"－"</f>
        <v>－</v>
      </c>
      <c r="J31" s="10"/>
      <c r="K31" s="11" t="n">
        <f>40351</f>
        <v>40351.0</v>
      </c>
    </row>
    <row r="32">
      <c r="A32" s="8" t="s">
        <v>46</v>
      </c>
      <c r="B32" s="9" t="s">
        <v>17</v>
      </c>
      <c r="C32" s="9" t="s">
        <v>18</v>
      </c>
      <c r="D32" s="10"/>
      <c r="E32" s="11" t="n">
        <f>24252</f>
        <v>24252.0</v>
      </c>
      <c r="F32" s="10"/>
      <c r="G32" s="11" t="n">
        <f>159318592000</f>
        <v>1.59318592E11</v>
      </c>
      <c r="H32" s="10"/>
      <c r="I32" s="11" t="str">
        <f>"－"</f>
        <v>－</v>
      </c>
      <c r="J32" s="10"/>
      <c r="K32" s="11" t="n">
        <f>40955</f>
        <v>40955.0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29655</f>
        <v>29655.0</v>
      </c>
      <c r="F33" s="10"/>
      <c r="G33" s="11" t="n">
        <f>194251685000</f>
        <v>1.94251685E11</v>
      </c>
      <c r="H33" s="10"/>
      <c r="I33" s="11" t="str">
        <f>"－"</f>
        <v>－</v>
      </c>
      <c r="J33" s="10"/>
      <c r="K33" s="11" t="n">
        <f>43341</f>
        <v>43341.0</v>
      </c>
    </row>
    <row r="34">
      <c r="A34" s="8" t="s">
        <v>48</v>
      </c>
      <c r="B34" s="9" t="s">
        <v>17</v>
      </c>
      <c r="C34" s="9" t="s">
        <v>18</v>
      </c>
      <c r="D34" s="10"/>
      <c r="E34" s="11" t="n">
        <f>27991</f>
        <v>27991.0</v>
      </c>
      <c r="F34" s="10"/>
      <c r="G34" s="11" t="n">
        <f>183552291000</f>
        <v>1.83552291E11</v>
      </c>
      <c r="H34" s="10" t="s">
        <v>26</v>
      </c>
      <c r="I34" s="11" t="n">
        <f>278</f>
        <v>278.0</v>
      </c>
      <c r="J34" s="10"/>
      <c r="K34" s="11" t="n">
        <f>42500</f>
        <v>42500.0</v>
      </c>
    </row>
    <row r="35">
      <c r="A35" s="8" t="s">
        <v>49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50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51</v>
      </c>
      <c r="C37" s="9" t="s">
        <v>52</v>
      </c>
      <c r="D37" s="10"/>
      <c r="E37" s="11" t="n">
        <f>9162</f>
        <v>9162.0</v>
      </c>
      <c r="F37" s="10"/>
      <c r="G37" s="11" t="n">
        <f>5736803700</f>
        <v>5.7368037E9</v>
      </c>
      <c r="H37" s="10" t="s">
        <v>53</v>
      </c>
      <c r="I37" s="11" t="str">
        <f>"－"</f>
        <v>－</v>
      </c>
      <c r="J37" s="10"/>
      <c r="K37" s="11" t="n">
        <f>14374</f>
        <v>14374.0</v>
      </c>
    </row>
    <row r="38">
      <c r="A38" s="8" t="s">
        <v>19</v>
      </c>
      <c r="B38" s="9" t="s">
        <v>51</v>
      </c>
      <c r="C38" s="9" t="s">
        <v>52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20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21</v>
      </c>
      <c r="B40" s="9" t="s">
        <v>51</v>
      </c>
      <c r="C40" s="9" t="s">
        <v>52</v>
      </c>
      <c r="D40" s="10"/>
      <c r="E40" s="11" t="n">
        <f>5851</f>
        <v>5851.0</v>
      </c>
      <c r="F40" s="10"/>
      <c r="G40" s="11" t="n">
        <f>3668223800</f>
        <v>3.6682238E9</v>
      </c>
      <c r="H40" s="10"/>
      <c r="I40" s="11" t="str">
        <f>"－"</f>
        <v>－</v>
      </c>
      <c r="J40" s="10"/>
      <c r="K40" s="11" t="n">
        <f>14429</f>
        <v>14429.0</v>
      </c>
    </row>
    <row r="41">
      <c r="A41" s="8" t="s">
        <v>23</v>
      </c>
      <c r="B41" s="9" t="s">
        <v>51</v>
      </c>
      <c r="C41" s="9" t="s">
        <v>52</v>
      </c>
      <c r="D41" s="10"/>
      <c r="E41" s="11" t="n">
        <f>6254</f>
        <v>6254.0</v>
      </c>
      <c r="F41" s="10"/>
      <c r="G41" s="11" t="n">
        <f>3924150200</f>
        <v>3.9241502E9</v>
      </c>
      <c r="H41" s="10"/>
      <c r="I41" s="11" t="str">
        <f>"－"</f>
        <v>－</v>
      </c>
      <c r="J41" s="10"/>
      <c r="K41" s="11" t="n">
        <f>14318</f>
        <v>14318.0</v>
      </c>
    </row>
    <row r="42">
      <c r="A42" s="8" t="s">
        <v>24</v>
      </c>
      <c r="B42" s="9" t="s">
        <v>51</v>
      </c>
      <c r="C42" s="9" t="s">
        <v>52</v>
      </c>
      <c r="D42" s="10"/>
      <c r="E42" s="11" t="n">
        <f>5827</f>
        <v>5827.0</v>
      </c>
      <c r="F42" s="10"/>
      <c r="G42" s="11" t="n">
        <f>3663504400</f>
        <v>3.6635044E9</v>
      </c>
      <c r="H42" s="10"/>
      <c r="I42" s="11" t="str">
        <f>"－"</f>
        <v>－</v>
      </c>
      <c r="J42" s="10"/>
      <c r="K42" s="11" t="n">
        <f>13521</f>
        <v>13521.0</v>
      </c>
    </row>
    <row r="43">
      <c r="A43" s="8" t="s">
        <v>25</v>
      </c>
      <c r="B43" s="9" t="s">
        <v>51</v>
      </c>
      <c r="C43" s="9" t="s">
        <v>52</v>
      </c>
      <c r="D43" s="10"/>
      <c r="E43" s="11" t="n">
        <f>6535</f>
        <v>6535.0</v>
      </c>
      <c r="F43" s="10"/>
      <c r="G43" s="11" t="n">
        <f>4109211100</f>
        <v>4.1092111E9</v>
      </c>
      <c r="H43" s="10"/>
      <c r="I43" s="11" t="str">
        <f>"－"</f>
        <v>－</v>
      </c>
      <c r="J43" s="10" t="s">
        <v>26</v>
      </c>
      <c r="K43" s="11" t="n">
        <f>16017</f>
        <v>16017.0</v>
      </c>
    </row>
    <row r="44">
      <c r="A44" s="8" t="s">
        <v>27</v>
      </c>
      <c r="B44" s="9" t="s">
        <v>51</v>
      </c>
      <c r="C44" s="9" t="s">
        <v>52</v>
      </c>
      <c r="D44" s="10" t="s">
        <v>22</v>
      </c>
      <c r="E44" s="11" t="n">
        <f>5484</f>
        <v>5484.0</v>
      </c>
      <c r="F44" s="10" t="s">
        <v>22</v>
      </c>
      <c r="G44" s="11" t="n">
        <f>3455986000</f>
        <v>3.455986E9</v>
      </c>
      <c r="H44" s="10"/>
      <c r="I44" s="11" t="str">
        <f>"－"</f>
        <v>－</v>
      </c>
      <c r="J44" s="10"/>
      <c r="K44" s="11" t="n">
        <f>13326</f>
        <v>13326.0</v>
      </c>
    </row>
    <row r="45">
      <c r="A45" s="8" t="s">
        <v>28</v>
      </c>
      <c r="B45" s="9" t="s">
        <v>51</v>
      </c>
      <c r="C45" s="9" t="s">
        <v>52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29</v>
      </c>
      <c r="B46" s="9" t="s">
        <v>51</v>
      </c>
      <c r="C46" s="9" t="s">
        <v>52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30</v>
      </c>
      <c r="B47" s="9" t="s">
        <v>51</v>
      </c>
      <c r="C47" s="9" t="s">
        <v>52</v>
      </c>
      <c r="D47" s="10"/>
      <c r="E47" s="11" t="n">
        <f>8467</f>
        <v>8467.0</v>
      </c>
      <c r="F47" s="10"/>
      <c r="G47" s="11" t="n">
        <f>5372955700</f>
        <v>5.3729557E9</v>
      </c>
      <c r="H47" s="10"/>
      <c r="I47" s="11" t="str">
        <f>"－"</f>
        <v>－</v>
      </c>
      <c r="J47" s="10"/>
      <c r="K47" s="11" t="n">
        <f>12796</f>
        <v>12796.0</v>
      </c>
    </row>
    <row r="48">
      <c r="A48" s="8" t="s">
        <v>31</v>
      </c>
      <c r="B48" s="9" t="s">
        <v>51</v>
      </c>
      <c r="C48" s="9" t="s">
        <v>52</v>
      </c>
      <c r="D48" s="10"/>
      <c r="E48" s="11" t="n">
        <f>6441</f>
        <v>6441.0</v>
      </c>
      <c r="F48" s="10"/>
      <c r="G48" s="11" t="n">
        <f>4110456800</f>
        <v>4.1104568E9</v>
      </c>
      <c r="H48" s="10"/>
      <c r="I48" s="11" t="str">
        <f>"－"</f>
        <v>－</v>
      </c>
      <c r="J48" s="10"/>
      <c r="K48" s="11" t="n">
        <f>12887</f>
        <v>12887.0</v>
      </c>
    </row>
    <row r="49">
      <c r="A49" s="8" t="s">
        <v>32</v>
      </c>
      <c r="B49" s="9" t="s">
        <v>51</v>
      </c>
      <c r="C49" s="9" t="s">
        <v>52</v>
      </c>
      <c r="D49" s="10"/>
      <c r="E49" s="11" t="n">
        <f>6161</f>
        <v>6161.0</v>
      </c>
      <c r="F49" s="10"/>
      <c r="G49" s="11" t="n">
        <f>3953952100</f>
        <v>3.9539521E9</v>
      </c>
      <c r="H49" s="10"/>
      <c r="I49" s="11" t="str">
        <f>"－"</f>
        <v>－</v>
      </c>
      <c r="J49" s="10"/>
      <c r="K49" s="11" t="n">
        <f>12955</f>
        <v>12955.0</v>
      </c>
    </row>
    <row r="50">
      <c r="A50" s="8" t="s">
        <v>33</v>
      </c>
      <c r="B50" s="9" t="s">
        <v>51</v>
      </c>
      <c r="C50" s="9" t="s">
        <v>52</v>
      </c>
      <c r="D50" s="10" t="s">
        <v>26</v>
      </c>
      <c r="E50" s="11" t="n">
        <f>12447</f>
        <v>12447.0</v>
      </c>
      <c r="F50" s="10"/>
      <c r="G50" s="11" t="n">
        <f>8070370600</f>
        <v>8.0703706E9</v>
      </c>
      <c r="H50" s="10"/>
      <c r="I50" s="11" t="str">
        <f>"－"</f>
        <v>－</v>
      </c>
      <c r="J50" s="10"/>
      <c r="K50" s="11" t="n">
        <f>12924</f>
        <v>12924.0</v>
      </c>
    </row>
    <row r="51">
      <c r="A51" s="8" t="s">
        <v>34</v>
      </c>
      <c r="B51" s="9" t="s">
        <v>51</v>
      </c>
      <c r="C51" s="9" t="s">
        <v>52</v>
      </c>
      <c r="D51" s="10"/>
      <c r="E51" s="11" t="n">
        <f>7500</f>
        <v>7500.0</v>
      </c>
      <c r="F51" s="10"/>
      <c r="G51" s="11" t="n">
        <f>4914998500</f>
        <v>4.9149985E9</v>
      </c>
      <c r="H51" s="10"/>
      <c r="I51" s="11" t="str">
        <f>"－"</f>
        <v>－</v>
      </c>
      <c r="J51" s="10"/>
      <c r="K51" s="11" t="n">
        <f>12885</f>
        <v>12885.0</v>
      </c>
    </row>
    <row r="52">
      <c r="A52" s="8" t="s">
        <v>35</v>
      </c>
      <c r="B52" s="9" t="s">
        <v>51</v>
      </c>
      <c r="C52" s="9" t="s">
        <v>52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36</v>
      </c>
      <c r="B53" s="9" t="s">
        <v>51</v>
      </c>
      <c r="C53" s="9" t="s">
        <v>52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37</v>
      </c>
      <c r="B54" s="9" t="s">
        <v>51</v>
      </c>
      <c r="C54" s="9" t="s">
        <v>52</v>
      </c>
      <c r="D54" s="10"/>
      <c r="E54" s="11" t="n">
        <f>12419</f>
        <v>12419.0</v>
      </c>
      <c r="F54" s="10" t="s">
        <v>26</v>
      </c>
      <c r="G54" s="11" t="n">
        <f>8082296400</f>
        <v>8.0822964E9</v>
      </c>
      <c r="H54" s="10"/>
      <c r="I54" s="11" t="str">
        <f>"－"</f>
        <v>－</v>
      </c>
      <c r="J54" s="10"/>
      <c r="K54" s="11" t="n">
        <f>12953</f>
        <v>12953.0</v>
      </c>
    </row>
    <row r="55">
      <c r="A55" s="8" t="s">
        <v>38</v>
      </c>
      <c r="B55" s="9" t="s">
        <v>51</v>
      </c>
      <c r="C55" s="9" t="s">
        <v>52</v>
      </c>
      <c r="D55" s="10"/>
      <c r="E55" s="11" t="n">
        <f>6073</f>
        <v>6073.0</v>
      </c>
      <c r="F55" s="10"/>
      <c r="G55" s="11" t="n">
        <f>3938116300</f>
        <v>3.9381163E9</v>
      </c>
      <c r="H55" s="10"/>
      <c r="I55" s="11" t="str">
        <f>"－"</f>
        <v>－</v>
      </c>
      <c r="J55" s="10"/>
      <c r="K55" s="11" t="n">
        <f>13117</f>
        <v>13117.0</v>
      </c>
    </row>
    <row r="56">
      <c r="A56" s="8" t="s">
        <v>39</v>
      </c>
      <c r="B56" s="9" t="s">
        <v>51</v>
      </c>
      <c r="C56" s="9" t="s">
        <v>52</v>
      </c>
      <c r="D56" s="10"/>
      <c r="E56" s="11" t="n">
        <f>8061</f>
        <v>8061.0</v>
      </c>
      <c r="F56" s="10"/>
      <c r="G56" s="11" t="n">
        <f>5255290300</f>
        <v>5.2552903E9</v>
      </c>
      <c r="H56" s="10"/>
      <c r="I56" s="11" t="str">
        <f>"－"</f>
        <v>－</v>
      </c>
      <c r="J56" s="10"/>
      <c r="K56" s="11" t="n">
        <f>13195</f>
        <v>13195.0</v>
      </c>
    </row>
    <row r="57">
      <c r="A57" s="8" t="s">
        <v>40</v>
      </c>
      <c r="B57" s="9" t="s">
        <v>51</v>
      </c>
      <c r="C57" s="9" t="s">
        <v>52</v>
      </c>
      <c r="D57" s="10"/>
      <c r="E57" s="11" t="n">
        <f>7534</f>
        <v>7534.0</v>
      </c>
      <c r="F57" s="10"/>
      <c r="G57" s="11" t="n">
        <f>4929036900</f>
        <v>4.9290369E9</v>
      </c>
      <c r="H57" s="10"/>
      <c r="I57" s="11" t="str">
        <f>"－"</f>
        <v>－</v>
      </c>
      <c r="J57" s="10"/>
      <c r="K57" s="11" t="n">
        <f>13292</f>
        <v>13292.0</v>
      </c>
    </row>
    <row r="58">
      <c r="A58" s="8" t="s">
        <v>41</v>
      </c>
      <c r="B58" s="9" t="s">
        <v>51</v>
      </c>
      <c r="C58" s="9" t="s">
        <v>52</v>
      </c>
      <c r="D58" s="10"/>
      <c r="E58" s="11" t="n">
        <f>7348</f>
        <v>7348.0</v>
      </c>
      <c r="F58" s="10"/>
      <c r="G58" s="11" t="n">
        <f>4796942300</f>
        <v>4.7969423E9</v>
      </c>
      <c r="H58" s="10"/>
      <c r="I58" s="11" t="str">
        <f>"－"</f>
        <v>－</v>
      </c>
      <c r="J58" s="10"/>
      <c r="K58" s="11" t="n">
        <f>13373</f>
        <v>13373.0</v>
      </c>
    </row>
    <row r="59">
      <c r="A59" s="8" t="s">
        <v>42</v>
      </c>
      <c r="B59" s="9" t="s">
        <v>51</v>
      </c>
      <c r="C59" s="9" t="s">
        <v>52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43</v>
      </c>
      <c r="B60" s="9" t="s">
        <v>51</v>
      </c>
      <c r="C60" s="9" t="s">
        <v>52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44</v>
      </c>
      <c r="B61" s="9" t="s">
        <v>51</v>
      </c>
      <c r="C61" s="9" t="s">
        <v>52</v>
      </c>
      <c r="D61" s="10"/>
      <c r="E61" s="11" t="n">
        <f>11915</f>
        <v>11915.0</v>
      </c>
      <c r="F61" s="10"/>
      <c r="G61" s="11" t="n">
        <f>7822566300</f>
        <v>7.8225663E9</v>
      </c>
      <c r="H61" s="10"/>
      <c r="I61" s="11" t="str">
        <f>"－"</f>
        <v>－</v>
      </c>
      <c r="J61" s="10"/>
      <c r="K61" s="11" t="n">
        <f>13400</f>
        <v>13400.0</v>
      </c>
    </row>
    <row r="62">
      <c r="A62" s="8" t="s">
        <v>45</v>
      </c>
      <c r="B62" s="9" t="s">
        <v>51</v>
      </c>
      <c r="C62" s="9" t="s">
        <v>52</v>
      </c>
      <c r="D62" s="10"/>
      <c r="E62" s="11" t="n">
        <f>6755</f>
        <v>6755.0</v>
      </c>
      <c r="F62" s="10"/>
      <c r="G62" s="11" t="n">
        <f>4453580800</f>
        <v>4.4535808E9</v>
      </c>
      <c r="H62" s="10"/>
      <c r="I62" s="11" t="str">
        <f>"－"</f>
        <v>－</v>
      </c>
      <c r="J62" s="10"/>
      <c r="K62" s="11" t="n">
        <f>13497</f>
        <v>13497.0</v>
      </c>
    </row>
    <row r="63">
      <c r="A63" s="8" t="s">
        <v>46</v>
      </c>
      <c r="B63" s="9" t="s">
        <v>51</v>
      </c>
      <c r="C63" s="9" t="s">
        <v>52</v>
      </c>
      <c r="D63" s="10"/>
      <c r="E63" s="11" t="n">
        <f>9151</f>
        <v>9151.0</v>
      </c>
      <c r="F63" s="10"/>
      <c r="G63" s="11" t="n">
        <f>6015263800</f>
        <v>6.0152638E9</v>
      </c>
      <c r="H63" s="10"/>
      <c r="I63" s="11" t="str">
        <f>"－"</f>
        <v>－</v>
      </c>
      <c r="J63" s="10"/>
      <c r="K63" s="11" t="n">
        <f>12707</f>
        <v>12707.0</v>
      </c>
    </row>
    <row r="64">
      <c r="A64" s="8" t="s">
        <v>47</v>
      </c>
      <c r="B64" s="9" t="s">
        <v>51</v>
      </c>
      <c r="C64" s="9" t="s">
        <v>52</v>
      </c>
      <c r="D64" s="10"/>
      <c r="E64" s="11" t="n">
        <f>7601</f>
        <v>7601.0</v>
      </c>
      <c r="F64" s="10"/>
      <c r="G64" s="11" t="n">
        <f>4976100500</f>
        <v>4.9761005E9</v>
      </c>
      <c r="H64" s="10"/>
      <c r="I64" s="11" t="str">
        <f>"－"</f>
        <v>－</v>
      </c>
      <c r="J64" s="10"/>
      <c r="K64" s="11" t="n">
        <f>12650</f>
        <v>12650.0</v>
      </c>
    </row>
    <row r="65">
      <c r="A65" s="8" t="s">
        <v>48</v>
      </c>
      <c r="B65" s="9" t="s">
        <v>51</v>
      </c>
      <c r="C65" s="9" t="s">
        <v>52</v>
      </c>
      <c r="D65" s="10"/>
      <c r="E65" s="11" t="n">
        <f>9423</f>
        <v>9423.0</v>
      </c>
      <c r="F65" s="10"/>
      <c r="G65" s="11" t="n">
        <f>6179654300</f>
        <v>6.1796543E9</v>
      </c>
      <c r="H65" s="10"/>
      <c r="I65" s="11" t="str">
        <f>"－"</f>
        <v>－</v>
      </c>
      <c r="J65" s="10" t="s">
        <v>22</v>
      </c>
      <c r="K65" s="11" t="n">
        <f>12482</f>
        <v>12482.0</v>
      </c>
    </row>
    <row r="66">
      <c r="A66" s="8" t="s">
        <v>49</v>
      </c>
      <c r="B66" s="9" t="s">
        <v>51</v>
      </c>
      <c r="C66" s="9" t="s">
        <v>52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50</v>
      </c>
      <c r="B67" s="9" t="s">
        <v>51</v>
      </c>
      <c r="C67" s="9" t="s">
        <v>52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/>
      <c r="E68" s="11" t="n">
        <f>3329</f>
        <v>3329.0</v>
      </c>
      <c r="F68" s="10"/>
      <c r="G68" s="11" t="n">
        <f>2103131800</f>
        <v>2.1031318E9</v>
      </c>
      <c r="H68" s="10" t="s">
        <v>53</v>
      </c>
      <c r="I68" s="11" t="str">
        <f>"－"</f>
        <v>－</v>
      </c>
      <c r="J68" s="10"/>
      <c r="K68" s="11" t="n">
        <f>51488</f>
        <v>51488.0</v>
      </c>
    </row>
    <row r="69">
      <c r="A69" s="8" t="s">
        <v>19</v>
      </c>
      <c r="B69" s="9" t="s">
        <v>54</v>
      </c>
      <c r="C69" s="9" t="s">
        <v>55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20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21</v>
      </c>
      <c r="B71" s="9" t="s">
        <v>54</v>
      </c>
      <c r="C71" s="9" t="s">
        <v>55</v>
      </c>
      <c r="D71" s="10"/>
      <c r="E71" s="11" t="n">
        <f>1512</f>
        <v>1512.0</v>
      </c>
      <c r="F71" s="10"/>
      <c r="G71" s="11" t="n">
        <f>956971100</f>
        <v>9.569711E8</v>
      </c>
      <c r="H71" s="10"/>
      <c r="I71" s="11" t="str">
        <f>"－"</f>
        <v>－</v>
      </c>
      <c r="J71" s="10"/>
      <c r="K71" s="11" t="n">
        <f>51516</f>
        <v>51516.0</v>
      </c>
    </row>
    <row r="72">
      <c r="A72" s="8" t="s">
        <v>23</v>
      </c>
      <c r="B72" s="9" t="s">
        <v>54</v>
      </c>
      <c r="C72" s="9" t="s">
        <v>55</v>
      </c>
      <c r="D72" s="10"/>
      <c r="E72" s="11" t="n">
        <f>2172</f>
        <v>2172.0</v>
      </c>
      <c r="F72" s="10"/>
      <c r="G72" s="11" t="n">
        <f>1374265500</f>
        <v>1.3742655E9</v>
      </c>
      <c r="H72" s="10"/>
      <c r="I72" s="11" t="str">
        <f>"－"</f>
        <v>－</v>
      </c>
      <c r="J72" s="10"/>
      <c r="K72" s="11" t="n">
        <f>51128</f>
        <v>51128.0</v>
      </c>
    </row>
    <row r="73">
      <c r="A73" s="8" t="s">
        <v>24</v>
      </c>
      <c r="B73" s="9" t="s">
        <v>54</v>
      </c>
      <c r="C73" s="9" t="s">
        <v>55</v>
      </c>
      <c r="D73" s="10"/>
      <c r="E73" s="11" t="n">
        <f>1425</f>
        <v>1425.0</v>
      </c>
      <c r="F73" s="10"/>
      <c r="G73" s="11" t="n">
        <f>903451800</f>
        <v>9.034518E8</v>
      </c>
      <c r="H73" s="10"/>
      <c r="I73" s="11" t="str">
        <f>"－"</f>
        <v>－</v>
      </c>
      <c r="J73" s="10"/>
      <c r="K73" s="11" t="n">
        <f>51054</f>
        <v>51054.0</v>
      </c>
    </row>
    <row r="74">
      <c r="A74" s="8" t="s">
        <v>25</v>
      </c>
      <c r="B74" s="9" t="s">
        <v>54</v>
      </c>
      <c r="C74" s="9" t="s">
        <v>55</v>
      </c>
      <c r="D74" s="10"/>
      <c r="E74" s="11" t="n">
        <f>2402</f>
        <v>2402.0</v>
      </c>
      <c r="F74" s="10"/>
      <c r="G74" s="11" t="n">
        <f>1522957400</f>
        <v>1.5229574E9</v>
      </c>
      <c r="H74" s="10"/>
      <c r="I74" s="11" t="str">
        <f>"－"</f>
        <v>－</v>
      </c>
      <c r="J74" s="10" t="s">
        <v>26</v>
      </c>
      <c r="K74" s="11" t="n">
        <f>51671</f>
        <v>51671.0</v>
      </c>
    </row>
    <row r="75">
      <c r="A75" s="8" t="s">
        <v>27</v>
      </c>
      <c r="B75" s="9" t="s">
        <v>54</v>
      </c>
      <c r="C75" s="9" t="s">
        <v>55</v>
      </c>
      <c r="D75" s="10"/>
      <c r="E75" s="11" t="n">
        <f>1943</f>
        <v>1943.0</v>
      </c>
      <c r="F75" s="10"/>
      <c r="G75" s="11" t="n">
        <f>1234986800</f>
        <v>1.2349868E9</v>
      </c>
      <c r="H75" s="10"/>
      <c r="I75" s="11" t="str">
        <f>"－"</f>
        <v>－</v>
      </c>
      <c r="J75" s="10"/>
      <c r="K75" s="11" t="n">
        <f>51148</f>
        <v>51148.0</v>
      </c>
    </row>
    <row r="76">
      <c r="A76" s="8" t="s">
        <v>28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29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30</v>
      </c>
      <c r="B78" s="9" t="s">
        <v>54</v>
      </c>
      <c r="C78" s="9" t="s">
        <v>55</v>
      </c>
      <c r="D78" s="10"/>
      <c r="E78" s="11" t="n">
        <f>2394</f>
        <v>2394.0</v>
      </c>
      <c r="F78" s="10"/>
      <c r="G78" s="11" t="n">
        <f>1528667300</f>
        <v>1.5286673E9</v>
      </c>
      <c r="H78" s="10"/>
      <c r="I78" s="11" t="str">
        <f>"－"</f>
        <v>－</v>
      </c>
      <c r="J78" s="10"/>
      <c r="K78" s="11" t="n">
        <f>51151</f>
        <v>51151.0</v>
      </c>
    </row>
    <row r="79">
      <c r="A79" s="8" t="s">
        <v>31</v>
      </c>
      <c r="B79" s="9" t="s">
        <v>54</v>
      </c>
      <c r="C79" s="9" t="s">
        <v>55</v>
      </c>
      <c r="D79" s="10"/>
      <c r="E79" s="11" t="n">
        <f>2185</f>
        <v>2185.0</v>
      </c>
      <c r="F79" s="10"/>
      <c r="G79" s="11" t="n">
        <f>1403402300</f>
        <v>1.4034023E9</v>
      </c>
      <c r="H79" s="10"/>
      <c r="I79" s="11" t="str">
        <f>"－"</f>
        <v>－</v>
      </c>
      <c r="J79" s="10"/>
      <c r="K79" s="11" t="n">
        <f>51119</f>
        <v>51119.0</v>
      </c>
    </row>
    <row r="80">
      <c r="A80" s="8" t="s">
        <v>32</v>
      </c>
      <c r="B80" s="9" t="s">
        <v>54</v>
      </c>
      <c r="C80" s="9" t="s">
        <v>55</v>
      </c>
      <c r="D80" s="10"/>
      <c r="E80" s="11" t="n">
        <f>2101</f>
        <v>2101.0</v>
      </c>
      <c r="F80" s="10"/>
      <c r="G80" s="11" t="n">
        <f>1355715000</f>
        <v>1.355715E9</v>
      </c>
      <c r="H80" s="10"/>
      <c r="I80" s="11" t="str">
        <f>"－"</f>
        <v>－</v>
      </c>
      <c r="J80" s="10"/>
      <c r="K80" s="11" t="n">
        <f>50973</f>
        <v>50973.0</v>
      </c>
    </row>
    <row r="81">
      <c r="A81" s="8" t="s">
        <v>33</v>
      </c>
      <c r="B81" s="9" t="s">
        <v>54</v>
      </c>
      <c r="C81" s="9" t="s">
        <v>55</v>
      </c>
      <c r="D81" s="10" t="s">
        <v>26</v>
      </c>
      <c r="E81" s="11" t="n">
        <f>5684</f>
        <v>5684.0</v>
      </c>
      <c r="F81" s="10" t="s">
        <v>26</v>
      </c>
      <c r="G81" s="11" t="n">
        <f>3710509800</f>
        <v>3.7105098E9</v>
      </c>
      <c r="H81" s="10"/>
      <c r="I81" s="11" t="str">
        <f>"－"</f>
        <v>－</v>
      </c>
      <c r="J81" s="10"/>
      <c r="K81" s="11" t="n">
        <f>50924</f>
        <v>50924.0</v>
      </c>
    </row>
    <row r="82">
      <c r="A82" s="8" t="s">
        <v>34</v>
      </c>
      <c r="B82" s="9" t="s">
        <v>54</v>
      </c>
      <c r="C82" s="9" t="s">
        <v>55</v>
      </c>
      <c r="D82" s="10"/>
      <c r="E82" s="11" t="n">
        <f>3081</f>
        <v>3081.0</v>
      </c>
      <c r="F82" s="10"/>
      <c r="G82" s="11" t="n">
        <f>2030468400</f>
        <v>2.0304684E9</v>
      </c>
      <c r="H82" s="10"/>
      <c r="I82" s="11" t="str">
        <f>"－"</f>
        <v>－</v>
      </c>
      <c r="J82" s="10"/>
      <c r="K82" s="11" t="n">
        <f>50841</f>
        <v>50841.0</v>
      </c>
    </row>
    <row r="83">
      <c r="A83" s="8" t="s">
        <v>35</v>
      </c>
      <c r="B83" s="9" t="s">
        <v>54</v>
      </c>
      <c r="C83" s="9" t="s">
        <v>55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36</v>
      </c>
      <c r="B84" s="9" t="s">
        <v>54</v>
      </c>
      <c r="C84" s="9" t="s">
        <v>55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37</v>
      </c>
      <c r="B85" s="9" t="s">
        <v>54</v>
      </c>
      <c r="C85" s="9" t="s">
        <v>55</v>
      </c>
      <c r="D85" s="10"/>
      <c r="E85" s="11" t="n">
        <f>4081</f>
        <v>4081.0</v>
      </c>
      <c r="F85" s="10"/>
      <c r="G85" s="11" t="n">
        <f>2665587700</f>
        <v>2.6655877E9</v>
      </c>
      <c r="H85" s="10"/>
      <c r="I85" s="11" t="str">
        <f>"－"</f>
        <v>－</v>
      </c>
      <c r="J85" s="10"/>
      <c r="K85" s="11" t="n">
        <f>49834</f>
        <v>49834.0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1707</f>
        <v>1707.0</v>
      </c>
      <c r="F86" s="10"/>
      <c r="G86" s="11" t="n">
        <f>1113273300</f>
        <v>1.1132733E9</v>
      </c>
      <c r="H86" s="10"/>
      <c r="I86" s="11" t="str">
        <f>"－"</f>
        <v>－</v>
      </c>
      <c r="J86" s="10"/>
      <c r="K86" s="11" t="n">
        <f>49756</f>
        <v>49756.0</v>
      </c>
    </row>
    <row r="87">
      <c r="A87" s="8" t="s">
        <v>39</v>
      </c>
      <c r="B87" s="9" t="s">
        <v>54</v>
      </c>
      <c r="C87" s="9" t="s">
        <v>55</v>
      </c>
      <c r="D87" s="10"/>
      <c r="E87" s="11" t="n">
        <f>1519</f>
        <v>1519.0</v>
      </c>
      <c r="F87" s="10"/>
      <c r="G87" s="11" t="n">
        <f>995661800</f>
        <v>9.956618E8</v>
      </c>
      <c r="H87" s="10"/>
      <c r="I87" s="11" t="str">
        <f>"－"</f>
        <v>－</v>
      </c>
      <c r="J87" s="10" t="s">
        <v>22</v>
      </c>
      <c r="K87" s="11" t="n">
        <f>49746</f>
        <v>49746.0</v>
      </c>
    </row>
    <row r="88">
      <c r="A88" s="8" t="s">
        <v>40</v>
      </c>
      <c r="B88" s="9" t="s">
        <v>54</v>
      </c>
      <c r="C88" s="9" t="s">
        <v>55</v>
      </c>
      <c r="D88" s="10"/>
      <c r="E88" s="11" t="n">
        <f>2118</f>
        <v>2118.0</v>
      </c>
      <c r="F88" s="10"/>
      <c r="G88" s="11" t="n">
        <f>1393079200</f>
        <v>1.3930792E9</v>
      </c>
      <c r="H88" s="10"/>
      <c r="I88" s="11" t="str">
        <f>"－"</f>
        <v>－</v>
      </c>
      <c r="J88" s="10"/>
      <c r="K88" s="11" t="n">
        <f>50062</f>
        <v>50062.0</v>
      </c>
    </row>
    <row r="89">
      <c r="A89" s="8" t="s">
        <v>41</v>
      </c>
      <c r="B89" s="9" t="s">
        <v>54</v>
      </c>
      <c r="C89" s="9" t="s">
        <v>55</v>
      </c>
      <c r="D89" s="10" t="s">
        <v>22</v>
      </c>
      <c r="E89" s="11" t="n">
        <f>1191</f>
        <v>1191.0</v>
      </c>
      <c r="F89" s="10" t="s">
        <v>22</v>
      </c>
      <c r="G89" s="11" t="n">
        <f>781895100</f>
        <v>7.818951E8</v>
      </c>
      <c r="H89" s="10"/>
      <c r="I89" s="11" t="str">
        <f>"－"</f>
        <v>－</v>
      </c>
      <c r="J89" s="10"/>
      <c r="K89" s="11" t="n">
        <f>50005</f>
        <v>50005.0</v>
      </c>
    </row>
    <row r="90">
      <c r="A90" s="8" t="s">
        <v>42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43</v>
      </c>
      <c r="B91" s="9" t="s">
        <v>54</v>
      </c>
      <c r="C91" s="9" t="s">
        <v>55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44</v>
      </c>
      <c r="B92" s="9" t="s">
        <v>54</v>
      </c>
      <c r="C92" s="9" t="s">
        <v>55</v>
      </c>
      <c r="D92" s="10"/>
      <c r="E92" s="11" t="n">
        <f>3498</f>
        <v>3498.0</v>
      </c>
      <c r="F92" s="10"/>
      <c r="G92" s="11" t="n">
        <f>2308735700</f>
        <v>2.3087357E9</v>
      </c>
      <c r="H92" s="10"/>
      <c r="I92" s="11" t="str">
        <f>"－"</f>
        <v>－</v>
      </c>
      <c r="J92" s="10"/>
      <c r="K92" s="11" t="n">
        <f>49998</f>
        <v>49998.0</v>
      </c>
    </row>
    <row r="93">
      <c r="A93" s="8" t="s">
        <v>45</v>
      </c>
      <c r="B93" s="9" t="s">
        <v>54</v>
      </c>
      <c r="C93" s="9" t="s">
        <v>55</v>
      </c>
      <c r="D93" s="10"/>
      <c r="E93" s="11" t="n">
        <f>2219</f>
        <v>2219.0</v>
      </c>
      <c r="F93" s="10"/>
      <c r="G93" s="11" t="n">
        <f>1470392900</f>
        <v>1.4703929E9</v>
      </c>
      <c r="H93" s="10"/>
      <c r="I93" s="11" t="str">
        <f>"－"</f>
        <v>－</v>
      </c>
      <c r="J93" s="10"/>
      <c r="K93" s="11" t="n">
        <f>50088</f>
        <v>50088.0</v>
      </c>
    </row>
    <row r="94">
      <c r="A94" s="8" t="s">
        <v>46</v>
      </c>
      <c r="B94" s="9" t="s">
        <v>54</v>
      </c>
      <c r="C94" s="9" t="s">
        <v>55</v>
      </c>
      <c r="D94" s="10"/>
      <c r="E94" s="11" t="n">
        <f>2205</f>
        <v>2205.0</v>
      </c>
      <c r="F94" s="10"/>
      <c r="G94" s="11" t="n">
        <f>1454091400</f>
        <v>1.4540914E9</v>
      </c>
      <c r="H94" s="10"/>
      <c r="I94" s="11" t="str">
        <f>"－"</f>
        <v>－</v>
      </c>
      <c r="J94" s="10"/>
      <c r="K94" s="11" t="n">
        <f>50100</f>
        <v>50100.0</v>
      </c>
    </row>
    <row r="95">
      <c r="A95" s="8" t="s">
        <v>47</v>
      </c>
      <c r="B95" s="9" t="s">
        <v>54</v>
      </c>
      <c r="C95" s="9" t="s">
        <v>55</v>
      </c>
      <c r="D95" s="10"/>
      <c r="E95" s="11" t="n">
        <f>2229</f>
        <v>2229.0</v>
      </c>
      <c r="F95" s="10"/>
      <c r="G95" s="11" t="n">
        <f>1466401300</f>
        <v>1.4664013E9</v>
      </c>
      <c r="H95" s="10"/>
      <c r="I95" s="11" t="str">
        <f>"－"</f>
        <v>－</v>
      </c>
      <c r="J95" s="10"/>
      <c r="K95" s="11" t="n">
        <f>50249</f>
        <v>50249.0</v>
      </c>
    </row>
    <row r="96">
      <c r="A96" s="8" t="s">
        <v>48</v>
      </c>
      <c r="B96" s="9" t="s">
        <v>54</v>
      </c>
      <c r="C96" s="9" t="s">
        <v>55</v>
      </c>
      <c r="D96" s="10"/>
      <c r="E96" s="11" t="n">
        <f>1862</f>
        <v>1862.0</v>
      </c>
      <c r="F96" s="10"/>
      <c r="G96" s="11" t="n">
        <f>1226378900</f>
        <v>1.2263789E9</v>
      </c>
      <c r="H96" s="10"/>
      <c r="I96" s="11" t="str">
        <f>"－"</f>
        <v>－</v>
      </c>
      <c r="J96" s="10"/>
      <c r="K96" s="11" t="n">
        <f>50293</f>
        <v>50293.0</v>
      </c>
    </row>
    <row r="97">
      <c r="A97" s="8" t="s">
        <v>49</v>
      </c>
      <c r="B97" s="9" t="s">
        <v>54</v>
      </c>
      <c r="C97" s="9" t="s">
        <v>55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50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 t="n">
        <f>89</f>
        <v>89.0</v>
      </c>
      <c r="F99" s="10"/>
      <c r="G99" s="11" t="n">
        <f>70551000</f>
        <v>7.0551E7</v>
      </c>
      <c r="H99" s="10" t="s">
        <v>53</v>
      </c>
      <c r="I99" s="11" t="str">
        <f>"－"</f>
        <v>－</v>
      </c>
      <c r="J99" s="10" t="s">
        <v>26</v>
      </c>
      <c r="K99" s="11" t="n">
        <f>1692</f>
        <v>1692.0</v>
      </c>
    </row>
    <row r="100">
      <c r="A100" s="8" t="s">
        <v>19</v>
      </c>
      <c r="B100" s="9" t="s">
        <v>56</v>
      </c>
      <c r="C100" s="9" t="s">
        <v>57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20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21</v>
      </c>
      <c r="B102" s="9" t="s">
        <v>56</v>
      </c>
      <c r="C102" s="9" t="s">
        <v>57</v>
      </c>
      <c r="D102" s="10"/>
      <c r="E102" s="11" t="n">
        <f>80</f>
        <v>80.0</v>
      </c>
      <c r="F102" s="10"/>
      <c r="G102" s="11" t="n">
        <f>64292000</f>
        <v>6.4292E7</v>
      </c>
      <c r="H102" s="10"/>
      <c r="I102" s="11" t="str">
        <f>"－"</f>
        <v>－</v>
      </c>
      <c r="J102" s="10"/>
      <c r="K102" s="11" t="n">
        <f>1688</f>
        <v>1688.0</v>
      </c>
    </row>
    <row r="103">
      <c r="A103" s="8" t="s">
        <v>23</v>
      </c>
      <c r="B103" s="9" t="s">
        <v>56</v>
      </c>
      <c r="C103" s="9" t="s">
        <v>57</v>
      </c>
      <c r="D103" s="10"/>
      <c r="E103" s="11" t="n">
        <f>31</f>
        <v>31.0</v>
      </c>
      <c r="F103" s="10" t="s">
        <v>22</v>
      </c>
      <c r="G103" s="11" t="n">
        <f>24859000</f>
        <v>2.4859E7</v>
      </c>
      <c r="H103" s="10"/>
      <c r="I103" s="11" t="str">
        <f>"－"</f>
        <v>－</v>
      </c>
      <c r="J103" s="10"/>
      <c r="K103" s="11" t="n">
        <f>1687</f>
        <v>1687.0</v>
      </c>
    </row>
    <row r="104">
      <c r="A104" s="8" t="s">
        <v>24</v>
      </c>
      <c r="B104" s="9" t="s">
        <v>56</v>
      </c>
      <c r="C104" s="9" t="s">
        <v>57</v>
      </c>
      <c r="D104" s="10"/>
      <c r="E104" s="11" t="n">
        <f>55</f>
        <v>55.0</v>
      </c>
      <c r="F104" s="10"/>
      <c r="G104" s="11" t="n">
        <f>44389000</f>
        <v>4.4389E7</v>
      </c>
      <c r="H104" s="10"/>
      <c r="I104" s="11" t="str">
        <f>"－"</f>
        <v>－</v>
      </c>
      <c r="J104" s="10"/>
      <c r="K104" s="11" t="n">
        <f>1663</f>
        <v>1663.0</v>
      </c>
    </row>
    <row r="105">
      <c r="A105" s="8" t="s">
        <v>25</v>
      </c>
      <c r="B105" s="9" t="s">
        <v>56</v>
      </c>
      <c r="C105" s="9" t="s">
        <v>57</v>
      </c>
      <c r="D105" s="10"/>
      <c r="E105" s="11" t="n">
        <f>46</f>
        <v>46.0</v>
      </c>
      <c r="F105" s="10"/>
      <c r="G105" s="11" t="n">
        <f>37130000</f>
        <v>3.713E7</v>
      </c>
      <c r="H105" s="10"/>
      <c r="I105" s="11" t="str">
        <f>"－"</f>
        <v>－</v>
      </c>
      <c r="J105" s="10"/>
      <c r="K105" s="11" t="n">
        <f>1667</f>
        <v>1667.0</v>
      </c>
    </row>
    <row r="106">
      <c r="A106" s="8" t="s">
        <v>27</v>
      </c>
      <c r="B106" s="9" t="s">
        <v>56</v>
      </c>
      <c r="C106" s="9" t="s">
        <v>57</v>
      </c>
      <c r="D106" s="10"/>
      <c r="E106" s="11" t="n">
        <f>153</f>
        <v>153.0</v>
      </c>
      <c r="F106" s="10"/>
      <c r="G106" s="11" t="n">
        <f>124335000</f>
        <v>1.24335E8</v>
      </c>
      <c r="H106" s="10"/>
      <c r="I106" s="11" t="str">
        <f>"－"</f>
        <v>－</v>
      </c>
      <c r="J106" s="10"/>
      <c r="K106" s="11" t="n">
        <f>1672</f>
        <v>1672.0</v>
      </c>
    </row>
    <row r="107">
      <c r="A107" s="8" t="s">
        <v>28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29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30</v>
      </c>
      <c r="B109" s="9" t="s">
        <v>56</v>
      </c>
      <c r="C109" s="9" t="s">
        <v>57</v>
      </c>
      <c r="D109" s="10"/>
      <c r="E109" s="11" t="n">
        <f>174</f>
        <v>174.0</v>
      </c>
      <c r="F109" s="10"/>
      <c r="G109" s="11" t="n">
        <f>143137000</f>
        <v>1.43137E8</v>
      </c>
      <c r="H109" s="10"/>
      <c r="I109" s="11" t="str">
        <f>"－"</f>
        <v>－</v>
      </c>
      <c r="J109" s="10"/>
      <c r="K109" s="11" t="n">
        <f>1675</f>
        <v>1675.0</v>
      </c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100</f>
        <v>100.0</v>
      </c>
      <c r="F110" s="10"/>
      <c r="G110" s="11" t="n">
        <f>82431000</f>
        <v>8.2431E7</v>
      </c>
      <c r="H110" s="10"/>
      <c r="I110" s="11" t="str">
        <f>"－"</f>
        <v>－</v>
      </c>
      <c r="J110" s="10"/>
      <c r="K110" s="11" t="n">
        <f>1670</f>
        <v>1670.0</v>
      </c>
    </row>
    <row r="111">
      <c r="A111" s="8" t="s">
        <v>32</v>
      </c>
      <c r="B111" s="9" t="s">
        <v>56</v>
      </c>
      <c r="C111" s="9" t="s">
        <v>57</v>
      </c>
      <c r="D111" s="10"/>
      <c r="E111" s="11" t="n">
        <f>78</f>
        <v>78.0</v>
      </c>
      <c r="F111" s="10"/>
      <c r="G111" s="11" t="n">
        <f>64447000</f>
        <v>6.4447E7</v>
      </c>
      <c r="H111" s="10"/>
      <c r="I111" s="11" t="str">
        <f>"－"</f>
        <v>－</v>
      </c>
      <c r="J111" s="10"/>
      <c r="K111" s="11" t="n">
        <f>1668</f>
        <v>1668.0</v>
      </c>
    </row>
    <row r="112">
      <c r="A112" s="8" t="s">
        <v>33</v>
      </c>
      <c r="B112" s="9" t="s">
        <v>56</v>
      </c>
      <c r="C112" s="9" t="s">
        <v>57</v>
      </c>
      <c r="D112" s="10"/>
      <c r="E112" s="11" t="n">
        <f>213</f>
        <v>213.0</v>
      </c>
      <c r="F112" s="10"/>
      <c r="G112" s="11" t="n">
        <f>179292000</f>
        <v>1.79292E8</v>
      </c>
      <c r="H112" s="10"/>
      <c r="I112" s="11" t="str">
        <f>"－"</f>
        <v>－</v>
      </c>
      <c r="J112" s="10"/>
      <c r="K112" s="11" t="n">
        <f>1681</f>
        <v>1681.0</v>
      </c>
    </row>
    <row r="113">
      <c r="A113" s="8" t="s">
        <v>34</v>
      </c>
      <c r="B113" s="9" t="s">
        <v>56</v>
      </c>
      <c r="C113" s="9" t="s">
        <v>57</v>
      </c>
      <c r="D113" s="10" t="s">
        <v>26</v>
      </c>
      <c r="E113" s="11" t="n">
        <f>244</f>
        <v>244.0</v>
      </c>
      <c r="F113" s="10" t="s">
        <v>26</v>
      </c>
      <c r="G113" s="11" t="n">
        <f>209397000</f>
        <v>2.09397E8</v>
      </c>
      <c r="H113" s="10"/>
      <c r="I113" s="11" t="str">
        <f>"－"</f>
        <v>－</v>
      </c>
      <c r="J113" s="10"/>
      <c r="K113" s="11" t="n">
        <f>1686</f>
        <v>1686.0</v>
      </c>
    </row>
    <row r="114">
      <c r="A114" s="8" t="s">
        <v>35</v>
      </c>
      <c r="B114" s="9" t="s">
        <v>56</v>
      </c>
      <c r="C114" s="9" t="s">
        <v>57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36</v>
      </c>
      <c r="B115" s="9" t="s">
        <v>56</v>
      </c>
      <c r="C115" s="9" t="s">
        <v>57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37</v>
      </c>
      <c r="B116" s="9" t="s">
        <v>56</v>
      </c>
      <c r="C116" s="9" t="s">
        <v>57</v>
      </c>
      <c r="D116" s="10"/>
      <c r="E116" s="11" t="n">
        <f>104</f>
        <v>104.0</v>
      </c>
      <c r="F116" s="10"/>
      <c r="G116" s="11" t="n">
        <f>88863000</f>
        <v>8.8863E7</v>
      </c>
      <c r="H116" s="10"/>
      <c r="I116" s="11" t="str">
        <f>"－"</f>
        <v>－</v>
      </c>
      <c r="J116" s="10"/>
      <c r="K116" s="11" t="n">
        <f>1678</f>
        <v>1678.0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101</f>
        <v>101.0</v>
      </c>
      <c r="F117" s="10"/>
      <c r="G117" s="11" t="n">
        <f>86680000</f>
        <v>8.668E7</v>
      </c>
      <c r="H117" s="10"/>
      <c r="I117" s="11" t="str">
        <f>"－"</f>
        <v>－</v>
      </c>
      <c r="J117" s="10"/>
      <c r="K117" s="11" t="n">
        <f>1666</f>
        <v>1666.0</v>
      </c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119</f>
        <v>119.0</v>
      </c>
      <c r="F118" s="10"/>
      <c r="G118" s="11" t="n">
        <f>103906000</f>
        <v>1.03906E8</v>
      </c>
      <c r="H118" s="10"/>
      <c r="I118" s="11" t="str">
        <f>"－"</f>
        <v>－</v>
      </c>
      <c r="J118" s="10"/>
      <c r="K118" s="11" t="n">
        <f>1659</f>
        <v>1659.0</v>
      </c>
    </row>
    <row r="119">
      <c r="A119" s="8" t="s">
        <v>40</v>
      </c>
      <c r="B119" s="9" t="s">
        <v>56</v>
      </c>
      <c r="C119" s="9" t="s">
        <v>57</v>
      </c>
      <c r="D119" s="10"/>
      <c r="E119" s="11" t="n">
        <f>222</f>
        <v>222.0</v>
      </c>
      <c r="F119" s="10"/>
      <c r="G119" s="11" t="n">
        <f>196988000</f>
        <v>1.96988E8</v>
      </c>
      <c r="H119" s="10"/>
      <c r="I119" s="11" t="str">
        <f>"－"</f>
        <v>－</v>
      </c>
      <c r="J119" s="10"/>
      <c r="K119" s="11" t="n">
        <f>1633</f>
        <v>1633.0</v>
      </c>
    </row>
    <row r="120">
      <c r="A120" s="8" t="s">
        <v>41</v>
      </c>
      <c r="B120" s="9" t="s">
        <v>56</v>
      </c>
      <c r="C120" s="9" t="s">
        <v>57</v>
      </c>
      <c r="D120" s="10"/>
      <c r="E120" s="11" t="n">
        <f>42</f>
        <v>42.0</v>
      </c>
      <c r="F120" s="10"/>
      <c r="G120" s="11" t="n">
        <f>37100000</f>
        <v>3.71E7</v>
      </c>
      <c r="H120" s="10"/>
      <c r="I120" s="11" t="str">
        <f>"－"</f>
        <v>－</v>
      </c>
      <c r="J120" s="10"/>
      <c r="K120" s="11" t="n">
        <f>1633</f>
        <v>1633.0</v>
      </c>
    </row>
    <row r="121">
      <c r="A121" s="8" t="s">
        <v>42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43</v>
      </c>
      <c r="B122" s="9" t="s">
        <v>56</v>
      </c>
      <c r="C122" s="9" t="s">
        <v>57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44</v>
      </c>
      <c r="B123" s="9" t="s">
        <v>56</v>
      </c>
      <c r="C123" s="9" t="s">
        <v>57</v>
      </c>
      <c r="D123" s="10"/>
      <c r="E123" s="11" t="n">
        <f>94</f>
        <v>94.0</v>
      </c>
      <c r="F123" s="10"/>
      <c r="G123" s="11" t="n">
        <f>83672000</f>
        <v>8.3672E7</v>
      </c>
      <c r="H123" s="10"/>
      <c r="I123" s="11" t="str">
        <f>"－"</f>
        <v>－</v>
      </c>
      <c r="J123" s="10"/>
      <c r="K123" s="11" t="n">
        <f>1607</f>
        <v>1607.0</v>
      </c>
    </row>
    <row r="124">
      <c r="A124" s="8" t="s">
        <v>45</v>
      </c>
      <c r="B124" s="9" t="s">
        <v>56</v>
      </c>
      <c r="C124" s="9" t="s">
        <v>57</v>
      </c>
      <c r="D124" s="10"/>
      <c r="E124" s="11" t="n">
        <f>67</f>
        <v>67.0</v>
      </c>
      <c r="F124" s="10"/>
      <c r="G124" s="11" t="n">
        <f>59724000</f>
        <v>5.9724E7</v>
      </c>
      <c r="H124" s="10"/>
      <c r="I124" s="11" t="str">
        <f>"－"</f>
        <v>－</v>
      </c>
      <c r="J124" s="10"/>
      <c r="K124" s="11" t="n">
        <f>1588</f>
        <v>1588.0</v>
      </c>
    </row>
    <row r="125">
      <c r="A125" s="8" t="s">
        <v>46</v>
      </c>
      <c r="B125" s="9" t="s">
        <v>56</v>
      </c>
      <c r="C125" s="9" t="s">
        <v>57</v>
      </c>
      <c r="D125" s="10"/>
      <c r="E125" s="11" t="n">
        <f>166</f>
        <v>166.0</v>
      </c>
      <c r="F125" s="10"/>
      <c r="G125" s="11" t="n">
        <f>145276000</f>
        <v>1.45276E8</v>
      </c>
      <c r="H125" s="10"/>
      <c r="I125" s="11" t="str">
        <f>"－"</f>
        <v>－</v>
      </c>
      <c r="J125" s="10"/>
      <c r="K125" s="11" t="n">
        <f>1552</f>
        <v>1552.0</v>
      </c>
    </row>
    <row r="126">
      <c r="A126" s="8" t="s">
        <v>47</v>
      </c>
      <c r="B126" s="9" t="s">
        <v>56</v>
      </c>
      <c r="C126" s="9" t="s">
        <v>57</v>
      </c>
      <c r="D126" s="10"/>
      <c r="E126" s="11" t="n">
        <f>102</f>
        <v>102.0</v>
      </c>
      <c r="F126" s="10"/>
      <c r="G126" s="11" t="n">
        <f>89312000</f>
        <v>8.9312E7</v>
      </c>
      <c r="H126" s="10"/>
      <c r="I126" s="11" t="str">
        <f>"－"</f>
        <v>－</v>
      </c>
      <c r="J126" s="10" t="s">
        <v>22</v>
      </c>
      <c r="K126" s="11" t="n">
        <f>1542</f>
        <v>1542.0</v>
      </c>
    </row>
    <row r="127">
      <c r="A127" s="8" t="s">
        <v>48</v>
      </c>
      <c r="B127" s="9" t="s">
        <v>56</v>
      </c>
      <c r="C127" s="9" t="s">
        <v>57</v>
      </c>
      <c r="D127" s="10" t="s">
        <v>22</v>
      </c>
      <c r="E127" s="11" t="n">
        <f>29</f>
        <v>29.0</v>
      </c>
      <c r="F127" s="10"/>
      <c r="G127" s="11" t="n">
        <f>25398000</f>
        <v>2.5398E7</v>
      </c>
      <c r="H127" s="10"/>
      <c r="I127" s="11" t="str">
        <f>"－"</f>
        <v>－</v>
      </c>
      <c r="J127" s="10"/>
      <c r="K127" s="11" t="n">
        <f>1549</f>
        <v>1549.0</v>
      </c>
    </row>
    <row r="128">
      <c r="A128" s="8" t="s">
        <v>49</v>
      </c>
      <c r="B128" s="9" t="s">
        <v>56</v>
      </c>
      <c r="C128" s="9" t="s">
        <v>57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50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/>
      <c r="E130" s="11" t="n">
        <f>6602</f>
        <v>6602.0</v>
      </c>
      <c r="F130" s="10" t="s">
        <v>22</v>
      </c>
      <c r="G130" s="11" t="n">
        <f>11303882000</f>
        <v>1.1303882E10</v>
      </c>
      <c r="H130" s="10" t="s">
        <v>22</v>
      </c>
      <c r="I130" s="11" t="str">
        <f>"－"</f>
        <v>－</v>
      </c>
      <c r="J130" s="10"/>
      <c r="K130" s="11" t="n">
        <f>42528</f>
        <v>42528.0</v>
      </c>
    </row>
    <row r="131">
      <c r="A131" s="8" t="s">
        <v>19</v>
      </c>
      <c r="B131" s="9" t="s">
        <v>58</v>
      </c>
      <c r="C131" s="9" t="s">
        <v>59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20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21</v>
      </c>
      <c r="B133" s="9" t="s">
        <v>58</v>
      </c>
      <c r="C133" s="9" t="s">
        <v>59</v>
      </c>
      <c r="D133" s="10"/>
      <c r="E133" s="11" t="n">
        <f>8005</f>
        <v>8005.0</v>
      </c>
      <c r="F133" s="10"/>
      <c r="G133" s="11" t="n">
        <f>13836976000</f>
        <v>1.3836976E10</v>
      </c>
      <c r="H133" s="10"/>
      <c r="I133" s="11" t="n">
        <f>1</f>
        <v>1.0</v>
      </c>
      <c r="J133" s="10"/>
      <c r="K133" s="11" t="n">
        <f>42820</f>
        <v>42820.0</v>
      </c>
    </row>
    <row r="134">
      <c r="A134" s="8" t="s">
        <v>23</v>
      </c>
      <c r="B134" s="9" t="s">
        <v>58</v>
      </c>
      <c r="C134" s="9" t="s">
        <v>59</v>
      </c>
      <c r="D134" s="10"/>
      <c r="E134" s="11" t="n">
        <f>9191</f>
        <v>9191.0</v>
      </c>
      <c r="F134" s="10"/>
      <c r="G134" s="11" t="n">
        <f>15643046000</f>
        <v>1.5643046E10</v>
      </c>
      <c r="H134" s="10"/>
      <c r="I134" s="11" t="n">
        <f>1</f>
        <v>1.0</v>
      </c>
      <c r="J134" s="10"/>
      <c r="K134" s="11" t="n">
        <f>42643</f>
        <v>42643.0</v>
      </c>
    </row>
    <row r="135">
      <c r="A135" s="8" t="s">
        <v>24</v>
      </c>
      <c r="B135" s="9" t="s">
        <v>58</v>
      </c>
      <c r="C135" s="9" t="s">
        <v>59</v>
      </c>
      <c r="D135" s="10"/>
      <c r="E135" s="11" t="n">
        <f>6995</f>
        <v>6995.0</v>
      </c>
      <c r="F135" s="10"/>
      <c r="G135" s="11" t="n">
        <f>11936013000</f>
        <v>1.1936013E10</v>
      </c>
      <c r="H135" s="10"/>
      <c r="I135" s="11" t="str">
        <f>"－"</f>
        <v>－</v>
      </c>
      <c r="J135" s="10"/>
      <c r="K135" s="11" t="n">
        <f>42822</f>
        <v>42822.0</v>
      </c>
    </row>
    <row r="136">
      <c r="A136" s="8" t="s">
        <v>25</v>
      </c>
      <c r="B136" s="9" t="s">
        <v>58</v>
      </c>
      <c r="C136" s="9" t="s">
        <v>59</v>
      </c>
      <c r="D136" s="10"/>
      <c r="E136" s="11" t="n">
        <f>13176</f>
        <v>13176.0</v>
      </c>
      <c r="F136" s="10"/>
      <c r="G136" s="11" t="n">
        <f>22716789500</f>
        <v>2.27167895E10</v>
      </c>
      <c r="H136" s="10"/>
      <c r="I136" s="11" t="str">
        <f>"－"</f>
        <v>－</v>
      </c>
      <c r="J136" s="10" t="s">
        <v>26</v>
      </c>
      <c r="K136" s="11" t="n">
        <f>47141</f>
        <v>47141.0</v>
      </c>
    </row>
    <row r="137">
      <c r="A137" s="8" t="s">
        <v>27</v>
      </c>
      <c r="B137" s="9" t="s">
        <v>58</v>
      </c>
      <c r="C137" s="9" t="s">
        <v>59</v>
      </c>
      <c r="D137" s="10"/>
      <c r="E137" s="11" t="n">
        <f>8562</f>
        <v>8562.0</v>
      </c>
      <c r="F137" s="10"/>
      <c r="G137" s="11" t="n">
        <f>15010207500</f>
        <v>1.50102075E10</v>
      </c>
      <c r="H137" s="10"/>
      <c r="I137" s="11" t="n">
        <f>1</f>
        <v>1.0</v>
      </c>
      <c r="J137" s="10"/>
      <c r="K137" s="11" t="n">
        <f>43398</f>
        <v>43398.0</v>
      </c>
    </row>
    <row r="138">
      <c r="A138" s="8" t="s">
        <v>28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29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30</v>
      </c>
      <c r="B140" s="9" t="s">
        <v>58</v>
      </c>
      <c r="C140" s="9" t="s">
        <v>59</v>
      </c>
      <c r="D140" s="10" t="s">
        <v>26</v>
      </c>
      <c r="E140" s="11" t="n">
        <f>22723</f>
        <v>22723.0</v>
      </c>
      <c r="F140" s="10" t="s">
        <v>26</v>
      </c>
      <c r="G140" s="11" t="n">
        <f>41348027500</f>
        <v>4.13480275E10</v>
      </c>
      <c r="H140" s="10"/>
      <c r="I140" s="11" t="n">
        <f>1</f>
        <v>1.0</v>
      </c>
      <c r="J140" s="10"/>
      <c r="K140" s="11" t="n">
        <f>42132</f>
        <v>42132.0</v>
      </c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12198</f>
        <v>12198.0</v>
      </c>
      <c r="F141" s="10"/>
      <c r="G141" s="11" t="n">
        <f>22404001000</f>
        <v>2.2404001E10</v>
      </c>
      <c r="H141" s="10"/>
      <c r="I141" s="11" t="n">
        <f>1</f>
        <v>1.0</v>
      </c>
      <c r="J141" s="10"/>
      <c r="K141" s="11" t="n">
        <f>41636</f>
        <v>41636.0</v>
      </c>
    </row>
    <row r="142">
      <c r="A142" s="8" t="s">
        <v>32</v>
      </c>
      <c r="B142" s="9" t="s">
        <v>58</v>
      </c>
      <c r="C142" s="9" t="s">
        <v>59</v>
      </c>
      <c r="D142" s="10"/>
      <c r="E142" s="11" t="n">
        <f>8524</f>
        <v>8524.0</v>
      </c>
      <c r="F142" s="10"/>
      <c r="G142" s="11" t="n">
        <f>15574084000</f>
        <v>1.5574084E10</v>
      </c>
      <c r="H142" s="10"/>
      <c r="I142" s="11" t="str">
        <f>"－"</f>
        <v>－</v>
      </c>
      <c r="J142" s="10"/>
      <c r="K142" s="11" t="n">
        <f>41807</f>
        <v>41807.0</v>
      </c>
    </row>
    <row r="143">
      <c r="A143" s="8" t="s">
        <v>33</v>
      </c>
      <c r="B143" s="9" t="s">
        <v>58</v>
      </c>
      <c r="C143" s="9" t="s">
        <v>59</v>
      </c>
      <c r="D143" s="10"/>
      <c r="E143" s="11" t="n">
        <f>10049</f>
        <v>10049.0</v>
      </c>
      <c r="F143" s="10"/>
      <c r="G143" s="11" t="n">
        <f>18506663500</f>
        <v>1.85066635E10</v>
      </c>
      <c r="H143" s="10"/>
      <c r="I143" s="11" t="str">
        <f>"－"</f>
        <v>－</v>
      </c>
      <c r="J143" s="10"/>
      <c r="K143" s="11" t="n">
        <f>41286</f>
        <v>41286.0</v>
      </c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17440</f>
        <v>17440.0</v>
      </c>
      <c r="F144" s="10"/>
      <c r="G144" s="11" t="n">
        <f>33187581500</f>
        <v>3.31875815E10</v>
      </c>
      <c r="H144" s="10"/>
      <c r="I144" s="11" t="n">
        <f>1</f>
        <v>1.0</v>
      </c>
      <c r="J144" s="10"/>
      <c r="K144" s="11" t="n">
        <f>38818</f>
        <v>38818.0</v>
      </c>
    </row>
    <row r="145">
      <c r="A145" s="8" t="s">
        <v>35</v>
      </c>
      <c r="B145" s="9" t="s">
        <v>58</v>
      </c>
      <c r="C145" s="9" t="s">
        <v>59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36</v>
      </c>
      <c r="B146" s="9" t="s">
        <v>58</v>
      </c>
      <c r="C146" s="9" t="s">
        <v>59</v>
      </c>
      <c r="D146" s="10"/>
      <c r="E146" s="11"/>
      <c r="F146" s="10"/>
      <c r="G146" s="11"/>
      <c r="H146" s="10"/>
      <c r="I146" s="11"/>
      <c r="J146" s="10"/>
      <c r="K146" s="11"/>
    </row>
    <row r="147">
      <c r="A147" s="8" t="s">
        <v>37</v>
      </c>
      <c r="B147" s="9" t="s">
        <v>58</v>
      </c>
      <c r="C147" s="9" t="s">
        <v>59</v>
      </c>
      <c r="D147" s="10"/>
      <c r="E147" s="11" t="n">
        <f>9601</f>
        <v>9601.0</v>
      </c>
      <c r="F147" s="10"/>
      <c r="G147" s="11" t="n">
        <f>18460959000</f>
        <v>1.8460959E10</v>
      </c>
      <c r="H147" s="10"/>
      <c r="I147" s="11" t="n">
        <f>1</f>
        <v>1.0</v>
      </c>
      <c r="J147" s="10"/>
      <c r="K147" s="11" t="n">
        <f>37436</f>
        <v>37436.0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7977</f>
        <v>7977.0</v>
      </c>
      <c r="F148" s="10"/>
      <c r="G148" s="11" t="n">
        <f>15211069000</f>
        <v>1.5211069E10</v>
      </c>
      <c r="H148" s="10"/>
      <c r="I148" s="11" t="str">
        <f>"－"</f>
        <v>－</v>
      </c>
      <c r="J148" s="10"/>
      <c r="K148" s="11" t="n">
        <f>36773</f>
        <v>36773.0</v>
      </c>
    </row>
    <row r="149">
      <c r="A149" s="8" t="s">
        <v>39</v>
      </c>
      <c r="B149" s="9" t="s">
        <v>58</v>
      </c>
      <c r="C149" s="9" t="s">
        <v>59</v>
      </c>
      <c r="D149" s="10"/>
      <c r="E149" s="11" t="n">
        <f>6780</f>
        <v>6780.0</v>
      </c>
      <c r="F149" s="10"/>
      <c r="G149" s="11" t="n">
        <f>12967471500</f>
        <v>1.29674715E10</v>
      </c>
      <c r="H149" s="10"/>
      <c r="I149" s="11" t="str">
        <f>"－"</f>
        <v>－</v>
      </c>
      <c r="J149" s="10"/>
      <c r="K149" s="11" t="n">
        <f>37036</f>
        <v>37036.0</v>
      </c>
    </row>
    <row r="150">
      <c r="A150" s="8" t="s">
        <v>40</v>
      </c>
      <c r="B150" s="9" t="s">
        <v>58</v>
      </c>
      <c r="C150" s="9" t="s">
        <v>59</v>
      </c>
      <c r="D150" s="10"/>
      <c r="E150" s="11" t="n">
        <f>8561</f>
        <v>8561.0</v>
      </c>
      <c r="F150" s="10"/>
      <c r="G150" s="11" t="n">
        <f>16510534000</f>
        <v>1.6510534E10</v>
      </c>
      <c r="H150" s="10"/>
      <c r="I150" s="11" t="str">
        <f>"－"</f>
        <v>－</v>
      </c>
      <c r="J150" s="10"/>
      <c r="K150" s="11" t="n">
        <f>36289</f>
        <v>36289.0</v>
      </c>
    </row>
    <row r="151">
      <c r="A151" s="8" t="s">
        <v>41</v>
      </c>
      <c r="B151" s="9" t="s">
        <v>58</v>
      </c>
      <c r="C151" s="9" t="s">
        <v>59</v>
      </c>
      <c r="D151" s="10"/>
      <c r="E151" s="11" t="n">
        <f>6145</f>
        <v>6145.0</v>
      </c>
      <c r="F151" s="10"/>
      <c r="G151" s="11" t="n">
        <f>11778065000</f>
        <v>1.1778065E10</v>
      </c>
      <c r="H151" s="10"/>
      <c r="I151" s="11" t="str">
        <f>"－"</f>
        <v>－</v>
      </c>
      <c r="J151" s="10"/>
      <c r="K151" s="11" t="n">
        <f>36195</f>
        <v>36195.0</v>
      </c>
    </row>
    <row r="152">
      <c r="A152" s="8" t="s">
        <v>42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43</v>
      </c>
      <c r="B153" s="9" t="s">
        <v>58</v>
      </c>
      <c r="C153" s="9" t="s">
        <v>59</v>
      </c>
      <c r="D153" s="10"/>
      <c r="E153" s="11"/>
      <c r="F153" s="10"/>
      <c r="G153" s="11"/>
      <c r="H153" s="10"/>
      <c r="I153" s="11"/>
      <c r="J153" s="10"/>
      <c r="K153" s="11"/>
    </row>
    <row r="154">
      <c r="A154" s="8" t="s">
        <v>44</v>
      </c>
      <c r="B154" s="9" t="s">
        <v>58</v>
      </c>
      <c r="C154" s="9" t="s">
        <v>59</v>
      </c>
      <c r="D154" s="10"/>
      <c r="E154" s="11" t="n">
        <f>12160</f>
        <v>12160.0</v>
      </c>
      <c r="F154" s="10"/>
      <c r="G154" s="11" t="n">
        <f>23427877500</f>
        <v>2.34278775E10</v>
      </c>
      <c r="H154" s="10"/>
      <c r="I154" s="11" t="str">
        <f>"－"</f>
        <v>－</v>
      </c>
      <c r="J154" s="10"/>
      <c r="K154" s="11" t="n">
        <f>35698</f>
        <v>35698.0</v>
      </c>
    </row>
    <row r="155">
      <c r="A155" s="8" t="s">
        <v>45</v>
      </c>
      <c r="B155" s="9" t="s">
        <v>58</v>
      </c>
      <c r="C155" s="9" t="s">
        <v>59</v>
      </c>
      <c r="D155" s="10" t="s">
        <v>22</v>
      </c>
      <c r="E155" s="11" t="n">
        <f>6069</f>
        <v>6069.0</v>
      </c>
      <c r="F155" s="10"/>
      <c r="G155" s="11" t="n">
        <f>11640284000</f>
        <v>1.1640284E10</v>
      </c>
      <c r="H155" s="10"/>
      <c r="I155" s="11" t="str">
        <f>"－"</f>
        <v>－</v>
      </c>
      <c r="J155" s="10"/>
      <c r="K155" s="11" t="n">
        <f>35406</f>
        <v>35406.0</v>
      </c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11951</f>
        <v>11951.0</v>
      </c>
      <c r="F156" s="10"/>
      <c r="G156" s="11" t="n">
        <f>22524433500</f>
        <v>2.25244335E10</v>
      </c>
      <c r="H156" s="10"/>
      <c r="I156" s="11" t="str">
        <f>"－"</f>
        <v>－</v>
      </c>
      <c r="J156" s="10"/>
      <c r="K156" s="11" t="n">
        <f>35051</f>
        <v>35051.0</v>
      </c>
    </row>
    <row r="157">
      <c r="A157" s="8" t="s">
        <v>47</v>
      </c>
      <c r="B157" s="9" t="s">
        <v>58</v>
      </c>
      <c r="C157" s="9" t="s">
        <v>59</v>
      </c>
      <c r="D157" s="10"/>
      <c r="E157" s="11" t="n">
        <f>9117</f>
        <v>9117.0</v>
      </c>
      <c r="F157" s="10"/>
      <c r="G157" s="11" t="n">
        <f>16860101000</f>
        <v>1.6860101E10</v>
      </c>
      <c r="H157" s="10" t="s">
        <v>26</v>
      </c>
      <c r="I157" s="11" t="n">
        <f>45</f>
        <v>45.0</v>
      </c>
      <c r="J157" s="10"/>
      <c r="K157" s="11" t="n">
        <f>35661</f>
        <v>35661.0</v>
      </c>
    </row>
    <row r="158">
      <c r="A158" s="8" t="s">
        <v>48</v>
      </c>
      <c r="B158" s="9" t="s">
        <v>58</v>
      </c>
      <c r="C158" s="9" t="s">
        <v>59</v>
      </c>
      <c r="D158" s="10"/>
      <c r="E158" s="11" t="n">
        <f>6989</f>
        <v>6989.0</v>
      </c>
      <c r="F158" s="10"/>
      <c r="G158" s="11" t="n">
        <f>12983428500</f>
        <v>1.29834285E10</v>
      </c>
      <c r="H158" s="10"/>
      <c r="I158" s="11" t="str">
        <f>"－"</f>
        <v>－</v>
      </c>
      <c r="J158" s="10" t="s">
        <v>22</v>
      </c>
      <c r="K158" s="11" t="n">
        <f>35030</f>
        <v>35030.0</v>
      </c>
    </row>
    <row r="159">
      <c r="A159" s="8" t="s">
        <v>49</v>
      </c>
      <c r="B159" s="9" t="s">
        <v>58</v>
      </c>
      <c r="C159" s="9" t="s">
        <v>59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50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1456</f>
        <v>1456.0</v>
      </c>
      <c r="F161" s="10" t="s">
        <v>22</v>
      </c>
      <c r="G161" s="11" t="n">
        <f>498619200</f>
        <v>4.986192E8</v>
      </c>
      <c r="H161" s="10" t="s">
        <v>53</v>
      </c>
      <c r="I161" s="11" t="str">
        <f>"－"</f>
        <v>－</v>
      </c>
      <c r="J161" s="10"/>
      <c r="K161" s="11" t="n">
        <f>3190</f>
        <v>3190.0</v>
      </c>
    </row>
    <row r="162">
      <c r="A162" s="8" t="s">
        <v>19</v>
      </c>
      <c r="B162" s="9" t="s">
        <v>60</v>
      </c>
      <c r="C162" s="9" t="s">
        <v>61</v>
      </c>
      <c r="D162" s="10"/>
      <c r="E162" s="11"/>
      <c r="F162" s="10"/>
      <c r="G162" s="11"/>
      <c r="H162" s="10"/>
      <c r="I162" s="11"/>
      <c r="J162" s="10"/>
      <c r="K162" s="11"/>
    </row>
    <row r="163">
      <c r="A163" s="8" t="s">
        <v>20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21</v>
      </c>
      <c r="B164" s="9" t="s">
        <v>60</v>
      </c>
      <c r="C164" s="9" t="s">
        <v>61</v>
      </c>
      <c r="D164" s="10"/>
      <c r="E164" s="11" t="n">
        <f>1668</f>
        <v>1668.0</v>
      </c>
      <c r="F164" s="10"/>
      <c r="G164" s="11" t="n">
        <f>575274900</f>
        <v>5.752749E8</v>
      </c>
      <c r="H164" s="10"/>
      <c r="I164" s="11" t="str">
        <f>"－"</f>
        <v>－</v>
      </c>
      <c r="J164" s="10"/>
      <c r="K164" s="11" t="n">
        <f>3231</f>
        <v>3231.0</v>
      </c>
    </row>
    <row r="165">
      <c r="A165" s="8" t="s">
        <v>23</v>
      </c>
      <c r="B165" s="9" t="s">
        <v>60</v>
      </c>
      <c r="C165" s="9" t="s">
        <v>61</v>
      </c>
      <c r="D165" s="10"/>
      <c r="E165" s="11" t="n">
        <f>1740</f>
        <v>1740.0</v>
      </c>
      <c r="F165" s="10"/>
      <c r="G165" s="11" t="n">
        <f>591334700</f>
        <v>5.913347E8</v>
      </c>
      <c r="H165" s="10"/>
      <c r="I165" s="11" t="str">
        <f>"－"</f>
        <v>－</v>
      </c>
      <c r="J165" s="10"/>
      <c r="K165" s="11" t="n">
        <f>3260</f>
        <v>3260.0</v>
      </c>
    </row>
    <row r="166">
      <c r="A166" s="8" t="s">
        <v>24</v>
      </c>
      <c r="B166" s="9" t="s">
        <v>60</v>
      </c>
      <c r="C166" s="9" t="s">
        <v>61</v>
      </c>
      <c r="D166" s="10"/>
      <c r="E166" s="11" t="n">
        <f>1841</f>
        <v>1841.0</v>
      </c>
      <c r="F166" s="10"/>
      <c r="G166" s="11" t="n">
        <f>627437100</f>
        <v>6.274371E8</v>
      </c>
      <c r="H166" s="10"/>
      <c r="I166" s="11" t="str">
        <f>"－"</f>
        <v>－</v>
      </c>
      <c r="J166" s="10"/>
      <c r="K166" s="11" t="n">
        <f>3280</f>
        <v>3280.0</v>
      </c>
    </row>
    <row r="167">
      <c r="A167" s="8" t="s">
        <v>25</v>
      </c>
      <c r="B167" s="9" t="s">
        <v>60</v>
      </c>
      <c r="C167" s="9" t="s">
        <v>61</v>
      </c>
      <c r="D167" s="10"/>
      <c r="E167" s="11" t="n">
        <f>3452</f>
        <v>3452.0</v>
      </c>
      <c r="F167" s="10"/>
      <c r="G167" s="11" t="n">
        <f>1186880300</f>
        <v>1.1868803E9</v>
      </c>
      <c r="H167" s="10"/>
      <c r="I167" s="11" t="str">
        <f>"－"</f>
        <v>－</v>
      </c>
      <c r="J167" s="10" t="s">
        <v>26</v>
      </c>
      <c r="K167" s="11" t="n">
        <f>5589</f>
        <v>5589.0</v>
      </c>
    </row>
    <row r="168">
      <c r="A168" s="8" t="s">
        <v>27</v>
      </c>
      <c r="B168" s="9" t="s">
        <v>60</v>
      </c>
      <c r="C168" s="9" t="s">
        <v>61</v>
      </c>
      <c r="D168" s="10"/>
      <c r="E168" s="11" t="n">
        <f>1986</f>
        <v>1986.0</v>
      </c>
      <c r="F168" s="10"/>
      <c r="G168" s="11" t="n">
        <f>694714300</f>
        <v>6.947143E8</v>
      </c>
      <c r="H168" s="10"/>
      <c r="I168" s="11" t="str">
        <f>"－"</f>
        <v>－</v>
      </c>
      <c r="J168" s="10"/>
      <c r="K168" s="11" t="n">
        <f>3340</f>
        <v>3340.0</v>
      </c>
    </row>
    <row r="169">
      <c r="A169" s="8" t="s">
        <v>28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29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30</v>
      </c>
      <c r="B171" s="9" t="s">
        <v>60</v>
      </c>
      <c r="C171" s="9" t="s">
        <v>61</v>
      </c>
      <c r="D171" s="10" t="s">
        <v>26</v>
      </c>
      <c r="E171" s="11" t="n">
        <f>5096</f>
        <v>5096.0</v>
      </c>
      <c r="F171" s="10" t="s">
        <v>26</v>
      </c>
      <c r="G171" s="11" t="n">
        <f>1852220000</f>
        <v>1.85222E9</v>
      </c>
      <c r="H171" s="10"/>
      <c r="I171" s="11" t="str">
        <f>"－"</f>
        <v>－</v>
      </c>
      <c r="J171" s="10"/>
      <c r="K171" s="11" t="n">
        <f>3161</f>
        <v>3161.0</v>
      </c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3132</f>
        <v>3132.0</v>
      </c>
      <c r="F172" s="10"/>
      <c r="G172" s="11" t="n">
        <f>1150069500</f>
        <v>1.1500695E9</v>
      </c>
      <c r="H172" s="10"/>
      <c r="I172" s="11" t="str">
        <f>"－"</f>
        <v>－</v>
      </c>
      <c r="J172" s="10"/>
      <c r="K172" s="11" t="n">
        <f>3136</f>
        <v>3136.0</v>
      </c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2226</f>
        <v>2226.0</v>
      </c>
      <c r="F173" s="10"/>
      <c r="G173" s="11" t="n">
        <f>813571300</f>
        <v>8.135713E8</v>
      </c>
      <c r="H173" s="10"/>
      <c r="I173" s="11" t="str">
        <f>"－"</f>
        <v>－</v>
      </c>
      <c r="J173" s="10"/>
      <c r="K173" s="11" t="n">
        <f>3019</f>
        <v>3019.0</v>
      </c>
    </row>
    <row r="174">
      <c r="A174" s="8" t="s">
        <v>33</v>
      </c>
      <c r="B174" s="9" t="s">
        <v>60</v>
      </c>
      <c r="C174" s="9" t="s">
        <v>61</v>
      </c>
      <c r="D174" s="10"/>
      <c r="E174" s="11" t="n">
        <f>2888</f>
        <v>2888.0</v>
      </c>
      <c r="F174" s="10"/>
      <c r="G174" s="11" t="n">
        <f>1061262900</f>
        <v>1.0612629E9</v>
      </c>
      <c r="H174" s="10"/>
      <c r="I174" s="11" t="str">
        <f>"－"</f>
        <v>－</v>
      </c>
      <c r="J174" s="10" t="s">
        <v>22</v>
      </c>
      <c r="K174" s="11" t="n">
        <f>3002</f>
        <v>3002.0</v>
      </c>
    </row>
    <row r="175">
      <c r="A175" s="8" t="s">
        <v>34</v>
      </c>
      <c r="B175" s="9" t="s">
        <v>60</v>
      </c>
      <c r="C175" s="9" t="s">
        <v>61</v>
      </c>
      <c r="D175" s="10"/>
      <c r="E175" s="11" t="n">
        <f>3759</f>
        <v>3759.0</v>
      </c>
      <c r="F175" s="10"/>
      <c r="G175" s="11" t="n">
        <f>1423198700</f>
        <v>1.4231987E9</v>
      </c>
      <c r="H175" s="10"/>
      <c r="I175" s="11" t="str">
        <f>"－"</f>
        <v>－</v>
      </c>
      <c r="J175" s="10"/>
      <c r="K175" s="11" t="n">
        <f>3080</f>
        <v>3080.0</v>
      </c>
    </row>
    <row r="176">
      <c r="A176" s="8" t="s">
        <v>35</v>
      </c>
      <c r="B176" s="9" t="s">
        <v>60</v>
      </c>
      <c r="C176" s="9" t="s">
        <v>61</v>
      </c>
      <c r="D176" s="10"/>
      <c r="E176" s="11"/>
      <c r="F176" s="10"/>
      <c r="G176" s="11"/>
      <c r="H176" s="10"/>
      <c r="I176" s="11"/>
      <c r="J176" s="10"/>
      <c r="K176" s="11"/>
    </row>
    <row r="177">
      <c r="A177" s="8" t="s">
        <v>36</v>
      </c>
      <c r="B177" s="9" t="s">
        <v>60</v>
      </c>
      <c r="C177" s="9" t="s">
        <v>61</v>
      </c>
      <c r="D177" s="10"/>
      <c r="E177" s="11"/>
      <c r="F177" s="10"/>
      <c r="G177" s="11"/>
      <c r="H177" s="10"/>
      <c r="I177" s="11"/>
      <c r="J177" s="10"/>
      <c r="K177" s="11"/>
    </row>
    <row r="178">
      <c r="A178" s="8" t="s">
        <v>37</v>
      </c>
      <c r="B178" s="9" t="s">
        <v>60</v>
      </c>
      <c r="C178" s="9" t="s">
        <v>61</v>
      </c>
      <c r="D178" s="10"/>
      <c r="E178" s="11" t="n">
        <f>2841</f>
        <v>2841.0</v>
      </c>
      <c r="F178" s="10"/>
      <c r="G178" s="11" t="n">
        <f>1091692900</f>
        <v>1.0916929E9</v>
      </c>
      <c r="H178" s="10"/>
      <c r="I178" s="11" t="str">
        <f>"－"</f>
        <v>－</v>
      </c>
      <c r="J178" s="10"/>
      <c r="K178" s="11" t="n">
        <f>3112</f>
        <v>3112.0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2165</f>
        <v>2165.0</v>
      </c>
      <c r="F179" s="10"/>
      <c r="G179" s="11" t="n">
        <f>824307600</f>
        <v>8.243076E8</v>
      </c>
      <c r="H179" s="10"/>
      <c r="I179" s="11" t="str">
        <f>"－"</f>
        <v>－</v>
      </c>
      <c r="J179" s="10"/>
      <c r="K179" s="11" t="n">
        <f>3194</f>
        <v>3194.0</v>
      </c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1578</f>
        <v>1578.0</v>
      </c>
      <c r="F180" s="10"/>
      <c r="G180" s="11" t="n">
        <f>603766200</f>
        <v>6.037662E8</v>
      </c>
      <c r="H180" s="10"/>
      <c r="I180" s="11" t="str">
        <f>"－"</f>
        <v>－</v>
      </c>
      <c r="J180" s="10"/>
      <c r="K180" s="11" t="n">
        <f>3257</f>
        <v>3257.0</v>
      </c>
    </row>
    <row r="181">
      <c r="A181" s="8" t="s">
        <v>40</v>
      </c>
      <c r="B181" s="9" t="s">
        <v>60</v>
      </c>
      <c r="C181" s="9" t="s">
        <v>61</v>
      </c>
      <c r="D181" s="10"/>
      <c r="E181" s="11" t="n">
        <f>3156</f>
        <v>3156.0</v>
      </c>
      <c r="F181" s="10"/>
      <c r="G181" s="11" t="n">
        <f>1216416700</f>
        <v>1.2164167E9</v>
      </c>
      <c r="H181" s="10"/>
      <c r="I181" s="11" t="str">
        <f>"－"</f>
        <v>－</v>
      </c>
      <c r="J181" s="10"/>
      <c r="K181" s="11" t="n">
        <f>3144</f>
        <v>3144.0</v>
      </c>
    </row>
    <row r="182">
      <c r="A182" s="8" t="s">
        <v>41</v>
      </c>
      <c r="B182" s="9" t="s">
        <v>60</v>
      </c>
      <c r="C182" s="9" t="s">
        <v>61</v>
      </c>
      <c r="D182" s="10"/>
      <c r="E182" s="11" t="n">
        <f>2612</f>
        <v>2612.0</v>
      </c>
      <c r="F182" s="10"/>
      <c r="G182" s="11" t="n">
        <f>1000136700</f>
        <v>1.0001367E9</v>
      </c>
      <c r="H182" s="10"/>
      <c r="I182" s="11" t="str">
        <f>"－"</f>
        <v>－</v>
      </c>
      <c r="J182" s="10"/>
      <c r="K182" s="11" t="n">
        <f>3144</f>
        <v>3144.0</v>
      </c>
    </row>
    <row r="183">
      <c r="A183" s="8" t="s">
        <v>42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43</v>
      </c>
      <c r="B184" s="9" t="s">
        <v>60</v>
      </c>
      <c r="C184" s="9" t="s">
        <v>61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44</v>
      </c>
      <c r="B185" s="9" t="s">
        <v>60</v>
      </c>
      <c r="C185" s="9" t="s">
        <v>61</v>
      </c>
      <c r="D185" s="10"/>
      <c r="E185" s="11" t="n">
        <f>4706</f>
        <v>4706.0</v>
      </c>
      <c r="F185" s="10"/>
      <c r="G185" s="11" t="n">
        <f>1811492700</f>
        <v>1.8114927E9</v>
      </c>
      <c r="H185" s="10"/>
      <c r="I185" s="11" t="str">
        <f>"－"</f>
        <v>－</v>
      </c>
      <c r="J185" s="10"/>
      <c r="K185" s="11" t="n">
        <f>3174</f>
        <v>3174.0</v>
      </c>
    </row>
    <row r="186">
      <c r="A186" s="8" t="s">
        <v>45</v>
      </c>
      <c r="B186" s="9" t="s">
        <v>60</v>
      </c>
      <c r="C186" s="9" t="s">
        <v>61</v>
      </c>
      <c r="D186" s="10"/>
      <c r="E186" s="11" t="n">
        <f>3897</f>
        <v>3897.0</v>
      </c>
      <c r="F186" s="10"/>
      <c r="G186" s="11" t="n">
        <f>1493341600</f>
        <v>1.4933416E9</v>
      </c>
      <c r="H186" s="10"/>
      <c r="I186" s="11" t="str">
        <f>"－"</f>
        <v>－</v>
      </c>
      <c r="J186" s="10"/>
      <c r="K186" s="11" t="n">
        <f>3011</f>
        <v>3011.0</v>
      </c>
    </row>
    <row r="187">
      <c r="A187" s="8" t="s">
        <v>46</v>
      </c>
      <c r="B187" s="9" t="s">
        <v>60</v>
      </c>
      <c r="C187" s="9" t="s">
        <v>61</v>
      </c>
      <c r="D187" s="10"/>
      <c r="E187" s="11" t="n">
        <f>3088</f>
        <v>3088.0</v>
      </c>
      <c r="F187" s="10"/>
      <c r="G187" s="11" t="n">
        <f>1168875800</f>
        <v>1.1688758E9</v>
      </c>
      <c r="H187" s="10"/>
      <c r="I187" s="11" t="str">
        <f>"－"</f>
        <v>－</v>
      </c>
      <c r="J187" s="10"/>
      <c r="K187" s="11" t="n">
        <f>3233</f>
        <v>3233.0</v>
      </c>
    </row>
    <row r="188">
      <c r="A188" s="8" t="s">
        <v>47</v>
      </c>
      <c r="B188" s="9" t="s">
        <v>60</v>
      </c>
      <c r="C188" s="9" t="s">
        <v>61</v>
      </c>
      <c r="D188" s="10"/>
      <c r="E188" s="11" t="n">
        <f>1427</f>
        <v>1427.0</v>
      </c>
      <c r="F188" s="10"/>
      <c r="G188" s="11" t="n">
        <f>528068900</f>
        <v>5.280689E8</v>
      </c>
      <c r="H188" s="10"/>
      <c r="I188" s="11" t="str">
        <f>"－"</f>
        <v>－</v>
      </c>
      <c r="J188" s="10"/>
      <c r="K188" s="11" t="n">
        <f>3233</f>
        <v>3233.0</v>
      </c>
    </row>
    <row r="189">
      <c r="A189" s="8" t="s">
        <v>48</v>
      </c>
      <c r="B189" s="9" t="s">
        <v>60</v>
      </c>
      <c r="C189" s="9" t="s">
        <v>61</v>
      </c>
      <c r="D189" s="10" t="s">
        <v>22</v>
      </c>
      <c r="E189" s="11" t="n">
        <f>1423</f>
        <v>1423.0</v>
      </c>
      <c r="F189" s="10"/>
      <c r="G189" s="11" t="n">
        <f>528010500</f>
        <v>5.280105E8</v>
      </c>
      <c r="H189" s="10"/>
      <c r="I189" s="11" t="str">
        <f>"－"</f>
        <v>－</v>
      </c>
      <c r="J189" s="10"/>
      <c r="K189" s="11" t="n">
        <f>3252</f>
        <v>3252.0</v>
      </c>
    </row>
    <row r="190">
      <c r="A190" s="8" t="s">
        <v>49</v>
      </c>
      <c r="B190" s="9" t="s">
        <v>60</v>
      </c>
      <c r="C190" s="9" t="s">
        <v>61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50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332</f>
        <v>332.0</v>
      </c>
      <c r="F192" s="10"/>
      <c r="G192" s="11" t="n">
        <f>116006300</f>
        <v>1.160063E8</v>
      </c>
      <c r="H192" s="10" t="s">
        <v>53</v>
      </c>
      <c r="I192" s="11" t="str">
        <f>"－"</f>
        <v>－</v>
      </c>
      <c r="J192" s="10"/>
      <c r="K192" s="11" t="n">
        <f>13176</f>
        <v>13176.0</v>
      </c>
    </row>
    <row r="193">
      <c r="A193" s="8" t="s">
        <v>19</v>
      </c>
      <c r="B193" s="9" t="s">
        <v>62</v>
      </c>
      <c r="C193" s="9" t="s">
        <v>63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20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21</v>
      </c>
      <c r="B195" s="9" t="s">
        <v>62</v>
      </c>
      <c r="C195" s="9" t="s">
        <v>63</v>
      </c>
      <c r="D195" s="10"/>
      <c r="E195" s="11" t="n">
        <f>296</f>
        <v>296.0</v>
      </c>
      <c r="F195" s="10"/>
      <c r="G195" s="11" t="n">
        <f>104866500</f>
        <v>1.048665E8</v>
      </c>
      <c r="H195" s="10"/>
      <c r="I195" s="11" t="str">
        <f>"－"</f>
        <v>－</v>
      </c>
      <c r="J195" s="10"/>
      <c r="K195" s="11" t="n">
        <f>13265</f>
        <v>13265.0</v>
      </c>
    </row>
    <row r="196">
      <c r="A196" s="8" t="s">
        <v>23</v>
      </c>
      <c r="B196" s="9" t="s">
        <v>62</v>
      </c>
      <c r="C196" s="9" t="s">
        <v>63</v>
      </c>
      <c r="D196" s="10"/>
      <c r="E196" s="11" t="n">
        <f>428</f>
        <v>428.0</v>
      </c>
      <c r="F196" s="10"/>
      <c r="G196" s="11" t="n">
        <f>148713900</f>
        <v>1.487139E8</v>
      </c>
      <c r="H196" s="10"/>
      <c r="I196" s="11" t="str">
        <f>"－"</f>
        <v>－</v>
      </c>
      <c r="J196" s="10"/>
      <c r="K196" s="11" t="n">
        <f>13167</f>
        <v>13167.0</v>
      </c>
    </row>
    <row r="197">
      <c r="A197" s="8" t="s">
        <v>24</v>
      </c>
      <c r="B197" s="9" t="s">
        <v>62</v>
      </c>
      <c r="C197" s="9" t="s">
        <v>63</v>
      </c>
      <c r="D197" s="10" t="s">
        <v>22</v>
      </c>
      <c r="E197" s="11" t="n">
        <f>105</f>
        <v>105.0</v>
      </c>
      <c r="F197" s="10" t="s">
        <v>22</v>
      </c>
      <c r="G197" s="11" t="n">
        <f>36613600</f>
        <v>3.66136E7</v>
      </c>
      <c r="H197" s="10"/>
      <c r="I197" s="11" t="str">
        <f>"－"</f>
        <v>－</v>
      </c>
      <c r="J197" s="10"/>
      <c r="K197" s="11" t="n">
        <f>13153</f>
        <v>13153.0</v>
      </c>
    </row>
    <row r="198">
      <c r="A198" s="8" t="s">
        <v>25</v>
      </c>
      <c r="B198" s="9" t="s">
        <v>62</v>
      </c>
      <c r="C198" s="9" t="s">
        <v>63</v>
      </c>
      <c r="D198" s="10"/>
      <c r="E198" s="11" t="n">
        <f>403</f>
        <v>403.0</v>
      </c>
      <c r="F198" s="10"/>
      <c r="G198" s="11" t="n">
        <f>142114300</f>
        <v>1.421143E8</v>
      </c>
      <c r="H198" s="10"/>
      <c r="I198" s="11" t="str">
        <f>"－"</f>
        <v>－</v>
      </c>
      <c r="J198" s="10" t="s">
        <v>26</v>
      </c>
      <c r="K198" s="11" t="n">
        <f>13334</f>
        <v>13334.0</v>
      </c>
    </row>
    <row r="199">
      <c r="A199" s="8" t="s">
        <v>27</v>
      </c>
      <c r="B199" s="9" t="s">
        <v>62</v>
      </c>
      <c r="C199" s="9" t="s">
        <v>63</v>
      </c>
      <c r="D199" s="10"/>
      <c r="E199" s="11" t="n">
        <f>277</f>
        <v>277.0</v>
      </c>
      <c r="F199" s="10"/>
      <c r="G199" s="11" t="n">
        <f>99009400</f>
        <v>9.90094E7</v>
      </c>
      <c r="H199" s="10"/>
      <c r="I199" s="11" t="str">
        <f>"－"</f>
        <v>－</v>
      </c>
      <c r="J199" s="10"/>
      <c r="K199" s="11" t="n">
        <f>13170</f>
        <v>13170.0</v>
      </c>
    </row>
    <row r="200">
      <c r="A200" s="8" t="s">
        <v>28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29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30</v>
      </c>
      <c r="B202" s="9" t="s">
        <v>62</v>
      </c>
      <c r="C202" s="9" t="s">
        <v>63</v>
      </c>
      <c r="D202" s="10"/>
      <c r="E202" s="11" t="n">
        <f>899</f>
        <v>899.0</v>
      </c>
      <c r="F202" s="10"/>
      <c r="G202" s="11" t="n">
        <f>334591800</f>
        <v>3.345918E8</v>
      </c>
      <c r="H202" s="10"/>
      <c r="I202" s="11" t="str">
        <f>"－"</f>
        <v>－</v>
      </c>
      <c r="J202" s="10"/>
      <c r="K202" s="11" t="n">
        <f>13214</f>
        <v>13214.0</v>
      </c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360</f>
        <v>360.0</v>
      </c>
      <c r="F203" s="10"/>
      <c r="G203" s="11" t="n">
        <f>134691100</f>
        <v>1.346911E8</v>
      </c>
      <c r="H203" s="10"/>
      <c r="I203" s="11" t="str">
        <f>"－"</f>
        <v>－</v>
      </c>
      <c r="J203" s="10"/>
      <c r="K203" s="11" t="n">
        <f>13174</f>
        <v>13174.0</v>
      </c>
    </row>
    <row r="204">
      <c r="A204" s="8" t="s">
        <v>32</v>
      </c>
      <c r="B204" s="9" t="s">
        <v>62</v>
      </c>
      <c r="C204" s="9" t="s">
        <v>63</v>
      </c>
      <c r="D204" s="10"/>
      <c r="E204" s="11" t="n">
        <f>186</f>
        <v>186.0</v>
      </c>
      <c r="F204" s="10"/>
      <c r="G204" s="11" t="n">
        <f>69145800</f>
        <v>6.91458E7</v>
      </c>
      <c r="H204" s="10"/>
      <c r="I204" s="11" t="str">
        <f>"－"</f>
        <v>－</v>
      </c>
      <c r="J204" s="10"/>
      <c r="K204" s="11" t="n">
        <f>13201</f>
        <v>13201.0</v>
      </c>
    </row>
    <row r="205">
      <c r="A205" s="8" t="s">
        <v>33</v>
      </c>
      <c r="B205" s="9" t="s">
        <v>62</v>
      </c>
      <c r="C205" s="9" t="s">
        <v>63</v>
      </c>
      <c r="D205" s="10"/>
      <c r="E205" s="11" t="n">
        <f>279</f>
        <v>279.0</v>
      </c>
      <c r="F205" s="10"/>
      <c r="G205" s="11" t="n">
        <f>104720100</f>
        <v>1.047201E8</v>
      </c>
      <c r="H205" s="10"/>
      <c r="I205" s="11" t="str">
        <f>"－"</f>
        <v>－</v>
      </c>
      <c r="J205" s="10"/>
      <c r="K205" s="11" t="n">
        <f>13230</f>
        <v>13230.0</v>
      </c>
    </row>
    <row r="206">
      <c r="A206" s="8" t="s">
        <v>34</v>
      </c>
      <c r="B206" s="9" t="s">
        <v>62</v>
      </c>
      <c r="C206" s="9" t="s">
        <v>63</v>
      </c>
      <c r="D206" s="10" t="s">
        <v>26</v>
      </c>
      <c r="E206" s="11" t="n">
        <f>1090</f>
        <v>1090.0</v>
      </c>
      <c r="F206" s="10" t="s">
        <v>26</v>
      </c>
      <c r="G206" s="11" t="n">
        <f>419861500</f>
        <v>4.198615E8</v>
      </c>
      <c r="H206" s="10"/>
      <c r="I206" s="11" t="str">
        <f>"－"</f>
        <v>－</v>
      </c>
      <c r="J206" s="10"/>
      <c r="K206" s="11" t="n">
        <f>13209</f>
        <v>13209.0</v>
      </c>
    </row>
    <row r="207">
      <c r="A207" s="8" t="s">
        <v>35</v>
      </c>
      <c r="B207" s="9" t="s">
        <v>62</v>
      </c>
      <c r="C207" s="9" t="s">
        <v>63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36</v>
      </c>
      <c r="B208" s="9" t="s">
        <v>62</v>
      </c>
      <c r="C208" s="9" t="s">
        <v>63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37</v>
      </c>
      <c r="B209" s="9" t="s">
        <v>62</v>
      </c>
      <c r="C209" s="9" t="s">
        <v>63</v>
      </c>
      <c r="D209" s="10"/>
      <c r="E209" s="11" t="n">
        <f>491</f>
        <v>491.0</v>
      </c>
      <c r="F209" s="10"/>
      <c r="G209" s="11" t="n">
        <f>191225400</f>
        <v>1.912254E8</v>
      </c>
      <c r="H209" s="10"/>
      <c r="I209" s="11" t="str">
        <f>"－"</f>
        <v>－</v>
      </c>
      <c r="J209" s="10"/>
      <c r="K209" s="11" t="n">
        <f>13209</f>
        <v>13209.0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327</f>
        <v>327.0</v>
      </c>
      <c r="F210" s="10"/>
      <c r="G210" s="11" t="n">
        <f>126388500</f>
        <v>1.263885E8</v>
      </c>
      <c r="H210" s="10"/>
      <c r="I210" s="11" t="str">
        <f>"－"</f>
        <v>－</v>
      </c>
      <c r="J210" s="10"/>
      <c r="K210" s="11" t="n">
        <f>13180</f>
        <v>13180.0</v>
      </c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285</f>
        <v>285.0</v>
      </c>
      <c r="F211" s="10"/>
      <c r="G211" s="11" t="n">
        <f>110490100</f>
        <v>1.104901E8</v>
      </c>
      <c r="H211" s="10"/>
      <c r="I211" s="11" t="str">
        <f>"－"</f>
        <v>－</v>
      </c>
      <c r="J211" s="10"/>
      <c r="K211" s="11" t="n">
        <f>13112</f>
        <v>13112.0</v>
      </c>
    </row>
    <row r="212">
      <c r="A212" s="8" t="s">
        <v>40</v>
      </c>
      <c r="B212" s="9" t="s">
        <v>62</v>
      </c>
      <c r="C212" s="9" t="s">
        <v>63</v>
      </c>
      <c r="D212" s="10"/>
      <c r="E212" s="11" t="n">
        <f>350</f>
        <v>350.0</v>
      </c>
      <c r="F212" s="10"/>
      <c r="G212" s="11" t="n">
        <f>136869200</f>
        <v>1.368692E8</v>
      </c>
      <c r="H212" s="10"/>
      <c r="I212" s="11" t="str">
        <f>"－"</f>
        <v>－</v>
      </c>
      <c r="J212" s="10"/>
      <c r="K212" s="11" t="n">
        <f>13088</f>
        <v>13088.0</v>
      </c>
    </row>
    <row r="213">
      <c r="A213" s="8" t="s">
        <v>41</v>
      </c>
      <c r="B213" s="9" t="s">
        <v>62</v>
      </c>
      <c r="C213" s="9" t="s">
        <v>63</v>
      </c>
      <c r="D213" s="10"/>
      <c r="E213" s="11" t="n">
        <f>188</f>
        <v>188.0</v>
      </c>
      <c r="F213" s="10"/>
      <c r="G213" s="11" t="n">
        <f>73025900</f>
        <v>7.30259E7</v>
      </c>
      <c r="H213" s="10"/>
      <c r="I213" s="11" t="str">
        <f>"－"</f>
        <v>－</v>
      </c>
      <c r="J213" s="10" t="s">
        <v>22</v>
      </c>
      <c r="K213" s="11" t="n">
        <f>13020</f>
        <v>13020.0</v>
      </c>
    </row>
    <row r="214">
      <c r="A214" s="8" t="s">
        <v>42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43</v>
      </c>
      <c r="B215" s="9" t="s">
        <v>62</v>
      </c>
      <c r="C215" s="9" t="s">
        <v>63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44</v>
      </c>
      <c r="B216" s="9" t="s">
        <v>62</v>
      </c>
      <c r="C216" s="9" t="s">
        <v>63</v>
      </c>
      <c r="D216" s="10"/>
      <c r="E216" s="11" t="n">
        <f>506</f>
        <v>506.0</v>
      </c>
      <c r="F216" s="10"/>
      <c r="G216" s="11" t="n">
        <f>196699800</f>
        <v>1.966998E8</v>
      </c>
      <c r="H216" s="10"/>
      <c r="I216" s="11" t="str">
        <f>"－"</f>
        <v>－</v>
      </c>
      <c r="J216" s="10"/>
      <c r="K216" s="11" t="n">
        <f>13108</f>
        <v>13108.0</v>
      </c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225</f>
        <v>225.0</v>
      </c>
      <c r="F217" s="10"/>
      <c r="G217" s="11" t="n">
        <f>87562200</f>
        <v>8.75622E7</v>
      </c>
      <c r="H217" s="10"/>
      <c r="I217" s="11" t="str">
        <f>"－"</f>
        <v>－</v>
      </c>
      <c r="J217" s="10"/>
      <c r="K217" s="11" t="n">
        <f>13032</f>
        <v>13032.0</v>
      </c>
    </row>
    <row r="218">
      <c r="A218" s="8" t="s">
        <v>46</v>
      </c>
      <c r="B218" s="9" t="s">
        <v>62</v>
      </c>
      <c r="C218" s="9" t="s">
        <v>63</v>
      </c>
      <c r="D218" s="10"/>
      <c r="E218" s="11" t="n">
        <f>364</f>
        <v>364.0</v>
      </c>
      <c r="F218" s="10"/>
      <c r="G218" s="11" t="n">
        <f>138948500</f>
        <v>1.389485E8</v>
      </c>
      <c r="H218" s="10"/>
      <c r="I218" s="11" t="str">
        <f>"－"</f>
        <v>－</v>
      </c>
      <c r="J218" s="10"/>
      <c r="K218" s="11" t="n">
        <f>13140</f>
        <v>13140.0</v>
      </c>
    </row>
    <row r="219">
      <c r="A219" s="8" t="s">
        <v>47</v>
      </c>
      <c r="B219" s="9" t="s">
        <v>62</v>
      </c>
      <c r="C219" s="9" t="s">
        <v>63</v>
      </c>
      <c r="D219" s="10"/>
      <c r="E219" s="11" t="n">
        <f>219</f>
        <v>219.0</v>
      </c>
      <c r="F219" s="10"/>
      <c r="G219" s="11" t="n">
        <f>82348800</f>
        <v>8.23488E7</v>
      </c>
      <c r="H219" s="10"/>
      <c r="I219" s="11" t="str">
        <f>"－"</f>
        <v>－</v>
      </c>
      <c r="J219" s="10"/>
      <c r="K219" s="11" t="n">
        <f>13145</f>
        <v>13145.0</v>
      </c>
    </row>
    <row r="220">
      <c r="A220" s="8" t="s">
        <v>48</v>
      </c>
      <c r="B220" s="9" t="s">
        <v>62</v>
      </c>
      <c r="C220" s="9" t="s">
        <v>63</v>
      </c>
      <c r="D220" s="10"/>
      <c r="E220" s="11" t="n">
        <f>138</f>
        <v>138.0</v>
      </c>
      <c r="F220" s="10"/>
      <c r="G220" s="11" t="n">
        <f>52156600</f>
        <v>5.21566E7</v>
      </c>
      <c r="H220" s="10"/>
      <c r="I220" s="11" t="str">
        <f>"－"</f>
        <v>－</v>
      </c>
      <c r="J220" s="10"/>
      <c r="K220" s="11" t="n">
        <f>13109</f>
        <v>13109.0</v>
      </c>
    </row>
    <row r="221">
      <c r="A221" s="8" t="s">
        <v>49</v>
      </c>
      <c r="B221" s="9" t="s">
        <v>62</v>
      </c>
      <c r="C221" s="9" t="s">
        <v>63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50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/>
      <c r="E223" s="11" t="n">
        <f>3</f>
        <v>3.0</v>
      </c>
      <c r="F223" s="10"/>
      <c r="G223" s="11" t="n">
        <f>10607000</f>
        <v>1.0607E7</v>
      </c>
      <c r="H223" s="10" t="s">
        <v>53</v>
      </c>
      <c r="I223" s="11" t="str">
        <f>"－"</f>
        <v>－</v>
      </c>
      <c r="J223" s="10"/>
      <c r="K223" s="11" t="n">
        <f>190</f>
        <v>190.0</v>
      </c>
    </row>
    <row r="224">
      <c r="A224" s="8" t="s">
        <v>19</v>
      </c>
      <c r="B224" s="9" t="s">
        <v>64</v>
      </c>
      <c r="C224" s="9" t="s">
        <v>65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20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21</v>
      </c>
      <c r="B226" s="9" t="s">
        <v>64</v>
      </c>
      <c r="C226" s="9" t="s">
        <v>65</v>
      </c>
      <c r="D226" s="10" t="s">
        <v>22</v>
      </c>
      <c r="E226" s="11" t="str">
        <f>"－"</f>
        <v>－</v>
      </c>
      <c r="F226" s="10" t="s">
        <v>22</v>
      </c>
      <c r="G226" s="11" t="str">
        <f>"－"</f>
        <v>－</v>
      </c>
      <c r="H226" s="10"/>
      <c r="I226" s="11" t="str">
        <f>"－"</f>
        <v>－</v>
      </c>
      <c r="J226" s="10"/>
      <c r="K226" s="11" t="n">
        <f>190</f>
        <v>190.0</v>
      </c>
    </row>
    <row r="227">
      <c r="A227" s="8" t="s">
        <v>23</v>
      </c>
      <c r="B227" s="9" t="s">
        <v>64</v>
      </c>
      <c r="C227" s="9" t="s">
        <v>65</v>
      </c>
      <c r="D227" s="10"/>
      <c r="E227" s="11" t="n">
        <f>1</f>
        <v>1.0</v>
      </c>
      <c r="F227" s="10"/>
      <c r="G227" s="11" t="n">
        <f>3490000</f>
        <v>3490000.0</v>
      </c>
      <c r="H227" s="10"/>
      <c r="I227" s="11" t="str">
        <f>"－"</f>
        <v>－</v>
      </c>
      <c r="J227" s="10"/>
      <c r="K227" s="11" t="n">
        <f>191</f>
        <v>191.0</v>
      </c>
    </row>
    <row r="228">
      <c r="A228" s="8" t="s">
        <v>24</v>
      </c>
      <c r="B228" s="9" t="s">
        <v>64</v>
      </c>
      <c r="C228" s="9" t="s">
        <v>65</v>
      </c>
      <c r="D228" s="10"/>
      <c r="E228" s="11" t="n">
        <f>1</f>
        <v>1.0</v>
      </c>
      <c r="F228" s="10"/>
      <c r="G228" s="11" t="n">
        <f>3336000</f>
        <v>3336000.0</v>
      </c>
      <c r="H228" s="10"/>
      <c r="I228" s="11" t="str">
        <f>"－"</f>
        <v>－</v>
      </c>
      <c r="J228" s="10"/>
      <c r="K228" s="11" t="n">
        <f>191</f>
        <v>191.0</v>
      </c>
    </row>
    <row r="229">
      <c r="A229" s="8" t="s">
        <v>25</v>
      </c>
      <c r="B229" s="9" t="s">
        <v>64</v>
      </c>
      <c r="C229" s="9" t="s">
        <v>65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191</f>
        <v>191.0</v>
      </c>
    </row>
    <row r="230">
      <c r="A230" s="8" t="s">
        <v>27</v>
      </c>
      <c r="B230" s="9" t="s">
        <v>64</v>
      </c>
      <c r="C230" s="9" t="s">
        <v>65</v>
      </c>
      <c r="D230" s="10"/>
      <c r="E230" s="11" t="n">
        <f>3</f>
        <v>3.0</v>
      </c>
      <c r="F230" s="10"/>
      <c r="G230" s="11" t="n">
        <f>10178000</f>
        <v>1.0178E7</v>
      </c>
      <c r="H230" s="10"/>
      <c r="I230" s="11" t="str">
        <f>"－"</f>
        <v>－</v>
      </c>
      <c r="J230" s="10" t="s">
        <v>26</v>
      </c>
      <c r="K230" s="11" t="n">
        <f>192</f>
        <v>192.0</v>
      </c>
    </row>
    <row r="231">
      <c r="A231" s="8" t="s">
        <v>28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29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30</v>
      </c>
      <c r="B233" s="9" t="s">
        <v>64</v>
      </c>
      <c r="C233" s="9" t="s">
        <v>65</v>
      </c>
      <c r="D233" s="10" t="s">
        <v>26</v>
      </c>
      <c r="E233" s="11" t="n">
        <f>6</f>
        <v>6.0</v>
      </c>
      <c r="F233" s="10" t="s">
        <v>26</v>
      </c>
      <c r="G233" s="11" t="n">
        <f>22692000</f>
        <v>2.2692E7</v>
      </c>
      <c r="H233" s="10"/>
      <c r="I233" s="11" t="str">
        <f>"－"</f>
        <v>－</v>
      </c>
      <c r="J233" s="10"/>
      <c r="K233" s="11" t="n">
        <f>190</f>
        <v>190.0</v>
      </c>
    </row>
    <row r="234">
      <c r="A234" s="8" t="s">
        <v>31</v>
      </c>
      <c r="B234" s="9" t="s">
        <v>64</v>
      </c>
      <c r="C234" s="9" t="s">
        <v>65</v>
      </c>
      <c r="D234" s="10"/>
      <c r="E234" s="11" t="n">
        <f>3</f>
        <v>3.0</v>
      </c>
      <c r="F234" s="10"/>
      <c r="G234" s="11" t="n">
        <f>11722000</f>
        <v>1.1722E7</v>
      </c>
      <c r="H234" s="10"/>
      <c r="I234" s="11" t="str">
        <f>"－"</f>
        <v>－</v>
      </c>
      <c r="J234" s="10"/>
      <c r="K234" s="11" t="n">
        <f>189</f>
        <v>189.0</v>
      </c>
    </row>
    <row r="235">
      <c r="A235" s="8" t="s">
        <v>32</v>
      </c>
      <c r="B235" s="9" t="s">
        <v>64</v>
      </c>
      <c r="C235" s="9" t="s">
        <v>65</v>
      </c>
      <c r="D235" s="10"/>
      <c r="E235" s="11" t="n">
        <f>3</f>
        <v>3.0</v>
      </c>
      <c r="F235" s="10"/>
      <c r="G235" s="11" t="n">
        <f>11400000</f>
        <v>1.14E7</v>
      </c>
      <c r="H235" s="10"/>
      <c r="I235" s="11" t="str">
        <f>"－"</f>
        <v>－</v>
      </c>
      <c r="J235" s="10"/>
      <c r="K235" s="11" t="n">
        <f>189</f>
        <v>189.0</v>
      </c>
    </row>
    <row r="236">
      <c r="A236" s="8" t="s">
        <v>33</v>
      </c>
      <c r="B236" s="9" t="s">
        <v>64</v>
      </c>
      <c r="C236" s="9" t="s">
        <v>65</v>
      </c>
      <c r="D236" s="10"/>
      <c r="E236" s="11" t="n">
        <f>2</f>
        <v>2.0</v>
      </c>
      <c r="F236" s="10"/>
      <c r="G236" s="11" t="n">
        <f>7539000</f>
        <v>7539000.0</v>
      </c>
      <c r="H236" s="10"/>
      <c r="I236" s="11" t="str">
        <f>"－"</f>
        <v>－</v>
      </c>
      <c r="J236" s="10"/>
      <c r="K236" s="11" t="n">
        <f>187</f>
        <v>187.0</v>
      </c>
    </row>
    <row r="237">
      <c r="A237" s="8" t="s">
        <v>34</v>
      </c>
      <c r="B237" s="9" t="s">
        <v>64</v>
      </c>
      <c r="C237" s="9" t="s">
        <v>65</v>
      </c>
      <c r="D237" s="10"/>
      <c r="E237" s="11" t="n">
        <f>1</f>
        <v>1.0</v>
      </c>
      <c r="F237" s="10"/>
      <c r="G237" s="11" t="n">
        <f>3888500</f>
        <v>3888500.0</v>
      </c>
      <c r="H237" s="10"/>
      <c r="I237" s="11" t="str">
        <f>"－"</f>
        <v>－</v>
      </c>
      <c r="J237" s="10"/>
      <c r="K237" s="11" t="n">
        <f>188</f>
        <v>188.0</v>
      </c>
    </row>
    <row r="238">
      <c r="A238" s="8" t="s">
        <v>35</v>
      </c>
      <c r="B238" s="9" t="s">
        <v>64</v>
      </c>
      <c r="C238" s="9" t="s">
        <v>65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36</v>
      </c>
      <c r="B239" s="9" t="s">
        <v>64</v>
      </c>
      <c r="C239" s="9" t="s">
        <v>65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37</v>
      </c>
      <c r="B240" s="9" t="s">
        <v>64</v>
      </c>
      <c r="C240" s="9" t="s">
        <v>65</v>
      </c>
      <c r="D240" s="10"/>
      <c r="E240" s="11" t="n">
        <f>1</f>
        <v>1.0</v>
      </c>
      <c r="F240" s="10"/>
      <c r="G240" s="11" t="n">
        <f>3888500</f>
        <v>3888500.0</v>
      </c>
      <c r="H240" s="10"/>
      <c r="I240" s="11" t="str">
        <f>"－"</f>
        <v>－</v>
      </c>
      <c r="J240" s="10"/>
      <c r="K240" s="11" t="n">
        <f>187</f>
        <v>187.0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187</f>
        <v>187.0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187</f>
        <v>187.0</v>
      </c>
    </row>
    <row r="243">
      <c r="A243" s="8" t="s">
        <v>40</v>
      </c>
      <c r="B243" s="9" t="s">
        <v>64</v>
      </c>
      <c r="C243" s="9" t="s">
        <v>65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187</f>
        <v>187.0</v>
      </c>
    </row>
    <row r="244">
      <c r="A244" s="8" t="s">
        <v>41</v>
      </c>
      <c r="B244" s="9" t="s">
        <v>64</v>
      </c>
      <c r="C244" s="9" t="s">
        <v>65</v>
      </c>
      <c r="D244" s="10"/>
      <c r="E244" s="11" t="n">
        <f>5</f>
        <v>5.0</v>
      </c>
      <c r="F244" s="10"/>
      <c r="G244" s="11" t="n">
        <f>17848000</f>
        <v>1.7848E7</v>
      </c>
      <c r="H244" s="10"/>
      <c r="I244" s="11" t="str">
        <f>"－"</f>
        <v>－</v>
      </c>
      <c r="J244" s="10"/>
      <c r="K244" s="11" t="n">
        <f>186</f>
        <v>186.0</v>
      </c>
    </row>
    <row r="245">
      <c r="A245" s="8" t="s">
        <v>42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43</v>
      </c>
      <c r="B246" s="9" t="s">
        <v>64</v>
      </c>
      <c r="C246" s="9" t="s">
        <v>65</v>
      </c>
      <c r="D246" s="10"/>
      <c r="E246" s="11"/>
      <c r="F246" s="10"/>
      <c r="G246" s="11"/>
      <c r="H246" s="10"/>
      <c r="I246" s="11"/>
      <c r="J246" s="10"/>
      <c r="K246" s="11"/>
    </row>
    <row r="247">
      <c r="A247" s="8" t="s">
        <v>44</v>
      </c>
      <c r="B247" s="9" t="s">
        <v>64</v>
      </c>
      <c r="C247" s="9" t="s">
        <v>65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n">
        <f>186</f>
        <v>186.0</v>
      </c>
    </row>
    <row r="248">
      <c r="A248" s="8" t="s">
        <v>45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n">
        <f>186</f>
        <v>186.0</v>
      </c>
    </row>
    <row r="249">
      <c r="A249" s="8" t="s">
        <v>46</v>
      </c>
      <c r="B249" s="9" t="s">
        <v>64</v>
      </c>
      <c r="C249" s="9" t="s">
        <v>65</v>
      </c>
      <c r="D249" s="10"/>
      <c r="E249" s="11" t="n">
        <f>1</f>
        <v>1.0</v>
      </c>
      <c r="F249" s="10"/>
      <c r="G249" s="11" t="n">
        <f>3740000</f>
        <v>3740000.0</v>
      </c>
      <c r="H249" s="10"/>
      <c r="I249" s="11" t="str">
        <f>"－"</f>
        <v>－</v>
      </c>
      <c r="J249" s="10"/>
      <c r="K249" s="11" t="n">
        <f>173</f>
        <v>173.0</v>
      </c>
    </row>
    <row r="250">
      <c r="A250" s="8" t="s">
        <v>47</v>
      </c>
      <c r="B250" s="9" t="s">
        <v>64</v>
      </c>
      <c r="C250" s="9" t="s">
        <v>65</v>
      </c>
      <c r="D250" s="10"/>
      <c r="E250" s="11" t="n">
        <f>1</f>
        <v>1.0</v>
      </c>
      <c r="F250" s="10"/>
      <c r="G250" s="11" t="n">
        <f>3535000</f>
        <v>3535000.0</v>
      </c>
      <c r="H250" s="10"/>
      <c r="I250" s="11" t="str">
        <f>"－"</f>
        <v>－</v>
      </c>
      <c r="J250" s="10"/>
      <c r="K250" s="11" t="n">
        <f>174</f>
        <v>174.0</v>
      </c>
    </row>
    <row r="251">
      <c r="A251" s="8" t="s">
        <v>48</v>
      </c>
      <c r="B251" s="9" t="s">
        <v>64</v>
      </c>
      <c r="C251" s="9" t="s">
        <v>65</v>
      </c>
      <c r="D251" s="10"/>
      <c r="E251" s="11" t="n">
        <f>2</f>
        <v>2.0</v>
      </c>
      <c r="F251" s="10"/>
      <c r="G251" s="11" t="n">
        <f>7310000</f>
        <v>7310000.0</v>
      </c>
      <c r="H251" s="10"/>
      <c r="I251" s="11" t="str">
        <f>"－"</f>
        <v>－</v>
      </c>
      <c r="J251" s="10" t="s">
        <v>22</v>
      </c>
      <c r="K251" s="11" t="n">
        <f>172</f>
        <v>172.0</v>
      </c>
    </row>
    <row r="252">
      <c r="A252" s="8" t="s">
        <v>49</v>
      </c>
      <c r="B252" s="9" t="s">
        <v>64</v>
      </c>
      <c r="C252" s="9" t="s">
        <v>65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50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/>
      <c r="E254" s="11" t="n">
        <f>197</f>
        <v>197.0</v>
      </c>
      <c r="F254" s="10"/>
      <c r="G254" s="11" t="n">
        <f>357125500</f>
        <v>3.571255E8</v>
      </c>
      <c r="H254" s="10" t="s">
        <v>53</v>
      </c>
      <c r="I254" s="11" t="str">
        <f>"－"</f>
        <v>－</v>
      </c>
      <c r="J254" s="10"/>
      <c r="K254" s="11" t="n">
        <f>753</f>
        <v>753.0</v>
      </c>
    </row>
    <row r="255">
      <c r="A255" s="8" t="s">
        <v>19</v>
      </c>
      <c r="B255" s="9" t="s">
        <v>66</v>
      </c>
      <c r="C255" s="9" t="s">
        <v>67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20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21</v>
      </c>
      <c r="B257" s="9" t="s">
        <v>66</v>
      </c>
      <c r="C257" s="9" t="s">
        <v>67</v>
      </c>
      <c r="D257" s="10"/>
      <c r="E257" s="11" t="n">
        <f>150</f>
        <v>150.0</v>
      </c>
      <c r="F257" s="10"/>
      <c r="G257" s="11" t="n">
        <f>276046000</f>
        <v>2.76046E8</v>
      </c>
      <c r="H257" s="10"/>
      <c r="I257" s="11" t="str">
        <f>"－"</f>
        <v>－</v>
      </c>
      <c r="J257" s="10"/>
      <c r="K257" s="11" t="n">
        <f>779</f>
        <v>779.0</v>
      </c>
    </row>
    <row r="258">
      <c r="A258" s="8" t="s">
        <v>23</v>
      </c>
      <c r="B258" s="9" t="s">
        <v>66</v>
      </c>
      <c r="C258" s="9" t="s">
        <v>67</v>
      </c>
      <c r="D258" s="10"/>
      <c r="E258" s="11" t="n">
        <f>261</f>
        <v>261.0</v>
      </c>
      <c r="F258" s="10"/>
      <c r="G258" s="11" t="n">
        <f>489714000</f>
        <v>4.89714E8</v>
      </c>
      <c r="H258" s="10"/>
      <c r="I258" s="11" t="str">
        <f>"－"</f>
        <v>－</v>
      </c>
      <c r="J258" s="10"/>
      <c r="K258" s="11" t="n">
        <f>800</f>
        <v>800.0</v>
      </c>
    </row>
    <row r="259">
      <c r="A259" s="8" t="s">
        <v>24</v>
      </c>
      <c r="B259" s="9" t="s">
        <v>66</v>
      </c>
      <c r="C259" s="9" t="s">
        <v>67</v>
      </c>
      <c r="D259" s="10"/>
      <c r="E259" s="11" t="n">
        <f>205</f>
        <v>205.0</v>
      </c>
      <c r="F259" s="10"/>
      <c r="G259" s="11" t="n">
        <f>392267000</f>
        <v>3.92267E8</v>
      </c>
      <c r="H259" s="10"/>
      <c r="I259" s="11" t="str">
        <f>"－"</f>
        <v>－</v>
      </c>
      <c r="J259" s="10"/>
      <c r="K259" s="11" t="n">
        <f>778</f>
        <v>778.0</v>
      </c>
    </row>
    <row r="260">
      <c r="A260" s="8" t="s">
        <v>25</v>
      </c>
      <c r="B260" s="9" t="s">
        <v>66</v>
      </c>
      <c r="C260" s="9" t="s">
        <v>67</v>
      </c>
      <c r="D260" s="10"/>
      <c r="E260" s="11" t="n">
        <f>278</f>
        <v>278.0</v>
      </c>
      <c r="F260" s="10"/>
      <c r="G260" s="11" t="n">
        <f>523895500</f>
        <v>5.238955E8</v>
      </c>
      <c r="H260" s="10"/>
      <c r="I260" s="11" t="str">
        <f>"－"</f>
        <v>－</v>
      </c>
      <c r="J260" s="10"/>
      <c r="K260" s="11" t="n">
        <f>868</f>
        <v>868.0</v>
      </c>
    </row>
    <row r="261">
      <c r="A261" s="8" t="s">
        <v>27</v>
      </c>
      <c r="B261" s="9" t="s">
        <v>66</v>
      </c>
      <c r="C261" s="9" t="s">
        <v>67</v>
      </c>
      <c r="D261" s="10"/>
      <c r="E261" s="11" t="n">
        <f>202</f>
        <v>202.0</v>
      </c>
      <c r="F261" s="10"/>
      <c r="G261" s="11" t="n">
        <f>382844500</f>
        <v>3.828445E8</v>
      </c>
      <c r="H261" s="10"/>
      <c r="I261" s="11" t="str">
        <f>"－"</f>
        <v>－</v>
      </c>
      <c r="J261" s="10" t="s">
        <v>26</v>
      </c>
      <c r="K261" s="11" t="n">
        <f>966</f>
        <v>966.0</v>
      </c>
    </row>
    <row r="262">
      <c r="A262" s="8" t="s">
        <v>28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29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30</v>
      </c>
      <c r="B264" s="9" t="s">
        <v>66</v>
      </c>
      <c r="C264" s="9" t="s">
        <v>67</v>
      </c>
      <c r="D264" s="10"/>
      <c r="E264" s="11" t="n">
        <f>435</f>
        <v>435.0</v>
      </c>
      <c r="F264" s="10"/>
      <c r="G264" s="11" t="n">
        <f>839198000</f>
        <v>8.39198E8</v>
      </c>
      <c r="H264" s="10"/>
      <c r="I264" s="11" t="str">
        <f>"－"</f>
        <v>－</v>
      </c>
      <c r="J264" s="10"/>
      <c r="K264" s="11" t="n">
        <f>799</f>
        <v>799.0</v>
      </c>
    </row>
    <row r="265">
      <c r="A265" s="8" t="s">
        <v>31</v>
      </c>
      <c r="B265" s="9" t="s">
        <v>66</v>
      </c>
      <c r="C265" s="9" t="s">
        <v>67</v>
      </c>
      <c r="D265" s="10"/>
      <c r="E265" s="11" t="n">
        <f>117</f>
        <v>117.0</v>
      </c>
      <c r="F265" s="10"/>
      <c r="G265" s="11" t="n">
        <f>225031500</f>
        <v>2.250315E8</v>
      </c>
      <c r="H265" s="10"/>
      <c r="I265" s="11" t="str">
        <f>"－"</f>
        <v>－</v>
      </c>
      <c r="J265" s="10"/>
      <c r="K265" s="11" t="n">
        <f>772</f>
        <v>772.0</v>
      </c>
    </row>
    <row r="266">
      <c r="A266" s="8" t="s">
        <v>32</v>
      </c>
      <c r="B266" s="9" t="s">
        <v>66</v>
      </c>
      <c r="C266" s="9" t="s">
        <v>67</v>
      </c>
      <c r="D266" s="10"/>
      <c r="E266" s="11" t="n">
        <f>124</f>
        <v>124.0</v>
      </c>
      <c r="F266" s="10"/>
      <c r="G266" s="11" t="n">
        <f>236850000</f>
        <v>2.3685E8</v>
      </c>
      <c r="H266" s="10"/>
      <c r="I266" s="11" t="str">
        <f>"－"</f>
        <v>－</v>
      </c>
      <c r="J266" s="10"/>
      <c r="K266" s="11" t="n">
        <f>761</f>
        <v>761.0</v>
      </c>
    </row>
    <row r="267">
      <c r="A267" s="8" t="s">
        <v>33</v>
      </c>
      <c r="B267" s="9" t="s">
        <v>66</v>
      </c>
      <c r="C267" s="9" t="s">
        <v>67</v>
      </c>
      <c r="D267" s="10"/>
      <c r="E267" s="11" t="n">
        <f>144</f>
        <v>144.0</v>
      </c>
      <c r="F267" s="10"/>
      <c r="G267" s="11" t="n">
        <f>279061500</f>
        <v>2.790615E8</v>
      </c>
      <c r="H267" s="10"/>
      <c r="I267" s="11" t="str">
        <f>"－"</f>
        <v>－</v>
      </c>
      <c r="J267" s="10"/>
      <c r="K267" s="11" t="n">
        <f>674</f>
        <v>674.0</v>
      </c>
    </row>
    <row r="268">
      <c r="A268" s="8" t="s">
        <v>34</v>
      </c>
      <c r="B268" s="9" t="s">
        <v>66</v>
      </c>
      <c r="C268" s="9" t="s">
        <v>67</v>
      </c>
      <c r="D268" s="10"/>
      <c r="E268" s="11" t="n">
        <f>83</f>
        <v>83.0</v>
      </c>
      <c r="F268" s="10"/>
      <c r="G268" s="11" t="n">
        <f>162506000</f>
        <v>1.62506E8</v>
      </c>
      <c r="H268" s="10"/>
      <c r="I268" s="11" t="str">
        <f>"－"</f>
        <v>－</v>
      </c>
      <c r="J268" s="10" t="s">
        <v>22</v>
      </c>
      <c r="K268" s="11" t="n">
        <f>633</f>
        <v>633.0</v>
      </c>
    </row>
    <row r="269">
      <c r="A269" s="8" t="s">
        <v>35</v>
      </c>
      <c r="B269" s="9" t="s">
        <v>66</v>
      </c>
      <c r="C269" s="9" t="s">
        <v>67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36</v>
      </c>
      <c r="B270" s="9" t="s">
        <v>66</v>
      </c>
      <c r="C270" s="9" t="s">
        <v>67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37</v>
      </c>
      <c r="B271" s="9" t="s">
        <v>66</v>
      </c>
      <c r="C271" s="9" t="s">
        <v>67</v>
      </c>
      <c r="D271" s="10"/>
      <c r="E271" s="11" t="n">
        <f>67</f>
        <v>67.0</v>
      </c>
      <c r="F271" s="10"/>
      <c r="G271" s="11" t="n">
        <f>131492500</f>
        <v>1.314925E8</v>
      </c>
      <c r="H271" s="10"/>
      <c r="I271" s="11" t="str">
        <f>"－"</f>
        <v>－</v>
      </c>
      <c r="J271" s="10"/>
      <c r="K271" s="11" t="n">
        <f>650</f>
        <v>650.0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n">
        <f>119</f>
        <v>119.0</v>
      </c>
      <c r="F272" s="10"/>
      <c r="G272" s="11" t="n">
        <f>232400000</f>
        <v>2.324E8</v>
      </c>
      <c r="H272" s="10"/>
      <c r="I272" s="11" t="str">
        <f>"－"</f>
        <v>－</v>
      </c>
      <c r="J272" s="10"/>
      <c r="K272" s="11" t="n">
        <f>639</f>
        <v>639.0</v>
      </c>
    </row>
    <row r="273">
      <c r="A273" s="8" t="s">
        <v>39</v>
      </c>
      <c r="B273" s="9" t="s">
        <v>66</v>
      </c>
      <c r="C273" s="9" t="s">
        <v>67</v>
      </c>
      <c r="D273" s="10"/>
      <c r="E273" s="11" t="n">
        <f>159</f>
        <v>159.0</v>
      </c>
      <c r="F273" s="10"/>
      <c r="G273" s="11" t="n">
        <f>311781500</f>
        <v>3.117815E8</v>
      </c>
      <c r="H273" s="10"/>
      <c r="I273" s="11" t="str">
        <f>"－"</f>
        <v>－</v>
      </c>
      <c r="J273" s="10"/>
      <c r="K273" s="11" t="n">
        <f>676</f>
        <v>676.0</v>
      </c>
    </row>
    <row r="274">
      <c r="A274" s="8" t="s">
        <v>40</v>
      </c>
      <c r="B274" s="9" t="s">
        <v>66</v>
      </c>
      <c r="C274" s="9" t="s">
        <v>67</v>
      </c>
      <c r="D274" s="10"/>
      <c r="E274" s="11" t="n">
        <f>118</f>
        <v>118.0</v>
      </c>
      <c r="F274" s="10"/>
      <c r="G274" s="11" t="n">
        <f>233031000</f>
        <v>2.33031E8</v>
      </c>
      <c r="H274" s="10"/>
      <c r="I274" s="11" t="str">
        <f>"－"</f>
        <v>－</v>
      </c>
      <c r="J274" s="10"/>
      <c r="K274" s="11" t="n">
        <f>703</f>
        <v>703.0</v>
      </c>
    </row>
    <row r="275">
      <c r="A275" s="8" t="s">
        <v>41</v>
      </c>
      <c r="B275" s="9" t="s">
        <v>66</v>
      </c>
      <c r="C275" s="9" t="s">
        <v>67</v>
      </c>
      <c r="D275" s="10"/>
      <c r="E275" s="11" t="n">
        <f>104</f>
        <v>104.0</v>
      </c>
      <c r="F275" s="10"/>
      <c r="G275" s="11" t="n">
        <f>205602500</f>
        <v>2.056025E8</v>
      </c>
      <c r="H275" s="10"/>
      <c r="I275" s="11" t="str">
        <f>"－"</f>
        <v>－</v>
      </c>
      <c r="J275" s="10"/>
      <c r="K275" s="11" t="n">
        <f>700</f>
        <v>700.0</v>
      </c>
    </row>
    <row r="276">
      <c r="A276" s="8" t="s">
        <v>42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43</v>
      </c>
      <c r="B277" s="9" t="s">
        <v>66</v>
      </c>
      <c r="C277" s="9" t="s">
        <v>67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44</v>
      </c>
      <c r="B278" s="9" t="s">
        <v>66</v>
      </c>
      <c r="C278" s="9" t="s">
        <v>67</v>
      </c>
      <c r="D278" s="10"/>
      <c r="E278" s="11" t="n">
        <f>76</f>
        <v>76.0</v>
      </c>
      <c r="F278" s="10"/>
      <c r="G278" s="11" t="n">
        <f>150187600</f>
        <v>1.501876E8</v>
      </c>
      <c r="H278" s="10"/>
      <c r="I278" s="11" t="str">
        <f>"－"</f>
        <v>－</v>
      </c>
      <c r="J278" s="10"/>
      <c r="K278" s="11" t="n">
        <f>698</f>
        <v>698.0</v>
      </c>
    </row>
    <row r="279">
      <c r="A279" s="8" t="s">
        <v>45</v>
      </c>
      <c r="B279" s="9" t="s">
        <v>66</v>
      </c>
      <c r="C279" s="9" t="s">
        <v>67</v>
      </c>
      <c r="D279" s="10"/>
      <c r="E279" s="11" t="n">
        <f>86</f>
        <v>86.0</v>
      </c>
      <c r="F279" s="10"/>
      <c r="G279" s="11" t="n">
        <f>172997000</f>
        <v>1.72997E8</v>
      </c>
      <c r="H279" s="10"/>
      <c r="I279" s="11" t="str">
        <f>"－"</f>
        <v>－</v>
      </c>
      <c r="J279" s="10"/>
      <c r="K279" s="11" t="n">
        <f>667</f>
        <v>667.0</v>
      </c>
    </row>
    <row r="280">
      <c r="A280" s="8" t="s">
        <v>46</v>
      </c>
      <c r="B280" s="9" t="s">
        <v>66</v>
      </c>
      <c r="C280" s="9" t="s">
        <v>67</v>
      </c>
      <c r="D280" s="10" t="s">
        <v>22</v>
      </c>
      <c r="E280" s="11" t="n">
        <f>56</f>
        <v>56.0</v>
      </c>
      <c r="F280" s="10" t="s">
        <v>22</v>
      </c>
      <c r="G280" s="11" t="n">
        <f>111718500</f>
        <v>1.117185E8</v>
      </c>
      <c r="H280" s="10"/>
      <c r="I280" s="11" t="str">
        <f>"－"</f>
        <v>－</v>
      </c>
      <c r="J280" s="10"/>
      <c r="K280" s="11" t="n">
        <f>660</f>
        <v>660.0</v>
      </c>
    </row>
    <row r="281">
      <c r="A281" s="8" t="s">
        <v>47</v>
      </c>
      <c r="B281" s="9" t="s">
        <v>66</v>
      </c>
      <c r="C281" s="9" t="s">
        <v>67</v>
      </c>
      <c r="D281" s="10"/>
      <c r="E281" s="11" t="n">
        <f>131</f>
        <v>131.0</v>
      </c>
      <c r="F281" s="10"/>
      <c r="G281" s="11" t="n">
        <f>251037500</f>
        <v>2.510375E8</v>
      </c>
      <c r="H281" s="10"/>
      <c r="I281" s="11" t="str">
        <f>"－"</f>
        <v>－</v>
      </c>
      <c r="J281" s="10"/>
      <c r="K281" s="11" t="n">
        <f>684</f>
        <v>684.0</v>
      </c>
    </row>
    <row r="282">
      <c r="A282" s="8" t="s">
        <v>48</v>
      </c>
      <c r="B282" s="9" t="s">
        <v>66</v>
      </c>
      <c r="C282" s="9" t="s">
        <v>67</v>
      </c>
      <c r="D282" s="10" t="s">
        <v>26</v>
      </c>
      <c r="E282" s="11" t="n">
        <f>1013</f>
        <v>1013.0</v>
      </c>
      <c r="F282" s="10" t="s">
        <v>26</v>
      </c>
      <c r="G282" s="11" t="n">
        <f>2022557000</f>
        <v>2.022557E9</v>
      </c>
      <c r="H282" s="10"/>
      <c r="I282" s="11" t="str">
        <f>"－"</f>
        <v>－</v>
      </c>
      <c r="J282" s="10"/>
      <c r="K282" s="11" t="n">
        <f>686</f>
        <v>686.0</v>
      </c>
    </row>
    <row r="283">
      <c r="A283" s="8" t="s">
        <v>49</v>
      </c>
      <c r="B283" s="9" t="s">
        <v>66</v>
      </c>
      <c r="C283" s="9" t="s">
        <v>67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50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/>
      <c r="E285" s="11" t="n">
        <f>1366</f>
        <v>1366.0</v>
      </c>
      <c r="F285" s="10"/>
      <c r="G285" s="11" t="n">
        <f>1426775500</f>
        <v>1.4267755E9</v>
      </c>
      <c r="H285" s="10" t="s">
        <v>53</v>
      </c>
      <c r="I285" s="11" t="str">
        <f>"－"</f>
        <v>－</v>
      </c>
      <c r="J285" s="10"/>
      <c r="K285" s="11" t="n">
        <f>11913</f>
        <v>11913.0</v>
      </c>
    </row>
    <row r="286">
      <c r="A286" s="8" t="s">
        <v>19</v>
      </c>
      <c r="B286" s="9" t="s">
        <v>68</v>
      </c>
      <c r="C286" s="9" t="s">
        <v>69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20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21</v>
      </c>
      <c r="B288" s="9" t="s">
        <v>68</v>
      </c>
      <c r="C288" s="9" t="s">
        <v>69</v>
      </c>
      <c r="D288" s="10" t="s">
        <v>22</v>
      </c>
      <c r="E288" s="11" t="n">
        <f>1052</f>
        <v>1052.0</v>
      </c>
      <c r="F288" s="10" t="s">
        <v>22</v>
      </c>
      <c r="G288" s="11" t="n">
        <f>1086623500</f>
        <v>1.0866235E9</v>
      </c>
      <c r="H288" s="10"/>
      <c r="I288" s="11" t="str">
        <f>"－"</f>
        <v>－</v>
      </c>
      <c r="J288" s="10"/>
      <c r="K288" s="11" t="n">
        <f>11840</f>
        <v>11840.0</v>
      </c>
    </row>
    <row r="289">
      <c r="A289" s="8" t="s">
        <v>23</v>
      </c>
      <c r="B289" s="9" t="s">
        <v>68</v>
      </c>
      <c r="C289" s="9" t="s">
        <v>69</v>
      </c>
      <c r="D289" s="10"/>
      <c r="E289" s="11" t="n">
        <f>1167</f>
        <v>1167.0</v>
      </c>
      <c r="F289" s="10"/>
      <c r="G289" s="11" t="n">
        <f>1203245500</f>
        <v>1.2032455E9</v>
      </c>
      <c r="H289" s="10"/>
      <c r="I289" s="11" t="str">
        <f>"－"</f>
        <v>－</v>
      </c>
      <c r="J289" s="10"/>
      <c r="K289" s="11" t="n">
        <f>12009</f>
        <v>12009.0</v>
      </c>
    </row>
    <row r="290">
      <c r="A290" s="8" t="s">
        <v>24</v>
      </c>
      <c r="B290" s="9" t="s">
        <v>68</v>
      </c>
      <c r="C290" s="9" t="s">
        <v>69</v>
      </c>
      <c r="D290" s="10"/>
      <c r="E290" s="11" t="n">
        <f>1615</f>
        <v>1615.0</v>
      </c>
      <c r="F290" s="10"/>
      <c r="G290" s="11" t="n">
        <f>1699278500</f>
        <v>1.6992785E9</v>
      </c>
      <c r="H290" s="10"/>
      <c r="I290" s="11" t="str">
        <f>"－"</f>
        <v>－</v>
      </c>
      <c r="J290" s="10"/>
      <c r="K290" s="11" t="n">
        <f>12119</f>
        <v>12119.0</v>
      </c>
    </row>
    <row r="291">
      <c r="A291" s="8" t="s">
        <v>25</v>
      </c>
      <c r="B291" s="9" t="s">
        <v>68</v>
      </c>
      <c r="C291" s="9" t="s">
        <v>69</v>
      </c>
      <c r="D291" s="10"/>
      <c r="E291" s="11" t="n">
        <f>1496</f>
        <v>1496.0</v>
      </c>
      <c r="F291" s="10"/>
      <c r="G291" s="11" t="n">
        <f>1570653500</f>
        <v>1.5706535E9</v>
      </c>
      <c r="H291" s="10"/>
      <c r="I291" s="11" t="str">
        <f>"－"</f>
        <v>－</v>
      </c>
      <c r="J291" s="10"/>
      <c r="K291" s="11" t="n">
        <f>12304</f>
        <v>12304.0</v>
      </c>
    </row>
    <row r="292">
      <c r="A292" s="8" t="s">
        <v>27</v>
      </c>
      <c r="B292" s="9" t="s">
        <v>68</v>
      </c>
      <c r="C292" s="9" t="s">
        <v>69</v>
      </c>
      <c r="D292" s="10" t="s">
        <v>26</v>
      </c>
      <c r="E292" s="11" t="n">
        <f>6455</f>
        <v>6455.0</v>
      </c>
      <c r="F292" s="10" t="s">
        <v>26</v>
      </c>
      <c r="G292" s="11" t="n">
        <f>7066143500</f>
        <v>7.0661435E9</v>
      </c>
      <c r="H292" s="10"/>
      <c r="I292" s="11" t="str">
        <f>"－"</f>
        <v>－</v>
      </c>
      <c r="J292" s="10" t="s">
        <v>26</v>
      </c>
      <c r="K292" s="11" t="n">
        <f>12456</f>
        <v>12456.0</v>
      </c>
    </row>
    <row r="293">
      <c r="A293" s="8" t="s">
        <v>28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29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30</v>
      </c>
      <c r="B295" s="9" t="s">
        <v>68</v>
      </c>
      <c r="C295" s="9" t="s">
        <v>69</v>
      </c>
      <c r="D295" s="10"/>
      <c r="E295" s="11" t="n">
        <f>3489</f>
        <v>3489.0</v>
      </c>
      <c r="F295" s="10"/>
      <c r="G295" s="11" t="n">
        <f>3892739500</f>
        <v>3.8927395E9</v>
      </c>
      <c r="H295" s="10"/>
      <c r="I295" s="11" t="str">
        <f>"－"</f>
        <v>－</v>
      </c>
      <c r="J295" s="10"/>
      <c r="K295" s="11" t="n">
        <f>12146</f>
        <v>12146.0</v>
      </c>
    </row>
    <row r="296">
      <c r="A296" s="8" t="s">
        <v>31</v>
      </c>
      <c r="B296" s="9" t="s">
        <v>68</v>
      </c>
      <c r="C296" s="9" t="s">
        <v>69</v>
      </c>
      <c r="D296" s="10"/>
      <c r="E296" s="11" t="n">
        <f>3532</f>
        <v>3532.0</v>
      </c>
      <c r="F296" s="10"/>
      <c r="G296" s="11" t="n">
        <f>3958685000</f>
        <v>3.958685E9</v>
      </c>
      <c r="H296" s="10"/>
      <c r="I296" s="11" t="str">
        <f>"－"</f>
        <v>－</v>
      </c>
      <c r="J296" s="10"/>
      <c r="K296" s="11" t="n">
        <f>12044</f>
        <v>12044.0</v>
      </c>
    </row>
    <row r="297">
      <c r="A297" s="8" t="s">
        <v>32</v>
      </c>
      <c r="B297" s="9" t="s">
        <v>68</v>
      </c>
      <c r="C297" s="9" t="s">
        <v>69</v>
      </c>
      <c r="D297" s="10"/>
      <c r="E297" s="11" t="n">
        <f>3437</f>
        <v>3437.0</v>
      </c>
      <c r="F297" s="10"/>
      <c r="G297" s="11" t="n">
        <f>3811898500</f>
        <v>3.8118985E9</v>
      </c>
      <c r="H297" s="10"/>
      <c r="I297" s="11" t="str">
        <f>"－"</f>
        <v>－</v>
      </c>
      <c r="J297" s="10"/>
      <c r="K297" s="11" t="n">
        <f>11673</f>
        <v>11673.0</v>
      </c>
    </row>
    <row r="298">
      <c r="A298" s="8" t="s">
        <v>33</v>
      </c>
      <c r="B298" s="9" t="s">
        <v>68</v>
      </c>
      <c r="C298" s="9" t="s">
        <v>69</v>
      </c>
      <c r="D298" s="10"/>
      <c r="E298" s="11" t="n">
        <f>4525</f>
        <v>4525.0</v>
      </c>
      <c r="F298" s="10"/>
      <c r="G298" s="11" t="n">
        <f>5050325500</f>
        <v>5.0503255E9</v>
      </c>
      <c r="H298" s="10"/>
      <c r="I298" s="11" t="str">
        <f>"－"</f>
        <v>－</v>
      </c>
      <c r="J298" s="10"/>
      <c r="K298" s="11" t="n">
        <f>11698</f>
        <v>11698.0</v>
      </c>
    </row>
    <row r="299">
      <c r="A299" s="8" t="s">
        <v>34</v>
      </c>
      <c r="B299" s="9" t="s">
        <v>68</v>
      </c>
      <c r="C299" s="9" t="s">
        <v>69</v>
      </c>
      <c r="D299" s="10"/>
      <c r="E299" s="11" t="n">
        <f>1737</f>
        <v>1737.0</v>
      </c>
      <c r="F299" s="10"/>
      <c r="G299" s="11" t="n">
        <f>1933315000</f>
        <v>1.933315E9</v>
      </c>
      <c r="H299" s="10"/>
      <c r="I299" s="11" t="str">
        <f>"－"</f>
        <v>－</v>
      </c>
      <c r="J299" s="10"/>
      <c r="K299" s="11" t="n">
        <f>11492</f>
        <v>11492.0</v>
      </c>
    </row>
    <row r="300">
      <c r="A300" s="8" t="s">
        <v>35</v>
      </c>
      <c r="B300" s="9" t="s">
        <v>68</v>
      </c>
      <c r="C300" s="9" t="s">
        <v>69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36</v>
      </c>
      <c r="B301" s="9" t="s">
        <v>68</v>
      </c>
      <c r="C301" s="9" t="s">
        <v>69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37</v>
      </c>
      <c r="B302" s="9" t="s">
        <v>68</v>
      </c>
      <c r="C302" s="9" t="s">
        <v>69</v>
      </c>
      <c r="D302" s="10"/>
      <c r="E302" s="11" t="n">
        <f>2499</f>
        <v>2499.0</v>
      </c>
      <c r="F302" s="10"/>
      <c r="G302" s="11" t="n">
        <f>2767855500</f>
        <v>2.7678555E9</v>
      </c>
      <c r="H302" s="10"/>
      <c r="I302" s="11" t="str">
        <f>"－"</f>
        <v>－</v>
      </c>
      <c r="J302" s="10"/>
      <c r="K302" s="11" t="n">
        <f>11549</f>
        <v>11549.0</v>
      </c>
    </row>
    <row r="303">
      <c r="A303" s="8" t="s">
        <v>38</v>
      </c>
      <c r="B303" s="9" t="s">
        <v>68</v>
      </c>
      <c r="C303" s="9" t="s">
        <v>69</v>
      </c>
      <c r="D303" s="10"/>
      <c r="E303" s="11" t="n">
        <f>3336</f>
        <v>3336.0</v>
      </c>
      <c r="F303" s="10"/>
      <c r="G303" s="11" t="n">
        <f>3795441000</f>
        <v>3.795441E9</v>
      </c>
      <c r="H303" s="10"/>
      <c r="I303" s="11" t="str">
        <f>"－"</f>
        <v>－</v>
      </c>
      <c r="J303" s="10"/>
      <c r="K303" s="11" t="n">
        <f>11468</f>
        <v>11468.0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n">
        <f>1921</f>
        <v>1921.0</v>
      </c>
      <c r="F304" s="10"/>
      <c r="G304" s="11" t="n">
        <f>2212298000</f>
        <v>2.212298E9</v>
      </c>
      <c r="H304" s="10"/>
      <c r="I304" s="11" t="str">
        <f>"－"</f>
        <v>－</v>
      </c>
      <c r="J304" s="10"/>
      <c r="K304" s="11" t="n">
        <f>11385</f>
        <v>11385.0</v>
      </c>
    </row>
    <row r="305">
      <c r="A305" s="8" t="s">
        <v>40</v>
      </c>
      <c r="B305" s="9" t="s">
        <v>68</v>
      </c>
      <c r="C305" s="9" t="s">
        <v>69</v>
      </c>
      <c r="D305" s="10"/>
      <c r="E305" s="11" t="n">
        <f>4616</f>
        <v>4616.0</v>
      </c>
      <c r="F305" s="10"/>
      <c r="G305" s="11" t="n">
        <f>5458636500</f>
        <v>5.4586365E9</v>
      </c>
      <c r="H305" s="10"/>
      <c r="I305" s="11" t="str">
        <f>"－"</f>
        <v>－</v>
      </c>
      <c r="J305" s="10"/>
      <c r="K305" s="11" t="n">
        <f>10923</f>
        <v>10923.0</v>
      </c>
    </row>
    <row r="306">
      <c r="A306" s="8" t="s">
        <v>41</v>
      </c>
      <c r="B306" s="9" t="s">
        <v>68</v>
      </c>
      <c r="C306" s="9" t="s">
        <v>69</v>
      </c>
      <c r="D306" s="10"/>
      <c r="E306" s="11" t="n">
        <f>3298</f>
        <v>3298.0</v>
      </c>
      <c r="F306" s="10"/>
      <c r="G306" s="11" t="n">
        <f>3809540000</f>
        <v>3.80954E9</v>
      </c>
      <c r="H306" s="10"/>
      <c r="I306" s="11" t="str">
        <f>"－"</f>
        <v>－</v>
      </c>
      <c r="J306" s="10"/>
      <c r="K306" s="11" t="n">
        <f>10838</f>
        <v>10838.0</v>
      </c>
    </row>
    <row r="307">
      <c r="A307" s="8" t="s">
        <v>42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43</v>
      </c>
      <c r="B308" s="9" t="s">
        <v>68</v>
      </c>
      <c r="C308" s="9" t="s">
        <v>69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44</v>
      </c>
      <c r="B309" s="9" t="s">
        <v>68</v>
      </c>
      <c r="C309" s="9" t="s">
        <v>69</v>
      </c>
      <c r="D309" s="10"/>
      <c r="E309" s="11" t="n">
        <f>3296</f>
        <v>3296.0</v>
      </c>
      <c r="F309" s="10"/>
      <c r="G309" s="11" t="n">
        <f>3714552000</f>
        <v>3.714552E9</v>
      </c>
      <c r="H309" s="10"/>
      <c r="I309" s="11" t="str">
        <f>"－"</f>
        <v>－</v>
      </c>
      <c r="J309" s="10"/>
      <c r="K309" s="11" t="n">
        <f>10416</f>
        <v>10416.0</v>
      </c>
    </row>
    <row r="310">
      <c r="A310" s="8" t="s">
        <v>45</v>
      </c>
      <c r="B310" s="9" t="s">
        <v>68</v>
      </c>
      <c r="C310" s="9" t="s">
        <v>69</v>
      </c>
      <c r="D310" s="10"/>
      <c r="E310" s="11" t="n">
        <f>1741</f>
        <v>1741.0</v>
      </c>
      <c r="F310" s="10"/>
      <c r="G310" s="11" t="n">
        <f>1982552500</f>
        <v>1.9825525E9</v>
      </c>
      <c r="H310" s="10"/>
      <c r="I310" s="11" t="str">
        <f>"－"</f>
        <v>－</v>
      </c>
      <c r="J310" s="10"/>
      <c r="K310" s="11" t="n">
        <f>10207</f>
        <v>10207.0</v>
      </c>
    </row>
    <row r="311">
      <c r="A311" s="8" t="s">
        <v>46</v>
      </c>
      <c r="B311" s="9" t="s">
        <v>68</v>
      </c>
      <c r="C311" s="9" t="s">
        <v>69</v>
      </c>
      <c r="D311" s="10"/>
      <c r="E311" s="11" t="n">
        <f>3337</f>
        <v>3337.0</v>
      </c>
      <c r="F311" s="10"/>
      <c r="G311" s="11" t="n">
        <f>3860852000</f>
        <v>3.860852E9</v>
      </c>
      <c r="H311" s="10"/>
      <c r="I311" s="11" t="str">
        <f>"－"</f>
        <v>－</v>
      </c>
      <c r="J311" s="10"/>
      <c r="K311" s="11" t="n">
        <f>10347</f>
        <v>10347.0</v>
      </c>
    </row>
    <row r="312">
      <c r="A312" s="8" t="s">
        <v>47</v>
      </c>
      <c r="B312" s="9" t="s">
        <v>68</v>
      </c>
      <c r="C312" s="9" t="s">
        <v>69</v>
      </c>
      <c r="D312" s="10"/>
      <c r="E312" s="11" t="n">
        <f>3059</f>
        <v>3059.0</v>
      </c>
      <c r="F312" s="10"/>
      <c r="G312" s="11" t="n">
        <f>3492109000</f>
        <v>3.492109E9</v>
      </c>
      <c r="H312" s="10"/>
      <c r="I312" s="11" t="str">
        <f>"－"</f>
        <v>－</v>
      </c>
      <c r="J312" s="10"/>
      <c r="K312" s="11" t="n">
        <f>10549</f>
        <v>10549.0</v>
      </c>
    </row>
    <row r="313">
      <c r="A313" s="8" t="s">
        <v>48</v>
      </c>
      <c r="B313" s="9" t="s">
        <v>68</v>
      </c>
      <c r="C313" s="9" t="s">
        <v>69</v>
      </c>
      <c r="D313" s="10"/>
      <c r="E313" s="11" t="n">
        <f>5638</f>
        <v>5638.0</v>
      </c>
      <c r="F313" s="10"/>
      <c r="G313" s="11" t="n">
        <f>6496028500</f>
        <v>6.4960285E9</v>
      </c>
      <c r="H313" s="10"/>
      <c r="I313" s="11" t="str">
        <f>"－"</f>
        <v>－</v>
      </c>
      <c r="J313" s="10" t="s">
        <v>22</v>
      </c>
      <c r="K313" s="11" t="n">
        <f>9931</f>
        <v>9931.0</v>
      </c>
    </row>
    <row r="314">
      <c r="A314" s="8" t="s">
        <v>49</v>
      </c>
      <c r="B314" s="9" t="s">
        <v>68</v>
      </c>
      <c r="C314" s="9" t="s">
        <v>69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50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 t="s">
        <v>22</v>
      </c>
      <c r="E316" s="11" t="str">
        <f>"－"</f>
        <v>－</v>
      </c>
      <c r="F316" s="10" t="s">
        <v>22</v>
      </c>
      <c r="G316" s="11" t="str">
        <f>"－"</f>
        <v>－</v>
      </c>
      <c r="H316" s="10" t="s">
        <v>53</v>
      </c>
      <c r="I316" s="11" t="str">
        <f>"－"</f>
        <v>－</v>
      </c>
      <c r="J316" s="10" t="s">
        <v>26</v>
      </c>
      <c r="K316" s="11" t="n">
        <f>6</f>
        <v>6.0</v>
      </c>
    </row>
    <row r="317">
      <c r="A317" s="8" t="s">
        <v>19</v>
      </c>
      <c r="B317" s="9" t="s">
        <v>70</v>
      </c>
      <c r="C317" s="9" t="s">
        <v>71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20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21</v>
      </c>
      <c r="B319" s="9" t="s">
        <v>70</v>
      </c>
      <c r="C319" s="9" t="s">
        <v>71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n">
        <f>6</f>
        <v>6.0</v>
      </c>
    </row>
    <row r="320">
      <c r="A320" s="8" t="s">
        <v>23</v>
      </c>
      <c r="B320" s="9" t="s">
        <v>70</v>
      </c>
      <c r="C320" s="9" t="s">
        <v>71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n">
        <f>6</f>
        <v>6.0</v>
      </c>
    </row>
    <row r="321">
      <c r="A321" s="8" t="s">
        <v>24</v>
      </c>
      <c r="B321" s="9" t="s">
        <v>70</v>
      </c>
      <c r="C321" s="9" t="s">
        <v>71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n">
        <f>6</f>
        <v>6.0</v>
      </c>
    </row>
    <row r="322">
      <c r="A322" s="8" t="s">
        <v>25</v>
      </c>
      <c r="B322" s="9" t="s">
        <v>70</v>
      </c>
      <c r="C322" s="9" t="s">
        <v>71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n">
        <f>6</f>
        <v>6.0</v>
      </c>
    </row>
    <row r="323">
      <c r="A323" s="8" t="s">
        <v>27</v>
      </c>
      <c r="B323" s="9" t="s">
        <v>70</v>
      </c>
      <c r="C323" s="9" t="s">
        <v>71</v>
      </c>
      <c r="D323" s="10"/>
      <c r="E323" s="11" t="n">
        <f>12</f>
        <v>12.0</v>
      </c>
      <c r="F323" s="10"/>
      <c r="G323" s="11" t="n">
        <f>11383500</f>
        <v>1.13835E7</v>
      </c>
      <c r="H323" s="10"/>
      <c r="I323" s="11" t="str">
        <f>"－"</f>
        <v>－</v>
      </c>
      <c r="J323" s="10"/>
      <c r="K323" s="11" t="n">
        <f>6</f>
        <v>6.0</v>
      </c>
    </row>
    <row r="324">
      <c r="A324" s="8" t="s">
        <v>28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29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30</v>
      </c>
      <c r="B326" s="9" t="s">
        <v>70</v>
      </c>
      <c r="C326" s="9" t="s">
        <v>71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n">
        <f>6</f>
        <v>6.0</v>
      </c>
    </row>
    <row r="327">
      <c r="A327" s="8" t="s">
        <v>31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n">
        <f>6</f>
        <v>6.0</v>
      </c>
    </row>
    <row r="328">
      <c r="A328" s="8" t="s">
        <v>32</v>
      </c>
      <c r="B328" s="9" t="s">
        <v>70</v>
      </c>
      <c r="C328" s="9" t="s">
        <v>71</v>
      </c>
      <c r="D328" s="10"/>
      <c r="E328" s="11" t="n">
        <f>15</f>
        <v>15.0</v>
      </c>
      <c r="F328" s="10"/>
      <c r="G328" s="11" t="n">
        <f>14551500</f>
        <v>1.45515E7</v>
      </c>
      <c r="H328" s="10"/>
      <c r="I328" s="11" t="str">
        <f>"－"</f>
        <v>－</v>
      </c>
      <c r="J328" s="10"/>
      <c r="K328" s="11" t="n">
        <f>6</f>
        <v>6.0</v>
      </c>
    </row>
    <row r="329">
      <c r="A329" s="8" t="s">
        <v>33</v>
      </c>
      <c r="B329" s="9" t="s">
        <v>70</v>
      </c>
      <c r="C329" s="9" t="s">
        <v>71</v>
      </c>
      <c r="D329" s="10"/>
      <c r="E329" s="11" t="n">
        <f>14</f>
        <v>14.0</v>
      </c>
      <c r="F329" s="10"/>
      <c r="G329" s="11" t="n">
        <f>13705000</f>
        <v>1.3705E7</v>
      </c>
      <c r="H329" s="10"/>
      <c r="I329" s="11" t="str">
        <f>"－"</f>
        <v>－</v>
      </c>
      <c r="J329" s="10"/>
      <c r="K329" s="11" t="n">
        <f>6</f>
        <v>6.0</v>
      </c>
    </row>
    <row r="330">
      <c r="A330" s="8" t="s">
        <v>34</v>
      </c>
      <c r="B330" s="9" t="s">
        <v>70</v>
      </c>
      <c r="C330" s="9" t="s">
        <v>71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n">
        <f>6</f>
        <v>6.0</v>
      </c>
    </row>
    <row r="331">
      <c r="A331" s="8" t="s">
        <v>35</v>
      </c>
      <c r="B331" s="9" t="s">
        <v>70</v>
      </c>
      <c r="C331" s="9" t="s">
        <v>71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36</v>
      </c>
      <c r="B332" s="9" t="s">
        <v>70</v>
      </c>
      <c r="C332" s="9" t="s">
        <v>71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37</v>
      </c>
      <c r="B333" s="9" t="s">
        <v>70</v>
      </c>
      <c r="C333" s="9" t="s">
        <v>71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n">
        <f>6</f>
        <v>6.0</v>
      </c>
    </row>
    <row r="334">
      <c r="A334" s="8" t="s">
        <v>38</v>
      </c>
      <c r="B334" s="9" t="s">
        <v>70</v>
      </c>
      <c r="C334" s="9" t="s">
        <v>71</v>
      </c>
      <c r="D334" s="10"/>
      <c r="E334" s="11" t="str">
        <f>"－"</f>
        <v>－</v>
      </c>
      <c r="F334" s="10"/>
      <c r="G334" s="11" t="str">
        <f>"－"</f>
        <v>－</v>
      </c>
      <c r="H334" s="10"/>
      <c r="I334" s="11" t="str">
        <f>"－"</f>
        <v>－</v>
      </c>
      <c r="J334" s="10"/>
      <c r="K334" s="11" t="n">
        <f>6</f>
        <v>6.0</v>
      </c>
    </row>
    <row r="335">
      <c r="A335" s="8" t="s">
        <v>39</v>
      </c>
      <c r="B335" s="9" t="s">
        <v>70</v>
      </c>
      <c r="C335" s="9" t="s">
        <v>71</v>
      </c>
      <c r="D335" s="10" t="s">
        <v>26</v>
      </c>
      <c r="E335" s="11" t="n">
        <f>36</f>
        <v>36.0</v>
      </c>
      <c r="F335" s="10" t="s">
        <v>26</v>
      </c>
      <c r="G335" s="11" t="n">
        <f>36571500</f>
        <v>3.65715E7</v>
      </c>
      <c r="H335" s="10"/>
      <c r="I335" s="11" t="str">
        <f>"－"</f>
        <v>－</v>
      </c>
      <c r="J335" s="10"/>
      <c r="K335" s="11" t="n">
        <f>6</f>
        <v>6.0</v>
      </c>
    </row>
    <row r="336">
      <c r="A336" s="8" t="s">
        <v>40</v>
      </c>
      <c r="B336" s="9" t="s">
        <v>70</v>
      </c>
      <c r="C336" s="9" t="s">
        <v>71</v>
      </c>
      <c r="D336" s="10"/>
      <c r="E336" s="11" t="n">
        <f>3</f>
        <v>3.0</v>
      </c>
      <c r="F336" s="10"/>
      <c r="G336" s="11" t="n">
        <f>2970000</f>
        <v>2970000.0</v>
      </c>
      <c r="H336" s="10"/>
      <c r="I336" s="11" t="str">
        <f>"－"</f>
        <v>－</v>
      </c>
      <c r="J336" s="10" t="s">
        <v>22</v>
      </c>
      <c r="K336" s="11" t="n">
        <f>3</f>
        <v>3.0</v>
      </c>
    </row>
    <row r="337">
      <c r="A337" s="8" t="s">
        <v>41</v>
      </c>
      <c r="B337" s="9" t="s">
        <v>70</v>
      </c>
      <c r="C337" s="9" t="s">
        <v>71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n">
        <f>3</f>
        <v>3.0</v>
      </c>
    </row>
    <row r="338">
      <c r="A338" s="8" t="s">
        <v>42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43</v>
      </c>
      <c r="B339" s="9" t="s">
        <v>70</v>
      </c>
      <c r="C339" s="9" t="s">
        <v>71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44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n">
        <f>3</f>
        <v>3.0</v>
      </c>
    </row>
    <row r="341">
      <c r="A341" s="8" t="s">
        <v>45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n">
        <f>3</f>
        <v>3.0</v>
      </c>
    </row>
    <row r="342">
      <c r="A342" s="8" t="s">
        <v>46</v>
      </c>
      <c r="B342" s="9" t="s">
        <v>70</v>
      </c>
      <c r="C342" s="9" t="s">
        <v>71</v>
      </c>
      <c r="D342" s="10"/>
      <c r="E342" s="11" t="str">
        <f>"－"</f>
        <v>－</v>
      </c>
      <c r="F342" s="10"/>
      <c r="G342" s="11" t="str">
        <f>"－"</f>
        <v>－</v>
      </c>
      <c r="H342" s="10"/>
      <c r="I342" s="11" t="str">
        <f>"－"</f>
        <v>－</v>
      </c>
      <c r="J342" s="10"/>
      <c r="K342" s="11" t="n">
        <f>3</f>
        <v>3.0</v>
      </c>
    </row>
    <row r="343">
      <c r="A343" s="8" t="s">
        <v>47</v>
      </c>
      <c r="B343" s="9" t="s">
        <v>70</v>
      </c>
      <c r="C343" s="9" t="s">
        <v>71</v>
      </c>
      <c r="D343" s="10"/>
      <c r="E343" s="11" t="n">
        <f>36</f>
        <v>36.0</v>
      </c>
      <c r="F343" s="10"/>
      <c r="G343" s="11" t="n">
        <f>35757000</f>
        <v>3.5757E7</v>
      </c>
      <c r="H343" s="10"/>
      <c r="I343" s="11" t="str">
        <f>"－"</f>
        <v>－</v>
      </c>
      <c r="J343" s="10"/>
      <c r="K343" s="11" t="n">
        <f>3</f>
        <v>3.0</v>
      </c>
    </row>
    <row r="344">
      <c r="A344" s="8" t="s">
        <v>48</v>
      </c>
      <c r="B344" s="9" t="s">
        <v>70</v>
      </c>
      <c r="C344" s="9" t="s">
        <v>71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n">
        <f>3</f>
        <v>3.0</v>
      </c>
    </row>
    <row r="345">
      <c r="A345" s="8" t="s">
        <v>49</v>
      </c>
      <c r="B345" s="9" t="s">
        <v>70</v>
      </c>
      <c r="C345" s="9" t="s">
        <v>71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50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/>
      <c r="E347" s="11" t="n">
        <f>308</f>
        <v>308.0</v>
      </c>
      <c r="F347" s="10"/>
      <c r="G347" s="11" t="n">
        <f>554912000</f>
        <v>5.54912E8</v>
      </c>
      <c r="H347" s="10" t="s">
        <v>53</v>
      </c>
      <c r="I347" s="11" t="str">
        <f>"－"</f>
        <v>－</v>
      </c>
      <c r="J347" s="10"/>
      <c r="K347" s="11" t="n">
        <f>1833</f>
        <v>1833.0</v>
      </c>
    </row>
    <row r="348">
      <c r="A348" s="8" t="s">
        <v>19</v>
      </c>
      <c r="B348" s="9" t="s">
        <v>72</v>
      </c>
      <c r="C348" s="9" t="s">
        <v>73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20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21</v>
      </c>
      <c r="B350" s="9" t="s">
        <v>72</v>
      </c>
      <c r="C350" s="9" t="s">
        <v>73</v>
      </c>
      <c r="D350" s="10"/>
      <c r="E350" s="11" t="n">
        <f>302</f>
        <v>302.0</v>
      </c>
      <c r="F350" s="10"/>
      <c r="G350" s="11" t="n">
        <f>565063500</f>
        <v>5.650635E8</v>
      </c>
      <c r="H350" s="10"/>
      <c r="I350" s="11" t="str">
        <f>"－"</f>
        <v>－</v>
      </c>
      <c r="J350" s="10"/>
      <c r="K350" s="11" t="n">
        <f>1815</f>
        <v>1815.0</v>
      </c>
    </row>
    <row r="351">
      <c r="A351" s="8" t="s">
        <v>23</v>
      </c>
      <c r="B351" s="9" t="s">
        <v>72</v>
      </c>
      <c r="C351" s="9" t="s">
        <v>73</v>
      </c>
      <c r="D351" s="10"/>
      <c r="E351" s="11" t="n">
        <f>258</f>
        <v>258.0</v>
      </c>
      <c r="F351" s="10"/>
      <c r="G351" s="11" t="n">
        <f>471362500</f>
        <v>4.713625E8</v>
      </c>
      <c r="H351" s="10"/>
      <c r="I351" s="11" t="str">
        <f>"－"</f>
        <v>－</v>
      </c>
      <c r="J351" s="10"/>
      <c r="K351" s="11" t="n">
        <f>1818</f>
        <v>1818.0</v>
      </c>
    </row>
    <row r="352">
      <c r="A352" s="8" t="s">
        <v>24</v>
      </c>
      <c r="B352" s="9" t="s">
        <v>72</v>
      </c>
      <c r="C352" s="9" t="s">
        <v>73</v>
      </c>
      <c r="D352" s="10"/>
      <c r="E352" s="11" t="n">
        <f>350</f>
        <v>350.0</v>
      </c>
      <c r="F352" s="10"/>
      <c r="G352" s="11" t="n">
        <f>656391500</f>
        <v>6.563915E8</v>
      </c>
      <c r="H352" s="10"/>
      <c r="I352" s="11" t="str">
        <f>"－"</f>
        <v>－</v>
      </c>
      <c r="J352" s="10"/>
      <c r="K352" s="11" t="n">
        <f>1827</f>
        <v>1827.0</v>
      </c>
    </row>
    <row r="353">
      <c r="A353" s="8" t="s">
        <v>25</v>
      </c>
      <c r="B353" s="9" t="s">
        <v>72</v>
      </c>
      <c r="C353" s="9" t="s">
        <v>73</v>
      </c>
      <c r="D353" s="10"/>
      <c r="E353" s="11" t="n">
        <f>211</f>
        <v>211.0</v>
      </c>
      <c r="F353" s="10"/>
      <c r="G353" s="11" t="n">
        <f>389110000</f>
        <v>3.8911E8</v>
      </c>
      <c r="H353" s="10"/>
      <c r="I353" s="11" t="str">
        <f>"－"</f>
        <v>－</v>
      </c>
      <c r="J353" s="10"/>
      <c r="K353" s="11" t="n">
        <f>1887</f>
        <v>1887.0</v>
      </c>
    </row>
    <row r="354">
      <c r="A354" s="8" t="s">
        <v>27</v>
      </c>
      <c r="B354" s="9" t="s">
        <v>72</v>
      </c>
      <c r="C354" s="9" t="s">
        <v>73</v>
      </c>
      <c r="D354" s="10"/>
      <c r="E354" s="11" t="n">
        <f>190</f>
        <v>190.0</v>
      </c>
      <c r="F354" s="10"/>
      <c r="G354" s="11" t="n">
        <f>349030500</f>
        <v>3.490305E8</v>
      </c>
      <c r="H354" s="10"/>
      <c r="I354" s="11" t="str">
        <f>"－"</f>
        <v>－</v>
      </c>
      <c r="J354" s="10"/>
      <c r="K354" s="11" t="n">
        <f>1896</f>
        <v>1896.0</v>
      </c>
    </row>
    <row r="355">
      <c r="A355" s="8" t="s">
        <v>28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29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30</v>
      </c>
      <c r="B357" s="9" t="s">
        <v>72</v>
      </c>
      <c r="C357" s="9" t="s">
        <v>73</v>
      </c>
      <c r="D357" s="10"/>
      <c r="E357" s="11" t="n">
        <f>189</f>
        <v>189.0</v>
      </c>
      <c r="F357" s="10"/>
      <c r="G357" s="11" t="n">
        <f>381425000</f>
        <v>3.81425E8</v>
      </c>
      <c r="H357" s="10"/>
      <c r="I357" s="11" t="str">
        <f>"－"</f>
        <v>－</v>
      </c>
      <c r="J357" s="10"/>
      <c r="K357" s="11" t="n">
        <f>1904</f>
        <v>1904.0</v>
      </c>
    </row>
    <row r="358">
      <c r="A358" s="8" t="s">
        <v>31</v>
      </c>
      <c r="B358" s="9" t="s">
        <v>72</v>
      </c>
      <c r="C358" s="9" t="s">
        <v>73</v>
      </c>
      <c r="D358" s="10"/>
      <c r="E358" s="11" t="n">
        <f>407</f>
        <v>407.0</v>
      </c>
      <c r="F358" s="10"/>
      <c r="G358" s="11" t="n">
        <f>883225500</f>
        <v>8.832255E8</v>
      </c>
      <c r="H358" s="10"/>
      <c r="I358" s="11" t="str">
        <f>"－"</f>
        <v>－</v>
      </c>
      <c r="J358" s="10"/>
      <c r="K358" s="11" t="n">
        <f>1819</f>
        <v>1819.0</v>
      </c>
    </row>
    <row r="359">
      <c r="A359" s="8" t="s">
        <v>32</v>
      </c>
      <c r="B359" s="9" t="s">
        <v>72</v>
      </c>
      <c r="C359" s="9" t="s">
        <v>73</v>
      </c>
      <c r="D359" s="10"/>
      <c r="E359" s="11" t="n">
        <f>197</f>
        <v>197.0</v>
      </c>
      <c r="F359" s="10"/>
      <c r="G359" s="11" t="n">
        <f>373373500</f>
        <v>3.733735E8</v>
      </c>
      <c r="H359" s="10"/>
      <c r="I359" s="11" t="str">
        <f>"－"</f>
        <v>－</v>
      </c>
      <c r="J359" s="10"/>
      <c r="K359" s="11" t="n">
        <f>1814</f>
        <v>1814.0</v>
      </c>
    </row>
    <row r="360">
      <c r="A360" s="8" t="s">
        <v>33</v>
      </c>
      <c r="B360" s="9" t="s">
        <v>72</v>
      </c>
      <c r="C360" s="9" t="s">
        <v>73</v>
      </c>
      <c r="D360" s="10"/>
      <c r="E360" s="11" t="n">
        <f>177</f>
        <v>177.0</v>
      </c>
      <c r="F360" s="10"/>
      <c r="G360" s="11" t="n">
        <f>334252500</f>
        <v>3.342525E8</v>
      </c>
      <c r="H360" s="10"/>
      <c r="I360" s="11" t="str">
        <f>"－"</f>
        <v>－</v>
      </c>
      <c r="J360" s="10"/>
      <c r="K360" s="11" t="n">
        <f>1824</f>
        <v>1824.0</v>
      </c>
    </row>
    <row r="361">
      <c r="A361" s="8" t="s">
        <v>34</v>
      </c>
      <c r="B361" s="9" t="s">
        <v>72</v>
      </c>
      <c r="C361" s="9" t="s">
        <v>73</v>
      </c>
      <c r="D361" s="10" t="s">
        <v>22</v>
      </c>
      <c r="E361" s="11" t="n">
        <f>98</f>
        <v>98.0</v>
      </c>
      <c r="F361" s="10" t="s">
        <v>22</v>
      </c>
      <c r="G361" s="11" t="n">
        <f>183652500</f>
        <v>1.836525E8</v>
      </c>
      <c r="H361" s="10"/>
      <c r="I361" s="11" t="str">
        <f>"－"</f>
        <v>－</v>
      </c>
      <c r="J361" s="10"/>
      <c r="K361" s="11" t="n">
        <f>1821</f>
        <v>1821.0</v>
      </c>
    </row>
    <row r="362">
      <c r="A362" s="8" t="s">
        <v>35</v>
      </c>
      <c r="B362" s="9" t="s">
        <v>72</v>
      </c>
      <c r="C362" s="9" t="s">
        <v>73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36</v>
      </c>
      <c r="B363" s="9" t="s">
        <v>72</v>
      </c>
      <c r="C363" s="9" t="s">
        <v>73</v>
      </c>
      <c r="D363" s="10"/>
      <c r="E363" s="11"/>
      <c r="F363" s="10"/>
      <c r="G363" s="11"/>
      <c r="H363" s="10"/>
      <c r="I363" s="11"/>
      <c r="J363" s="10"/>
      <c r="K363" s="11"/>
    </row>
    <row r="364">
      <c r="A364" s="8" t="s">
        <v>37</v>
      </c>
      <c r="B364" s="9" t="s">
        <v>72</v>
      </c>
      <c r="C364" s="9" t="s">
        <v>73</v>
      </c>
      <c r="D364" s="10"/>
      <c r="E364" s="11" t="n">
        <f>219</f>
        <v>219.0</v>
      </c>
      <c r="F364" s="10"/>
      <c r="G364" s="11" t="n">
        <f>415553500</f>
        <v>4.155535E8</v>
      </c>
      <c r="H364" s="10"/>
      <c r="I364" s="11" t="str">
        <f>"－"</f>
        <v>－</v>
      </c>
      <c r="J364" s="10" t="s">
        <v>22</v>
      </c>
      <c r="K364" s="11" t="n">
        <f>1801</f>
        <v>1801.0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n">
        <f>235</f>
        <v>235.0</v>
      </c>
      <c r="F365" s="10"/>
      <c r="G365" s="11" t="n">
        <f>450913000</f>
        <v>4.50913E8</v>
      </c>
      <c r="H365" s="10"/>
      <c r="I365" s="11" t="str">
        <f>"－"</f>
        <v>－</v>
      </c>
      <c r="J365" s="10"/>
      <c r="K365" s="11" t="n">
        <f>1809</f>
        <v>1809.0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n">
        <f>248</f>
        <v>248.0</v>
      </c>
      <c r="F366" s="10"/>
      <c r="G366" s="11" t="n">
        <f>484765500</f>
        <v>4.847655E8</v>
      </c>
      <c r="H366" s="10"/>
      <c r="I366" s="11" t="str">
        <f>"－"</f>
        <v>－</v>
      </c>
      <c r="J366" s="10"/>
      <c r="K366" s="11" t="n">
        <f>1811</f>
        <v>1811.0</v>
      </c>
    </row>
    <row r="367">
      <c r="A367" s="8" t="s">
        <v>40</v>
      </c>
      <c r="B367" s="9" t="s">
        <v>72</v>
      </c>
      <c r="C367" s="9" t="s">
        <v>73</v>
      </c>
      <c r="D367" s="10"/>
      <c r="E367" s="11" t="n">
        <f>320</f>
        <v>320.0</v>
      </c>
      <c r="F367" s="10"/>
      <c r="G367" s="11" t="n">
        <f>635075000</f>
        <v>6.35075E8</v>
      </c>
      <c r="H367" s="10"/>
      <c r="I367" s="11" t="str">
        <f>"－"</f>
        <v>－</v>
      </c>
      <c r="J367" s="10"/>
      <c r="K367" s="11" t="n">
        <f>1841</f>
        <v>1841.0</v>
      </c>
    </row>
    <row r="368">
      <c r="A368" s="8" t="s">
        <v>41</v>
      </c>
      <c r="B368" s="9" t="s">
        <v>72</v>
      </c>
      <c r="C368" s="9" t="s">
        <v>73</v>
      </c>
      <c r="D368" s="10"/>
      <c r="E368" s="11" t="n">
        <f>373</f>
        <v>373.0</v>
      </c>
      <c r="F368" s="10"/>
      <c r="G368" s="11" t="n">
        <f>759918500</f>
        <v>7.599185E8</v>
      </c>
      <c r="H368" s="10"/>
      <c r="I368" s="11" t="str">
        <f>"－"</f>
        <v>－</v>
      </c>
      <c r="J368" s="10"/>
      <c r="K368" s="11" t="n">
        <f>1845</f>
        <v>1845.0</v>
      </c>
    </row>
    <row r="369">
      <c r="A369" s="8" t="s">
        <v>42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43</v>
      </c>
      <c r="B370" s="9" t="s">
        <v>72</v>
      </c>
      <c r="C370" s="9" t="s">
        <v>73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44</v>
      </c>
      <c r="B371" s="9" t="s">
        <v>72</v>
      </c>
      <c r="C371" s="9" t="s">
        <v>73</v>
      </c>
      <c r="D371" s="10"/>
      <c r="E371" s="11" t="n">
        <f>777</f>
        <v>777.0</v>
      </c>
      <c r="F371" s="10"/>
      <c r="G371" s="11" t="n">
        <f>1649735500</f>
        <v>1.6497355E9</v>
      </c>
      <c r="H371" s="10"/>
      <c r="I371" s="11" t="str">
        <f>"－"</f>
        <v>－</v>
      </c>
      <c r="J371" s="10"/>
      <c r="K371" s="11" t="n">
        <f>1944</f>
        <v>1944.0</v>
      </c>
    </row>
    <row r="372">
      <c r="A372" s="8" t="s">
        <v>45</v>
      </c>
      <c r="B372" s="9" t="s">
        <v>72</v>
      </c>
      <c r="C372" s="9" t="s">
        <v>73</v>
      </c>
      <c r="D372" s="10"/>
      <c r="E372" s="11" t="n">
        <f>808</f>
        <v>808.0</v>
      </c>
      <c r="F372" s="10"/>
      <c r="G372" s="11" t="n">
        <f>1701592000</f>
        <v>1.701592E9</v>
      </c>
      <c r="H372" s="10"/>
      <c r="I372" s="11" t="str">
        <f>"－"</f>
        <v>－</v>
      </c>
      <c r="J372" s="10"/>
      <c r="K372" s="11" t="n">
        <f>1953</f>
        <v>1953.0</v>
      </c>
    </row>
    <row r="373">
      <c r="A373" s="8" t="s">
        <v>46</v>
      </c>
      <c r="B373" s="9" t="s">
        <v>72</v>
      </c>
      <c r="C373" s="9" t="s">
        <v>73</v>
      </c>
      <c r="D373" s="10" t="s">
        <v>26</v>
      </c>
      <c r="E373" s="11" t="n">
        <f>873</f>
        <v>873.0</v>
      </c>
      <c r="F373" s="10" t="s">
        <v>26</v>
      </c>
      <c r="G373" s="11" t="n">
        <f>1717300000</f>
        <v>1.7173E9</v>
      </c>
      <c r="H373" s="10"/>
      <c r="I373" s="11" t="str">
        <f>"－"</f>
        <v>－</v>
      </c>
      <c r="J373" s="10" t="s">
        <v>26</v>
      </c>
      <c r="K373" s="11" t="n">
        <f>1978</f>
        <v>1978.0</v>
      </c>
    </row>
    <row r="374">
      <c r="A374" s="8" t="s">
        <v>47</v>
      </c>
      <c r="B374" s="9" t="s">
        <v>72</v>
      </c>
      <c r="C374" s="9" t="s">
        <v>73</v>
      </c>
      <c r="D374" s="10"/>
      <c r="E374" s="11" t="n">
        <f>524</f>
        <v>524.0</v>
      </c>
      <c r="F374" s="10"/>
      <c r="G374" s="11" t="n">
        <f>1007553000</f>
        <v>1.007553E9</v>
      </c>
      <c r="H374" s="10"/>
      <c r="I374" s="11" t="str">
        <f>"－"</f>
        <v>－</v>
      </c>
      <c r="J374" s="10"/>
      <c r="K374" s="11" t="n">
        <f>1963</f>
        <v>1963.0</v>
      </c>
    </row>
    <row r="375">
      <c r="A375" s="8" t="s">
        <v>48</v>
      </c>
      <c r="B375" s="9" t="s">
        <v>72</v>
      </c>
      <c r="C375" s="9" t="s">
        <v>73</v>
      </c>
      <c r="D375" s="10"/>
      <c r="E375" s="11" t="n">
        <f>273</f>
        <v>273.0</v>
      </c>
      <c r="F375" s="10"/>
      <c r="G375" s="11" t="n">
        <f>531741500</f>
        <v>5.317415E8</v>
      </c>
      <c r="H375" s="10"/>
      <c r="I375" s="11" t="str">
        <f>"－"</f>
        <v>－</v>
      </c>
      <c r="J375" s="10"/>
      <c r="K375" s="11" t="n">
        <f>1972</f>
        <v>1972.0</v>
      </c>
    </row>
    <row r="376">
      <c r="A376" s="8" t="s">
        <v>49</v>
      </c>
      <c r="B376" s="9" t="s">
        <v>72</v>
      </c>
      <c r="C376" s="9" t="s">
        <v>73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50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 t="s">
        <v>53</v>
      </c>
      <c r="E378" s="11" t="str">
        <f>"－"</f>
        <v>－</v>
      </c>
      <c r="F378" s="10" t="s">
        <v>53</v>
      </c>
      <c r="G378" s="11" t="str">
        <f>"－"</f>
        <v>－</v>
      </c>
      <c r="H378" s="10" t="s">
        <v>53</v>
      </c>
      <c r="I378" s="11" t="str">
        <f>"－"</f>
        <v>－</v>
      </c>
      <c r="J378" s="10" t="s">
        <v>53</v>
      </c>
      <c r="K378" s="11" t="str">
        <f>"－"</f>
        <v>－</v>
      </c>
    </row>
    <row r="379">
      <c r="A379" s="8" t="s">
        <v>19</v>
      </c>
      <c r="B379" s="9" t="s">
        <v>74</v>
      </c>
      <c r="C379" s="9" t="s">
        <v>75</v>
      </c>
      <c r="D379" s="10"/>
      <c r="E379" s="11"/>
      <c r="F379" s="10"/>
      <c r="G379" s="11"/>
      <c r="H379" s="10"/>
      <c r="I379" s="11"/>
      <c r="J379" s="10"/>
      <c r="K379" s="11"/>
    </row>
    <row r="380">
      <c r="A380" s="8" t="s">
        <v>20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21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27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28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29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30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11"/>
      <c r="F393" s="10"/>
      <c r="G393" s="11"/>
      <c r="H393" s="10"/>
      <c r="I393" s="11"/>
      <c r="J393" s="10"/>
      <c r="K393" s="11"/>
    </row>
    <row r="394">
      <c r="A394" s="8" t="s">
        <v>36</v>
      </c>
      <c r="B394" s="9" t="s">
        <v>74</v>
      </c>
      <c r="C394" s="9" t="s">
        <v>75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37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43</v>
      </c>
      <c r="B401" s="9" t="s">
        <v>74</v>
      </c>
      <c r="C401" s="9" t="s">
        <v>75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44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50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  <row r="409">
      <c r="A409" s="8" t="s">
        <v>16</v>
      </c>
      <c r="B409" s="9" t="s">
        <v>76</v>
      </c>
      <c r="C409" s="9" t="s">
        <v>77</v>
      </c>
      <c r="D409" s="10" t="s">
        <v>53</v>
      </c>
      <c r="E409" s="11" t="str">
        <f>"－"</f>
        <v>－</v>
      </c>
      <c r="F409" s="10" t="s">
        <v>53</v>
      </c>
      <c r="G409" s="11" t="str">
        <f>"－"</f>
        <v>－</v>
      </c>
      <c r="H409" s="10" t="s">
        <v>53</v>
      </c>
      <c r="I409" s="11" t="str">
        <f>"－"</f>
        <v>－</v>
      </c>
      <c r="J409" s="10" t="s">
        <v>53</v>
      </c>
      <c r="K409" s="11" t="str">
        <f>"－"</f>
        <v>－</v>
      </c>
    </row>
    <row r="410">
      <c r="A410" s="8" t="s">
        <v>19</v>
      </c>
      <c r="B410" s="9" t="s">
        <v>76</v>
      </c>
      <c r="C410" s="9" t="s">
        <v>77</v>
      </c>
      <c r="D410" s="10"/>
      <c r="E410" s="11"/>
      <c r="F410" s="10"/>
      <c r="G410" s="11"/>
      <c r="H410" s="10"/>
      <c r="I410" s="11"/>
      <c r="J410" s="10"/>
      <c r="K410" s="11"/>
    </row>
    <row r="411">
      <c r="A411" s="8" t="s">
        <v>20</v>
      </c>
      <c r="B411" s="9" t="s">
        <v>76</v>
      </c>
      <c r="C411" s="9" t="s">
        <v>77</v>
      </c>
      <c r="D411" s="10"/>
      <c r="E411" s="11"/>
      <c r="F411" s="10"/>
      <c r="G411" s="11"/>
      <c r="H411" s="10"/>
      <c r="I411" s="11"/>
      <c r="J411" s="10"/>
      <c r="K411" s="11"/>
    </row>
    <row r="412">
      <c r="A412" s="8" t="s">
        <v>21</v>
      </c>
      <c r="B412" s="9" t="s">
        <v>76</v>
      </c>
      <c r="C412" s="9" t="s">
        <v>77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23</v>
      </c>
      <c r="B413" s="9" t="s">
        <v>76</v>
      </c>
      <c r="C413" s="9" t="s">
        <v>77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24</v>
      </c>
      <c r="B414" s="9" t="s">
        <v>76</v>
      </c>
      <c r="C414" s="9" t="s">
        <v>77</v>
      </c>
      <c r="D414" s="10"/>
      <c r="E414" s="11" t="str">
        <f>"－"</f>
        <v>－</v>
      </c>
      <c r="F414" s="10"/>
      <c r="G414" s="11" t="str">
        <f>"－"</f>
        <v>－</v>
      </c>
      <c r="H414" s="10"/>
      <c r="I414" s="11" t="str">
        <f>"－"</f>
        <v>－</v>
      </c>
      <c r="J414" s="10"/>
      <c r="K414" s="11" t="str">
        <f>"－"</f>
        <v>－</v>
      </c>
    </row>
    <row r="415">
      <c r="A415" s="8" t="s">
        <v>25</v>
      </c>
      <c r="B415" s="9" t="s">
        <v>76</v>
      </c>
      <c r="C415" s="9" t="s">
        <v>77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27</v>
      </c>
      <c r="B416" s="9" t="s">
        <v>76</v>
      </c>
      <c r="C416" s="9" t="s">
        <v>77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28</v>
      </c>
      <c r="B417" s="9" t="s">
        <v>76</v>
      </c>
      <c r="C417" s="9" t="s">
        <v>77</v>
      </c>
      <c r="D417" s="10"/>
      <c r="E417" s="11"/>
      <c r="F417" s="10"/>
      <c r="G417" s="11"/>
      <c r="H417" s="10"/>
      <c r="I417" s="11"/>
      <c r="J417" s="10"/>
      <c r="K417" s="11"/>
    </row>
    <row r="418">
      <c r="A418" s="8" t="s">
        <v>29</v>
      </c>
      <c r="B418" s="9" t="s">
        <v>76</v>
      </c>
      <c r="C418" s="9" t="s">
        <v>77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30</v>
      </c>
      <c r="B419" s="9" t="s">
        <v>76</v>
      </c>
      <c r="C419" s="9" t="s">
        <v>77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31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32</v>
      </c>
      <c r="B421" s="9" t="s">
        <v>76</v>
      </c>
      <c r="C421" s="9" t="s">
        <v>77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33</v>
      </c>
      <c r="B422" s="9" t="s">
        <v>76</v>
      </c>
      <c r="C422" s="9" t="s">
        <v>77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34</v>
      </c>
      <c r="B423" s="9" t="s">
        <v>76</v>
      </c>
      <c r="C423" s="9" t="s">
        <v>77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35</v>
      </c>
      <c r="B424" s="9" t="s">
        <v>76</v>
      </c>
      <c r="C424" s="9" t="s">
        <v>77</v>
      </c>
      <c r="D424" s="10"/>
      <c r="E424" s="11"/>
      <c r="F424" s="10"/>
      <c r="G424" s="11"/>
      <c r="H424" s="10"/>
      <c r="I424" s="11"/>
      <c r="J424" s="10"/>
      <c r="K424" s="11"/>
    </row>
    <row r="425">
      <c r="A425" s="8" t="s">
        <v>36</v>
      </c>
      <c r="B425" s="9" t="s">
        <v>76</v>
      </c>
      <c r="C425" s="9" t="s">
        <v>77</v>
      </c>
      <c r="D425" s="10"/>
      <c r="E425" s="11"/>
      <c r="F425" s="10"/>
      <c r="G425" s="11"/>
      <c r="H425" s="10"/>
      <c r="I425" s="11"/>
      <c r="J425" s="10"/>
      <c r="K425" s="11"/>
    </row>
    <row r="426">
      <c r="A426" s="8" t="s">
        <v>37</v>
      </c>
      <c r="B426" s="9" t="s">
        <v>76</v>
      </c>
      <c r="C426" s="9" t="s">
        <v>77</v>
      </c>
      <c r="D426" s="10"/>
      <c r="E426" s="11" t="str">
        <f>"－"</f>
        <v>－</v>
      </c>
      <c r="F426" s="10"/>
      <c r="G426" s="11" t="str">
        <f>"－"</f>
        <v>－</v>
      </c>
      <c r="H426" s="10"/>
      <c r="I426" s="11" t="str">
        <f>"－"</f>
        <v>－</v>
      </c>
      <c r="J426" s="10"/>
      <c r="K426" s="11" t="str">
        <f>"－"</f>
        <v>－</v>
      </c>
    </row>
    <row r="427">
      <c r="A427" s="8" t="s">
        <v>38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39</v>
      </c>
      <c r="B428" s="9" t="s">
        <v>76</v>
      </c>
      <c r="C428" s="9" t="s">
        <v>77</v>
      </c>
      <c r="D428" s="10"/>
      <c r="E428" s="11" t="str">
        <f>"－"</f>
        <v>－</v>
      </c>
      <c r="F428" s="10"/>
      <c r="G428" s="11" t="str">
        <f>"－"</f>
        <v>－</v>
      </c>
      <c r="H428" s="10"/>
      <c r="I428" s="11" t="str">
        <f>"－"</f>
        <v>－</v>
      </c>
      <c r="J428" s="10"/>
      <c r="K428" s="11" t="str">
        <f>"－"</f>
        <v>－</v>
      </c>
    </row>
    <row r="429">
      <c r="A429" s="8" t="s">
        <v>40</v>
      </c>
      <c r="B429" s="9" t="s">
        <v>76</v>
      </c>
      <c r="C429" s="9" t="s">
        <v>77</v>
      </c>
      <c r="D429" s="10"/>
      <c r="E429" s="11" t="str">
        <f>"－"</f>
        <v>－</v>
      </c>
      <c r="F429" s="10"/>
      <c r="G429" s="11" t="str">
        <f>"－"</f>
        <v>－</v>
      </c>
      <c r="H429" s="10"/>
      <c r="I429" s="11" t="str">
        <f>"－"</f>
        <v>－</v>
      </c>
      <c r="J429" s="10"/>
      <c r="K429" s="11" t="str">
        <f>"－"</f>
        <v>－</v>
      </c>
    </row>
    <row r="430">
      <c r="A430" s="8" t="s">
        <v>41</v>
      </c>
      <c r="B430" s="9" t="s">
        <v>76</v>
      </c>
      <c r="C430" s="9" t="s">
        <v>77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str">
        <f>"－"</f>
        <v>－</v>
      </c>
    </row>
    <row r="431">
      <c r="A431" s="8" t="s">
        <v>42</v>
      </c>
      <c r="B431" s="9" t="s">
        <v>76</v>
      </c>
      <c r="C431" s="9" t="s">
        <v>77</v>
      </c>
      <c r="D431" s="10"/>
      <c r="E431" s="11"/>
      <c r="F431" s="10"/>
      <c r="G431" s="11"/>
      <c r="H431" s="10"/>
      <c r="I431" s="11"/>
      <c r="J431" s="10"/>
      <c r="K431" s="11"/>
    </row>
    <row r="432">
      <c r="A432" s="8" t="s">
        <v>43</v>
      </c>
      <c r="B432" s="9" t="s">
        <v>76</v>
      </c>
      <c r="C432" s="9" t="s">
        <v>77</v>
      </c>
      <c r="D432" s="10"/>
      <c r="E432" s="11"/>
      <c r="F432" s="10"/>
      <c r="G432" s="11"/>
      <c r="H432" s="10"/>
      <c r="I432" s="11"/>
      <c r="J432" s="10"/>
      <c r="K432" s="11"/>
    </row>
    <row r="433">
      <c r="A433" s="8" t="s">
        <v>44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45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46</v>
      </c>
      <c r="B435" s="9" t="s">
        <v>76</v>
      </c>
      <c r="C435" s="9" t="s">
        <v>77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47</v>
      </c>
      <c r="B436" s="9" t="s">
        <v>76</v>
      </c>
      <c r="C436" s="9" t="s">
        <v>77</v>
      </c>
      <c r="D436" s="10"/>
      <c r="E436" s="11" t="str">
        <f>"－"</f>
        <v>－</v>
      </c>
      <c r="F436" s="10"/>
      <c r="G436" s="11" t="str">
        <f>"－"</f>
        <v>－</v>
      </c>
      <c r="H436" s="10"/>
      <c r="I436" s="11" t="str">
        <f>"－"</f>
        <v>－</v>
      </c>
      <c r="J436" s="10"/>
      <c r="K436" s="11" t="str">
        <f>"－"</f>
        <v>－</v>
      </c>
    </row>
    <row r="437">
      <c r="A437" s="8" t="s">
        <v>48</v>
      </c>
      <c r="B437" s="9" t="s">
        <v>76</v>
      </c>
      <c r="C437" s="9" t="s">
        <v>77</v>
      </c>
      <c r="D437" s="10"/>
      <c r="E437" s="11" t="str">
        <f>"－"</f>
        <v>－</v>
      </c>
      <c r="F437" s="10"/>
      <c r="G437" s="11" t="str">
        <f>"－"</f>
        <v>－</v>
      </c>
      <c r="H437" s="10"/>
      <c r="I437" s="11" t="str">
        <f>"－"</f>
        <v>－</v>
      </c>
      <c r="J437" s="10"/>
      <c r="K437" s="11" t="str">
        <f>"－"</f>
        <v>－</v>
      </c>
    </row>
    <row r="438">
      <c r="A438" s="8" t="s">
        <v>49</v>
      </c>
      <c r="B438" s="9" t="s">
        <v>76</v>
      </c>
      <c r="C438" s="9" t="s">
        <v>77</v>
      </c>
      <c r="D438" s="10"/>
      <c r="E438" s="11"/>
      <c r="F438" s="10"/>
      <c r="G438" s="11"/>
      <c r="H438" s="10"/>
      <c r="I438" s="11"/>
      <c r="J438" s="10"/>
      <c r="K438" s="11"/>
    </row>
    <row r="439">
      <c r="A439" s="8" t="s">
        <v>50</v>
      </c>
      <c r="B439" s="9" t="s">
        <v>76</v>
      </c>
      <c r="C439" s="9" t="s">
        <v>77</v>
      </c>
      <c r="D439" s="10"/>
      <c r="E439" s="11"/>
      <c r="F439" s="10"/>
      <c r="G439" s="11"/>
      <c r="H439" s="10"/>
      <c r="I439" s="11"/>
      <c r="J439" s="10"/>
      <c r="K439" s="11"/>
    </row>
    <row r="440">
      <c r="A440" s="8" t="s">
        <v>16</v>
      </c>
      <c r="B440" s="9" t="s">
        <v>78</v>
      </c>
      <c r="C440" s="9" t="s">
        <v>79</v>
      </c>
      <c r="D440" s="10"/>
      <c r="E440" s="11" t="n">
        <f>39</f>
        <v>39.0</v>
      </c>
      <c r="F440" s="10"/>
      <c r="G440" s="11" t="n">
        <f>132138000</f>
        <v>1.32138E8</v>
      </c>
      <c r="H440" s="10" t="s">
        <v>53</v>
      </c>
      <c r="I440" s="11" t="str">
        <f>"－"</f>
        <v>－</v>
      </c>
      <c r="J440" s="10"/>
      <c r="K440" s="11" t="n">
        <f>1047</f>
        <v>1047.0</v>
      </c>
    </row>
    <row r="441">
      <c r="A441" s="8" t="s">
        <v>19</v>
      </c>
      <c r="B441" s="9" t="s">
        <v>78</v>
      </c>
      <c r="C441" s="9" t="s">
        <v>79</v>
      </c>
      <c r="D441" s="10"/>
      <c r="E441" s="11"/>
      <c r="F441" s="10"/>
      <c r="G441" s="11"/>
      <c r="H441" s="10"/>
      <c r="I441" s="11"/>
      <c r="J441" s="10"/>
      <c r="K441" s="11"/>
    </row>
    <row r="442">
      <c r="A442" s="8" t="s">
        <v>20</v>
      </c>
      <c r="B442" s="9" t="s">
        <v>78</v>
      </c>
      <c r="C442" s="9" t="s">
        <v>79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21</v>
      </c>
      <c r="B443" s="9" t="s">
        <v>78</v>
      </c>
      <c r="C443" s="9" t="s">
        <v>79</v>
      </c>
      <c r="D443" s="10"/>
      <c r="E443" s="11" t="n">
        <f>44</f>
        <v>44.0</v>
      </c>
      <c r="F443" s="10"/>
      <c r="G443" s="11" t="n">
        <f>149973000</f>
        <v>1.49973E8</v>
      </c>
      <c r="H443" s="10"/>
      <c r="I443" s="11" t="str">
        <f>"－"</f>
        <v>－</v>
      </c>
      <c r="J443" s="10"/>
      <c r="K443" s="11" t="n">
        <f>1067</f>
        <v>1067.0</v>
      </c>
    </row>
    <row r="444">
      <c r="A444" s="8" t="s">
        <v>23</v>
      </c>
      <c r="B444" s="9" t="s">
        <v>78</v>
      </c>
      <c r="C444" s="9" t="s">
        <v>79</v>
      </c>
      <c r="D444" s="10"/>
      <c r="E444" s="11" t="n">
        <f>106</f>
        <v>106.0</v>
      </c>
      <c r="F444" s="10"/>
      <c r="G444" s="11" t="n">
        <f>368438000</f>
        <v>3.68438E8</v>
      </c>
      <c r="H444" s="10"/>
      <c r="I444" s="11" t="str">
        <f>"－"</f>
        <v>－</v>
      </c>
      <c r="J444" s="10"/>
      <c r="K444" s="11" t="n">
        <f>1074</f>
        <v>1074.0</v>
      </c>
    </row>
    <row r="445">
      <c r="A445" s="8" t="s">
        <v>24</v>
      </c>
      <c r="B445" s="9" t="s">
        <v>78</v>
      </c>
      <c r="C445" s="9" t="s">
        <v>79</v>
      </c>
      <c r="D445" s="10"/>
      <c r="E445" s="11" t="n">
        <f>54</f>
        <v>54.0</v>
      </c>
      <c r="F445" s="10"/>
      <c r="G445" s="11" t="n">
        <f>190491000</f>
        <v>1.90491E8</v>
      </c>
      <c r="H445" s="10"/>
      <c r="I445" s="11" t="str">
        <f>"－"</f>
        <v>－</v>
      </c>
      <c r="J445" s="10"/>
      <c r="K445" s="11" t="n">
        <f>1096</f>
        <v>1096.0</v>
      </c>
    </row>
    <row r="446">
      <c r="A446" s="8" t="s">
        <v>25</v>
      </c>
      <c r="B446" s="9" t="s">
        <v>78</v>
      </c>
      <c r="C446" s="9" t="s">
        <v>79</v>
      </c>
      <c r="D446" s="10" t="s">
        <v>26</v>
      </c>
      <c r="E446" s="11" t="n">
        <f>186</f>
        <v>186.0</v>
      </c>
      <c r="F446" s="10" t="s">
        <v>26</v>
      </c>
      <c r="G446" s="11" t="n">
        <f>647100000</f>
        <v>6.471E8</v>
      </c>
      <c r="H446" s="10"/>
      <c r="I446" s="11" t="str">
        <f>"－"</f>
        <v>－</v>
      </c>
      <c r="J446" s="10"/>
      <c r="K446" s="11" t="n">
        <f>1064</f>
        <v>1064.0</v>
      </c>
    </row>
    <row r="447">
      <c r="A447" s="8" t="s">
        <v>27</v>
      </c>
      <c r="B447" s="9" t="s">
        <v>78</v>
      </c>
      <c r="C447" s="9" t="s">
        <v>79</v>
      </c>
      <c r="D447" s="10"/>
      <c r="E447" s="11" t="n">
        <f>60</f>
        <v>60.0</v>
      </c>
      <c r="F447" s="10"/>
      <c r="G447" s="11" t="n">
        <f>213091500</f>
        <v>2.130915E8</v>
      </c>
      <c r="H447" s="10"/>
      <c r="I447" s="11" t="str">
        <f>"－"</f>
        <v>－</v>
      </c>
      <c r="J447" s="10"/>
      <c r="K447" s="11" t="n">
        <f>1084</f>
        <v>1084.0</v>
      </c>
    </row>
    <row r="448">
      <c r="A448" s="8" t="s">
        <v>28</v>
      </c>
      <c r="B448" s="9" t="s">
        <v>78</v>
      </c>
      <c r="C448" s="9" t="s">
        <v>79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29</v>
      </c>
      <c r="B449" s="9" t="s">
        <v>78</v>
      </c>
      <c r="C449" s="9" t="s">
        <v>79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30</v>
      </c>
      <c r="B450" s="9" t="s">
        <v>78</v>
      </c>
      <c r="C450" s="9" t="s">
        <v>79</v>
      </c>
      <c r="D450" s="10"/>
      <c r="E450" s="11" t="n">
        <f>43</f>
        <v>43.0</v>
      </c>
      <c r="F450" s="10"/>
      <c r="G450" s="11" t="n">
        <f>154666000</f>
        <v>1.54666E8</v>
      </c>
      <c r="H450" s="10"/>
      <c r="I450" s="11" t="str">
        <f>"－"</f>
        <v>－</v>
      </c>
      <c r="J450" s="10"/>
      <c r="K450" s="11" t="n">
        <f>1084</f>
        <v>1084.0</v>
      </c>
    </row>
    <row r="451">
      <c r="A451" s="8" t="s">
        <v>31</v>
      </c>
      <c r="B451" s="9" t="s">
        <v>78</v>
      </c>
      <c r="C451" s="9" t="s">
        <v>79</v>
      </c>
      <c r="D451" s="10"/>
      <c r="E451" s="11" t="n">
        <f>76</f>
        <v>76.0</v>
      </c>
      <c r="F451" s="10"/>
      <c r="G451" s="11" t="n">
        <f>276252000</f>
        <v>2.76252E8</v>
      </c>
      <c r="H451" s="10"/>
      <c r="I451" s="11" t="str">
        <f>"－"</f>
        <v>－</v>
      </c>
      <c r="J451" s="10"/>
      <c r="K451" s="11" t="n">
        <f>1095</f>
        <v>1095.0</v>
      </c>
    </row>
    <row r="452">
      <c r="A452" s="8" t="s">
        <v>32</v>
      </c>
      <c r="B452" s="9" t="s">
        <v>78</v>
      </c>
      <c r="C452" s="9" t="s">
        <v>79</v>
      </c>
      <c r="D452" s="10"/>
      <c r="E452" s="11" t="n">
        <f>63</f>
        <v>63.0</v>
      </c>
      <c r="F452" s="10"/>
      <c r="G452" s="11" t="n">
        <f>230065500</f>
        <v>2.300655E8</v>
      </c>
      <c r="H452" s="10"/>
      <c r="I452" s="11" t="str">
        <f>"－"</f>
        <v>－</v>
      </c>
      <c r="J452" s="10"/>
      <c r="K452" s="11" t="n">
        <f>1105</f>
        <v>1105.0</v>
      </c>
    </row>
    <row r="453">
      <c r="A453" s="8" t="s">
        <v>33</v>
      </c>
      <c r="B453" s="9" t="s">
        <v>78</v>
      </c>
      <c r="C453" s="9" t="s">
        <v>79</v>
      </c>
      <c r="D453" s="10"/>
      <c r="E453" s="11" t="n">
        <f>112</f>
        <v>112.0</v>
      </c>
      <c r="F453" s="10"/>
      <c r="G453" s="11" t="n">
        <f>407923500</f>
        <v>4.079235E8</v>
      </c>
      <c r="H453" s="10"/>
      <c r="I453" s="11" t="str">
        <f>"－"</f>
        <v>－</v>
      </c>
      <c r="J453" s="10"/>
      <c r="K453" s="11" t="n">
        <f>1142</f>
        <v>1142.0</v>
      </c>
    </row>
    <row r="454">
      <c r="A454" s="8" t="s">
        <v>34</v>
      </c>
      <c r="B454" s="9" t="s">
        <v>78</v>
      </c>
      <c r="C454" s="9" t="s">
        <v>79</v>
      </c>
      <c r="D454" s="10"/>
      <c r="E454" s="11" t="n">
        <f>63</f>
        <v>63.0</v>
      </c>
      <c r="F454" s="10"/>
      <c r="G454" s="11" t="n">
        <f>234521500</f>
        <v>2.345215E8</v>
      </c>
      <c r="H454" s="10"/>
      <c r="I454" s="11" t="str">
        <f>"－"</f>
        <v>－</v>
      </c>
      <c r="J454" s="10"/>
      <c r="K454" s="11" t="n">
        <f>1148</f>
        <v>1148.0</v>
      </c>
    </row>
    <row r="455">
      <c r="A455" s="8" t="s">
        <v>35</v>
      </c>
      <c r="B455" s="9" t="s">
        <v>78</v>
      </c>
      <c r="C455" s="9" t="s">
        <v>79</v>
      </c>
      <c r="D455" s="10"/>
      <c r="E455" s="11"/>
      <c r="F455" s="10"/>
      <c r="G455" s="11"/>
      <c r="H455" s="10"/>
      <c r="I455" s="11"/>
      <c r="J455" s="10"/>
      <c r="K455" s="11"/>
    </row>
    <row r="456">
      <c r="A456" s="8" t="s">
        <v>36</v>
      </c>
      <c r="B456" s="9" t="s">
        <v>78</v>
      </c>
      <c r="C456" s="9" t="s">
        <v>79</v>
      </c>
      <c r="D456" s="10"/>
      <c r="E456" s="11"/>
      <c r="F456" s="10"/>
      <c r="G456" s="11"/>
      <c r="H456" s="10"/>
      <c r="I456" s="11"/>
      <c r="J456" s="10"/>
      <c r="K456" s="11"/>
    </row>
    <row r="457">
      <c r="A457" s="8" t="s">
        <v>37</v>
      </c>
      <c r="B457" s="9" t="s">
        <v>78</v>
      </c>
      <c r="C457" s="9" t="s">
        <v>79</v>
      </c>
      <c r="D457" s="10"/>
      <c r="E457" s="11" t="n">
        <f>51</f>
        <v>51.0</v>
      </c>
      <c r="F457" s="10"/>
      <c r="G457" s="11" t="n">
        <f>193166500</f>
        <v>1.931665E8</v>
      </c>
      <c r="H457" s="10"/>
      <c r="I457" s="11" t="str">
        <f>"－"</f>
        <v>－</v>
      </c>
      <c r="J457" s="10"/>
      <c r="K457" s="11" t="n">
        <f>1144</f>
        <v>1144.0</v>
      </c>
    </row>
    <row r="458">
      <c r="A458" s="8" t="s">
        <v>38</v>
      </c>
      <c r="B458" s="9" t="s">
        <v>78</v>
      </c>
      <c r="C458" s="9" t="s">
        <v>79</v>
      </c>
      <c r="D458" s="10"/>
      <c r="E458" s="11" t="n">
        <f>55</f>
        <v>55.0</v>
      </c>
      <c r="F458" s="10"/>
      <c r="G458" s="11" t="n">
        <f>204418500</f>
        <v>2.044185E8</v>
      </c>
      <c r="H458" s="10"/>
      <c r="I458" s="11" t="str">
        <f>"－"</f>
        <v>－</v>
      </c>
      <c r="J458" s="10"/>
      <c r="K458" s="11" t="n">
        <f>1135</f>
        <v>1135.0</v>
      </c>
    </row>
    <row r="459">
      <c r="A459" s="8" t="s">
        <v>39</v>
      </c>
      <c r="B459" s="9" t="s">
        <v>78</v>
      </c>
      <c r="C459" s="9" t="s">
        <v>79</v>
      </c>
      <c r="D459" s="10"/>
      <c r="E459" s="11" t="n">
        <f>45</f>
        <v>45.0</v>
      </c>
      <c r="F459" s="10"/>
      <c r="G459" s="11" t="n">
        <f>167998000</f>
        <v>1.67998E8</v>
      </c>
      <c r="H459" s="10"/>
      <c r="I459" s="11" t="str">
        <f>"－"</f>
        <v>－</v>
      </c>
      <c r="J459" s="10"/>
      <c r="K459" s="11" t="n">
        <f>1149</f>
        <v>1149.0</v>
      </c>
    </row>
    <row r="460">
      <c r="A460" s="8" t="s">
        <v>40</v>
      </c>
      <c r="B460" s="9" t="s">
        <v>78</v>
      </c>
      <c r="C460" s="9" t="s">
        <v>79</v>
      </c>
      <c r="D460" s="10"/>
      <c r="E460" s="11" t="n">
        <f>116</f>
        <v>116.0</v>
      </c>
      <c r="F460" s="10"/>
      <c r="G460" s="11" t="n">
        <f>435883000</f>
        <v>4.35883E8</v>
      </c>
      <c r="H460" s="10"/>
      <c r="I460" s="11" t="str">
        <f>"－"</f>
        <v>－</v>
      </c>
      <c r="J460" s="10"/>
      <c r="K460" s="11" t="n">
        <f>1151</f>
        <v>1151.0</v>
      </c>
    </row>
    <row r="461">
      <c r="A461" s="8" t="s">
        <v>41</v>
      </c>
      <c r="B461" s="9" t="s">
        <v>78</v>
      </c>
      <c r="C461" s="9" t="s">
        <v>79</v>
      </c>
      <c r="D461" s="10"/>
      <c r="E461" s="11" t="n">
        <f>60</f>
        <v>60.0</v>
      </c>
      <c r="F461" s="10"/>
      <c r="G461" s="11" t="n">
        <f>220642500</f>
        <v>2.206425E8</v>
      </c>
      <c r="H461" s="10"/>
      <c r="I461" s="11" t="str">
        <f>"－"</f>
        <v>－</v>
      </c>
      <c r="J461" s="10" t="s">
        <v>26</v>
      </c>
      <c r="K461" s="11" t="n">
        <f>1174</f>
        <v>1174.0</v>
      </c>
    </row>
    <row r="462">
      <c r="A462" s="8" t="s">
        <v>42</v>
      </c>
      <c r="B462" s="9" t="s">
        <v>78</v>
      </c>
      <c r="C462" s="9" t="s">
        <v>79</v>
      </c>
      <c r="D462" s="10"/>
      <c r="E462" s="11"/>
      <c r="F462" s="10"/>
      <c r="G462" s="11"/>
      <c r="H462" s="10"/>
      <c r="I462" s="11"/>
      <c r="J462" s="10"/>
      <c r="K462" s="11"/>
    </row>
    <row r="463">
      <c r="A463" s="8" t="s">
        <v>43</v>
      </c>
      <c r="B463" s="9" t="s">
        <v>78</v>
      </c>
      <c r="C463" s="9" t="s">
        <v>79</v>
      </c>
      <c r="D463" s="10"/>
      <c r="E463" s="11"/>
      <c r="F463" s="10"/>
      <c r="G463" s="11"/>
      <c r="H463" s="10"/>
      <c r="I463" s="11"/>
      <c r="J463" s="10"/>
      <c r="K463" s="11"/>
    </row>
    <row r="464">
      <c r="A464" s="8" t="s">
        <v>44</v>
      </c>
      <c r="B464" s="9" t="s">
        <v>78</v>
      </c>
      <c r="C464" s="9" t="s">
        <v>79</v>
      </c>
      <c r="D464" s="10"/>
      <c r="E464" s="11" t="n">
        <f>117</f>
        <v>117.0</v>
      </c>
      <c r="F464" s="10"/>
      <c r="G464" s="11" t="n">
        <f>444463500</f>
        <v>4.444635E8</v>
      </c>
      <c r="H464" s="10"/>
      <c r="I464" s="11" t="str">
        <f>"－"</f>
        <v>－</v>
      </c>
      <c r="J464" s="10"/>
      <c r="K464" s="11" t="n">
        <f>1169</f>
        <v>1169.0</v>
      </c>
    </row>
    <row r="465">
      <c r="A465" s="8" t="s">
        <v>45</v>
      </c>
      <c r="B465" s="9" t="s">
        <v>78</v>
      </c>
      <c r="C465" s="9" t="s">
        <v>79</v>
      </c>
      <c r="D465" s="10" t="s">
        <v>22</v>
      </c>
      <c r="E465" s="11" t="n">
        <f>20</f>
        <v>20.0</v>
      </c>
      <c r="F465" s="10" t="s">
        <v>22</v>
      </c>
      <c r="G465" s="11" t="n">
        <f>74455000</f>
        <v>7.4455E7</v>
      </c>
      <c r="H465" s="10"/>
      <c r="I465" s="11" t="str">
        <f>"－"</f>
        <v>－</v>
      </c>
      <c r="J465" s="10" t="s">
        <v>22</v>
      </c>
      <c r="K465" s="11" t="n">
        <f>1014</f>
        <v>1014.0</v>
      </c>
    </row>
    <row r="466">
      <c r="A466" s="8" t="s">
        <v>46</v>
      </c>
      <c r="B466" s="9" t="s">
        <v>78</v>
      </c>
      <c r="C466" s="9" t="s">
        <v>79</v>
      </c>
      <c r="D466" s="10"/>
      <c r="E466" s="11" t="n">
        <f>103</f>
        <v>103.0</v>
      </c>
      <c r="F466" s="10"/>
      <c r="G466" s="11" t="n">
        <f>385211000</f>
        <v>3.85211E8</v>
      </c>
      <c r="H466" s="10"/>
      <c r="I466" s="11" t="str">
        <f>"－"</f>
        <v>－</v>
      </c>
      <c r="J466" s="10"/>
      <c r="K466" s="11" t="n">
        <f>1032</f>
        <v>1032.0</v>
      </c>
    </row>
    <row r="467">
      <c r="A467" s="8" t="s">
        <v>47</v>
      </c>
      <c r="B467" s="9" t="s">
        <v>78</v>
      </c>
      <c r="C467" s="9" t="s">
        <v>79</v>
      </c>
      <c r="D467" s="10"/>
      <c r="E467" s="11" t="n">
        <f>87</f>
        <v>87.0</v>
      </c>
      <c r="F467" s="10"/>
      <c r="G467" s="11" t="n">
        <f>318185500</f>
        <v>3.181855E8</v>
      </c>
      <c r="H467" s="10"/>
      <c r="I467" s="11" t="str">
        <f>"－"</f>
        <v>－</v>
      </c>
      <c r="J467" s="10"/>
      <c r="K467" s="11" t="n">
        <f>1056</f>
        <v>1056.0</v>
      </c>
    </row>
    <row r="468">
      <c r="A468" s="8" t="s">
        <v>48</v>
      </c>
      <c r="B468" s="9" t="s">
        <v>78</v>
      </c>
      <c r="C468" s="9" t="s">
        <v>79</v>
      </c>
      <c r="D468" s="10"/>
      <c r="E468" s="11" t="n">
        <f>63</f>
        <v>63.0</v>
      </c>
      <c r="F468" s="10"/>
      <c r="G468" s="11" t="n">
        <f>230777000</f>
        <v>2.30777E8</v>
      </c>
      <c r="H468" s="10"/>
      <c r="I468" s="11" t="str">
        <f>"－"</f>
        <v>－</v>
      </c>
      <c r="J468" s="10"/>
      <c r="K468" s="11" t="n">
        <f>1055</f>
        <v>1055.0</v>
      </c>
    </row>
    <row r="469">
      <c r="A469" s="8" t="s">
        <v>49</v>
      </c>
      <c r="B469" s="9" t="s">
        <v>78</v>
      </c>
      <c r="C469" s="9" t="s">
        <v>79</v>
      </c>
      <c r="D469" s="10"/>
      <c r="E469" s="11"/>
      <c r="F469" s="10"/>
      <c r="G469" s="11"/>
      <c r="H469" s="10"/>
      <c r="I469" s="11"/>
      <c r="J469" s="10"/>
      <c r="K469" s="11"/>
    </row>
    <row r="470">
      <c r="A470" s="8" t="s">
        <v>50</v>
      </c>
      <c r="B470" s="9" t="s">
        <v>78</v>
      </c>
      <c r="C470" s="9" t="s">
        <v>79</v>
      </c>
      <c r="D470" s="10"/>
      <c r="E470" s="11"/>
      <c r="F470" s="10"/>
      <c r="G470" s="11"/>
      <c r="H470" s="10"/>
      <c r="I470" s="11"/>
      <c r="J470" s="10"/>
      <c r="K470" s="11"/>
    </row>
    <row r="471">
      <c r="A471" s="8" t="s">
        <v>16</v>
      </c>
      <c r="B471" s="9" t="s">
        <v>80</v>
      </c>
      <c r="C471" s="9" t="s">
        <v>81</v>
      </c>
      <c r="D471" s="10"/>
      <c r="E471" s="11" t="n">
        <f>77</f>
        <v>77.0</v>
      </c>
      <c r="F471" s="10"/>
      <c r="G471" s="11" t="n">
        <f>260745500</f>
        <v>2.607455E8</v>
      </c>
      <c r="H471" s="10" t="s">
        <v>53</v>
      </c>
      <c r="I471" s="11" t="str">
        <f>"－"</f>
        <v>－</v>
      </c>
      <c r="J471" s="10"/>
      <c r="K471" s="11" t="n">
        <f>706</f>
        <v>706.0</v>
      </c>
    </row>
    <row r="472">
      <c r="A472" s="8" t="s">
        <v>19</v>
      </c>
      <c r="B472" s="9" t="s">
        <v>80</v>
      </c>
      <c r="C472" s="9" t="s">
        <v>81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20</v>
      </c>
      <c r="B473" s="9" t="s">
        <v>80</v>
      </c>
      <c r="C473" s="9" t="s">
        <v>81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21</v>
      </c>
      <c r="B474" s="9" t="s">
        <v>80</v>
      </c>
      <c r="C474" s="9" t="s">
        <v>81</v>
      </c>
      <c r="D474" s="10" t="s">
        <v>22</v>
      </c>
      <c r="E474" s="11" t="n">
        <f>1</f>
        <v>1.0</v>
      </c>
      <c r="F474" s="10" t="s">
        <v>22</v>
      </c>
      <c r="G474" s="11" t="n">
        <f>3475000</f>
        <v>3475000.0</v>
      </c>
      <c r="H474" s="10"/>
      <c r="I474" s="11" t="str">
        <f>"－"</f>
        <v>－</v>
      </c>
      <c r="J474" s="10"/>
      <c r="K474" s="11" t="n">
        <f>706</f>
        <v>706.0</v>
      </c>
    </row>
    <row r="475">
      <c r="A475" s="8" t="s">
        <v>23</v>
      </c>
      <c r="B475" s="9" t="s">
        <v>80</v>
      </c>
      <c r="C475" s="9" t="s">
        <v>81</v>
      </c>
      <c r="D475" s="10"/>
      <c r="E475" s="11" t="n">
        <f>39</f>
        <v>39.0</v>
      </c>
      <c r="F475" s="10"/>
      <c r="G475" s="11" t="n">
        <f>135692000</f>
        <v>1.35692E8</v>
      </c>
      <c r="H475" s="10"/>
      <c r="I475" s="11" t="str">
        <f>"－"</f>
        <v>－</v>
      </c>
      <c r="J475" s="10"/>
      <c r="K475" s="11" t="n">
        <f>724</f>
        <v>724.0</v>
      </c>
    </row>
    <row r="476">
      <c r="A476" s="8" t="s">
        <v>24</v>
      </c>
      <c r="B476" s="9" t="s">
        <v>80</v>
      </c>
      <c r="C476" s="9" t="s">
        <v>81</v>
      </c>
      <c r="D476" s="10"/>
      <c r="E476" s="11" t="n">
        <f>31</f>
        <v>31.0</v>
      </c>
      <c r="F476" s="10"/>
      <c r="G476" s="11" t="n">
        <f>110619000</f>
        <v>1.10619E8</v>
      </c>
      <c r="H476" s="10"/>
      <c r="I476" s="11" t="str">
        <f>"－"</f>
        <v>－</v>
      </c>
      <c r="J476" s="10"/>
      <c r="K476" s="11" t="n">
        <f>738</f>
        <v>738.0</v>
      </c>
    </row>
    <row r="477">
      <c r="A477" s="8" t="s">
        <v>25</v>
      </c>
      <c r="B477" s="9" t="s">
        <v>80</v>
      </c>
      <c r="C477" s="9" t="s">
        <v>81</v>
      </c>
      <c r="D477" s="10"/>
      <c r="E477" s="11" t="n">
        <f>47</f>
        <v>47.0</v>
      </c>
      <c r="F477" s="10"/>
      <c r="G477" s="11" t="n">
        <f>163034000</f>
        <v>1.63034E8</v>
      </c>
      <c r="H477" s="10"/>
      <c r="I477" s="11" t="str">
        <f>"－"</f>
        <v>－</v>
      </c>
      <c r="J477" s="10"/>
      <c r="K477" s="11" t="n">
        <f>724</f>
        <v>724.0</v>
      </c>
    </row>
    <row r="478">
      <c r="A478" s="8" t="s">
        <v>27</v>
      </c>
      <c r="B478" s="9" t="s">
        <v>80</v>
      </c>
      <c r="C478" s="9" t="s">
        <v>81</v>
      </c>
      <c r="D478" s="10"/>
      <c r="E478" s="11" t="n">
        <f>29</f>
        <v>29.0</v>
      </c>
      <c r="F478" s="10"/>
      <c r="G478" s="11" t="n">
        <f>102587000</f>
        <v>1.02587E8</v>
      </c>
      <c r="H478" s="10"/>
      <c r="I478" s="11" t="str">
        <f>"－"</f>
        <v>－</v>
      </c>
      <c r="J478" s="10"/>
      <c r="K478" s="11" t="n">
        <f>728</f>
        <v>728.0</v>
      </c>
    </row>
    <row r="479">
      <c r="A479" s="8" t="s">
        <v>28</v>
      </c>
      <c r="B479" s="9" t="s">
        <v>80</v>
      </c>
      <c r="C479" s="9" t="s">
        <v>81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29</v>
      </c>
      <c r="B480" s="9" t="s">
        <v>80</v>
      </c>
      <c r="C480" s="9" t="s">
        <v>81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30</v>
      </c>
      <c r="B481" s="9" t="s">
        <v>80</v>
      </c>
      <c r="C481" s="9" t="s">
        <v>81</v>
      </c>
      <c r="D481" s="10"/>
      <c r="E481" s="11" t="n">
        <f>46</f>
        <v>46.0</v>
      </c>
      <c r="F481" s="10"/>
      <c r="G481" s="11" t="n">
        <f>166906500</f>
        <v>1.669065E8</v>
      </c>
      <c r="H481" s="10"/>
      <c r="I481" s="11" t="str">
        <f>"－"</f>
        <v>－</v>
      </c>
      <c r="J481" s="10"/>
      <c r="K481" s="11" t="n">
        <f>751</f>
        <v>751.0</v>
      </c>
    </row>
    <row r="482">
      <c r="A482" s="8" t="s">
        <v>31</v>
      </c>
      <c r="B482" s="9" t="s">
        <v>80</v>
      </c>
      <c r="C482" s="9" t="s">
        <v>81</v>
      </c>
      <c r="D482" s="10"/>
      <c r="E482" s="11" t="n">
        <f>30</f>
        <v>30.0</v>
      </c>
      <c r="F482" s="10"/>
      <c r="G482" s="11" t="n">
        <f>110214500</f>
        <v>1.102145E8</v>
      </c>
      <c r="H482" s="10"/>
      <c r="I482" s="11" t="str">
        <f>"－"</f>
        <v>－</v>
      </c>
      <c r="J482" s="10"/>
      <c r="K482" s="11" t="n">
        <f>766</f>
        <v>766.0</v>
      </c>
    </row>
    <row r="483">
      <c r="A483" s="8" t="s">
        <v>32</v>
      </c>
      <c r="B483" s="9" t="s">
        <v>80</v>
      </c>
      <c r="C483" s="9" t="s">
        <v>81</v>
      </c>
      <c r="D483" s="10"/>
      <c r="E483" s="11" t="n">
        <f>41</f>
        <v>41.0</v>
      </c>
      <c r="F483" s="10"/>
      <c r="G483" s="11" t="n">
        <f>150394000</f>
        <v>1.50394E8</v>
      </c>
      <c r="H483" s="10"/>
      <c r="I483" s="11" t="str">
        <f>"－"</f>
        <v>－</v>
      </c>
      <c r="J483" s="10"/>
      <c r="K483" s="11" t="n">
        <f>784</f>
        <v>784.0</v>
      </c>
    </row>
    <row r="484">
      <c r="A484" s="8" t="s">
        <v>33</v>
      </c>
      <c r="B484" s="9" t="s">
        <v>80</v>
      </c>
      <c r="C484" s="9" t="s">
        <v>81</v>
      </c>
      <c r="D484" s="10" t="s">
        <v>26</v>
      </c>
      <c r="E484" s="11" t="n">
        <f>165</f>
        <v>165.0</v>
      </c>
      <c r="F484" s="10" t="s">
        <v>26</v>
      </c>
      <c r="G484" s="11" t="n">
        <f>610680500</f>
        <v>6.106805E8</v>
      </c>
      <c r="H484" s="10"/>
      <c r="I484" s="11" t="str">
        <f>"－"</f>
        <v>－</v>
      </c>
      <c r="J484" s="10"/>
      <c r="K484" s="11" t="n">
        <f>771</f>
        <v>771.0</v>
      </c>
    </row>
    <row r="485">
      <c r="A485" s="8" t="s">
        <v>34</v>
      </c>
      <c r="B485" s="9" t="s">
        <v>80</v>
      </c>
      <c r="C485" s="9" t="s">
        <v>81</v>
      </c>
      <c r="D485" s="10"/>
      <c r="E485" s="11" t="n">
        <f>54</f>
        <v>54.0</v>
      </c>
      <c r="F485" s="10"/>
      <c r="G485" s="11" t="n">
        <f>203632000</f>
        <v>2.03632E8</v>
      </c>
      <c r="H485" s="10"/>
      <c r="I485" s="11" t="str">
        <f>"－"</f>
        <v>－</v>
      </c>
      <c r="J485" s="10"/>
      <c r="K485" s="11" t="n">
        <f>775</f>
        <v>775.0</v>
      </c>
    </row>
    <row r="486">
      <c r="A486" s="8" t="s">
        <v>35</v>
      </c>
      <c r="B486" s="9" t="s">
        <v>80</v>
      </c>
      <c r="C486" s="9" t="s">
        <v>81</v>
      </c>
      <c r="D486" s="10"/>
      <c r="E486" s="11"/>
      <c r="F486" s="10"/>
      <c r="G486" s="11"/>
      <c r="H486" s="10"/>
      <c r="I486" s="11"/>
      <c r="J486" s="10"/>
      <c r="K486" s="11"/>
    </row>
    <row r="487">
      <c r="A487" s="8" t="s">
        <v>36</v>
      </c>
      <c r="B487" s="9" t="s">
        <v>80</v>
      </c>
      <c r="C487" s="9" t="s">
        <v>81</v>
      </c>
      <c r="D487" s="10"/>
      <c r="E487" s="11"/>
      <c r="F487" s="10"/>
      <c r="G487" s="11"/>
      <c r="H487" s="10"/>
      <c r="I487" s="11"/>
      <c r="J487" s="10"/>
      <c r="K487" s="11"/>
    </row>
    <row r="488">
      <c r="A488" s="8" t="s">
        <v>37</v>
      </c>
      <c r="B488" s="9" t="s">
        <v>80</v>
      </c>
      <c r="C488" s="9" t="s">
        <v>81</v>
      </c>
      <c r="D488" s="10"/>
      <c r="E488" s="11" t="n">
        <f>41</f>
        <v>41.0</v>
      </c>
      <c r="F488" s="10"/>
      <c r="G488" s="11" t="n">
        <f>155502000</f>
        <v>1.55502E8</v>
      </c>
      <c r="H488" s="10"/>
      <c r="I488" s="11" t="str">
        <f>"－"</f>
        <v>－</v>
      </c>
      <c r="J488" s="10"/>
      <c r="K488" s="11" t="n">
        <f>762</f>
        <v>762.0</v>
      </c>
    </row>
    <row r="489">
      <c r="A489" s="8" t="s">
        <v>38</v>
      </c>
      <c r="B489" s="9" t="s">
        <v>80</v>
      </c>
      <c r="C489" s="9" t="s">
        <v>81</v>
      </c>
      <c r="D489" s="10"/>
      <c r="E489" s="11" t="n">
        <f>35</f>
        <v>35.0</v>
      </c>
      <c r="F489" s="10"/>
      <c r="G489" s="11" t="n">
        <f>131733500</f>
        <v>1.317335E8</v>
      </c>
      <c r="H489" s="10"/>
      <c r="I489" s="11" t="str">
        <f>"－"</f>
        <v>－</v>
      </c>
      <c r="J489" s="10"/>
      <c r="K489" s="11" t="n">
        <f>770</f>
        <v>770.0</v>
      </c>
    </row>
    <row r="490">
      <c r="A490" s="8" t="s">
        <v>39</v>
      </c>
      <c r="B490" s="9" t="s">
        <v>80</v>
      </c>
      <c r="C490" s="9" t="s">
        <v>81</v>
      </c>
      <c r="D490" s="10"/>
      <c r="E490" s="11" t="n">
        <f>44</f>
        <v>44.0</v>
      </c>
      <c r="F490" s="10"/>
      <c r="G490" s="11" t="n">
        <f>165924500</f>
        <v>1.659245E8</v>
      </c>
      <c r="H490" s="10"/>
      <c r="I490" s="11" t="str">
        <f>"－"</f>
        <v>－</v>
      </c>
      <c r="J490" s="10"/>
      <c r="K490" s="11" t="n">
        <f>772</f>
        <v>772.0</v>
      </c>
    </row>
    <row r="491">
      <c r="A491" s="8" t="s">
        <v>40</v>
      </c>
      <c r="B491" s="9" t="s">
        <v>80</v>
      </c>
      <c r="C491" s="9" t="s">
        <v>81</v>
      </c>
      <c r="D491" s="10"/>
      <c r="E491" s="11" t="n">
        <f>69</f>
        <v>69.0</v>
      </c>
      <c r="F491" s="10"/>
      <c r="G491" s="11" t="n">
        <f>262441000</f>
        <v>2.62441E8</v>
      </c>
      <c r="H491" s="10"/>
      <c r="I491" s="11" t="str">
        <f>"－"</f>
        <v>－</v>
      </c>
      <c r="J491" s="10"/>
      <c r="K491" s="11" t="n">
        <f>786</f>
        <v>786.0</v>
      </c>
    </row>
    <row r="492">
      <c r="A492" s="8" t="s">
        <v>41</v>
      </c>
      <c r="B492" s="9" t="s">
        <v>80</v>
      </c>
      <c r="C492" s="9" t="s">
        <v>81</v>
      </c>
      <c r="D492" s="10"/>
      <c r="E492" s="11" t="n">
        <f>60</f>
        <v>60.0</v>
      </c>
      <c r="F492" s="10"/>
      <c r="G492" s="11" t="n">
        <f>225689000</f>
        <v>2.25689E8</v>
      </c>
      <c r="H492" s="10"/>
      <c r="I492" s="11" t="str">
        <f>"－"</f>
        <v>－</v>
      </c>
      <c r="J492" s="10" t="s">
        <v>26</v>
      </c>
      <c r="K492" s="11" t="n">
        <f>793</f>
        <v>793.0</v>
      </c>
    </row>
    <row r="493">
      <c r="A493" s="8" t="s">
        <v>42</v>
      </c>
      <c r="B493" s="9" t="s">
        <v>80</v>
      </c>
      <c r="C493" s="9" t="s">
        <v>81</v>
      </c>
      <c r="D493" s="10"/>
      <c r="E493" s="11"/>
      <c r="F493" s="10"/>
      <c r="G493" s="11"/>
      <c r="H493" s="10"/>
      <c r="I493" s="11"/>
      <c r="J493" s="10"/>
      <c r="K493" s="11"/>
    </row>
    <row r="494">
      <c r="A494" s="8" t="s">
        <v>43</v>
      </c>
      <c r="B494" s="9" t="s">
        <v>80</v>
      </c>
      <c r="C494" s="9" t="s">
        <v>81</v>
      </c>
      <c r="D494" s="10"/>
      <c r="E494" s="11"/>
      <c r="F494" s="10"/>
      <c r="G494" s="11"/>
      <c r="H494" s="10"/>
      <c r="I494" s="11"/>
      <c r="J494" s="10"/>
      <c r="K494" s="11"/>
    </row>
    <row r="495">
      <c r="A495" s="8" t="s">
        <v>44</v>
      </c>
      <c r="B495" s="9" t="s">
        <v>80</v>
      </c>
      <c r="C495" s="9" t="s">
        <v>81</v>
      </c>
      <c r="D495" s="10"/>
      <c r="E495" s="11" t="n">
        <f>55</f>
        <v>55.0</v>
      </c>
      <c r="F495" s="10"/>
      <c r="G495" s="11" t="n">
        <f>210355500</f>
        <v>2.103555E8</v>
      </c>
      <c r="H495" s="10"/>
      <c r="I495" s="11" t="str">
        <f>"－"</f>
        <v>－</v>
      </c>
      <c r="J495" s="10"/>
      <c r="K495" s="11" t="n">
        <f>793</f>
        <v>793.0</v>
      </c>
    </row>
    <row r="496">
      <c r="A496" s="8" t="s">
        <v>45</v>
      </c>
      <c r="B496" s="9" t="s">
        <v>80</v>
      </c>
      <c r="C496" s="9" t="s">
        <v>81</v>
      </c>
      <c r="D496" s="10"/>
      <c r="E496" s="11" t="n">
        <f>44</f>
        <v>44.0</v>
      </c>
      <c r="F496" s="10"/>
      <c r="G496" s="11" t="n">
        <f>166675000</f>
        <v>1.66675E8</v>
      </c>
      <c r="H496" s="10"/>
      <c r="I496" s="11" t="str">
        <f>"－"</f>
        <v>－</v>
      </c>
      <c r="J496" s="10" t="s">
        <v>22</v>
      </c>
      <c r="K496" s="11" t="n">
        <f>589</f>
        <v>589.0</v>
      </c>
    </row>
    <row r="497">
      <c r="A497" s="8" t="s">
        <v>46</v>
      </c>
      <c r="B497" s="9" t="s">
        <v>80</v>
      </c>
      <c r="C497" s="9" t="s">
        <v>81</v>
      </c>
      <c r="D497" s="10"/>
      <c r="E497" s="11" t="n">
        <f>68</f>
        <v>68.0</v>
      </c>
      <c r="F497" s="10"/>
      <c r="G497" s="11" t="n">
        <f>259506500</f>
        <v>2.595065E8</v>
      </c>
      <c r="H497" s="10"/>
      <c r="I497" s="11" t="str">
        <f>"－"</f>
        <v>－</v>
      </c>
      <c r="J497" s="10"/>
      <c r="K497" s="11" t="n">
        <f>622</f>
        <v>622.0</v>
      </c>
    </row>
    <row r="498">
      <c r="A498" s="8" t="s">
        <v>47</v>
      </c>
      <c r="B498" s="9" t="s">
        <v>80</v>
      </c>
      <c r="C498" s="9" t="s">
        <v>81</v>
      </c>
      <c r="D498" s="10"/>
      <c r="E498" s="11" t="n">
        <f>94</f>
        <v>94.0</v>
      </c>
      <c r="F498" s="10"/>
      <c r="G498" s="11" t="n">
        <f>353385500</f>
        <v>3.533855E8</v>
      </c>
      <c r="H498" s="10"/>
      <c r="I498" s="11" t="str">
        <f>"－"</f>
        <v>－</v>
      </c>
      <c r="J498" s="10"/>
      <c r="K498" s="11" t="n">
        <f>674</f>
        <v>674.0</v>
      </c>
    </row>
    <row r="499">
      <c r="A499" s="8" t="s">
        <v>48</v>
      </c>
      <c r="B499" s="9" t="s">
        <v>80</v>
      </c>
      <c r="C499" s="9" t="s">
        <v>81</v>
      </c>
      <c r="D499" s="10"/>
      <c r="E499" s="11" t="n">
        <f>61</f>
        <v>61.0</v>
      </c>
      <c r="F499" s="10"/>
      <c r="G499" s="11" t="n">
        <f>230824000</f>
        <v>2.30824E8</v>
      </c>
      <c r="H499" s="10"/>
      <c r="I499" s="11" t="str">
        <f>"－"</f>
        <v>－</v>
      </c>
      <c r="J499" s="10"/>
      <c r="K499" s="11" t="n">
        <f>725</f>
        <v>725.0</v>
      </c>
    </row>
    <row r="500">
      <c r="A500" s="8" t="s">
        <v>49</v>
      </c>
      <c r="B500" s="9" t="s">
        <v>80</v>
      </c>
      <c r="C500" s="9" t="s">
        <v>81</v>
      </c>
      <c r="D500" s="10"/>
      <c r="E500" s="11"/>
      <c r="F500" s="10"/>
      <c r="G500" s="11"/>
      <c r="H500" s="10"/>
      <c r="I500" s="11"/>
      <c r="J500" s="10"/>
      <c r="K500" s="11"/>
    </row>
    <row r="501">
      <c r="A501" s="8" t="s">
        <v>50</v>
      </c>
      <c r="B501" s="9" t="s">
        <v>80</v>
      </c>
      <c r="C501" s="9" t="s">
        <v>81</v>
      </c>
      <c r="D501" s="10"/>
      <c r="E501" s="11"/>
      <c r="F501" s="10"/>
      <c r="G501" s="11"/>
      <c r="H501" s="10"/>
      <c r="I501" s="11"/>
      <c r="J501" s="10"/>
      <c r="K501" s="11"/>
    </row>
    <row r="502">
      <c r="A502" s="8" t="s">
        <v>16</v>
      </c>
      <c r="B502" s="9" t="s">
        <v>82</v>
      </c>
      <c r="C502" s="9" t="s">
        <v>83</v>
      </c>
      <c r="D502" s="10" t="s">
        <v>53</v>
      </c>
      <c r="E502" s="11" t="str">
        <f>"－"</f>
        <v>－</v>
      </c>
      <c r="F502" s="10" t="s">
        <v>53</v>
      </c>
      <c r="G502" s="11" t="str">
        <f>"－"</f>
        <v>－</v>
      </c>
      <c r="H502" s="10" t="s">
        <v>53</v>
      </c>
      <c r="I502" s="11" t="str">
        <f>"－"</f>
        <v>－</v>
      </c>
      <c r="J502" s="10" t="s">
        <v>53</v>
      </c>
      <c r="K502" s="11" t="str">
        <f>"－"</f>
        <v>－</v>
      </c>
    </row>
    <row r="503">
      <c r="A503" s="8" t="s">
        <v>19</v>
      </c>
      <c r="B503" s="9" t="s">
        <v>82</v>
      </c>
      <c r="C503" s="9" t="s">
        <v>83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20</v>
      </c>
      <c r="B504" s="9" t="s">
        <v>82</v>
      </c>
      <c r="C504" s="9" t="s">
        <v>83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21</v>
      </c>
      <c r="B505" s="9" t="s">
        <v>82</v>
      </c>
      <c r="C505" s="9" t="s">
        <v>83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23</v>
      </c>
      <c r="B506" s="9" t="s">
        <v>82</v>
      </c>
      <c r="C506" s="9" t="s">
        <v>83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24</v>
      </c>
      <c r="B507" s="9" t="s">
        <v>82</v>
      </c>
      <c r="C507" s="9" t="s">
        <v>83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25</v>
      </c>
      <c r="B508" s="9" t="s">
        <v>82</v>
      </c>
      <c r="C508" s="9" t="s">
        <v>83</v>
      </c>
      <c r="D508" s="10"/>
      <c r="E508" s="11" t="str">
        <f>"－"</f>
        <v>－</v>
      </c>
      <c r="F508" s="10"/>
      <c r="G508" s="11" t="str">
        <f>"－"</f>
        <v>－</v>
      </c>
      <c r="H508" s="10"/>
      <c r="I508" s="11" t="str">
        <f>"－"</f>
        <v>－</v>
      </c>
      <c r="J508" s="10"/>
      <c r="K508" s="11" t="str">
        <f>"－"</f>
        <v>－</v>
      </c>
    </row>
    <row r="509">
      <c r="A509" s="8" t="s">
        <v>27</v>
      </c>
      <c r="B509" s="9" t="s">
        <v>82</v>
      </c>
      <c r="C509" s="9" t="s">
        <v>83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28</v>
      </c>
      <c r="B510" s="9" t="s">
        <v>82</v>
      </c>
      <c r="C510" s="9" t="s">
        <v>83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29</v>
      </c>
      <c r="B511" s="9" t="s">
        <v>82</v>
      </c>
      <c r="C511" s="9" t="s">
        <v>83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30</v>
      </c>
      <c r="B512" s="9" t="s">
        <v>82</v>
      </c>
      <c r="C512" s="9" t="s">
        <v>83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31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32</v>
      </c>
      <c r="B514" s="9" t="s">
        <v>82</v>
      </c>
      <c r="C514" s="9" t="s">
        <v>83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33</v>
      </c>
      <c r="B515" s="9" t="s">
        <v>82</v>
      </c>
      <c r="C515" s="9" t="s">
        <v>83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34</v>
      </c>
      <c r="B516" s="9" t="s">
        <v>82</v>
      </c>
      <c r="C516" s="9" t="s">
        <v>83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str">
        <f>"－"</f>
        <v>－</v>
      </c>
    </row>
    <row r="517">
      <c r="A517" s="8" t="s">
        <v>35</v>
      </c>
      <c r="B517" s="9" t="s">
        <v>82</v>
      </c>
      <c r="C517" s="9" t="s">
        <v>83</v>
      </c>
      <c r="D517" s="10"/>
      <c r="E517" s="11"/>
      <c r="F517" s="10"/>
      <c r="G517" s="11"/>
      <c r="H517" s="10"/>
      <c r="I517" s="11"/>
      <c r="J517" s="10"/>
      <c r="K517" s="11"/>
    </row>
    <row r="518">
      <c r="A518" s="8" t="s">
        <v>36</v>
      </c>
      <c r="B518" s="9" t="s">
        <v>82</v>
      </c>
      <c r="C518" s="9" t="s">
        <v>83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37</v>
      </c>
      <c r="B519" s="9" t="s">
        <v>82</v>
      </c>
      <c r="C519" s="9" t="s">
        <v>83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str">
        <f>"－"</f>
        <v>－</v>
      </c>
    </row>
    <row r="520">
      <c r="A520" s="8" t="s">
        <v>38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39</v>
      </c>
      <c r="B521" s="9" t="s">
        <v>82</v>
      </c>
      <c r="C521" s="9" t="s">
        <v>83</v>
      </c>
      <c r="D521" s="10"/>
      <c r="E521" s="11" t="str">
        <f>"－"</f>
        <v>－</v>
      </c>
      <c r="F521" s="10"/>
      <c r="G521" s="11" t="str">
        <f>"－"</f>
        <v>－</v>
      </c>
      <c r="H521" s="10"/>
      <c r="I521" s="11" t="str">
        <f>"－"</f>
        <v>－</v>
      </c>
      <c r="J521" s="10"/>
      <c r="K521" s="11" t="str">
        <f>"－"</f>
        <v>－</v>
      </c>
    </row>
    <row r="522">
      <c r="A522" s="8" t="s">
        <v>40</v>
      </c>
      <c r="B522" s="9" t="s">
        <v>82</v>
      </c>
      <c r="C522" s="9" t="s">
        <v>83</v>
      </c>
      <c r="D522" s="10"/>
      <c r="E522" s="11" t="str">
        <f>"－"</f>
        <v>－</v>
      </c>
      <c r="F522" s="10"/>
      <c r="G522" s="11" t="str">
        <f>"－"</f>
        <v>－</v>
      </c>
      <c r="H522" s="10"/>
      <c r="I522" s="11" t="str">
        <f>"－"</f>
        <v>－</v>
      </c>
      <c r="J522" s="10"/>
      <c r="K522" s="11" t="str">
        <f>"－"</f>
        <v>－</v>
      </c>
    </row>
    <row r="523">
      <c r="A523" s="8" t="s">
        <v>41</v>
      </c>
      <c r="B523" s="9" t="s">
        <v>82</v>
      </c>
      <c r="C523" s="9" t="s">
        <v>83</v>
      </c>
      <c r="D523" s="10"/>
      <c r="E523" s="11" t="str">
        <f>"－"</f>
        <v>－</v>
      </c>
      <c r="F523" s="10"/>
      <c r="G523" s="11" t="str">
        <f>"－"</f>
        <v>－</v>
      </c>
      <c r="H523" s="10"/>
      <c r="I523" s="11" t="str">
        <f>"－"</f>
        <v>－</v>
      </c>
      <c r="J523" s="10"/>
      <c r="K523" s="11" t="str">
        <f>"－"</f>
        <v>－</v>
      </c>
    </row>
    <row r="524">
      <c r="A524" s="8" t="s">
        <v>42</v>
      </c>
      <c r="B524" s="9" t="s">
        <v>82</v>
      </c>
      <c r="C524" s="9" t="s">
        <v>83</v>
      </c>
      <c r="D524" s="10"/>
      <c r="E524" s="11"/>
      <c r="F524" s="10"/>
      <c r="G524" s="11"/>
      <c r="H524" s="10"/>
      <c r="I524" s="11"/>
      <c r="J524" s="10"/>
      <c r="K524" s="11"/>
    </row>
    <row r="525">
      <c r="A525" s="8" t="s">
        <v>43</v>
      </c>
      <c r="B525" s="9" t="s">
        <v>82</v>
      </c>
      <c r="C525" s="9" t="s">
        <v>83</v>
      </c>
      <c r="D525" s="10"/>
      <c r="E525" s="11"/>
      <c r="F525" s="10"/>
      <c r="G525" s="11"/>
      <c r="H525" s="10"/>
      <c r="I525" s="11"/>
      <c r="J525" s="10"/>
      <c r="K525" s="11"/>
    </row>
    <row r="526">
      <c r="A526" s="8" t="s">
        <v>44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>
      <c r="A527" s="8" t="s">
        <v>45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46</v>
      </c>
      <c r="B528" s="9" t="s">
        <v>82</v>
      </c>
      <c r="C528" s="9" t="s">
        <v>83</v>
      </c>
      <c r="D528" s="10"/>
      <c r="E528" s="11" t="str">
        <f>"－"</f>
        <v>－</v>
      </c>
      <c r="F528" s="10"/>
      <c r="G528" s="11" t="str">
        <f>"－"</f>
        <v>－</v>
      </c>
      <c r="H528" s="10"/>
      <c r="I528" s="11" t="str">
        <f>"－"</f>
        <v>－</v>
      </c>
      <c r="J528" s="10"/>
      <c r="K528" s="11" t="str">
        <f>"－"</f>
        <v>－</v>
      </c>
    </row>
    <row r="529">
      <c r="A529" s="8" t="s">
        <v>47</v>
      </c>
      <c r="B529" s="9" t="s">
        <v>82</v>
      </c>
      <c r="C529" s="9" t="s">
        <v>83</v>
      </c>
      <c r="D529" s="10"/>
      <c r="E529" s="11" t="str">
        <f>"－"</f>
        <v>－</v>
      </c>
      <c r="F529" s="10"/>
      <c r="G529" s="11" t="str">
        <f>"－"</f>
        <v>－</v>
      </c>
      <c r="H529" s="10"/>
      <c r="I529" s="11" t="str">
        <f>"－"</f>
        <v>－</v>
      </c>
      <c r="J529" s="10"/>
      <c r="K529" s="11" t="str">
        <f>"－"</f>
        <v>－</v>
      </c>
    </row>
    <row r="530">
      <c r="A530" s="8" t="s">
        <v>48</v>
      </c>
      <c r="B530" s="9" t="s">
        <v>82</v>
      </c>
      <c r="C530" s="9" t="s">
        <v>83</v>
      </c>
      <c r="D530" s="10"/>
      <c r="E530" s="11" t="str">
        <f>"－"</f>
        <v>－</v>
      </c>
      <c r="F530" s="10"/>
      <c r="G530" s="11" t="str">
        <f>"－"</f>
        <v>－</v>
      </c>
      <c r="H530" s="10"/>
      <c r="I530" s="11" t="str">
        <f>"－"</f>
        <v>－</v>
      </c>
      <c r="J530" s="10"/>
      <c r="K530" s="11" t="str">
        <f>"－"</f>
        <v>－</v>
      </c>
    </row>
    <row r="531">
      <c r="A531" s="8" t="s">
        <v>49</v>
      </c>
      <c r="B531" s="9" t="s">
        <v>82</v>
      </c>
      <c r="C531" s="9" t="s">
        <v>83</v>
      </c>
      <c r="D531" s="10"/>
      <c r="E531" s="11"/>
      <c r="F531" s="10"/>
      <c r="G531" s="11"/>
      <c r="H531" s="10"/>
      <c r="I531" s="11"/>
      <c r="J531" s="10"/>
      <c r="K531" s="11"/>
    </row>
    <row r="532">
      <c r="A532" s="8" t="s">
        <v>50</v>
      </c>
      <c r="B532" s="9" t="s">
        <v>82</v>
      </c>
      <c r="C532" s="9" t="s">
        <v>83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16</v>
      </c>
      <c r="B533" s="9" t="s">
        <v>84</v>
      </c>
      <c r="C533" s="9" t="s">
        <v>85</v>
      </c>
      <c r="D533" s="10"/>
      <c r="E533" s="11" t="n">
        <f>5256</f>
        <v>5256.0</v>
      </c>
      <c r="F533" s="10"/>
      <c r="G533" s="11" t="n">
        <f>13393498500</f>
        <v>1.33934985E10</v>
      </c>
      <c r="H533" s="10" t="s">
        <v>22</v>
      </c>
      <c r="I533" s="11" t="str">
        <f>"－"</f>
        <v>－</v>
      </c>
      <c r="J533" s="10"/>
      <c r="K533" s="11" t="n">
        <f>100876</f>
        <v>100876.0</v>
      </c>
    </row>
    <row r="534">
      <c r="A534" s="8" t="s">
        <v>19</v>
      </c>
      <c r="B534" s="9" t="s">
        <v>84</v>
      </c>
      <c r="C534" s="9" t="s">
        <v>85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20</v>
      </c>
      <c r="B535" s="9" t="s">
        <v>84</v>
      </c>
      <c r="C535" s="9" t="s">
        <v>85</v>
      </c>
      <c r="D535" s="10"/>
      <c r="E535" s="11"/>
      <c r="F535" s="10"/>
      <c r="G535" s="11"/>
      <c r="H535" s="10"/>
      <c r="I535" s="11"/>
      <c r="J535" s="10"/>
      <c r="K535" s="11"/>
    </row>
    <row r="536">
      <c r="A536" s="8" t="s">
        <v>21</v>
      </c>
      <c r="B536" s="9" t="s">
        <v>84</v>
      </c>
      <c r="C536" s="9" t="s">
        <v>85</v>
      </c>
      <c r="D536" s="10"/>
      <c r="E536" s="11" t="n">
        <f>4949</f>
        <v>4949.0</v>
      </c>
      <c r="F536" s="10"/>
      <c r="G536" s="11" t="n">
        <f>12632483500</f>
        <v>1.26324835E10</v>
      </c>
      <c r="H536" s="10"/>
      <c r="I536" s="11" t="str">
        <f>"－"</f>
        <v>－</v>
      </c>
      <c r="J536" s="10" t="s">
        <v>22</v>
      </c>
      <c r="K536" s="11" t="n">
        <f>96141</f>
        <v>96141.0</v>
      </c>
    </row>
    <row r="537">
      <c r="A537" s="8" t="s">
        <v>23</v>
      </c>
      <c r="B537" s="9" t="s">
        <v>84</v>
      </c>
      <c r="C537" s="9" t="s">
        <v>85</v>
      </c>
      <c r="D537" s="10"/>
      <c r="E537" s="11" t="n">
        <f>9028</f>
        <v>9028.0</v>
      </c>
      <c r="F537" s="10"/>
      <c r="G537" s="11" t="n">
        <f>23739137500</f>
        <v>2.37391375E10</v>
      </c>
      <c r="H537" s="10" t="s">
        <v>26</v>
      </c>
      <c r="I537" s="11" t="n">
        <f>300</f>
        <v>300.0</v>
      </c>
      <c r="J537" s="10"/>
      <c r="K537" s="11" t="n">
        <f>97351</f>
        <v>97351.0</v>
      </c>
    </row>
    <row r="538">
      <c r="A538" s="8" t="s">
        <v>24</v>
      </c>
      <c r="B538" s="9" t="s">
        <v>84</v>
      </c>
      <c r="C538" s="9" t="s">
        <v>85</v>
      </c>
      <c r="D538" s="10"/>
      <c r="E538" s="11" t="n">
        <f>8202</f>
        <v>8202.0</v>
      </c>
      <c r="F538" s="10"/>
      <c r="G538" s="11" t="n">
        <f>22105574500</f>
        <v>2.21055745E10</v>
      </c>
      <c r="H538" s="10"/>
      <c r="I538" s="11" t="n">
        <f>200</f>
        <v>200.0</v>
      </c>
      <c r="J538" s="10"/>
      <c r="K538" s="11" t="n">
        <f>98809</f>
        <v>98809.0</v>
      </c>
    </row>
    <row r="539">
      <c r="A539" s="8" t="s">
        <v>25</v>
      </c>
      <c r="B539" s="9" t="s">
        <v>84</v>
      </c>
      <c r="C539" s="9" t="s">
        <v>85</v>
      </c>
      <c r="D539" s="10"/>
      <c r="E539" s="11" t="n">
        <f>34915</f>
        <v>34915.0</v>
      </c>
      <c r="F539" s="10"/>
      <c r="G539" s="11" t="n">
        <f>92000913000</f>
        <v>9.2000913E10</v>
      </c>
      <c r="H539" s="10"/>
      <c r="I539" s="11" t="n">
        <f>300</f>
        <v>300.0</v>
      </c>
      <c r="J539" s="10"/>
      <c r="K539" s="11" t="n">
        <f>97856</f>
        <v>97856.0</v>
      </c>
    </row>
    <row r="540">
      <c r="A540" s="8" t="s">
        <v>27</v>
      </c>
      <c r="B540" s="9" t="s">
        <v>84</v>
      </c>
      <c r="C540" s="9" t="s">
        <v>85</v>
      </c>
      <c r="D540" s="10"/>
      <c r="E540" s="11" t="n">
        <f>34112</f>
        <v>34112.0</v>
      </c>
      <c r="F540" s="10"/>
      <c r="G540" s="11" t="n">
        <f>92265584000</f>
        <v>9.2265584E10</v>
      </c>
      <c r="H540" s="10"/>
      <c r="I540" s="11" t="n">
        <f>200</f>
        <v>200.0</v>
      </c>
      <c r="J540" s="10"/>
      <c r="K540" s="11" t="n">
        <f>100441</f>
        <v>100441.0</v>
      </c>
    </row>
    <row r="541">
      <c r="A541" s="8" t="s">
        <v>28</v>
      </c>
      <c r="B541" s="9" t="s">
        <v>84</v>
      </c>
      <c r="C541" s="9" t="s">
        <v>85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29</v>
      </c>
      <c r="B542" s="9" t="s">
        <v>84</v>
      </c>
      <c r="C542" s="9" t="s">
        <v>85</v>
      </c>
      <c r="D542" s="10"/>
      <c r="E542" s="11"/>
      <c r="F542" s="10"/>
      <c r="G542" s="11"/>
      <c r="H542" s="10"/>
      <c r="I542" s="11"/>
      <c r="J542" s="10"/>
      <c r="K542" s="11"/>
    </row>
    <row r="543">
      <c r="A543" s="8" t="s">
        <v>30</v>
      </c>
      <c r="B543" s="9" t="s">
        <v>84</v>
      </c>
      <c r="C543" s="9" t="s">
        <v>85</v>
      </c>
      <c r="D543" s="10"/>
      <c r="E543" s="11" t="n">
        <f>35135</f>
        <v>35135.0</v>
      </c>
      <c r="F543" s="10"/>
      <c r="G543" s="11" t="n">
        <f>96489208000</f>
        <v>9.6489208E10</v>
      </c>
      <c r="H543" s="10"/>
      <c r="I543" s="11" t="str">
        <f>"－"</f>
        <v>－</v>
      </c>
      <c r="J543" s="10"/>
      <c r="K543" s="11" t="n">
        <f>102795</f>
        <v>102795.0</v>
      </c>
    </row>
    <row r="544">
      <c r="A544" s="8" t="s">
        <v>31</v>
      </c>
      <c r="B544" s="9" t="s">
        <v>84</v>
      </c>
      <c r="C544" s="9" t="s">
        <v>85</v>
      </c>
      <c r="D544" s="10" t="s">
        <v>26</v>
      </c>
      <c r="E544" s="11" t="n">
        <f>36413</f>
        <v>36413.0</v>
      </c>
      <c r="F544" s="10" t="s">
        <v>26</v>
      </c>
      <c r="G544" s="11" t="n">
        <f>100938180000</f>
        <v>1.0093818E11</v>
      </c>
      <c r="H544" s="10"/>
      <c r="I544" s="11" t="str">
        <f>"－"</f>
        <v>－</v>
      </c>
      <c r="J544" s="10"/>
      <c r="K544" s="11" t="n">
        <f>104502</f>
        <v>104502.0</v>
      </c>
    </row>
    <row r="545">
      <c r="A545" s="8" t="s">
        <v>32</v>
      </c>
      <c r="B545" s="9" t="s">
        <v>84</v>
      </c>
      <c r="C545" s="9" t="s">
        <v>85</v>
      </c>
      <c r="D545" s="10"/>
      <c r="E545" s="11" t="n">
        <f>31872</f>
        <v>31872.0</v>
      </c>
      <c r="F545" s="10"/>
      <c r="G545" s="11" t="n">
        <f>88003265500</f>
        <v>8.80032655E10</v>
      </c>
      <c r="H545" s="10"/>
      <c r="I545" s="11" t="str">
        <f>"－"</f>
        <v>－</v>
      </c>
      <c r="J545" s="10"/>
      <c r="K545" s="11" t="n">
        <f>107736</f>
        <v>107736.0</v>
      </c>
    </row>
    <row r="546">
      <c r="A546" s="8" t="s">
        <v>33</v>
      </c>
      <c r="B546" s="9" t="s">
        <v>84</v>
      </c>
      <c r="C546" s="9" t="s">
        <v>85</v>
      </c>
      <c r="D546" s="10"/>
      <c r="E546" s="11" t="n">
        <f>6997</f>
        <v>6997.0</v>
      </c>
      <c r="F546" s="10"/>
      <c r="G546" s="11" t="n">
        <f>19399687500</f>
        <v>1.93996875E10</v>
      </c>
      <c r="H546" s="10"/>
      <c r="I546" s="11" t="str">
        <f>"－"</f>
        <v>－</v>
      </c>
      <c r="J546" s="10"/>
      <c r="K546" s="11" t="n">
        <f>108393</f>
        <v>108393.0</v>
      </c>
    </row>
    <row r="547">
      <c r="A547" s="8" t="s">
        <v>34</v>
      </c>
      <c r="B547" s="9" t="s">
        <v>84</v>
      </c>
      <c r="C547" s="9" t="s">
        <v>85</v>
      </c>
      <c r="D547" s="10"/>
      <c r="E547" s="11" t="n">
        <f>6171</f>
        <v>6171.0</v>
      </c>
      <c r="F547" s="10"/>
      <c r="G547" s="11" t="n">
        <f>17314535500</f>
        <v>1.73145355E10</v>
      </c>
      <c r="H547" s="10"/>
      <c r="I547" s="11" t="str">
        <f>"－"</f>
        <v>－</v>
      </c>
      <c r="J547" s="10" t="s">
        <v>26</v>
      </c>
      <c r="K547" s="11" t="n">
        <f>108490</f>
        <v>108490.0</v>
      </c>
    </row>
    <row r="548">
      <c r="A548" s="8" t="s">
        <v>35</v>
      </c>
      <c r="B548" s="9" t="s">
        <v>84</v>
      </c>
      <c r="C548" s="9" t="s">
        <v>85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36</v>
      </c>
      <c r="B549" s="9" t="s">
        <v>84</v>
      </c>
      <c r="C549" s="9" t="s">
        <v>85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37</v>
      </c>
      <c r="B550" s="9" t="s">
        <v>84</v>
      </c>
      <c r="C550" s="9" t="s">
        <v>85</v>
      </c>
      <c r="D550" s="10"/>
      <c r="E550" s="11" t="n">
        <f>10436</f>
        <v>10436.0</v>
      </c>
      <c r="F550" s="10"/>
      <c r="G550" s="11" t="n">
        <f>29767107000</f>
        <v>2.9767107E10</v>
      </c>
      <c r="H550" s="10"/>
      <c r="I550" s="11" t="str">
        <f>"－"</f>
        <v>－</v>
      </c>
      <c r="J550" s="10"/>
      <c r="K550" s="11" t="n">
        <f>108240</f>
        <v>108240.0</v>
      </c>
    </row>
    <row r="551">
      <c r="A551" s="8" t="s">
        <v>38</v>
      </c>
      <c r="B551" s="9" t="s">
        <v>84</v>
      </c>
      <c r="C551" s="9" t="s">
        <v>85</v>
      </c>
      <c r="D551" s="10"/>
      <c r="E551" s="11" t="n">
        <f>8535</f>
        <v>8535.0</v>
      </c>
      <c r="F551" s="10"/>
      <c r="G551" s="11" t="n">
        <f>24003785000</f>
        <v>2.4003785E10</v>
      </c>
      <c r="H551" s="10"/>
      <c r="I551" s="11" t="str">
        <f>"－"</f>
        <v>－</v>
      </c>
      <c r="J551" s="10"/>
      <c r="K551" s="11" t="n">
        <f>105982</f>
        <v>105982.0</v>
      </c>
    </row>
    <row r="552">
      <c r="A552" s="8" t="s">
        <v>39</v>
      </c>
      <c r="B552" s="9" t="s">
        <v>84</v>
      </c>
      <c r="C552" s="9" t="s">
        <v>85</v>
      </c>
      <c r="D552" s="10"/>
      <c r="E552" s="11" t="n">
        <f>15934</f>
        <v>15934.0</v>
      </c>
      <c r="F552" s="10"/>
      <c r="G552" s="11" t="n">
        <f>45310576500</f>
        <v>4.53105765E10</v>
      </c>
      <c r="H552" s="10"/>
      <c r="I552" s="11" t="str">
        <f>"－"</f>
        <v>－</v>
      </c>
      <c r="J552" s="10"/>
      <c r="K552" s="11" t="n">
        <f>103329</f>
        <v>103329.0</v>
      </c>
    </row>
    <row r="553">
      <c r="A553" s="8" t="s">
        <v>40</v>
      </c>
      <c r="B553" s="9" t="s">
        <v>84</v>
      </c>
      <c r="C553" s="9" t="s">
        <v>85</v>
      </c>
      <c r="D553" s="10"/>
      <c r="E553" s="11" t="n">
        <f>6608</f>
        <v>6608.0</v>
      </c>
      <c r="F553" s="10"/>
      <c r="G553" s="11" t="n">
        <f>18763759500</f>
        <v>1.87637595E10</v>
      </c>
      <c r="H553" s="10"/>
      <c r="I553" s="11" t="n">
        <f>200</f>
        <v>200.0</v>
      </c>
      <c r="J553" s="10"/>
      <c r="K553" s="11" t="n">
        <f>103258</f>
        <v>103258.0</v>
      </c>
    </row>
    <row r="554">
      <c r="A554" s="8" t="s">
        <v>41</v>
      </c>
      <c r="B554" s="9" t="s">
        <v>84</v>
      </c>
      <c r="C554" s="9" t="s">
        <v>85</v>
      </c>
      <c r="D554" s="10"/>
      <c r="E554" s="11" t="n">
        <f>7815</f>
        <v>7815.0</v>
      </c>
      <c r="F554" s="10"/>
      <c r="G554" s="11" t="n">
        <f>21804460500</f>
        <v>2.18044605E10</v>
      </c>
      <c r="H554" s="10"/>
      <c r="I554" s="11" t="str">
        <f>"－"</f>
        <v>－</v>
      </c>
      <c r="J554" s="10"/>
      <c r="K554" s="11" t="n">
        <f>101582</f>
        <v>101582.0</v>
      </c>
    </row>
    <row r="555">
      <c r="A555" s="8" t="s">
        <v>42</v>
      </c>
      <c r="B555" s="9" t="s">
        <v>84</v>
      </c>
      <c r="C555" s="9" t="s">
        <v>85</v>
      </c>
      <c r="D555" s="10"/>
      <c r="E555" s="11"/>
      <c r="F555" s="10"/>
      <c r="G555" s="11"/>
      <c r="H555" s="10"/>
      <c r="I555" s="11"/>
      <c r="J555" s="10"/>
      <c r="K555" s="11"/>
    </row>
    <row r="556">
      <c r="A556" s="8" t="s">
        <v>43</v>
      </c>
      <c r="B556" s="9" t="s">
        <v>84</v>
      </c>
      <c r="C556" s="9" t="s">
        <v>85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44</v>
      </c>
      <c r="B557" s="9" t="s">
        <v>84</v>
      </c>
      <c r="C557" s="9" t="s">
        <v>85</v>
      </c>
      <c r="D557" s="10"/>
      <c r="E557" s="11" t="n">
        <f>6321</f>
        <v>6321.0</v>
      </c>
      <c r="F557" s="10"/>
      <c r="G557" s="11" t="n">
        <f>17813160000</f>
        <v>1.781316E10</v>
      </c>
      <c r="H557" s="10"/>
      <c r="I557" s="11" t="str">
        <f>"－"</f>
        <v>－</v>
      </c>
      <c r="J557" s="10"/>
      <c r="K557" s="11" t="n">
        <f>102881</f>
        <v>102881.0</v>
      </c>
    </row>
    <row r="558">
      <c r="A558" s="8" t="s">
        <v>45</v>
      </c>
      <c r="B558" s="9" t="s">
        <v>84</v>
      </c>
      <c r="C558" s="9" t="s">
        <v>85</v>
      </c>
      <c r="D558" s="10" t="s">
        <v>22</v>
      </c>
      <c r="E558" s="11" t="n">
        <f>3624</f>
        <v>3624.0</v>
      </c>
      <c r="F558" s="10" t="s">
        <v>22</v>
      </c>
      <c r="G558" s="11" t="n">
        <f>10260681500</f>
        <v>1.02606815E10</v>
      </c>
      <c r="H558" s="10"/>
      <c r="I558" s="11" t="str">
        <f>"－"</f>
        <v>－</v>
      </c>
      <c r="J558" s="10"/>
      <c r="K558" s="11" t="n">
        <f>102701</f>
        <v>102701.0</v>
      </c>
    </row>
    <row r="559">
      <c r="A559" s="8" t="s">
        <v>46</v>
      </c>
      <c r="B559" s="9" t="s">
        <v>84</v>
      </c>
      <c r="C559" s="9" t="s">
        <v>85</v>
      </c>
      <c r="D559" s="10"/>
      <c r="E559" s="11" t="n">
        <f>4405</f>
        <v>4405.0</v>
      </c>
      <c r="F559" s="10"/>
      <c r="G559" s="11" t="n">
        <f>12457145500</f>
        <v>1.24571455E10</v>
      </c>
      <c r="H559" s="10"/>
      <c r="I559" s="11" t="str">
        <f>"－"</f>
        <v>－</v>
      </c>
      <c r="J559" s="10"/>
      <c r="K559" s="11" t="n">
        <f>102304</f>
        <v>102304.0</v>
      </c>
    </row>
    <row r="560">
      <c r="A560" s="8" t="s">
        <v>47</v>
      </c>
      <c r="B560" s="9" t="s">
        <v>84</v>
      </c>
      <c r="C560" s="9" t="s">
        <v>85</v>
      </c>
      <c r="D560" s="10"/>
      <c r="E560" s="11" t="n">
        <f>13829</f>
        <v>13829.0</v>
      </c>
      <c r="F560" s="10"/>
      <c r="G560" s="11" t="n">
        <f>37954675000</f>
        <v>3.7954675E10</v>
      </c>
      <c r="H560" s="10"/>
      <c r="I560" s="11" t="n">
        <f>200</f>
        <v>200.0</v>
      </c>
      <c r="J560" s="10"/>
      <c r="K560" s="11" t="n">
        <f>99708</f>
        <v>99708.0</v>
      </c>
    </row>
    <row r="561">
      <c r="A561" s="8" t="s">
        <v>48</v>
      </c>
      <c r="B561" s="9" t="s">
        <v>84</v>
      </c>
      <c r="C561" s="9" t="s">
        <v>85</v>
      </c>
      <c r="D561" s="10"/>
      <c r="E561" s="11" t="n">
        <f>6038</f>
        <v>6038.0</v>
      </c>
      <c r="F561" s="10"/>
      <c r="G561" s="11" t="n">
        <f>16594799000</f>
        <v>1.6594799E10</v>
      </c>
      <c r="H561" s="10"/>
      <c r="I561" s="11" t="str">
        <f>"－"</f>
        <v>－</v>
      </c>
      <c r="J561" s="10"/>
      <c r="K561" s="11" t="n">
        <f>100713</f>
        <v>100713.0</v>
      </c>
    </row>
    <row r="562">
      <c r="A562" s="8" t="s">
        <v>49</v>
      </c>
      <c r="B562" s="9" t="s">
        <v>84</v>
      </c>
      <c r="C562" s="9" t="s">
        <v>85</v>
      </c>
      <c r="D562" s="10"/>
      <c r="E562" s="11"/>
      <c r="F562" s="10"/>
      <c r="G562" s="11"/>
      <c r="H562" s="10"/>
      <c r="I562" s="11"/>
      <c r="J562" s="10"/>
      <c r="K562" s="11"/>
    </row>
    <row r="563">
      <c r="A563" s="8" t="s">
        <v>50</v>
      </c>
      <c r="B563" s="9" t="s">
        <v>84</v>
      </c>
      <c r="C563" s="9" t="s">
        <v>85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16</v>
      </c>
      <c r="B564" s="9" t="s">
        <v>86</v>
      </c>
      <c r="C564" s="9" t="s">
        <v>87</v>
      </c>
      <c r="D564" s="10"/>
      <c r="E564" s="11" t="n">
        <f>1</f>
        <v>1.0</v>
      </c>
      <c r="F564" s="10"/>
      <c r="G564" s="11" t="n">
        <f>907200</f>
        <v>907200.0</v>
      </c>
      <c r="H564" s="10" t="s">
        <v>53</v>
      </c>
      <c r="I564" s="11" t="str">
        <f>"－"</f>
        <v>－</v>
      </c>
      <c r="J564" s="10"/>
      <c r="K564" s="11" t="n">
        <f>2531</f>
        <v>2531.0</v>
      </c>
    </row>
    <row r="565">
      <c r="A565" s="8" t="s">
        <v>19</v>
      </c>
      <c r="B565" s="9" t="s">
        <v>86</v>
      </c>
      <c r="C565" s="9" t="s">
        <v>87</v>
      </c>
      <c r="D565" s="10"/>
      <c r="E565" s="11"/>
      <c r="F565" s="10"/>
      <c r="G565" s="11"/>
      <c r="H565" s="10"/>
      <c r="I565" s="11"/>
      <c r="J565" s="10"/>
      <c r="K565" s="11"/>
    </row>
    <row r="566">
      <c r="A566" s="8" t="s">
        <v>20</v>
      </c>
      <c r="B566" s="9" t="s">
        <v>86</v>
      </c>
      <c r="C566" s="9" t="s">
        <v>87</v>
      </c>
      <c r="D566" s="10"/>
      <c r="E566" s="11"/>
      <c r="F566" s="10"/>
      <c r="G566" s="11"/>
      <c r="H566" s="10"/>
      <c r="I566" s="11"/>
      <c r="J566" s="10"/>
      <c r="K566" s="11"/>
    </row>
    <row r="567">
      <c r="A567" s="8" t="s">
        <v>21</v>
      </c>
      <c r="B567" s="9" t="s">
        <v>86</v>
      </c>
      <c r="C567" s="9" t="s">
        <v>87</v>
      </c>
      <c r="D567" s="10"/>
      <c r="E567" s="11" t="n">
        <f>14</f>
        <v>14.0</v>
      </c>
      <c r="F567" s="10"/>
      <c r="G567" s="11" t="n">
        <f>17210400</f>
        <v>1.72104E7</v>
      </c>
      <c r="H567" s="10"/>
      <c r="I567" s="11" t="str">
        <f>"－"</f>
        <v>－</v>
      </c>
      <c r="J567" s="10" t="s">
        <v>22</v>
      </c>
      <c r="K567" s="11" t="n">
        <f>2134</f>
        <v>2134.0</v>
      </c>
    </row>
    <row r="568">
      <c r="A568" s="8" t="s">
        <v>23</v>
      </c>
      <c r="B568" s="9" t="s">
        <v>86</v>
      </c>
      <c r="C568" s="9" t="s">
        <v>87</v>
      </c>
      <c r="D568" s="10" t="s">
        <v>22</v>
      </c>
      <c r="E568" s="11" t="str">
        <f>"－"</f>
        <v>－</v>
      </c>
      <c r="F568" s="10" t="s">
        <v>22</v>
      </c>
      <c r="G568" s="11" t="str">
        <f>"－"</f>
        <v>－</v>
      </c>
      <c r="H568" s="10"/>
      <c r="I568" s="11" t="str">
        <f>"－"</f>
        <v>－</v>
      </c>
      <c r="J568" s="10"/>
      <c r="K568" s="11" t="n">
        <f>2134</f>
        <v>2134.0</v>
      </c>
    </row>
    <row r="569">
      <c r="A569" s="8" t="s">
        <v>24</v>
      </c>
      <c r="B569" s="9" t="s">
        <v>86</v>
      </c>
      <c r="C569" s="9" t="s">
        <v>87</v>
      </c>
      <c r="D569" s="10"/>
      <c r="E569" s="11" t="str">
        <f>"－"</f>
        <v>－</v>
      </c>
      <c r="F569" s="10"/>
      <c r="G569" s="11" t="str">
        <f>"－"</f>
        <v>－</v>
      </c>
      <c r="H569" s="10"/>
      <c r="I569" s="11" t="str">
        <f>"－"</f>
        <v>－</v>
      </c>
      <c r="J569" s="10"/>
      <c r="K569" s="11" t="n">
        <f>2134</f>
        <v>2134.0</v>
      </c>
    </row>
    <row r="570">
      <c r="A570" s="8" t="s">
        <v>25</v>
      </c>
      <c r="B570" s="9" t="s">
        <v>86</v>
      </c>
      <c r="C570" s="9" t="s">
        <v>87</v>
      </c>
      <c r="D570" s="10"/>
      <c r="E570" s="11" t="n">
        <f>235</f>
        <v>235.0</v>
      </c>
      <c r="F570" s="10"/>
      <c r="G570" s="11" t="n">
        <f>282325920</f>
        <v>2.8232592E8</v>
      </c>
      <c r="H570" s="10"/>
      <c r="I570" s="11" t="str">
        <f>"－"</f>
        <v>－</v>
      </c>
      <c r="J570" s="10"/>
      <c r="K570" s="11" t="n">
        <f>2239</f>
        <v>2239.0</v>
      </c>
    </row>
    <row r="571">
      <c r="A571" s="8" t="s">
        <v>27</v>
      </c>
      <c r="B571" s="9" t="s">
        <v>86</v>
      </c>
      <c r="C571" s="9" t="s">
        <v>87</v>
      </c>
      <c r="D571" s="10"/>
      <c r="E571" s="11" t="n">
        <f>100</f>
        <v>100.0</v>
      </c>
      <c r="F571" s="10"/>
      <c r="G571" s="11" t="n">
        <f>122760000</f>
        <v>1.2276E8</v>
      </c>
      <c r="H571" s="10"/>
      <c r="I571" s="11" t="str">
        <f>"－"</f>
        <v>－</v>
      </c>
      <c r="J571" s="10"/>
      <c r="K571" s="11" t="n">
        <f>2339</f>
        <v>2339.0</v>
      </c>
    </row>
    <row r="572">
      <c r="A572" s="8" t="s">
        <v>28</v>
      </c>
      <c r="B572" s="9" t="s">
        <v>86</v>
      </c>
      <c r="C572" s="9" t="s">
        <v>87</v>
      </c>
      <c r="D572" s="10"/>
      <c r="E572" s="11"/>
      <c r="F572" s="10"/>
      <c r="G572" s="11"/>
      <c r="H572" s="10"/>
      <c r="I572" s="11"/>
      <c r="J572" s="10"/>
      <c r="K572" s="11"/>
    </row>
    <row r="573">
      <c r="A573" s="8" t="s">
        <v>29</v>
      </c>
      <c r="B573" s="9" t="s">
        <v>86</v>
      </c>
      <c r="C573" s="9" t="s">
        <v>87</v>
      </c>
      <c r="D573" s="10"/>
      <c r="E573" s="11"/>
      <c r="F573" s="10"/>
      <c r="G573" s="11"/>
      <c r="H573" s="10"/>
      <c r="I573" s="11"/>
      <c r="J573" s="10"/>
      <c r="K573" s="11"/>
    </row>
    <row r="574">
      <c r="A574" s="8" t="s">
        <v>30</v>
      </c>
      <c r="B574" s="9" t="s">
        <v>86</v>
      </c>
      <c r="C574" s="9" t="s">
        <v>87</v>
      </c>
      <c r="D574" s="10"/>
      <c r="E574" s="11" t="n">
        <f>104</f>
        <v>104.0</v>
      </c>
      <c r="F574" s="10"/>
      <c r="G574" s="11" t="n">
        <f>133104000</f>
        <v>1.33104E8</v>
      </c>
      <c r="H574" s="10"/>
      <c r="I574" s="11" t="str">
        <f>"－"</f>
        <v>－</v>
      </c>
      <c r="J574" s="10"/>
      <c r="K574" s="11" t="n">
        <f>2443</f>
        <v>2443.0</v>
      </c>
    </row>
    <row r="575">
      <c r="A575" s="8" t="s">
        <v>31</v>
      </c>
      <c r="B575" s="9" t="s">
        <v>86</v>
      </c>
      <c r="C575" s="9" t="s">
        <v>87</v>
      </c>
      <c r="D575" s="10"/>
      <c r="E575" s="11" t="str">
        <f>"－"</f>
        <v>－</v>
      </c>
      <c r="F575" s="10"/>
      <c r="G575" s="11" t="str">
        <f>"－"</f>
        <v>－</v>
      </c>
      <c r="H575" s="10"/>
      <c r="I575" s="11" t="str">
        <f>"－"</f>
        <v>－</v>
      </c>
      <c r="J575" s="10"/>
      <c r="K575" s="11" t="n">
        <f>2443</f>
        <v>2443.0</v>
      </c>
    </row>
    <row r="576">
      <c r="A576" s="8" t="s">
        <v>32</v>
      </c>
      <c r="B576" s="9" t="s">
        <v>86</v>
      </c>
      <c r="C576" s="9" t="s">
        <v>87</v>
      </c>
      <c r="D576" s="10"/>
      <c r="E576" s="11" t="n">
        <f>455</f>
        <v>455.0</v>
      </c>
      <c r="F576" s="10"/>
      <c r="G576" s="11" t="n">
        <f>467000520</f>
        <v>4.6700052E8</v>
      </c>
      <c r="H576" s="10"/>
      <c r="I576" s="11" t="str">
        <f>"－"</f>
        <v>－</v>
      </c>
      <c r="J576" s="10"/>
      <c r="K576" s="11" t="n">
        <f>2893</f>
        <v>2893.0</v>
      </c>
    </row>
    <row r="577">
      <c r="A577" s="8" t="s">
        <v>33</v>
      </c>
      <c r="B577" s="9" t="s">
        <v>86</v>
      </c>
      <c r="C577" s="9" t="s">
        <v>87</v>
      </c>
      <c r="D577" s="10"/>
      <c r="E577" s="11" t="n">
        <f>229</f>
        <v>229.0</v>
      </c>
      <c r="F577" s="10"/>
      <c r="G577" s="11" t="n">
        <f>427824000</f>
        <v>4.27824E8</v>
      </c>
      <c r="H577" s="10"/>
      <c r="I577" s="11" t="str">
        <f>"－"</f>
        <v>－</v>
      </c>
      <c r="J577" s="10"/>
      <c r="K577" s="11" t="n">
        <f>2829</f>
        <v>2829.0</v>
      </c>
    </row>
    <row r="578">
      <c r="A578" s="8" t="s">
        <v>34</v>
      </c>
      <c r="B578" s="9" t="s">
        <v>86</v>
      </c>
      <c r="C578" s="9" t="s">
        <v>87</v>
      </c>
      <c r="D578" s="10" t="s">
        <v>26</v>
      </c>
      <c r="E578" s="11" t="n">
        <f>590</f>
        <v>590.0</v>
      </c>
      <c r="F578" s="10" t="s">
        <v>26</v>
      </c>
      <c r="G578" s="11" t="n">
        <f>644520960</f>
        <v>6.4452096E8</v>
      </c>
      <c r="H578" s="10"/>
      <c r="I578" s="11" t="str">
        <f>"－"</f>
        <v>－</v>
      </c>
      <c r="J578" s="10"/>
      <c r="K578" s="11" t="n">
        <f>2979</f>
        <v>2979.0</v>
      </c>
    </row>
    <row r="579">
      <c r="A579" s="8" t="s">
        <v>35</v>
      </c>
      <c r="B579" s="9" t="s">
        <v>86</v>
      </c>
      <c r="C579" s="9" t="s">
        <v>87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36</v>
      </c>
      <c r="B580" s="9" t="s">
        <v>86</v>
      </c>
      <c r="C580" s="9" t="s">
        <v>87</v>
      </c>
      <c r="D580" s="10"/>
      <c r="E580" s="11"/>
      <c r="F580" s="10"/>
      <c r="G580" s="11"/>
      <c r="H580" s="10"/>
      <c r="I580" s="11"/>
      <c r="J580" s="10"/>
      <c r="K580" s="11"/>
    </row>
    <row r="581">
      <c r="A581" s="8" t="s">
        <v>37</v>
      </c>
      <c r="B581" s="9" t="s">
        <v>86</v>
      </c>
      <c r="C581" s="9" t="s">
        <v>87</v>
      </c>
      <c r="D581" s="10"/>
      <c r="E581" s="11" t="n">
        <f>2</f>
        <v>2.0</v>
      </c>
      <c r="F581" s="10"/>
      <c r="G581" s="11" t="n">
        <f>2952720</f>
        <v>2952720.0</v>
      </c>
      <c r="H581" s="10"/>
      <c r="I581" s="11" t="str">
        <f>"－"</f>
        <v>－</v>
      </c>
      <c r="J581" s="10"/>
      <c r="K581" s="11" t="n">
        <f>2979</f>
        <v>2979.0</v>
      </c>
    </row>
    <row r="582">
      <c r="A582" s="8" t="s">
        <v>38</v>
      </c>
      <c r="B582" s="9" t="s">
        <v>86</v>
      </c>
      <c r="C582" s="9" t="s">
        <v>87</v>
      </c>
      <c r="D582" s="10"/>
      <c r="E582" s="11" t="str">
        <f>"－"</f>
        <v>－</v>
      </c>
      <c r="F582" s="10"/>
      <c r="G582" s="11" t="str">
        <f>"－"</f>
        <v>－</v>
      </c>
      <c r="H582" s="10"/>
      <c r="I582" s="11" t="str">
        <f>"－"</f>
        <v>－</v>
      </c>
      <c r="J582" s="10"/>
      <c r="K582" s="11" t="n">
        <f>2979</f>
        <v>2979.0</v>
      </c>
    </row>
    <row r="583">
      <c r="A583" s="8" t="s">
        <v>39</v>
      </c>
      <c r="B583" s="9" t="s">
        <v>86</v>
      </c>
      <c r="C583" s="9" t="s">
        <v>87</v>
      </c>
      <c r="D583" s="10"/>
      <c r="E583" s="11" t="str">
        <f>"－"</f>
        <v>－</v>
      </c>
      <c r="F583" s="10"/>
      <c r="G583" s="11" t="str">
        <f>"－"</f>
        <v>－</v>
      </c>
      <c r="H583" s="10"/>
      <c r="I583" s="11" t="str">
        <f>"－"</f>
        <v>－</v>
      </c>
      <c r="J583" s="10"/>
      <c r="K583" s="11" t="n">
        <f>2979</f>
        <v>2979.0</v>
      </c>
    </row>
    <row r="584">
      <c r="A584" s="8" t="s">
        <v>40</v>
      </c>
      <c r="B584" s="9" t="s">
        <v>86</v>
      </c>
      <c r="C584" s="9" t="s">
        <v>87</v>
      </c>
      <c r="D584" s="10"/>
      <c r="E584" s="11" t="n">
        <f>11</f>
        <v>11.0</v>
      </c>
      <c r="F584" s="10"/>
      <c r="G584" s="11" t="n">
        <f>16495200</f>
        <v>1.64952E7</v>
      </c>
      <c r="H584" s="10"/>
      <c r="I584" s="11" t="str">
        <f>"－"</f>
        <v>－</v>
      </c>
      <c r="J584" s="10"/>
      <c r="K584" s="11" t="n">
        <f>2979</f>
        <v>2979.0</v>
      </c>
    </row>
    <row r="585">
      <c r="A585" s="8" t="s">
        <v>41</v>
      </c>
      <c r="B585" s="9" t="s">
        <v>86</v>
      </c>
      <c r="C585" s="9" t="s">
        <v>87</v>
      </c>
      <c r="D585" s="10"/>
      <c r="E585" s="11" t="n">
        <f>110</f>
        <v>110.0</v>
      </c>
      <c r="F585" s="10"/>
      <c r="G585" s="11" t="n">
        <f>209835720</f>
        <v>2.0983572E8</v>
      </c>
      <c r="H585" s="10"/>
      <c r="I585" s="11" t="str">
        <f>"－"</f>
        <v>－</v>
      </c>
      <c r="J585" s="10"/>
      <c r="K585" s="11" t="n">
        <f>3089</f>
        <v>3089.0</v>
      </c>
    </row>
    <row r="586">
      <c r="A586" s="8" t="s">
        <v>42</v>
      </c>
      <c r="B586" s="9" t="s">
        <v>86</v>
      </c>
      <c r="C586" s="9" t="s">
        <v>87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43</v>
      </c>
      <c r="B587" s="9" t="s">
        <v>86</v>
      </c>
      <c r="C587" s="9" t="s">
        <v>87</v>
      </c>
      <c r="D587" s="10"/>
      <c r="E587" s="11"/>
      <c r="F587" s="10"/>
      <c r="G587" s="11"/>
      <c r="H587" s="10"/>
      <c r="I587" s="11"/>
      <c r="J587" s="10"/>
      <c r="K587" s="11"/>
    </row>
    <row r="588">
      <c r="A588" s="8" t="s">
        <v>44</v>
      </c>
      <c r="B588" s="9" t="s">
        <v>86</v>
      </c>
      <c r="C588" s="9" t="s">
        <v>87</v>
      </c>
      <c r="D588" s="10"/>
      <c r="E588" s="11" t="n">
        <f>270</f>
        <v>270.0</v>
      </c>
      <c r="F588" s="10"/>
      <c r="G588" s="11" t="n">
        <f>362521440</f>
        <v>3.6252144E8</v>
      </c>
      <c r="H588" s="10"/>
      <c r="I588" s="11" t="str">
        <f>"－"</f>
        <v>－</v>
      </c>
      <c r="J588" s="10" t="s">
        <v>26</v>
      </c>
      <c r="K588" s="11" t="n">
        <f>3359</f>
        <v>3359.0</v>
      </c>
    </row>
    <row r="589">
      <c r="A589" s="8" t="s">
        <v>45</v>
      </c>
      <c r="B589" s="9" t="s">
        <v>86</v>
      </c>
      <c r="C589" s="9" t="s">
        <v>87</v>
      </c>
      <c r="D589" s="10"/>
      <c r="E589" s="11" t="str">
        <f>"－"</f>
        <v>－</v>
      </c>
      <c r="F589" s="10"/>
      <c r="G589" s="11" t="str">
        <f>"－"</f>
        <v>－</v>
      </c>
      <c r="H589" s="10"/>
      <c r="I589" s="11" t="str">
        <f>"－"</f>
        <v>－</v>
      </c>
      <c r="J589" s="10"/>
      <c r="K589" s="11" t="n">
        <f>3359</f>
        <v>3359.0</v>
      </c>
    </row>
    <row r="590">
      <c r="A590" s="8" t="s">
        <v>46</v>
      </c>
      <c r="B590" s="9" t="s">
        <v>86</v>
      </c>
      <c r="C590" s="9" t="s">
        <v>87</v>
      </c>
      <c r="D590" s="10"/>
      <c r="E590" s="11" t="n">
        <f>34</f>
        <v>34.0</v>
      </c>
      <c r="F590" s="10"/>
      <c r="G590" s="11" t="n">
        <f>42854400</f>
        <v>4.28544E7</v>
      </c>
      <c r="H590" s="10"/>
      <c r="I590" s="11" t="str">
        <f>"－"</f>
        <v>－</v>
      </c>
      <c r="J590" s="10"/>
      <c r="K590" s="11" t="n">
        <f>3329</f>
        <v>3329.0</v>
      </c>
    </row>
    <row r="591">
      <c r="A591" s="8" t="s">
        <v>47</v>
      </c>
      <c r="B591" s="9" t="s">
        <v>86</v>
      </c>
      <c r="C591" s="9" t="s">
        <v>87</v>
      </c>
      <c r="D591" s="10"/>
      <c r="E591" s="11" t="n">
        <f>22</f>
        <v>22.0</v>
      </c>
      <c r="F591" s="10"/>
      <c r="G591" s="11" t="n">
        <f>29719008</f>
        <v>2.9719008E7</v>
      </c>
      <c r="H591" s="10"/>
      <c r="I591" s="11" t="str">
        <f>"－"</f>
        <v>－</v>
      </c>
      <c r="J591" s="10"/>
      <c r="K591" s="11" t="n">
        <f>3329</f>
        <v>3329.0</v>
      </c>
    </row>
    <row r="592">
      <c r="A592" s="8" t="s">
        <v>48</v>
      </c>
      <c r="B592" s="9" t="s">
        <v>86</v>
      </c>
      <c r="C592" s="9" t="s">
        <v>87</v>
      </c>
      <c r="D592" s="10"/>
      <c r="E592" s="11" t="n">
        <f>30</f>
        <v>30.0</v>
      </c>
      <c r="F592" s="10"/>
      <c r="G592" s="11" t="n">
        <f>36381600</f>
        <v>3.63816E7</v>
      </c>
      <c r="H592" s="10"/>
      <c r="I592" s="11" t="str">
        <f>"－"</f>
        <v>－</v>
      </c>
      <c r="J592" s="10"/>
      <c r="K592" s="11" t="n">
        <f>3319</f>
        <v>3319.0</v>
      </c>
    </row>
    <row r="593">
      <c r="A593" s="8" t="s">
        <v>49</v>
      </c>
      <c r="B593" s="9" t="s">
        <v>86</v>
      </c>
      <c r="C593" s="9" t="s">
        <v>87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50</v>
      </c>
      <c r="B594" s="9" t="s">
        <v>86</v>
      </c>
      <c r="C594" s="9" t="s">
        <v>87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16</v>
      </c>
      <c r="B595" s="9" t="s">
        <v>88</v>
      </c>
      <c r="C595" s="9" t="s">
        <v>89</v>
      </c>
      <c r="D595" s="10" t="s">
        <v>22</v>
      </c>
      <c r="E595" s="11" t="str">
        <f>"－"</f>
        <v>－</v>
      </c>
      <c r="F595" s="10" t="s">
        <v>22</v>
      </c>
      <c r="G595" s="11" t="str">
        <f>"－"</f>
        <v>－</v>
      </c>
      <c r="H595" s="10" t="s">
        <v>53</v>
      </c>
      <c r="I595" s="11" t="str">
        <f>"－"</f>
        <v>－</v>
      </c>
      <c r="J595" s="10" t="s">
        <v>26</v>
      </c>
      <c r="K595" s="11" t="n">
        <f>888</f>
        <v>888.0</v>
      </c>
    </row>
    <row r="596">
      <c r="A596" s="8" t="s">
        <v>19</v>
      </c>
      <c r="B596" s="9" t="s">
        <v>88</v>
      </c>
      <c r="C596" s="9" t="s">
        <v>89</v>
      </c>
      <c r="D596" s="10"/>
      <c r="E596" s="11"/>
      <c r="F596" s="10"/>
      <c r="G596" s="11"/>
      <c r="H596" s="10"/>
      <c r="I596" s="11"/>
      <c r="J596" s="10"/>
      <c r="K596" s="11"/>
    </row>
    <row r="597">
      <c r="A597" s="8" t="s">
        <v>20</v>
      </c>
      <c r="B597" s="9" t="s">
        <v>88</v>
      </c>
      <c r="C597" s="9" t="s">
        <v>89</v>
      </c>
      <c r="D597" s="10"/>
      <c r="E597" s="11"/>
      <c r="F597" s="10"/>
      <c r="G597" s="11"/>
      <c r="H597" s="10"/>
      <c r="I597" s="11"/>
      <c r="J597" s="10"/>
      <c r="K597" s="11"/>
    </row>
    <row r="598">
      <c r="A598" s="8" t="s">
        <v>21</v>
      </c>
      <c r="B598" s="9" t="s">
        <v>88</v>
      </c>
      <c r="C598" s="9" t="s">
        <v>89</v>
      </c>
      <c r="D598" s="10"/>
      <c r="E598" s="11" t="str">
        <f>"－"</f>
        <v>－</v>
      </c>
      <c r="F598" s="10"/>
      <c r="G598" s="11" t="str">
        <f>"－"</f>
        <v>－</v>
      </c>
      <c r="H598" s="10"/>
      <c r="I598" s="11" t="str">
        <f>"－"</f>
        <v>－</v>
      </c>
      <c r="J598" s="10"/>
      <c r="K598" s="11" t="n">
        <f>576</f>
        <v>576.0</v>
      </c>
    </row>
    <row r="599">
      <c r="A599" s="8" t="s">
        <v>23</v>
      </c>
      <c r="B599" s="9" t="s">
        <v>88</v>
      </c>
      <c r="C599" s="9" t="s">
        <v>89</v>
      </c>
      <c r="D599" s="10"/>
      <c r="E599" s="11" t="str">
        <f>"－"</f>
        <v>－</v>
      </c>
      <c r="F599" s="10"/>
      <c r="G599" s="11" t="str">
        <f>"－"</f>
        <v>－</v>
      </c>
      <c r="H599" s="10"/>
      <c r="I599" s="11" t="str">
        <f>"－"</f>
        <v>－</v>
      </c>
      <c r="J599" s="10"/>
      <c r="K599" s="11" t="n">
        <f>576</f>
        <v>576.0</v>
      </c>
    </row>
    <row r="600">
      <c r="A600" s="8" t="s">
        <v>24</v>
      </c>
      <c r="B600" s="9" t="s">
        <v>88</v>
      </c>
      <c r="C600" s="9" t="s">
        <v>89</v>
      </c>
      <c r="D600" s="10"/>
      <c r="E600" s="11" t="str">
        <f>"－"</f>
        <v>－</v>
      </c>
      <c r="F600" s="10"/>
      <c r="G600" s="11" t="str">
        <f>"－"</f>
        <v>－</v>
      </c>
      <c r="H600" s="10"/>
      <c r="I600" s="11" t="str">
        <f>"－"</f>
        <v>－</v>
      </c>
      <c r="J600" s="10"/>
      <c r="K600" s="11" t="n">
        <f>576</f>
        <v>576.0</v>
      </c>
    </row>
    <row r="601">
      <c r="A601" s="8" t="s">
        <v>25</v>
      </c>
      <c r="B601" s="9" t="s">
        <v>88</v>
      </c>
      <c r="C601" s="9" t="s">
        <v>89</v>
      </c>
      <c r="D601" s="10"/>
      <c r="E601" s="11" t="str">
        <f>"－"</f>
        <v>－</v>
      </c>
      <c r="F601" s="10"/>
      <c r="G601" s="11" t="str">
        <f>"－"</f>
        <v>－</v>
      </c>
      <c r="H601" s="10"/>
      <c r="I601" s="11" t="str">
        <f>"－"</f>
        <v>－</v>
      </c>
      <c r="J601" s="10"/>
      <c r="K601" s="11" t="n">
        <f>576</f>
        <v>576.0</v>
      </c>
    </row>
    <row r="602">
      <c r="A602" s="8" t="s">
        <v>27</v>
      </c>
      <c r="B602" s="9" t="s">
        <v>88</v>
      </c>
      <c r="C602" s="9" t="s">
        <v>89</v>
      </c>
      <c r="D602" s="10"/>
      <c r="E602" s="11" t="str">
        <f>"－"</f>
        <v>－</v>
      </c>
      <c r="F602" s="10"/>
      <c r="G602" s="11" t="str">
        <f>"－"</f>
        <v>－</v>
      </c>
      <c r="H602" s="10"/>
      <c r="I602" s="11" t="str">
        <f>"－"</f>
        <v>－</v>
      </c>
      <c r="J602" s="10"/>
      <c r="K602" s="11" t="n">
        <f>576</f>
        <v>576.0</v>
      </c>
    </row>
    <row r="603">
      <c r="A603" s="8" t="s">
        <v>28</v>
      </c>
      <c r="B603" s="9" t="s">
        <v>88</v>
      </c>
      <c r="C603" s="9" t="s">
        <v>89</v>
      </c>
      <c r="D603" s="10"/>
      <c r="E603" s="11"/>
      <c r="F603" s="10"/>
      <c r="G603" s="11"/>
      <c r="H603" s="10"/>
      <c r="I603" s="11"/>
      <c r="J603" s="10"/>
      <c r="K603" s="11"/>
    </row>
    <row r="604">
      <c r="A604" s="8" t="s">
        <v>29</v>
      </c>
      <c r="B604" s="9" t="s">
        <v>88</v>
      </c>
      <c r="C604" s="9" t="s">
        <v>89</v>
      </c>
      <c r="D604" s="10"/>
      <c r="E604" s="11"/>
      <c r="F604" s="10"/>
      <c r="G604" s="11"/>
      <c r="H604" s="10"/>
      <c r="I604" s="11"/>
      <c r="J604" s="10"/>
      <c r="K604" s="11"/>
    </row>
    <row r="605">
      <c r="A605" s="8" t="s">
        <v>30</v>
      </c>
      <c r="B605" s="9" t="s">
        <v>88</v>
      </c>
      <c r="C605" s="9" t="s">
        <v>89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576</f>
        <v>576.0</v>
      </c>
    </row>
    <row r="606">
      <c r="A606" s="8" t="s">
        <v>31</v>
      </c>
      <c r="B606" s="9" t="s">
        <v>88</v>
      </c>
      <c r="C606" s="9" t="s">
        <v>89</v>
      </c>
      <c r="D606" s="10"/>
      <c r="E606" s="11" t="str">
        <f>"－"</f>
        <v>－</v>
      </c>
      <c r="F606" s="10"/>
      <c r="G606" s="11" t="str">
        <f>"－"</f>
        <v>－</v>
      </c>
      <c r="H606" s="10"/>
      <c r="I606" s="11" t="str">
        <f>"－"</f>
        <v>－</v>
      </c>
      <c r="J606" s="10"/>
      <c r="K606" s="11" t="n">
        <f>576</f>
        <v>576.0</v>
      </c>
    </row>
    <row r="607">
      <c r="A607" s="8" t="s">
        <v>32</v>
      </c>
      <c r="B607" s="9" t="s">
        <v>88</v>
      </c>
      <c r="C607" s="9" t="s">
        <v>89</v>
      </c>
      <c r="D607" s="10"/>
      <c r="E607" s="11" t="n">
        <f>51</f>
        <v>51.0</v>
      </c>
      <c r="F607" s="10"/>
      <c r="G607" s="11" t="n">
        <f>90908400</f>
        <v>9.09084E7</v>
      </c>
      <c r="H607" s="10"/>
      <c r="I607" s="11" t="str">
        <f>"－"</f>
        <v>－</v>
      </c>
      <c r="J607" s="10"/>
      <c r="K607" s="11" t="n">
        <f>597</f>
        <v>597.0</v>
      </c>
    </row>
    <row r="608">
      <c r="A608" s="8" t="s">
        <v>33</v>
      </c>
      <c r="B608" s="9" t="s">
        <v>88</v>
      </c>
      <c r="C608" s="9" t="s">
        <v>89</v>
      </c>
      <c r="D608" s="10" t="s">
        <v>26</v>
      </c>
      <c r="E608" s="11" t="n">
        <f>225</f>
        <v>225.0</v>
      </c>
      <c r="F608" s="10" t="s">
        <v>26</v>
      </c>
      <c r="G608" s="11" t="n">
        <f>413100000</f>
        <v>4.131E8</v>
      </c>
      <c r="H608" s="10"/>
      <c r="I608" s="11" t="str">
        <f>"－"</f>
        <v>－</v>
      </c>
      <c r="J608" s="10" t="s">
        <v>22</v>
      </c>
      <c r="K608" s="11" t="n">
        <f>470</f>
        <v>470.0</v>
      </c>
    </row>
    <row r="609">
      <c r="A609" s="8" t="s">
        <v>34</v>
      </c>
      <c r="B609" s="9" t="s">
        <v>88</v>
      </c>
      <c r="C609" s="9" t="s">
        <v>89</v>
      </c>
      <c r="D609" s="10"/>
      <c r="E609" s="11" t="str">
        <f>"－"</f>
        <v>－</v>
      </c>
      <c r="F609" s="10"/>
      <c r="G609" s="11" t="str">
        <f>"－"</f>
        <v>－</v>
      </c>
      <c r="H609" s="10"/>
      <c r="I609" s="11" t="str">
        <f>"－"</f>
        <v>－</v>
      </c>
      <c r="J609" s="10"/>
      <c r="K609" s="11" t="n">
        <f>470</f>
        <v>470.0</v>
      </c>
    </row>
    <row r="610">
      <c r="A610" s="8" t="s">
        <v>35</v>
      </c>
      <c r="B610" s="9" t="s">
        <v>88</v>
      </c>
      <c r="C610" s="9" t="s">
        <v>89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36</v>
      </c>
      <c r="B611" s="9" t="s">
        <v>88</v>
      </c>
      <c r="C611" s="9" t="s">
        <v>89</v>
      </c>
      <c r="D611" s="10"/>
      <c r="E611" s="11"/>
      <c r="F611" s="10"/>
      <c r="G611" s="11"/>
      <c r="H611" s="10"/>
      <c r="I611" s="11"/>
      <c r="J611" s="10"/>
      <c r="K611" s="11"/>
    </row>
    <row r="612">
      <c r="A612" s="8" t="s">
        <v>37</v>
      </c>
      <c r="B612" s="9" t="s">
        <v>88</v>
      </c>
      <c r="C612" s="9" t="s">
        <v>89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470</f>
        <v>470.0</v>
      </c>
    </row>
    <row r="613">
      <c r="A613" s="8" t="s">
        <v>38</v>
      </c>
      <c r="B613" s="9" t="s">
        <v>88</v>
      </c>
      <c r="C613" s="9" t="s">
        <v>89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470</f>
        <v>470.0</v>
      </c>
    </row>
    <row r="614">
      <c r="A614" s="8" t="s">
        <v>39</v>
      </c>
      <c r="B614" s="9" t="s">
        <v>88</v>
      </c>
      <c r="C614" s="9" t="s">
        <v>89</v>
      </c>
      <c r="D614" s="10"/>
      <c r="E614" s="11" t="n">
        <f>1</f>
        <v>1.0</v>
      </c>
      <c r="F614" s="10"/>
      <c r="G614" s="11" t="n">
        <f>2232000</f>
        <v>2232000.0</v>
      </c>
      <c r="H614" s="10"/>
      <c r="I614" s="11" t="str">
        <f>"－"</f>
        <v>－</v>
      </c>
      <c r="J614" s="10"/>
      <c r="K614" s="11" t="n">
        <f>471</f>
        <v>471.0</v>
      </c>
    </row>
    <row r="615">
      <c r="A615" s="8" t="s">
        <v>40</v>
      </c>
      <c r="B615" s="9" t="s">
        <v>88</v>
      </c>
      <c r="C615" s="9" t="s">
        <v>89</v>
      </c>
      <c r="D615" s="10"/>
      <c r="E615" s="11" t="str">
        <f>"－"</f>
        <v>－</v>
      </c>
      <c r="F615" s="10"/>
      <c r="G615" s="11" t="str">
        <f>"－"</f>
        <v>－</v>
      </c>
      <c r="H615" s="10"/>
      <c r="I615" s="11" t="str">
        <f>"－"</f>
        <v>－</v>
      </c>
      <c r="J615" s="10"/>
      <c r="K615" s="11" t="n">
        <f>471</f>
        <v>471.0</v>
      </c>
    </row>
    <row r="616">
      <c r="A616" s="8" t="s">
        <v>41</v>
      </c>
      <c r="B616" s="9" t="s">
        <v>88</v>
      </c>
      <c r="C616" s="9" t="s">
        <v>89</v>
      </c>
      <c r="D616" s="10"/>
      <c r="E616" s="11" t="str">
        <f>"－"</f>
        <v>－</v>
      </c>
      <c r="F616" s="10"/>
      <c r="G616" s="11" t="str">
        <f>"－"</f>
        <v>－</v>
      </c>
      <c r="H616" s="10"/>
      <c r="I616" s="11" t="str">
        <f>"－"</f>
        <v>－</v>
      </c>
      <c r="J616" s="10"/>
      <c r="K616" s="11" t="n">
        <f>471</f>
        <v>471.0</v>
      </c>
    </row>
    <row r="617">
      <c r="A617" s="8" t="s">
        <v>42</v>
      </c>
      <c r="B617" s="9" t="s">
        <v>88</v>
      </c>
      <c r="C617" s="9" t="s">
        <v>89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43</v>
      </c>
      <c r="B618" s="9" t="s">
        <v>88</v>
      </c>
      <c r="C618" s="9" t="s">
        <v>89</v>
      </c>
      <c r="D618" s="10"/>
      <c r="E618" s="11"/>
      <c r="F618" s="10"/>
      <c r="G618" s="11"/>
      <c r="H618" s="10"/>
      <c r="I618" s="11"/>
      <c r="J618" s="10"/>
      <c r="K618" s="11"/>
    </row>
    <row r="619">
      <c r="A619" s="8" t="s">
        <v>44</v>
      </c>
      <c r="B619" s="9" t="s">
        <v>88</v>
      </c>
      <c r="C619" s="9" t="s">
        <v>89</v>
      </c>
      <c r="D619" s="10"/>
      <c r="E619" s="11" t="n">
        <f>10</f>
        <v>10.0</v>
      </c>
      <c r="F619" s="10"/>
      <c r="G619" s="11" t="n">
        <f>13896000</f>
        <v>1.3896E7</v>
      </c>
      <c r="H619" s="10"/>
      <c r="I619" s="11" t="str">
        <f>"－"</f>
        <v>－</v>
      </c>
      <c r="J619" s="10"/>
      <c r="K619" s="11" t="n">
        <f>481</f>
        <v>481.0</v>
      </c>
    </row>
    <row r="620">
      <c r="A620" s="8" t="s">
        <v>45</v>
      </c>
      <c r="B620" s="9" t="s">
        <v>88</v>
      </c>
      <c r="C620" s="9" t="s">
        <v>89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481</f>
        <v>481.0</v>
      </c>
    </row>
    <row r="621">
      <c r="A621" s="8" t="s">
        <v>46</v>
      </c>
      <c r="B621" s="9" t="s">
        <v>88</v>
      </c>
      <c r="C621" s="9" t="s">
        <v>89</v>
      </c>
      <c r="D621" s="10"/>
      <c r="E621" s="11" t="n">
        <f>1</f>
        <v>1.0</v>
      </c>
      <c r="F621" s="10"/>
      <c r="G621" s="11" t="n">
        <f>1965600</f>
        <v>1965600.0</v>
      </c>
      <c r="H621" s="10"/>
      <c r="I621" s="11" t="str">
        <f>"－"</f>
        <v>－</v>
      </c>
      <c r="J621" s="10"/>
      <c r="K621" s="11" t="n">
        <f>481</f>
        <v>481.0</v>
      </c>
    </row>
    <row r="622">
      <c r="A622" s="8" t="s">
        <v>47</v>
      </c>
      <c r="B622" s="9" t="s">
        <v>88</v>
      </c>
      <c r="C622" s="9" t="s">
        <v>89</v>
      </c>
      <c r="D622" s="10"/>
      <c r="E622" s="11" t="n">
        <f>8</f>
        <v>8.0</v>
      </c>
      <c r="F622" s="10"/>
      <c r="G622" s="11" t="n">
        <f>10806912</f>
        <v>1.0806912E7</v>
      </c>
      <c r="H622" s="10"/>
      <c r="I622" s="11" t="str">
        <f>"－"</f>
        <v>－</v>
      </c>
      <c r="J622" s="10"/>
      <c r="K622" s="11" t="n">
        <f>481</f>
        <v>481.0</v>
      </c>
    </row>
    <row r="623">
      <c r="A623" s="8" t="s">
        <v>48</v>
      </c>
      <c r="B623" s="9" t="s">
        <v>88</v>
      </c>
      <c r="C623" s="9" t="s">
        <v>89</v>
      </c>
      <c r="D623" s="10"/>
      <c r="E623" s="11" t="str">
        <f>"－"</f>
        <v>－</v>
      </c>
      <c r="F623" s="10"/>
      <c r="G623" s="11" t="str">
        <f>"－"</f>
        <v>－</v>
      </c>
      <c r="H623" s="10"/>
      <c r="I623" s="11" t="str">
        <f>"－"</f>
        <v>－</v>
      </c>
      <c r="J623" s="10"/>
      <c r="K623" s="11" t="n">
        <f>481</f>
        <v>481.0</v>
      </c>
    </row>
    <row r="624">
      <c r="A624" s="8" t="s">
        <v>49</v>
      </c>
      <c r="B624" s="9" t="s">
        <v>88</v>
      </c>
      <c r="C624" s="9" t="s">
        <v>89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50</v>
      </c>
      <c r="B625" s="9" t="s">
        <v>88</v>
      </c>
      <c r="C625" s="9" t="s">
        <v>89</v>
      </c>
      <c r="D625" s="10"/>
      <c r="E625" s="11"/>
      <c r="F625" s="10"/>
      <c r="G625" s="11"/>
      <c r="H625" s="10"/>
      <c r="I625" s="11"/>
      <c r="J625" s="10"/>
      <c r="K625" s="11"/>
    </row>
    <row r="626">
      <c r="A626" s="8" t="s">
        <v>16</v>
      </c>
      <c r="B626" s="9" t="s">
        <v>90</v>
      </c>
      <c r="C626" s="9" t="s">
        <v>91</v>
      </c>
      <c r="D626" s="10"/>
      <c r="E626" s="11" t="n">
        <f>5</f>
        <v>5.0</v>
      </c>
      <c r="F626" s="10"/>
      <c r="G626" s="11" t="n">
        <f>1560000</f>
        <v>1560000.0</v>
      </c>
      <c r="H626" s="10" t="s">
        <v>53</v>
      </c>
      <c r="I626" s="11" t="str">
        <f>"－"</f>
        <v>－</v>
      </c>
      <c r="J626" s="10" t="s">
        <v>26</v>
      </c>
      <c r="K626" s="11" t="n">
        <f>1183</f>
        <v>1183.0</v>
      </c>
    </row>
    <row r="627">
      <c r="A627" s="8" t="s">
        <v>19</v>
      </c>
      <c r="B627" s="9" t="s">
        <v>90</v>
      </c>
      <c r="C627" s="9" t="s">
        <v>91</v>
      </c>
      <c r="D627" s="10"/>
      <c r="E627" s="11"/>
      <c r="F627" s="10"/>
      <c r="G627" s="11"/>
      <c r="H627" s="10"/>
      <c r="I627" s="11"/>
      <c r="J627" s="10"/>
      <c r="K627" s="11"/>
    </row>
    <row r="628">
      <c r="A628" s="8" t="s">
        <v>20</v>
      </c>
      <c r="B628" s="9" t="s">
        <v>90</v>
      </c>
      <c r="C628" s="9" t="s">
        <v>91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21</v>
      </c>
      <c r="B629" s="9" t="s">
        <v>90</v>
      </c>
      <c r="C629" s="9" t="s">
        <v>91</v>
      </c>
      <c r="D629" s="10"/>
      <c r="E629" s="11" t="n">
        <f>2</f>
        <v>2.0</v>
      </c>
      <c r="F629" s="10"/>
      <c r="G629" s="11" t="n">
        <f>672000</f>
        <v>672000.0</v>
      </c>
      <c r="H629" s="10"/>
      <c r="I629" s="11" t="str">
        <f>"－"</f>
        <v>－</v>
      </c>
      <c r="J629" s="10" t="s">
        <v>22</v>
      </c>
      <c r="K629" s="11" t="n">
        <f>767</f>
        <v>767.0</v>
      </c>
    </row>
    <row r="630">
      <c r="A630" s="8" t="s">
        <v>23</v>
      </c>
      <c r="B630" s="9" t="s">
        <v>90</v>
      </c>
      <c r="C630" s="9" t="s">
        <v>91</v>
      </c>
      <c r="D630" s="10" t="s">
        <v>22</v>
      </c>
      <c r="E630" s="11" t="str">
        <f>"－"</f>
        <v>－</v>
      </c>
      <c r="F630" s="10" t="s">
        <v>22</v>
      </c>
      <c r="G630" s="11" t="str">
        <f>"－"</f>
        <v>－</v>
      </c>
      <c r="H630" s="10"/>
      <c r="I630" s="11" t="str">
        <f>"－"</f>
        <v>－</v>
      </c>
      <c r="J630" s="10"/>
      <c r="K630" s="11" t="n">
        <f>767</f>
        <v>767.0</v>
      </c>
    </row>
    <row r="631">
      <c r="A631" s="8" t="s">
        <v>24</v>
      </c>
      <c r="B631" s="9" t="s">
        <v>90</v>
      </c>
      <c r="C631" s="9" t="s">
        <v>91</v>
      </c>
      <c r="D631" s="10"/>
      <c r="E631" s="11" t="str">
        <f>"－"</f>
        <v>－</v>
      </c>
      <c r="F631" s="10"/>
      <c r="G631" s="11" t="str">
        <f>"－"</f>
        <v>－</v>
      </c>
      <c r="H631" s="10"/>
      <c r="I631" s="11" t="str">
        <f>"－"</f>
        <v>－</v>
      </c>
      <c r="J631" s="10"/>
      <c r="K631" s="11" t="n">
        <f>767</f>
        <v>767.0</v>
      </c>
    </row>
    <row r="632">
      <c r="A632" s="8" t="s">
        <v>25</v>
      </c>
      <c r="B632" s="9" t="s">
        <v>90</v>
      </c>
      <c r="C632" s="9" t="s">
        <v>91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 t="n">
        <f>767</f>
        <v>767.0</v>
      </c>
    </row>
    <row r="633">
      <c r="A633" s="8" t="s">
        <v>27</v>
      </c>
      <c r="B633" s="9" t="s">
        <v>90</v>
      </c>
      <c r="C633" s="9" t="s">
        <v>91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767</f>
        <v>767.0</v>
      </c>
    </row>
    <row r="634">
      <c r="A634" s="8" t="s">
        <v>28</v>
      </c>
      <c r="B634" s="9" t="s">
        <v>90</v>
      </c>
      <c r="C634" s="9" t="s">
        <v>91</v>
      </c>
      <c r="D634" s="10"/>
      <c r="E634" s="11"/>
      <c r="F634" s="10"/>
      <c r="G634" s="11"/>
      <c r="H634" s="10"/>
      <c r="I634" s="11"/>
      <c r="J634" s="10"/>
      <c r="K634" s="11"/>
    </row>
    <row r="635">
      <c r="A635" s="8" t="s">
        <v>29</v>
      </c>
      <c r="B635" s="9" t="s">
        <v>90</v>
      </c>
      <c r="C635" s="9" t="s">
        <v>91</v>
      </c>
      <c r="D635" s="10"/>
      <c r="E635" s="11"/>
      <c r="F635" s="10"/>
      <c r="G635" s="11"/>
      <c r="H635" s="10"/>
      <c r="I635" s="11"/>
      <c r="J635" s="10"/>
      <c r="K635" s="11"/>
    </row>
    <row r="636">
      <c r="A636" s="8" t="s">
        <v>30</v>
      </c>
      <c r="B636" s="9" t="s">
        <v>90</v>
      </c>
      <c r="C636" s="9" t="s">
        <v>91</v>
      </c>
      <c r="D636" s="10"/>
      <c r="E636" s="11" t="str">
        <f>"－"</f>
        <v>－</v>
      </c>
      <c r="F636" s="10"/>
      <c r="G636" s="11" t="str">
        <f>"－"</f>
        <v>－</v>
      </c>
      <c r="H636" s="10"/>
      <c r="I636" s="11" t="str">
        <f>"－"</f>
        <v>－</v>
      </c>
      <c r="J636" s="10"/>
      <c r="K636" s="11" t="n">
        <f>767</f>
        <v>767.0</v>
      </c>
    </row>
    <row r="637">
      <c r="A637" s="8" t="s">
        <v>31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767</f>
        <v>767.0</v>
      </c>
    </row>
    <row r="638">
      <c r="A638" s="8" t="s">
        <v>32</v>
      </c>
      <c r="B638" s="9" t="s">
        <v>90</v>
      </c>
      <c r="C638" s="9" t="s">
        <v>91</v>
      </c>
      <c r="D638" s="10"/>
      <c r="E638" s="11" t="n">
        <f>2</f>
        <v>2.0</v>
      </c>
      <c r="F638" s="10"/>
      <c r="G638" s="11" t="n">
        <f>1200000</f>
        <v>1200000.0</v>
      </c>
      <c r="H638" s="10"/>
      <c r="I638" s="11" t="str">
        <f>"－"</f>
        <v>－</v>
      </c>
      <c r="J638" s="10"/>
      <c r="K638" s="11" t="n">
        <f>769</f>
        <v>769.0</v>
      </c>
    </row>
    <row r="639">
      <c r="A639" s="8" t="s">
        <v>33</v>
      </c>
      <c r="B639" s="9" t="s">
        <v>90</v>
      </c>
      <c r="C639" s="9" t="s">
        <v>91</v>
      </c>
      <c r="D639" s="10"/>
      <c r="E639" s="11" t="str">
        <f>"－"</f>
        <v>－</v>
      </c>
      <c r="F639" s="10"/>
      <c r="G639" s="11" t="str">
        <f>"－"</f>
        <v>－</v>
      </c>
      <c r="H639" s="10"/>
      <c r="I639" s="11" t="str">
        <f>"－"</f>
        <v>－</v>
      </c>
      <c r="J639" s="10"/>
      <c r="K639" s="11" t="n">
        <f>769</f>
        <v>769.0</v>
      </c>
    </row>
    <row r="640">
      <c r="A640" s="8" t="s">
        <v>34</v>
      </c>
      <c r="B640" s="9" t="s">
        <v>90</v>
      </c>
      <c r="C640" s="9" t="s">
        <v>91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 t="n">
        <f>769</f>
        <v>769.0</v>
      </c>
    </row>
    <row r="641">
      <c r="A641" s="8" t="s">
        <v>35</v>
      </c>
      <c r="B641" s="9" t="s">
        <v>90</v>
      </c>
      <c r="C641" s="9" t="s">
        <v>91</v>
      </c>
      <c r="D641" s="10"/>
      <c r="E641" s="11"/>
      <c r="F641" s="10"/>
      <c r="G641" s="11"/>
      <c r="H641" s="10"/>
      <c r="I641" s="11"/>
      <c r="J641" s="10"/>
      <c r="K641" s="11"/>
    </row>
    <row r="642">
      <c r="A642" s="8" t="s">
        <v>36</v>
      </c>
      <c r="B642" s="9" t="s">
        <v>90</v>
      </c>
      <c r="C642" s="9" t="s">
        <v>91</v>
      </c>
      <c r="D642" s="10"/>
      <c r="E642" s="11"/>
      <c r="F642" s="10"/>
      <c r="G642" s="11"/>
      <c r="H642" s="10"/>
      <c r="I642" s="11"/>
      <c r="J642" s="10"/>
      <c r="K642" s="11"/>
    </row>
    <row r="643">
      <c r="A643" s="8" t="s">
        <v>37</v>
      </c>
      <c r="B643" s="9" t="s">
        <v>90</v>
      </c>
      <c r="C643" s="9" t="s">
        <v>91</v>
      </c>
      <c r="D643" s="10"/>
      <c r="E643" s="11" t="n">
        <f>1</f>
        <v>1.0</v>
      </c>
      <c r="F643" s="10"/>
      <c r="G643" s="11" t="n">
        <f>552000</f>
        <v>552000.0</v>
      </c>
      <c r="H643" s="10"/>
      <c r="I643" s="11" t="str">
        <f>"－"</f>
        <v>－</v>
      </c>
      <c r="J643" s="10"/>
      <c r="K643" s="11" t="n">
        <f>770</f>
        <v>770.0</v>
      </c>
    </row>
    <row r="644">
      <c r="A644" s="8" t="s">
        <v>38</v>
      </c>
      <c r="B644" s="9" t="s">
        <v>90</v>
      </c>
      <c r="C644" s="9" t="s">
        <v>91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770</f>
        <v>770.0</v>
      </c>
    </row>
    <row r="645">
      <c r="A645" s="8" t="s">
        <v>39</v>
      </c>
      <c r="B645" s="9" t="s">
        <v>90</v>
      </c>
      <c r="C645" s="9" t="s">
        <v>91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770</f>
        <v>770.0</v>
      </c>
    </row>
    <row r="646">
      <c r="A646" s="8" t="s">
        <v>40</v>
      </c>
      <c r="B646" s="9" t="s">
        <v>90</v>
      </c>
      <c r="C646" s="9" t="s">
        <v>91</v>
      </c>
      <c r="D646" s="10"/>
      <c r="E646" s="11" t="str">
        <f>"－"</f>
        <v>－</v>
      </c>
      <c r="F646" s="10"/>
      <c r="G646" s="11" t="str">
        <f>"－"</f>
        <v>－</v>
      </c>
      <c r="H646" s="10"/>
      <c r="I646" s="11" t="str">
        <f>"－"</f>
        <v>－</v>
      </c>
      <c r="J646" s="10"/>
      <c r="K646" s="11" t="n">
        <f>770</f>
        <v>770.0</v>
      </c>
    </row>
    <row r="647">
      <c r="A647" s="8" t="s">
        <v>41</v>
      </c>
      <c r="B647" s="9" t="s">
        <v>90</v>
      </c>
      <c r="C647" s="9" t="s">
        <v>91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 t="n">
        <f>770</f>
        <v>770.0</v>
      </c>
    </row>
    <row r="648">
      <c r="A648" s="8" t="s">
        <v>42</v>
      </c>
      <c r="B648" s="9" t="s">
        <v>90</v>
      </c>
      <c r="C648" s="9" t="s">
        <v>91</v>
      </c>
      <c r="D648" s="10"/>
      <c r="E648" s="11"/>
      <c r="F648" s="10"/>
      <c r="G648" s="11"/>
      <c r="H648" s="10"/>
      <c r="I648" s="11"/>
      <c r="J648" s="10"/>
      <c r="K648" s="11"/>
    </row>
    <row r="649">
      <c r="A649" s="8" t="s">
        <v>43</v>
      </c>
      <c r="B649" s="9" t="s">
        <v>90</v>
      </c>
      <c r="C649" s="9" t="s">
        <v>91</v>
      </c>
      <c r="D649" s="10"/>
      <c r="E649" s="11"/>
      <c r="F649" s="10"/>
      <c r="G649" s="11"/>
      <c r="H649" s="10"/>
      <c r="I649" s="11"/>
      <c r="J649" s="10"/>
      <c r="K649" s="11"/>
    </row>
    <row r="650">
      <c r="A650" s="8" t="s">
        <v>44</v>
      </c>
      <c r="B650" s="9" t="s">
        <v>90</v>
      </c>
      <c r="C650" s="9" t="s">
        <v>91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770</f>
        <v>770.0</v>
      </c>
    </row>
    <row r="651">
      <c r="A651" s="8" t="s">
        <v>45</v>
      </c>
      <c r="B651" s="9" t="s">
        <v>90</v>
      </c>
      <c r="C651" s="9" t="s">
        <v>91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770</f>
        <v>770.0</v>
      </c>
    </row>
    <row r="652">
      <c r="A652" s="8" t="s">
        <v>46</v>
      </c>
      <c r="B652" s="9" t="s">
        <v>90</v>
      </c>
      <c r="C652" s="9" t="s">
        <v>91</v>
      </c>
      <c r="D652" s="10"/>
      <c r="E652" s="11" t="n">
        <f>42</f>
        <v>42.0</v>
      </c>
      <c r="F652" s="10"/>
      <c r="G652" s="11" t="n">
        <f>32810400</f>
        <v>3.28104E7</v>
      </c>
      <c r="H652" s="10"/>
      <c r="I652" s="11" t="str">
        <f>"－"</f>
        <v>－</v>
      </c>
      <c r="J652" s="10"/>
      <c r="K652" s="11" t="n">
        <f>770</f>
        <v>770.0</v>
      </c>
    </row>
    <row r="653">
      <c r="A653" s="8" t="s">
        <v>47</v>
      </c>
      <c r="B653" s="9" t="s">
        <v>90</v>
      </c>
      <c r="C653" s="9" t="s">
        <v>91</v>
      </c>
      <c r="D653" s="10"/>
      <c r="E653" s="11" t="n">
        <f>11</f>
        <v>11.0</v>
      </c>
      <c r="F653" s="10"/>
      <c r="G653" s="11" t="n">
        <f>8467440</f>
        <v>8467440.0</v>
      </c>
      <c r="H653" s="10"/>
      <c r="I653" s="11" t="str">
        <f>"－"</f>
        <v>－</v>
      </c>
      <c r="J653" s="10"/>
      <c r="K653" s="11" t="n">
        <f>775</f>
        <v>775.0</v>
      </c>
    </row>
    <row r="654">
      <c r="A654" s="8" t="s">
        <v>48</v>
      </c>
      <c r="B654" s="9" t="s">
        <v>90</v>
      </c>
      <c r="C654" s="9" t="s">
        <v>91</v>
      </c>
      <c r="D654" s="10" t="s">
        <v>26</v>
      </c>
      <c r="E654" s="11" t="n">
        <f>117</f>
        <v>117.0</v>
      </c>
      <c r="F654" s="10" t="s">
        <v>26</v>
      </c>
      <c r="G654" s="11" t="n">
        <f>83650680</f>
        <v>8.365068E7</v>
      </c>
      <c r="H654" s="10"/>
      <c r="I654" s="11" t="str">
        <f>"－"</f>
        <v>－</v>
      </c>
      <c r="J654" s="10"/>
      <c r="K654" s="11" t="n">
        <f>842</f>
        <v>842.0</v>
      </c>
    </row>
    <row r="655">
      <c r="A655" s="8" t="s">
        <v>49</v>
      </c>
      <c r="B655" s="9" t="s">
        <v>90</v>
      </c>
      <c r="C655" s="9" t="s">
        <v>91</v>
      </c>
      <c r="D655" s="10"/>
      <c r="E655" s="11"/>
      <c r="F655" s="10"/>
      <c r="G655" s="11"/>
      <c r="H655" s="10"/>
      <c r="I655" s="11"/>
      <c r="J655" s="10"/>
      <c r="K655" s="11"/>
    </row>
    <row r="656">
      <c r="A656" s="8" t="s">
        <v>50</v>
      </c>
      <c r="B656" s="9" t="s">
        <v>90</v>
      </c>
      <c r="C656" s="9" t="s">
        <v>91</v>
      </c>
      <c r="D656" s="10"/>
      <c r="E656" s="11"/>
      <c r="F656" s="10"/>
      <c r="G656" s="11"/>
      <c r="H656" s="10"/>
      <c r="I656" s="11"/>
      <c r="J656" s="10"/>
      <c r="K656" s="11"/>
    </row>
    <row r="657">
      <c r="A657" s="8" t="s">
        <v>16</v>
      </c>
      <c r="B657" s="9" t="s">
        <v>92</v>
      </c>
      <c r="C657" s="9" t="s">
        <v>93</v>
      </c>
      <c r="D657" s="10" t="s">
        <v>53</v>
      </c>
      <c r="E657" s="11" t="str">
        <f>"－"</f>
        <v>－</v>
      </c>
      <c r="F657" s="10" t="s">
        <v>53</v>
      </c>
      <c r="G657" s="11" t="str">
        <f>"－"</f>
        <v>－</v>
      </c>
      <c r="H657" s="10" t="s">
        <v>53</v>
      </c>
      <c r="I657" s="11" t="str">
        <f>"－"</f>
        <v>－</v>
      </c>
      <c r="J657" s="10" t="s">
        <v>26</v>
      </c>
      <c r="K657" s="11" t="n">
        <f>783</f>
        <v>783.0</v>
      </c>
    </row>
    <row r="658">
      <c r="A658" s="8" t="s">
        <v>19</v>
      </c>
      <c r="B658" s="9" t="s">
        <v>92</v>
      </c>
      <c r="C658" s="9" t="s">
        <v>93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20</v>
      </c>
      <c r="B659" s="9" t="s">
        <v>92</v>
      </c>
      <c r="C659" s="9" t="s">
        <v>93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21</v>
      </c>
      <c r="B660" s="9" t="s">
        <v>92</v>
      </c>
      <c r="C660" s="9" t="s">
        <v>93</v>
      </c>
      <c r="D660" s="10"/>
      <c r="E660" s="11" t="str">
        <f>"－"</f>
        <v>－</v>
      </c>
      <c r="F660" s="10"/>
      <c r="G660" s="11" t="str">
        <f>"－"</f>
        <v>－</v>
      </c>
      <c r="H660" s="10"/>
      <c r="I660" s="11" t="str">
        <f>"－"</f>
        <v>－</v>
      </c>
      <c r="J660" s="10" t="s">
        <v>22</v>
      </c>
      <c r="K660" s="11" t="n">
        <f>490</f>
        <v>490.0</v>
      </c>
    </row>
    <row r="661">
      <c r="A661" s="8" t="s">
        <v>23</v>
      </c>
      <c r="B661" s="9" t="s">
        <v>92</v>
      </c>
      <c r="C661" s="9" t="s">
        <v>93</v>
      </c>
      <c r="D661" s="10"/>
      <c r="E661" s="11" t="str">
        <f>"－"</f>
        <v>－</v>
      </c>
      <c r="F661" s="10"/>
      <c r="G661" s="11" t="str">
        <f>"－"</f>
        <v>－</v>
      </c>
      <c r="H661" s="10"/>
      <c r="I661" s="11" t="str">
        <f>"－"</f>
        <v>－</v>
      </c>
      <c r="J661" s="10"/>
      <c r="K661" s="11" t="n">
        <f>490</f>
        <v>490.0</v>
      </c>
    </row>
    <row r="662">
      <c r="A662" s="8" t="s">
        <v>24</v>
      </c>
      <c r="B662" s="9" t="s">
        <v>92</v>
      </c>
      <c r="C662" s="9" t="s">
        <v>93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490</f>
        <v>490.0</v>
      </c>
    </row>
    <row r="663">
      <c r="A663" s="8" t="s">
        <v>25</v>
      </c>
      <c r="B663" s="9" t="s">
        <v>92</v>
      </c>
      <c r="C663" s="9" t="s">
        <v>93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490</f>
        <v>490.0</v>
      </c>
    </row>
    <row r="664">
      <c r="A664" s="8" t="s">
        <v>27</v>
      </c>
      <c r="B664" s="9" t="s">
        <v>92</v>
      </c>
      <c r="C664" s="9" t="s">
        <v>93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490</f>
        <v>490.0</v>
      </c>
    </row>
    <row r="665">
      <c r="A665" s="8" t="s">
        <v>28</v>
      </c>
      <c r="B665" s="9" t="s">
        <v>92</v>
      </c>
      <c r="C665" s="9" t="s">
        <v>93</v>
      </c>
      <c r="D665" s="10"/>
      <c r="E665" s="11"/>
      <c r="F665" s="10"/>
      <c r="G665" s="11"/>
      <c r="H665" s="10"/>
      <c r="I665" s="11"/>
      <c r="J665" s="10"/>
      <c r="K665" s="11"/>
    </row>
    <row r="666">
      <c r="A666" s="8" t="s">
        <v>29</v>
      </c>
      <c r="B666" s="9" t="s">
        <v>92</v>
      </c>
      <c r="C666" s="9" t="s">
        <v>93</v>
      </c>
      <c r="D666" s="10"/>
      <c r="E666" s="11"/>
      <c r="F666" s="10"/>
      <c r="G666" s="11"/>
      <c r="H666" s="10"/>
      <c r="I666" s="11"/>
      <c r="J666" s="10"/>
      <c r="K666" s="11"/>
    </row>
    <row r="667">
      <c r="A667" s="8" t="s">
        <v>30</v>
      </c>
      <c r="B667" s="9" t="s">
        <v>92</v>
      </c>
      <c r="C667" s="9" t="s">
        <v>93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n">
        <f>490</f>
        <v>490.0</v>
      </c>
    </row>
    <row r="668">
      <c r="A668" s="8" t="s">
        <v>31</v>
      </c>
      <c r="B668" s="9" t="s">
        <v>92</v>
      </c>
      <c r="C668" s="9" t="s">
        <v>93</v>
      </c>
      <c r="D668" s="10"/>
      <c r="E668" s="11" t="str">
        <f>"－"</f>
        <v>－</v>
      </c>
      <c r="F668" s="10"/>
      <c r="G668" s="11" t="str">
        <f>"－"</f>
        <v>－</v>
      </c>
      <c r="H668" s="10"/>
      <c r="I668" s="11" t="str">
        <f>"－"</f>
        <v>－</v>
      </c>
      <c r="J668" s="10"/>
      <c r="K668" s="11" t="n">
        <f>490</f>
        <v>490.0</v>
      </c>
    </row>
    <row r="669">
      <c r="A669" s="8" t="s">
        <v>32</v>
      </c>
      <c r="B669" s="9" t="s">
        <v>92</v>
      </c>
      <c r="C669" s="9" t="s">
        <v>93</v>
      </c>
      <c r="D669" s="10"/>
      <c r="E669" s="11" t="str">
        <f>"－"</f>
        <v>－</v>
      </c>
      <c r="F669" s="10"/>
      <c r="G669" s="11" t="str">
        <f>"－"</f>
        <v>－</v>
      </c>
      <c r="H669" s="10"/>
      <c r="I669" s="11" t="str">
        <f>"－"</f>
        <v>－</v>
      </c>
      <c r="J669" s="10"/>
      <c r="K669" s="11" t="n">
        <f>490</f>
        <v>490.0</v>
      </c>
    </row>
    <row r="670">
      <c r="A670" s="8" t="s">
        <v>33</v>
      </c>
      <c r="B670" s="9" t="s">
        <v>92</v>
      </c>
      <c r="C670" s="9" t="s">
        <v>93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 t="n">
        <f>490</f>
        <v>490.0</v>
      </c>
    </row>
    <row r="671">
      <c r="A671" s="8" t="s">
        <v>34</v>
      </c>
      <c r="B671" s="9" t="s">
        <v>92</v>
      </c>
      <c r="C671" s="9" t="s">
        <v>93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490</f>
        <v>490.0</v>
      </c>
    </row>
    <row r="672">
      <c r="A672" s="8" t="s">
        <v>35</v>
      </c>
      <c r="B672" s="9" t="s">
        <v>92</v>
      </c>
      <c r="C672" s="9" t="s">
        <v>93</v>
      </c>
      <c r="D672" s="10"/>
      <c r="E672" s="11"/>
      <c r="F672" s="10"/>
      <c r="G672" s="11"/>
      <c r="H672" s="10"/>
      <c r="I672" s="11"/>
      <c r="J672" s="10"/>
      <c r="K672" s="11"/>
    </row>
    <row r="673">
      <c r="A673" s="8" t="s">
        <v>36</v>
      </c>
      <c r="B673" s="9" t="s">
        <v>92</v>
      </c>
      <c r="C673" s="9" t="s">
        <v>93</v>
      </c>
      <c r="D673" s="10"/>
      <c r="E673" s="11"/>
      <c r="F673" s="10"/>
      <c r="G673" s="11"/>
      <c r="H673" s="10"/>
      <c r="I673" s="11"/>
      <c r="J673" s="10"/>
      <c r="K673" s="11"/>
    </row>
    <row r="674">
      <c r="A674" s="8" t="s">
        <v>37</v>
      </c>
      <c r="B674" s="9" t="s">
        <v>92</v>
      </c>
      <c r="C674" s="9" t="s">
        <v>93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n">
        <f>490</f>
        <v>490.0</v>
      </c>
    </row>
    <row r="675">
      <c r="A675" s="8" t="s">
        <v>38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490</f>
        <v>490.0</v>
      </c>
    </row>
    <row r="676">
      <c r="A676" s="8" t="s">
        <v>39</v>
      </c>
      <c r="B676" s="9" t="s">
        <v>92</v>
      </c>
      <c r="C676" s="9" t="s">
        <v>93</v>
      </c>
      <c r="D676" s="10"/>
      <c r="E676" s="11" t="str">
        <f>"－"</f>
        <v>－</v>
      </c>
      <c r="F676" s="10"/>
      <c r="G676" s="11" t="str">
        <f>"－"</f>
        <v>－</v>
      </c>
      <c r="H676" s="10"/>
      <c r="I676" s="11" t="str">
        <f>"－"</f>
        <v>－</v>
      </c>
      <c r="J676" s="10"/>
      <c r="K676" s="11" t="n">
        <f>490</f>
        <v>490.0</v>
      </c>
    </row>
    <row r="677">
      <c r="A677" s="8" t="s">
        <v>40</v>
      </c>
      <c r="B677" s="9" t="s">
        <v>92</v>
      </c>
      <c r="C677" s="9" t="s">
        <v>93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490</f>
        <v>490.0</v>
      </c>
    </row>
    <row r="678">
      <c r="A678" s="8" t="s">
        <v>41</v>
      </c>
      <c r="B678" s="9" t="s">
        <v>92</v>
      </c>
      <c r="C678" s="9" t="s">
        <v>93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n">
        <f>490</f>
        <v>490.0</v>
      </c>
    </row>
    <row r="679">
      <c r="A679" s="8" t="s">
        <v>42</v>
      </c>
      <c r="B679" s="9" t="s">
        <v>92</v>
      </c>
      <c r="C679" s="9" t="s">
        <v>93</v>
      </c>
      <c r="D679" s="10"/>
      <c r="E679" s="11"/>
      <c r="F679" s="10"/>
      <c r="G679" s="11"/>
      <c r="H679" s="10"/>
      <c r="I679" s="11"/>
      <c r="J679" s="10"/>
      <c r="K679" s="11"/>
    </row>
    <row r="680">
      <c r="A680" s="8" t="s">
        <v>43</v>
      </c>
      <c r="B680" s="9" t="s">
        <v>92</v>
      </c>
      <c r="C680" s="9" t="s">
        <v>93</v>
      </c>
      <c r="D680" s="10"/>
      <c r="E680" s="11"/>
      <c r="F680" s="10"/>
      <c r="G680" s="11"/>
      <c r="H680" s="10"/>
      <c r="I680" s="11"/>
      <c r="J680" s="10"/>
      <c r="K680" s="11"/>
    </row>
    <row r="681">
      <c r="A681" s="8" t="s">
        <v>44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490</f>
        <v>490.0</v>
      </c>
    </row>
    <row r="682">
      <c r="A682" s="8" t="s">
        <v>45</v>
      </c>
      <c r="B682" s="9" t="s">
        <v>92</v>
      </c>
      <c r="C682" s="9" t="s">
        <v>93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n">
        <f>490</f>
        <v>490.0</v>
      </c>
    </row>
    <row r="683">
      <c r="A683" s="8" t="s">
        <v>46</v>
      </c>
      <c r="B683" s="9" t="s">
        <v>92</v>
      </c>
      <c r="C683" s="9" t="s">
        <v>93</v>
      </c>
      <c r="D683" s="10"/>
      <c r="E683" s="11" t="str">
        <f>"－"</f>
        <v>－</v>
      </c>
      <c r="F683" s="10"/>
      <c r="G683" s="11" t="str">
        <f>"－"</f>
        <v>－</v>
      </c>
      <c r="H683" s="10"/>
      <c r="I683" s="11" t="str">
        <f>"－"</f>
        <v>－</v>
      </c>
      <c r="J683" s="10"/>
      <c r="K683" s="11" t="n">
        <f>490</f>
        <v>490.0</v>
      </c>
    </row>
    <row r="684">
      <c r="A684" s="8" t="s">
        <v>47</v>
      </c>
      <c r="B684" s="9" t="s">
        <v>92</v>
      </c>
      <c r="C684" s="9" t="s">
        <v>93</v>
      </c>
      <c r="D684" s="10"/>
      <c r="E684" s="11" t="str">
        <f>"－"</f>
        <v>－</v>
      </c>
      <c r="F684" s="10"/>
      <c r="G684" s="11" t="str">
        <f>"－"</f>
        <v>－</v>
      </c>
      <c r="H684" s="10"/>
      <c r="I684" s="11" t="str">
        <f>"－"</f>
        <v>－</v>
      </c>
      <c r="J684" s="10"/>
      <c r="K684" s="11" t="n">
        <f>490</f>
        <v>490.0</v>
      </c>
    </row>
    <row r="685">
      <c r="A685" s="8" t="s">
        <v>48</v>
      </c>
      <c r="B685" s="9" t="s">
        <v>92</v>
      </c>
      <c r="C685" s="9" t="s">
        <v>93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n">
        <f>490</f>
        <v>490.0</v>
      </c>
    </row>
    <row r="686">
      <c r="A686" s="8" t="s">
        <v>49</v>
      </c>
      <c r="B686" s="9" t="s">
        <v>92</v>
      </c>
      <c r="C686" s="9" t="s">
        <v>93</v>
      </c>
      <c r="D686" s="10"/>
      <c r="E686" s="11"/>
      <c r="F686" s="10"/>
      <c r="G686" s="11"/>
      <c r="H686" s="10"/>
      <c r="I686" s="11"/>
      <c r="J686" s="10"/>
      <c r="K686" s="11"/>
    </row>
    <row r="687">
      <c r="A687" s="8" t="s">
        <v>50</v>
      </c>
      <c r="B687" s="9" t="s">
        <v>92</v>
      </c>
      <c r="C687" s="9" t="s">
        <v>93</v>
      </c>
      <c r="D687" s="10"/>
      <c r="E687" s="11"/>
      <c r="F687" s="10"/>
      <c r="G687" s="11"/>
      <c r="H687" s="10"/>
      <c r="I687" s="11"/>
      <c r="J687" s="10"/>
      <c r="K687" s="11"/>
    </row>
    <row r="688">
      <c r="A688" s="8" t="s">
        <v>16</v>
      </c>
      <c r="B688" s="9" t="s">
        <v>94</v>
      </c>
      <c r="C688" s="9" t="s">
        <v>95</v>
      </c>
      <c r="D688" s="10" t="s">
        <v>22</v>
      </c>
      <c r="E688" s="11" t="str">
        <f>"－"</f>
        <v>－</v>
      </c>
      <c r="F688" s="10" t="s">
        <v>22</v>
      </c>
      <c r="G688" s="11" t="str">
        <f>"－"</f>
        <v>－</v>
      </c>
      <c r="H688" s="10" t="s">
        <v>53</v>
      </c>
      <c r="I688" s="11" t="str">
        <f>"－"</f>
        <v>－</v>
      </c>
      <c r="J688" s="10"/>
      <c r="K688" s="11" t="n">
        <f>25</f>
        <v>25.0</v>
      </c>
    </row>
    <row r="689">
      <c r="A689" s="8" t="s">
        <v>19</v>
      </c>
      <c r="B689" s="9" t="s">
        <v>94</v>
      </c>
      <c r="C689" s="9" t="s">
        <v>95</v>
      </c>
      <c r="D689" s="10"/>
      <c r="E689" s="11"/>
      <c r="F689" s="10"/>
      <c r="G689" s="11"/>
      <c r="H689" s="10"/>
      <c r="I689" s="11"/>
      <c r="J689" s="10"/>
      <c r="K689" s="11"/>
    </row>
    <row r="690">
      <c r="A690" s="8" t="s">
        <v>20</v>
      </c>
      <c r="B690" s="9" t="s">
        <v>94</v>
      </c>
      <c r="C690" s="9" t="s">
        <v>95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21</v>
      </c>
      <c r="B691" s="9" t="s">
        <v>94</v>
      </c>
      <c r="C691" s="9" t="s">
        <v>95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 t="n">
        <f>25</f>
        <v>25.0</v>
      </c>
    </row>
    <row r="692">
      <c r="A692" s="8" t="s">
        <v>23</v>
      </c>
      <c r="B692" s="9" t="s">
        <v>94</v>
      </c>
      <c r="C692" s="9" t="s">
        <v>95</v>
      </c>
      <c r="D692" s="10"/>
      <c r="E692" s="11" t="n">
        <f>24</f>
        <v>24.0</v>
      </c>
      <c r="F692" s="10"/>
      <c r="G692" s="11" t="n">
        <f>17079000</f>
        <v>1.7079E7</v>
      </c>
      <c r="H692" s="10"/>
      <c r="I692" s="11" t="str">
        <f>"－"</f>
        <v>－</v>
      </c>
      <c r="J692" s="10"/>
      <c r="K692" s="11" t="n">
        <f>48</f>
        <v>48.0</v>
      </c>
    </row>
    <row r="693">
      <c r="A693" s="8" t="s">
        <v>24</v>
      </c>
      <c r="B693" s="9" t="s">
        <v>94</v>
      </c>
      <c r="C693" s="9" t="s">
        <v>95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n">
        <f>48</f>
        <v>48.0</v>
      </c>
    </row>
    <row r="694">
      <c r="A694" s="8" t="s">
        <v>25</v>
      </c>
      <c r="B694" s="9" t="s">
        <v>94</v>
      </c>
      <c r="C694" s="9" t="s">
        <v>95</v>
      </c>
      <c r="D694" s="10"/>
      <c r="E694" s="11" t="n">
        <f>11</f>
        <v>11.0</v>
      </c>
      <c r="F694" s="10"/>
      <c r="G694" s="11" t="n">
        <f>7865000</f>
        <v>7865000.0</v>
      </c>
      <c r="H694" s="10"/>
      <c r="I694" s="11" t="str">
        <f>"－"</f>
        <v>－</v>
      </c>
      <c r="J694" s="10"/>
      <c r="K694" s="11" t="n">
        <f>59</f>
        <v>59.0</v>
      </c>
    </row>
    <row r="695">
      <c r="A695" s="8" t="s">
        <v>27</v>
      </c>
      <c r="B695" s="9" t="s">
        <v>94</v>
      </c>
      <c r="C695" s="9" t="s">
        <v>95</v>
      </c>
      <c r="D695" s="10"/>
      <c r="E695" s="11" t="n">
        <f>19</f>
        <v>19.0</v>
      </c>
      <c r="F695" s="10"/>
      <c r="G695" s="11" t="n">
        <f>13795000</f>
        <v>1.3795E7</v>
      </c>
      <c r="H695" s="10"/>
      <c r="I695" s="11" t="str">
        <f>"－"</f>
        <v>－</v>
      </c>
      <c r="J695" s="10"/>
      <c r="K695" s="11" t="n">
        <f>77</f>
        <v>77.0</v>
      </c>
    </row>
    <row r="696">
      <c r="A696" s="8" t="s">
        <v>28</v>
      </c>
      <c r="B696" s="9" t="s">
        <v>94</v>
      </c>
      <c r="C696" s="9" t="s">
        <v>95</v>
      </c>
      <c r="D696" s="10"/>
      <c r="E696" s="11"/>
      <c r="F696" s="10"/>
      <c r="G696" s="11"/>
      <c r="H696" s="10"/>
      <c r="I696" s="11"/>
      <c r="J696" s="10"/>
      <c r="K696" s="11"/>
    </row>
    <row r="697">
      <c r="A697" s="8" t="s">
        <v>29</v>
      </c>
      <c r="B697" s="9" t="s">
        <v>94</v>
      </c>
      <c r="C697" s="9" t="s">
        <v>95</v>
      </c>
      <c r="D697" s="10"/>
      <c r="E697" s="11"/>
      <c r="F697" s="10"/>
      <c r="G697" s="11"/>
      <c r="H697" s="10"/>
      <c r="I697" s="11"/>
      <c r="J697" s="10"/>
      <c r="K697" s="11"/>
    </row>
    <row r="698">
      <c r="A698" s="8" t="s">
        <v>30</v>
      </c>
      <c r="B698" s="9" t="s">
        <v>94</v>
      </c>
      <c r="C698" s="9" t="s">
        <v>95</v>
      </c>
      <c r="D698" s="10"/>
      <c r="E698" s="11" t="str">
        <f>"－"</f>
        <v>－</v>
      </c>
      <c r="F698" s="10"/>
      <c r="G698" s="11" t="str">
        <f>"－"</f>
        <v>－</v>
      </c>
      <c r="H698" s="10"/>
      <c r="I698" s="11" t="str">
        <f>"－"</f>
        <v>－</v>
      </c>
      <c r="J698" s="10"/>
      <c r="K698" s="11" t="n">
        <f>77</f>
        <v>77.0</v>
      </c>
    </row>
    <row r="699">
      <c r="A699" s="8" t="s">
        <v>31</v>
      </c>
      <c r="B699" s="9" t="s">
        <v>94</v>
      </c>
      <c r="C699" s="9" t="s">
        <v>95</v>
      </c>
      <c r="D699" s="10"/>
      <c r="E699" s="11" t="n">
        <f>7</f>
        <v>7.0</v>
      </c>
      <c r="F699" s="10"/>
      <c r="G699" s="11" t="n">
        <f>5191000</f>
        <v>5191000.0</v>
      </c>
      <c r="H699" s="10"/>
      <c r="I699" s="11" t="str">
        <f>"－"</f>
        <v>－</v>
      </c>
      <c r="J699" s="10"/>
      <c r="K699" s="11" t="n">
        <f>84</f>
        <v>84.0</v>
      </c>
    </row>
    <row r="700">
      <c r="A700" s="8" t="s">
        <v>32</v>
      </c>
      <c r="B700" s="9" t="s">
        <v>94</v>
      </c>
      <c r="C700" s="9" t="s">
        <v>95</v>
      </c>
      <c r="D700" s="10"/>
      <c r="E700" s="11" t="str">
        <f>"－"</f>
        <v>－</v>
      </c>
      <c r="F700" s="10"/>
      <c r="G700" s="11" t="str">
        <f>"－"</f>
        <v>－</v>
      </c>
      <c r="H700" s="10"/>
      <c r="I700" s="11" t="str">
        <f>"－"</f>
        <v>－</v>
      </c>
      <c r="J700" s="10"/>
      <c r="K700" s="11" t="n">
        <f>84</f>
        <v>84.0</v>
      </c>
    </row>
    <row r="701">
      <c r="A701" s="8" t="s">
        <v>33</v>
      </c>
      <c r="B701" s="9" t="s">
        <v>94</v>
      </c>
      <c r="C701" s="9" t="s">
        <v>95</v>
      </c>
      <c r="D701" s="10"/>
      <c r="E701" s="11" t="n">
        <f>15</f>
        <v>15.0</v>
      </c>
      <c r="F701" s="10"/>
      <c r="G701" s="11" t="n">
        <f>11185000</f>
        <v>1.1185E7</v>
      </c>
      <c r="H701" s="10"/>
      <c r="I701" s="11" t="str">
        <f>"－"</f>
        <v>－</v>
      </c>
      <c r="J701" s="10"/>
      <c r="K701" s="11" t="n">
        <f>99</f>
        <v>99.0</v>
      </c>
    </row>
    <row r="702">
      <c r="A702" s="8" t="s">
        <v>34</v>
      </c>
      <c r="B702" s="9" t="s">
        <v>94</v>
      </c>
      <c r="C702" s="9" t="s">
        <v>95</v>
      </c>
      <c r="D702" s="10"/>
      <c r="E702" s="11" t="n">
        <f>12</f>
        <v>12.0</v>
      </c>
      <c r="F702" s="10"/>
      <c r="G702" s="11" t="n">
        <f>9050000</f>
        <v>9050000.0</v>
      </c>
      <c r="H702" s="10"/>
      <c r="I702" s="11" t="str">
        <f>"－"</f>
        <v>－</v>
      </c>
      <c r="J702" s="10"/>
      <c r="K702" s="11" t="n">
        <f>111</f>
        <v>111.0</v>
      </c>
    </row>
    <row r="703">
      <c r="A703" s="8" t="s">
        <v>35</v>
      </c>
      <c r="B703" s="9" t="s">
        <v>94</v>
      </c>
      <c r="C703" s="9" t="s">
        <v>95</v>
      </c>
      <c r="D703" s="10"/>
      <c r="E703" s="11"/>
      <c r="F703" s="10"/>
      <c r="G703" s="11"/>
      <c r="H703" s="10"/>
      <c r="I703" s="11"/>
      <c r="J703" s="10"/>
      <c r="K703" s="11"/>
    </row>
    <row r="704">
      <c r="A704" s="8" t="s">
        <v>36</v>
      </c>
      <c r="B704" s="9" t="s">
        <v>94</v>
      </c>
      <c r="C704" s="9" t="s">
        <v>95</v>
      </c>
      <c r="D704" s="10"/>
      <c r="E704" s="11"/>
      <c r="F704" s="10"/>
      <c r="G704" s="11"/>
      <c r="H704" s="10"/>
      <c r="I704" s="11"/>
      <c r="J704" s="10"/>
      <c r="K704" s="11"/>
    </row>
    <row r="705">
      <c r="A705" s="8" t="s">
        <v>37</v>
      </c>
      <c r="B705" s="9" t="s">
        <v>94</v>
      </c>
      <c r="C705" s="9" t="s">
        <v>95</v>
      </c>
      <c r="D705" s="10"/>
      <c r="E705" s="11" t="n">
        <f>15</f>
        <v>15.0</v>
      </c>
      <c r="F705" s="10"/>
      <c r="G705" s="11" t="n">
        <f>11475000</f>
        <v>1.1475E7</v>
      </c>
      <c r="H705" s="10"/>
      <c r="I705" s="11" t="str">
        <f>"－"</f>
        <v>－</v>
      </c>
      <c r="J705" s="10"/>
      <c r="K705" s="11" t="n">
        <f>126</f>
        <v>126.0</v>
      </c>
    </row>
    <row r="706">
      <c r="A706" s="8" t="s">
        <v>38</v>
      </c>
      <c r="B706" s="9" t="s">
        <v>94</v>
      </c>
      <c r="C706" s="9" t="s">
        <v>95</v>
      </c>
      <c r="D706" s="10"/>
      <c r="E706" s="11" t="n">
        <f>120</f>
        <v>120.0</v>
      </c>
      <c r="F706" s="10"/>
      <c r="G706" s="11" t="n">
        <f>91200000</f>
        <v>9.12E7</v>
      </c>
      <c r="H706" s="10"/>
      <c r="I706" s="11" t="str">
        <f>"－"</f>
        <v>－</v>
      </c>
      <c r="J706" s="10"/>
      <c r="K706" s="11" t="n">
        <f>246</f>
        <v>246.0</v>
      </c>
    </row>
    <row r="707">
      <c r="A707" s="8" t="s">
        <v>39</v>
      </c>
      <c r="B707" s="9" t="s">
        <v>94</v>
      </c>
      <c r="C707" s="9" t="s">
        <v>95</v>
      </c>
      <c r="D707" s="10"/>
      <c r="E707" s="11" t="n">
        <f>1</f>
        <v>1.0</v>
      </c>
      <c r="F707" s="10"/>
      <c r="G707" s="11" t="n">
        <f>770000</f>
        <v>770000.0</v>
      </c>
      <c r="H707" s="10"/>
      <c r="I707" s="11" t="str">
        <f>"－"</f>
        <v>－</v>
      </c>
      <c r="J707" s="10"/>
      <c r="K707" s="11" t="n">
        <f>247</f>
        <v>247.0</v>
      </c>
    </row>
    <row r="708">
      <c r="A708" s="8" t="s">
        <v>40</v>
      </c>
      <c r="B708" s="9" t="s">
        <v>94</v>
      </c>
      <c r="C708" s="9" t="s">
        <v>95</v>
      </c>
      <c r="D708" s="10"/>
      <c r="E708" s="11" t="n">
        <f>22</f>
        <v>22.0</v>
      </c>
      <c r="F708" s="10"/>
      <c r="G708" s="11" t="n">
        <f>16935000</f>
        <v>1.6935E7</v>
      </c>
      <c r="H708" s="10"/>
      <c r="I708" s="11" t="str">
        <f>"－"</f>
        <v>－</v>
      </c>
      <c r="J708" s="10"/>
      <c r="K708" s="11" t="n">
        <f>269</f>
        <v>269.0</v>
      </c>
    </row>
    <row r="709">
      <c r="A709" s="8" t="s">
        <v>41</v>
      </c>
      <c r="B709" s="9" t="s">
        <v>94</v>
      </c>
      <c r="C709" s="9" t="s">
        <v>95</v>
      </c>
      <c r="D709" s="10"/>
      <c r="E709" s="11" t="n">
        <f>43</f>
        <v>43.0</v>
      </c>
      <c r="F709" s="10"/>
      <c r="G709" s="11" t="n">
        <f>33001000</f>
        <v>3.3001E7</v>
      </c>
      <c r="H709" s="10"/>
      <c r="I709" s="11" t="str">
        <f>"－"</f>
        <v>－</v>
      </c>
      <c r="J709" s="10"/>
      <c r="K709" s="11" t="n">
        <f>312</f>
        <v>312.0</v>
      </c>
    </row>
    <row r="710">
      <c r="A710" s="8" t="s">
        <v>42</v>
      </c>
      <c r="B710" s="9" t="s">
        <v>94</v>
      </c>
      <c r="C710" s="9" t="s">
        <v>95</v>
      </c>
      <c r="D710" s="10"/>
      <c r="E710" s="11"/>
      <c r="F710" s="10"/>
      <c r="G710" s="11"/>
      <c r="H710" s="10"/>
      <c r="I710" s="11"/>
      <c r="J710" s="10"/>
      <c r="K710" s="11"/>
    </row>
    <row r="711">
      <c r="A711" s="8" t="s">
        <v>43</v>
      </c>
      <c r="B711" s="9" t="s">
        <v>94</v>
      </c>
      <c r="C711" s="9" t="s">
        <v>95</v>
      </c>
      <c r="D711" s="10"/>
      <c r="E711" s="11"/>
      <c r="F711" s="10"/>
      <c r="G711" s="11"/>
      <c r="H711" s="10"/>
      <c r="I711" s="11"/>
      <c r="J711" s="10"/>
      <c r="K711" s="11"/>
    </row>
    <row r="712">
      <c r="A712" s="8" t="s">
        <v>44</v>
      </c>
      <c r="B712" s="9" t="s">
        <v>94</v>
      </c>
      <c r="C712" s="9" t="s">
        <v>95</v>
      </c>
      <c r="D712" s="10" t="s">
        <v>26</v>
      </c>
      <c r="E712" s="11" t="n">
        <f>204</f>
        <v>204.0</v>
      </c>
      <c r="F712" s="10" t="s">
        <v>26</v>
      </c>
      <c r="G712" s="11" t="n">
        <f>158449000</f>
        <v>1.58449E8</v>
      </c>
      <c r="H712" s="10"/>
      <c r="I712" s="11" t="str">
        <f>"－"</f>
        <v>－</v>
      </c>
      <c r="J712" s="10" t="s">
        <v>26</v>
      </c>
      <c r="K712" s="11" t="n">
        <f>342</f>
        <v>342.0</v>
      </c>
    </row>
    <row r="713">
      <c r="A713" s="8" t="s">
        <v>45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 t="s">
        <v>22</v>
      </c>
      <c r="K713" s="11" t="n">
        <f>11</f>
        <v>11.0</v>
      </c>
    </row>
    <row r="714">
      <c r="A714" s="8" t="s">
        <v>46</v>
      </c>
      <c r="B714" s="9" t="s">
        <v>94</v>
      </c>
      <c r="C714" s="9" t="s">
        <v>95</v>
      </c>
      <c r="D714" s="10"/>
      <c r="E714" s="11" t="str">
        <f>"－"</f>
        <v>－</v>
      </c>
      <c r="F714" s="10"/>
      <c r="G714" s="11" t="str">
        <f>"－"</f>
        <v>－</v>
      </c>
      <c r="H714" s="10"/>
      <c r="I714" s="11" t="str">
        <f>"－"</f>
        <v>－</v>
      </c>
      <c r="J714" s="10"/>
      <c r="K714" s="11" t="n">
        <f>11</f>
        <v>11.0</v>
      </c>
    </row>
    <row r="715">
      <c r="A715" s="8" t="s">
        <v>47</v>
      </c>
      <c r="B715" s="9" t="s">
        <v>94</v>
      </c>
      <c r="C715" s="9" t="s">
        <v>95</v>
      </c>
      <c r="D715" s="10"/>
      <c r="E715" s="11" t="str">
        <f>"－"</f>
        <v>－</v>
      </c>
      <c r="F715" s="10"/>
      <c r="G715" s="11" t="str">
        <f>"－"</f>
        <v>－</v>
      </c>
      <c r="H715" s="10"/>
      <c r="I715" s="11" t="str">
        <f>"－"</f>
        <v>－</v>
      </c>
      <c r="J715" s="10"/>
      <c r="K715" s="11" t="n">
        <f>11</f>
        <v>11.0</v>
      </c>
    </row>
    <row r="716">
      <c r="A716" s="8" t="s">
        <v>48</v>
      </c>
      <c r="B716" s="9" t="s">
        <v>94</v>
      </c>
      <c r="C716" s="9" t="s">
        <v>95</v>
      </c>
      <c r="D716" s="10"/>
      <c r="E716" s="11" t="str">
        <f>"－"</f>
        <v>－</v>
      </c>
      <c r="F716" s="10"/>
      <c r="G716" s="11" t="str">
        <f>"－"</f>
        <v>－</v>
      </c>
      <c r="H716" s="10"/>
      <c r="I716" s="11" t="str">
        <f>"－"</f>
        <v>－</v>
      </c>
      <c r="J716" s="10"/>
      <c r="K716" s="11" t="n">
        <f>11</f>
        <v>11.0</v>
      </c>
    </row>
    <row r="717">
      <c r="A717" s="8" t="s">
        <v>49</v>
      </c>
      <c r="B717" s="9" t="s">
        <v>94</v>
      </c>
      <c r="C717" s="9" t="s">
        <v>95</v>
      </c>
      <c r="D717" s="10"/>
      <c r="E717" s="11"/>
      <c r="F717" s="10"/>
      <c r="G717" s="11"/>
      <c r="H717" s="10"/>
      <c r="I717" s="11"/>
      <c r="J717" s="10"/>
      <c r="K717" s="11"/>
    </row>
    <row r="718">
      <c r="A718" s="8" t="s">
        <v>50</v>
      </c>
      <c r="B718" s="9" t="s">
        <v>94</v>
      </c>
      <c r="C718" s="9" t="s">
        <v>95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16</v>
      </c>
      <c r="B719" s="9" t="s">
        <v>96</v>
      </c>
      <c r="C719" s="9" t="s">
        <v>97</v>
      </c>
      <c r="D719" s="10"/>
      <c r="E719" s="11" t="n">
        <f>5</f>
        <v>5.0</v>
      </c>
      <c r="F719" s="10"/>
      <c r="G719" s="11" t="n">
        <f>3421000</f>
        <v>3421000.0</v>
      </c>
      <c r="H719" s="10" t="s">
        <v>53</v>
      </c>
      <c r="I719" s="11" t="str">
        <f>"－"</f>
        <v>－</v>
      </c>
      <c r="J719" s="10"/>
      <c r="K719" s="11" t="n">
        <f>210</f>
        <v>210.0</v>
      </c>
    </row>
    <row r="720">
      <c r="A720" s="8" t="s">
        <v>19</v>
      </c>
      <c r="B720" s="9" t="s">
        <v>96</v>
      </c>
      <c r="C720" s="9" t="s">
        <v>97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20</v>
      </c>
      <c r="B721" s="9" t="s">
        <v>96</v>
      </c>
      <c r="C721" s="9" t="s">
        <v>97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21</v>
      </c>
      <c r="B722" s="9" t="s">
        <v>96</v>
      </c>
      <c r="C722" s="9" t="s">
        <v>97</v>
      </c>
      <c r="D722" s="10"/>
      <c r="E722" s="11" t="n">
        <f>2</f>
        <v>2.0</v>
      </c>
      <c r="F722" s="10"/>
      <c r="G722" s="11" t="n">
        <f>1385000</f>
        <v>1385000.0</v>
      </c>
      <c r="H722" s="10"/>
      <c r="I722" s="11" t="str">
        <f>"－"</f>
        <v>－</v>
      </c>
      <c r="J722" s="10"/>
      <c r="K722" s="11" t="n">
        <f>210</f>
        <v>210.0</v>
      </c>
    </row>
    <row r="723">
      <c r="A723" s="8" t="s">
        <v>23</v>
      </c>
      <c r="B723" s="9" t="s">
        <v>96</v>
      </c>
      <c r="C723" s="9" t="s">
        <v>97</v>
      </c>
      <c r="D723" s="10" t="s">
        <v>22</v>
      </c>
      <c r="E723" s="11" t="str">
        <f>"－"</f>
        <v>－</v>
      </c>
      <c r="F723" s="10" t="s">
        <v>22</v>
      </c>
      <c r="G723" s="11" t="str">
        <f>"－"</f>
        <v>－</v>
      </c>
      <c r="H723" s="10"/>
      <c r="I723" s="11" t="str">
        <f>"－"</f>
        <v>－</v>
      </c>
      <c r="J723" s="10"/>
      <c r="K723" s="11" t="n">
        <f>210</f>
        <v>210.0</v>
      </c>
    </row>
    <row r="724">
      <c r="A724" s="8" t="s">
        <v>24</v>
      </c>
      <c r="B724" s="9" t="s">
        <v>96</v>
      </c>
      <c r="C724" s="9" t="s">
        <v>97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n">
        <f>210</f>
        <v>210.0</v>
      </c>
    </row>
    <row r="725">
      <c r="A725" s="8" t="s">
        <v>25</v>
      </c>
      <c r="B725" s="9" t="s">
        <v>96</v>
      </c>
      <c r="C725" s="9" t="s">
        <v>97</v>
      </c>
      <c r="D725" s="10"/>
      <c r="E725" s="11" t="n">
        <f>1</f>
        <v>1.0</v>
      </c>
      <c r="F725" s="10"/>
      <c r="G725" s="11" t="n">
        <f>725000</f>
        <v>725000.0</v>
      </c>
      <c r="H725" s="10"/>
      <c r="I725" s="11" t="str">
        <f>"－"</f>
        <v>－</v>
      </c>
      <c r="J725" s="10"/>
      <c r="K725" s="11" t="n">
        <f>211</f>
        <v>211.0</v>
      </c>
    </row>
    <row r="726">
      <c r="A726" s="8" t="s">
        <v>27</v>
      </c>
      <c r="B726" s="9" t="s">
        <v>96</v>
      </c>
      <c r="C726" s="9" t="s">
        <v>97</v>
      </c>
      <c r="D726" s="10"/>
      <c r="E726" s="11" t="str">
        <f>"－"</f>
        <v>－</v>
      </c>
      <c r="F726" s="10"/>
      <c r="G726" s="11" t="str">
        <f>"－"</f>
        <v>－</v>
      </c>
      <c r="H726" s="10"/>
      <c r="I726" s="11" t="str">
        <f>"－"</f>
        <v>－</v>
      </c>
      <c r="J726" s="10"/>
      <c r="K726" s="11" t="n">
        <f>211</f>
        <v>211.0</v>
      </c>
    </row>
    <row r="727">
      <c r="A727" s="8" t="s">
        <v>28</v>
      </c>
      <c r="B727" s="9" t="s">
        <v>96</v>
      </c>
      <c r="C727" s="9" t="s">
        <v>97</v>
      </c>
      <c r="D727" s="10"/>
      <c r="E727" s="11"/>
      <c r="F727" s="10"/>
      <c r="G727" s="11"/>
      <c r="H727" s="10"/>
      <c r="I727" s="11"/>
      <c r="J727" s="10"/>
      <c r="K727" s="11"/>
    </row>
    <row r="728">
      <c r="A728" s="8" t="s">
        <v>29</v>
      </c>
      <c r="B728" s="9" t="s">
        <v>96</v>
      </c>
      <c r="C728" s="9" t="s">
        <v>97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30</v>
      </c>
      <c r="B729" s="9" t="s">
        <v>96</v>
      </c>
      <c r="C729" s="9" t="s">
        <v>97</v>
      </c>
      <c r="D729" s="10"/>
      <c r="E729" s="11" t="n">
        <f>31</f>
        <v>31.0</v>
      </c>
      <c r="F729" s="10"/>
      <c r="G729" s="11" t="n">
        <f>23100000</f>
        <v>2.31E7</v>
      </c>
      <c r="H729" s="10"/>
      <c r="I729" s="11" t="str">
        <f>"－"</f>
        <v>－</v>
      </c>
      <c r="J729" s="10"/>
      <c r="K729" s="11" t="n">
        <f>232</f>
        <v>232.0</v>
      </c>
    </row>
    <row r="730">
      <c r="A730" s="8" t="s">
        <v>31</v>
      </c>
      <c r="B730" s="9" t="s">
        <v>96</v>
      </c>
      <c r="C730" s="9" t="s">
        <v>97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n">
        <f>232</f>
        <v>232.0</v>
      </c>
    </row>
    <row r="731">
      <c r="A731" s="8" t="s">
        <v>32</v>
      </c>
      <c r="B731" s="9" t="s">
        <v>96</v>
      </c>
      <c r="C731" s="9" t="s">
        <v>97</v>
      </c>
      <c r="D731" s="10"/>
      <c r="E731" s="11" t="n">
        <f>1</f>
        <v>1.0</v>
      </c>
      <c r="F731" s="10"/>
      <c r="G731" s="11" t="n">
        <f>760000</f>
        <v>760000.0</v>
      </c>
      <c r="H731" s="10"/>
      <c r="I731" s="11" t="str">
        <f>"－"</f>
        <v>－</v>
      </c>
      <c r="J731" s="10"/>
      <c r="K731" s="11" t="n">
        <f>233</f>
        <v>233.0</v>
      </c>
    </row>
    <row r="732">
      <c r="A732" s="8" t="s">
        <v>33</v>
      </c>
      <c r="B732" s="9" t="s">
        <v>96</v>
      </c>
      <c r="C732" s="9" t="s">
        <v>97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n">
        <f>233</f>
        <v>233.0</v>
      </c>
    </row>
    <row r="733">
      <c r="A733" s="8" t="s">
        <v>34</v>
      </c>
      <c r="B733" s="9" t="s">
        <v>96</v>
      </c>
      <c r="C733" s="9" t="s">
        <v>97</v>
      </c>
      <c r="D733" s="10"/>
      <c r="E733" s="11" t="n">
        <f>30</f>
        <v>30.0</v>
      </c>
      <c r="F733" s="10"/>
      <c r="G733" s="11" t="n">
        <f>23000000</f>
        <v>2.3E7</v>
      </c>
      <c r="H733" s="10"/>
      <c r="I733" s="11" t="str">
        <f>"－"</f>
        <v>－</v>
      </c>
      <c r="J733" s="10"/>
      <c r="K733" s="11" t="n">
        <f>263</f>
        <v>263.0</v>
      </c>
    </row>
    <row r="734">
      <c r="A734" s="8" t="s">
        <v>35</v>
      </c>
      <c r="B734" s="9" t="s">
        <v>96</v>
      </c>
      <c r="C734" s="9" t="s">
        <v>97</v>
      </c>
      <c r="D734" s="10"/>
      <c r="E734" s="11"/>
      <c r="F734" s="10"/>
      <c r="G734" s="11"/>
      <c r="H734" s="10"/>
      <c r="I734" s="11"/>
      <c r="J734" s="10"/>
      <c r="K734" s="11"/>
    </row>
    <row r="735">
      <c r="A735" s="8" t="s">
        <v>36</v>
      </c>
      <c r="B735" s="9" t="s">
        <v>96</v>
      </c>
      <c r="C735" s="9" t="s">
        <v>97</v>
      </c>
      <c r="D735" s="10"/>
      <c r="E735" s="11"/>
      <c r="F735" s="10"/>
      <c r="G735" s="11"/>
      <c r="H735" s="10"/>
      <c r="I735" s="11"/>
      <c r="J735" s="10"/>
      <c r="K735" s="11"/>
    </row>
    <row r="736">
      <c r="A736" s="8" t="s">
        <v>37</v>
      </c>
      <c r="B736" s="9" t="s">
        <v>96</v>
      </c>
      <c r="C736" s="9" t="s">
        <v>97</v>
      </c>
      <c r="D736" s="10"/>
      <c r="E736" s="11" t="str">
        <f>"－"</f>
        <v>－</v>
      </c>
      <c r="F736" s="10"/>
      <c r="G736" s="11" t="str">
        <f>"－"</f>
        <v>－</v>
      </c>
      <c r="H736" s="10"/>
      <c r="I736" s="11" t="str">
        <f>"－"</f>
        <v>－</v>
      </c>
      <c r="J736" s="10"/>
      <c r="K736" s="11" t="n">
        <f>263</f>
        <v>263.0</v>
      </c>
    </row>
    <row r="737">
      <c r="A737" s="8" t="s">
        <v>38</v>
      </c>
      <c r="B737" s="9" t="s">
        <v>96</v>
      </c>
      <c r="C737" s="9" t="s">
        <v>97</v>
      </c>
      <c r="D737" s="10"/>
      <c r="E737" s="11" t="n">
        <f>34</f>
        <v>34.0</v>
      </c>
      <c r="F737" s="10"/>
      <c r="G737" s="11" t="n">
        <f>26080000</f>
        <v>2.608E7</v>
      </c>
      <c r="H737" s="10"/>
      <c r="I737" s="11" t="str">
        <f>"－"</f>
        <v>－</v>
      </c>
      <c r="J737" s="10"/>
      <c r="K737" s="11" t="n">
        <f>297</f>
        <v>297.0</v>
      </c>
    </row>
    <row r="738">
      <c r="A738" s="8" t="s">
        <v>39</v>
      </c>
      <c r="B738" s="9" t="s">
        <v>96</v>
      </c>
      <c r="C738" s="9" t="s">
        <v>97</v>
      </c>
      <c r="D738" s="10"/>
      <c r="E738" s="11" t="n">
        <f>1</f>
        <v>1.0</v>
      </c>
      <c r="F738" s="10"/>
      <c r="G738" s="11" t="n">
        <f>775000</f>
        <v>775000.0</v>
      </c>
      <c r="H738" s="10"/>
      <c r="I738" s="11" t="str">
        <f>"－"</f>
        <v>－</v>
      </c>
      <c r="J738" s="10"/>
      <c r="K738" s="11" t="n">
        <f>298</f>
        <v>298.0</v>
      </c>
    </row>
    <row r="739">
      <c r="A739" s="8" t="s">
        <v>40</v>
      </c>
      <c r="B739" s="9" t="s">
        <v>96</v>
      </c>
      <c r="C739" s="9" t="s">
        <v>97</v>
      </c>
      <c r="D739" s="10"/>
      <c r="E739" s="11" t="n">
        <f>41</f>
        <v>41.0</v>
      </c>
      <c r="F739" s="10"/>
      <c r="G739" s="11" t="n">
        <f>31913000</f>
        <v>3.1913E7</v>
      </c>
      <c r="H739" s="10"/>
      <c r="I739" s="11" t="str">
        <f>"－"</f>
        <v>－</v>
      </c>
      <c r="J739" s="10"/>
      <c r="K739" s="11" t="n">
        <f>327</f>
        <v>327.0</v>
      </c>
    </row>
    <row r="740">
      <c r="A740" s="8" t="s">
        <v>41</v>
      </c>
      <c r="B740" s="9" t="s">
        <v>96</v>
      </c>
      <c r="C740" s="9" t="s">
        <v>97</v>
      </c>
      <c r="D740" s="10"/>
      <c r="E740" s="11" t="n">
        <f>154</f>
        <v>154.0</v>
      </c>
      <c r="F740" s="10"/>
      <c r="G740" s="11" t="n">
        <f>119825000</f>
        <v>1.19825E8</v>
      </c>
      <c r="H740" s="10"/>
      <c r="I740" s="11" t="str">
        <f>"－"</f>
        <v>－</v>
      </c>
      <c r="J740" s="10"/>
      <c r="K740" s="11" t="n">
        <f>481</f>
        <v>481.0</v>
      </c>
    </row>
    <row r="741">
      <c r="A741" s="8" t="s">
        <v>42</v>
      </c>
      <c r="B741" s="9" t="s">
        <v>96</v>
      </c>
      <c r="C741" s="9" t="s">
        <v>97</v>
      </c>
      <c r="D741" s="10"/>
      <c r="E741" s="11"/>
      <c r="F741" s="10"/>
      <c r="G741" s="11"/>
      <c r="H741" s="10"/>
      <c r="I741" s="11"/>
      <c r="J741" s="10"/>
      <c r="K741" s="11"/>
    </row>
    <row r="742">
      <c r="A742" s="8" t="s">
        <v>43</v>
      </c>
      <c r="B742" s="9" t="s">
        <v>96</v>
      </c>
      <c r="C742" s="9" t="s">
        <v>97</v>
      </c>
      <c r="D742" s="10"/>
      <c r="E742" s="11"/>
      <c r="F742" s="10"/>
      <c r="G742" s="11"/>
      <c r="H742" s="10"/>
      <c r="I742" s="11"/>
      <c r="J742" s="10"/>
      <c r="K742" s="11"/>
    </row>
    <row r="743">
      <c r="A743" s="8" t="s">
        <v>44</v>
      </c>
      <c r="B743" s="9" t="s">
        <v>96</v>
      </c>
      <c r="C743" s="9" t="s">
        <v>97</v>
      </c>
      <c r="D743" s="10" t="s">
        <v>26</v>
      </c>
      <c r="E743" s="11" t="n">
        <f>528</f>
        <v>528.0</v>
      </c>
      <c r="F743" s="10" t="s">
        <v>26</v>
      </c>
      <c r="G743" s="11" t="n">
        <f>412883000</f>
        <v>4.12883E8</v>
      </c>
      <c r="H743" s="10"/>
      <c r="I743" s="11" t="str">
        <f>"－"</f>
        <v>－</v>
      </c>
      <c r="J743" s="10" t="s">
        <v>26</v>
      </c>
      <c r="K743" s="11" t="n">
        <f>866</f>
        <v>866.0</v>
      </c>
    </row>
    <row r="744">
      <c r="A744" s="8" t="s">
        <v>45</v>
      </c>
      <c r="B744" s="9" t="s">
        <v>96</v>
      </c>
      <c r="C744" s="9" t="s">
        <v>97</v>
      </c>
      <c r="D744" s="10"/>
      <c r="E744" s="11" t="n">
        <f>5</f>
        <v>5.0</v>
      </c>
      <c r="F744" s="10"/>
      <c r="G744" s="11" t="n">
        <f>3925000</f>
        <v>3925000.0</v>
      </c>
      <c r="H744" s="10"/>
      <c r="I744" s="11" t="str">
        <f>"－"</f>
        <v>－</v>
      </c>
      <c r="J744" s="10" t="s">
        <v>22</v>
      </c>
      <c r="K744" s="11" t="n">
        <f>182</f>
        <v>182.0</v>
      </c>
    </row>
    <row r="745">
      <c r="A745" s="8" t="s">
        <v>46</v>
      </c>
      <c r="B745" s="9" t="s">
        <v>96</v>
      </c>
      <c r="C745" s="9" t="s">
        <v>97</v>
      </c>
      <c r="D745" s="10"/>
      <c r="E745" s="11" t="str">
        <f>"－"</f>
        <v>－</v>
      </c>
      <c r="F745" s="10"/>
      <c r="G745" s="11" t="str">
        <f>"－"</f>
        <v>－</v>
      </c>
      <c r="H745" s="10"/>
      <c r="I745" s="11" t="str">
        <f>"－"</f>
        <v>－</v>
      </c>
      <c r="J745" s="10"/>
      <c r="K745" s="11" t="n">
        <f>182</f>
        <v>182.0</v>
      </c>
    </row>
    <row r="746">
      <c r="A746" s="8" t="s">
        <v>47</v>
      </c>
      <c r="B746" s="9" t="s">
        <v>96</v>
      </c>
      <c r="C746" s="9" t="s">
        <v>97</v>
      </c>
      <c r="D746" s="10"/>
      <c r="E746" s="11" t="n">
        <f>200</f>
        <v>200.0</v>
      </c>
      <c r="F746" s="10"/>
      <c r="G746" s="11" t="n">
        <f>154516500</f>
        <v>1.545165E8</v>
      </c>
      <c r="H746" s="10"/>
      <c r="I746" s="11" t="str">
        <f>"－"</f>
        <v>－</v>
      </c>
      <c r="J746" s="10"/>
      <c r="K746" s="11" t="n">
        <f>349</f>
        <v>349.0</v>
      </c>
    </row>
    <row r="747">
      <c r="A747" s="8" t="s">
        <v>48</v>
      </c>
      <c r="B747" s="9" t="s">
        <v>96</v>
      </c>
      <c r="C747" s="9" t="s">
        <v>97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 t="n">
        <f>349</f>
        <v>349.0</v>
      </c>
    </row>
    <row r="748">
      <c r="A748" s="8" t="s">
        <v>49</v>
      </c>
      <c r="B748" s="9" t="s">
        <v>96</v>
      </c>
      <c r="C748" s="9" t="s">
        <v>97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50</v>
      </c>
      <c r="B749" s="9" t="s">
        <v>96</v>
      </c>
      <c r="C749" s="9" t="s">
        <v>97</v>
      </c>
      <c r="D749" s="10"/>
      <c r="E749" s="11"/>
      <c r="F749" s="10"/>
      <c r="G749" s="11"/>
      <c r="H749" s="10"/>
      <c r="I749" s="11"/>
      <c r="J749" s="10"/>
      <c r="K749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