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<sst xmlns="http://schemas.openxmlformats.org/spreadsheetml/2006/main" count="1609" uniqueCount="82">
  <si>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</si>
  <si>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</si>
  <si>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</si>
  <si>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</si>
  <si>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</si>
  <si>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</si>
  <si>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</si>
  <si>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</si>
  <si>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</si>
  <si>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</si>
  <si>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</si>
  <si>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</si>
  <si>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</si>
  <si>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</si>
  <si>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</si>
  <si>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</si>
  <si>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10.1</t>
  </si>
  <si>
    <t>日経225先物</t>
  </si>
  <si>
    <t>Nikkei 225 Futures</t>
  </si>
  <si>
    <t>●</t>
  </si>
  <si>
    <t>2</t>
  </si>
  <si>
    <t>3</t>
  </si>
  <si>
    <t>4</t>
  </si>
  <si>
    <t>5</t>
  </si>
  <si>
    <t>◎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</si>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</sst>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01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121432</f>
        <v>121432.0</v>
      </c>
      <c r="F6" s="10"/>
      <c r="G6" s="2" t="n">
        <f>3530240020650</f>
        <v>3.53024002065E12</v>
      </c>
      <c r="H6" s="10"/>
      <c r="I6" s="2" t="n">
        <f>18834</f>
        <v>18834.0</v>
      </c>
      <c r="J6" s="10" t="s">
        <v>19</v>
      </c>
      <c r="K6" s="2" t="n">
        <f>300879</f>
        <v>300879.0</v>
      </c>
    </row>
    <row r="7">
      <c r="A7" s="8" t="s">
        <v>20</v>
      </c>
      <c r="B7" s="9" t="s">
        <v>17</v>
      </c>
      <c r="C7" s="9" t="s">
        <v>18</v>
      </c>
      <c r="D7" s="10"/>
      <c r="E7" s="2"/>
      <c r="F7" s="10"/>
      <c r="G7" s="2"/>
      <c r="H7" s="10"/>
      <c r="I7" s="2"/>
      <c r="J7" s="10"/>
      <c r="K7" s="2"/>
    </row>
    <row r="8">
      <c r="A8" s="8" t="s">
        <v>21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22</v>
      </c>
      <c r="B9" s="9" t="s">
        <v>17</v>
      </c>
      <c r="C9" s="9" t="s">
        <v>18</v>
      </c>
      <c r="D9" s="10"/>
      <c r="E9" s="2" t="n">
        <f>109924</f>
        <v>109924.0</v>
      </c>
      <c r="F9" s="10"/>
      <c r="G9" s="2" t="n">
        <f>3148212359010</f>
        <v>3.14821235901E12</v>
      </c>
      <c r="H9" s="10"/>
      <c r="I9" s="2" t="n">
        <f>15562</f>
        <v>15562.0</v>
      </c>
      <c r="J9" s="10"/>
      <c r="K9" s="2" t="n">
        <f>308598</f>
        <v>308598.0</v>
      </c>
    </row>
    <row r="10">
      <c r="A10" s="8" t="s">
        <v>23</v>
      </c>
      <c r="B10" s="9" t="s">
        <v>17</v>
      </c>
      <c r="C10" s="9" t="s">
        <v>18</v>
      </c>
      <c r="D10" s="10" t="s">
        <v>24</v>
      </c>
      <c r="E10" s="2" t="n">
        <f>133623</f>
        <v>133623.0</v>
      </c>
      <c r="F10" s="10" t="s">
        <v>24</v>
      </c>
      <c r="G10" s="2" t="n">
        <f>3721004434890</f>
        <v>3.72100443489E12</v>
      </c>
      <c r="H10" s="10"/>
      <c r="I10" s="2" t="n">
        <f>19670</f>
        <v>19670.0</v>
      </c>
      <c r="J10" s="10"/>
      <c r="K10" s="2" t="n">
        <f>315323</f>
        <v>315323.0</v>
      </c>
    </row>
    <row r="11">
      <c r="A11" s="8" t="s">
        <v>25</v>
      </c>
      <c r="B11" s="9" t="s">
        <v>17</v>
      </c>
      <c r="C11" s="9" t="s">
        <v>18</v>
      </c>
      <c r="D11" s="10"/>
      <c r="E11" s="2" t="n">
        <f>130412</f>
        <v>130412.0</v>
      </c>
      <c r="F11" s="10"/>
      <c r="G11" s="2" t="n">
        <f>3611907037367</f>
        <v>3.611907037367E12</v>
      </c>
      <c r="H11" s="10" t="s">
        <v>24</v>
      </c>
      <c r="I11" s="2" t="n">
        <f>20051</f>
        <v>20051.0</v>
      </c>
      <c r="J11" s="10"/>
      <c r="K11" s="2" t="n">
        <f>316778</f>
        <v>316778.0</v>
      </c>
    </row>
    <row r="12">
      <c r="A12" s="8" t="s">
        <v>26</v>
      </c>
      <c r="B12" s="9" t="s">
        <v>17</v>
      </c>
      <c r="C12" s="9" t="s">
        <v>18</v>
      </c>
      <c r="D12" s="10"/>
      <c r="E12" s="2" t="n">
        <f>131454</f>
        <v>131454.0</v>
      </c>
      <c r="F12" s="10"/>
      <c r="G12" s="2" t="n">
        <f>3627105559227</f>
        <v>3.627105559227E12</v>
      </c>
      <c r="H12" s="10"/>
      <c r="I12" s="2" t="n">
        <f>16108</f>
        <v>16108.0</v>
      </c>
      <c r="J12" s="10" t="s">
        <v>24</v>
      </c>
      <c r="K12" s="2" t="n">
        <f>339125</f>
        <v>339125.0</v>
      </c>
    </row>
    <row r="13">
      <c r="A13" s="8" t="s">
        <v>27</v>
      </c>
      <c r="B13" s="9" t="s">
        <v>17</v>
      </c>
      <c r="C13" s="9" t="s">
        <v>18</v>
      </c>
      <c r="D13" s="10"/>
      <c r="E13" s="2" t="n">
        <f>87549</f>
        <v>87549.0</v>
      </c>
      <c r="F13" s="10"/>
      <c r="G13" s="2" t="n">
        <f>2459705379910</f>
        <v>2.45970537991E12</v>
      </c>
      <c r="H13" s="10"/>
      <c r="I13" s="2" t="n">
        <f>13437</f>
        <v>13437.0</v>
      </c>
      <c r="J13" s="10"/>
      <c r="K13" s="2" t="n">
        <f>314908</f>
        <v>314908.0</v>
      </c>
    </row>
    <row r="14">
      <c r="A14" s="8" t="s">
        <v>28</v>
      </c>
      <c r="B14" s="9" t="s">
        <v>17</v>
      </c>
      <c r="C14" s="9" t="s">
        <v>18</v>
      </c>
      <c r="D14" s="10"/>
      <c r="E14" s="2"/>
      <c r="F14" s="10"/>
      <c r="G14" s="2"/>
      <c r="H14" s="10"/>
      <c r="I14" s="2"/>
      <c r="J14" s="10"/>
      <c r="K14" s="2"/>
    </row>
    <row r="15">
      <c r="A15" s="8" t="s">
        <v>29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30</v>
      </c>
      <c r="B16" s="9" t="s">
        <v>17</v>
      </c>
      <c r="C16" s="9" t="s">
        <v>18</v>
      </c>
      <c r="D16" s="10"/>
      <c r="E16" s="2" t="n">
        <f>67987</f>
        <v>67987.0</v>
      </c>
      <c r="F16" s="10"/>
      <c r="G16" s="2" t="n">
        <f>1922904737690</f>
        <v>1.92290473769E12</v>
      </c>
      <c r="H16" s="10"/>
      <c r="I16" s="2" t="n">
        <f>10139</f>
        <v>10139.0</v>
      </c>
      <c r="J16" s="10"/>
      <c r="K16" s="2" t="n">
        <f>307805</f>
        <v>307805.0</v>
      </c>
    </row>
    <row r="17">
      <c r="A17" s="8" t="s">
        <v>31</v>
      </c>
      <c r="B17" s="9" t="s">
        <v>17</v>
      </c>
      <c r="C17" s="9" t="s">
        <v>18</v>
      </c>
      <c r="D17" s="10"/>
      <c r="E17" s="2" t="n">
        <f>62169</f>
        <v>62169.0</v>
      </c>
      <c r="F17" s="10"/>
      <c r="G17" s="2" t="n">
        <f>1761631453600</f>
        <v>1.7616314536E12</v>
      </c>
      <c r="H17" s="10"/>
      <c r="I17" s="2" t="n">
        <f>8377</f>
        <v>8377.0</v>
      </c>
      <c r="J17" s="10"/>
      <c r="K17" s="2" t="n">
        <f>308447</f>
        <v>308447.0</v>
      </c>
    </row>
    <row r="18">
      <c r="A18" s="8" t="s">
        <v>32</v>
      </c>
      <c r="B18" s="9" t="s">
        <v>17</v>
      </c>
      <c r="C18" s="9" t="s">
        <v>18</v>
      </c>
      <c r="D18" s="10"/>
      <c r="E18" s="2" t="n">
        <f>54562</f>
        <v>54562.0</v>
      </c>
      <c r="F18" s="10"/>
      <c r="G18" s="2" t="n">
        <f>1537701005110</f>
        <v>1.53770100511E12</v>
      </c>
      <c r="H18" s="10"/>
      <c r="I18" s="2" t="n">
        <f>7333</f>
        <v>7333.0</v>
      </c>
      <c r="J18" s="10"/>
      <c r="K18" s="2" t="n">
        <f>308577</f>
        <v>308577.0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56696</f>
        <v>56696.0</v>
      </c>
      <c r="F19" s="10"/>
      <c r="G19" s="2" t="n">
        <f>1609003230600</f>
        <v>1.6090032306E12</v>
      </c>
      <c r="H19" s="10"/>
      <c r="I19" s="2" t="n">
        <f>6397</f>
        <v>6397.0</v>
      </c>
      <c r="J19" s="10"/>
      <c r="K19" s="2" t="n">
        <f>307873</f>
        <v>307873.0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57935</f>
        <v>57935.0</v>
      </c>
      <c r="F20" s="10"/>
      <c r="G20" s="2" t="n">
        <f>1672992828116</f>
        <v>1.672992828116E12</v>
      </c>
      <c r="H20" s="10"/>
      <c r="I20" s="2" t="n">
        <f>8976</f>
        <v>8976.0</v>
      </c>
      <c r="J20" s="10"/>
      <c r="K20" s="2" t="n">
        <f>306585</f>
        <v>306585.0</v>
      </c>
    </row>
    <row r="21">
      <c r="A21" s="8" t="s">
        <v>35</v>
      </c>
      <c r="B21" s="9" t="s">
        <v>17</v>
      </c>
      <c r="C21" s="9" t="s">
        <v>18</v>
      </c>
      <c r="D21" s="10"/>
      <c r="E21" s="2"/>
      <c r="F21" s="10"/>
      <c r="G21" s="2"/>
      <c r="H21" s="10"/>
      <c r="I21" s="2"/>
      <c r="J21" s="10"/>
      <c r="K21" s="2"/>
    </row>
    <row r="22">
      <c r="A22" s="8" t="s">
        <v>36</v>
      </c>
      <c r="B22" s="9" t="s">
        <v>17</v>
      </c>
      <c r="C22" s="9" t="s">
        <v>18</v>
      </c>
      <c r="D22" s="10"/>
      <c r="E22" s="2"/>
      <c r="F22" s="10"/>
      <c r="G22" s="2"/>
      <c r="H22" s="10"/>
      <c r="I22" s="2"/>
      <c r="J22" s="10"/>
      <c r="K22" s="2"/>
    </row>
    <row r="23">
      <c r="A23" s="8" t="s">
        <v>37</v>
      </c>
      <c r="B23" s="9" t="s">
        <v>17</v>
      </c>
      <c r="C23" s="9" t="s">
        <v>18</v>
      </c>
      <c r="D23" s="10"/>
      <c r="E23" s="2" t="n">
        <f>50875</f>
        <v>50875.0</v>
      </c>
      <c r="F23" s="10"/>
      <c r="G23" s="2" t="n">
        <f>1477693621303</f>
        <v>1.477693621303E12</v>
      </c>
      <c r="H23" s="10"/>
      <c r="I23" s="2" t="n">
        <f>9851</f>
        <v>9851.0</v>
      </c>
      <c r="J23" s="10"/>
      <c r="K23" s="2" t="n">
        <f>311844</f>
        <v>311844.0</v>
      </c>
    </row>
    <row r="24">
      <c r="A24" s="8" t="s">
        <v>38</v>
      </c>
      <c r="B24" s="9" t="s">
        <v>17</v>
      </c>
      <c r="C24" s="9" t="s">
        <v>18</v>
      </c>
      <c r="D24" s="10"/>
      <c r="E24" s="2" t="n">
        <f>52409</f>
        <v>52409.0</v>
      </c>
      <c r="F24" s="10"/>
      <c r="G24" s="2" t="n">
        <f>1526840014780</f>
        <v>1.52684001478E12</v>
      </c>
      <c r="H24" s="10" t="s">
        <v>19</v>
      </c>
      <c r="I24" s="2" t="n">
        <f>5617</f>
        <v>5617.0</v>
      </c>
      <c r="J24" s="10"/>
      <c r="K24" s="2" t="n">
        <f>312597</f>
        <v>312597.0</v>
      </c>
    </row>
    <row r="25">
      <c r="A25" s="8" t="s">
        <v>39</v>
      </c>
      <c r="B25" s="9" t="s">
        <v>17</v>
      </c>
      <c r="C25" s="9" t="s">
        <v>18</v>
      </c>
      <c r="D25" s="10"/>
      <c r="E25" s="2" t="n">
        <f>51895</f>
        <v>51895.0</v>
      </c>
      <c r="F25" s="10"/>
      <c r="G25" s="2" t="n">
        <f>1521580204440</f>
        <v>1.52158020444E12</v>
      </c>
      <c r="H25" s="10"/>
      <c r="I25" s="2" t="n">
        <f>5668</f>
        <v>5668.0</v>
      </c>
      <c r="J25" s="10"/>
      <c r="K25" s="2" t="n">
        <f>314032</f>
        <v>314032.0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71478</f>
        <v>71478.0</v>
      </c>
      <c r="F26" s="10"/>
      <c r="G26" s="2" t="n">
        <f>2070542038990</f>
        <v>2.07054203899E12</v>
      </c>
      <c r="H26" s="10"/>
      <c r="I26" s="2" t="n">
        <f>8616</f>
        <v>8616.0</v>
      </c>
      <c r="J26" s="10"/>
      <c r="K26" s="2" t="n">
        <f>325377</f>
        <v>325377.0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81391</f>
        <v>81391.0</v>
      </c>
      <c r="F27" s="10"/>
      <c r="G27" s="2" t="n">
        <f>2336961177564</f>
        <v>2.336961177564E12</v>
      </c>
      <c r="H27" s="10"/>
      <c r="I27" s="2" t="n">
        <f>15939</f>
        <v>15939.0</v>
      </c>
      <c r="J27" s="10"/>
      <c r="K27" s="2" t="n">
        <f>324238</f>
        <v>324238.0</v>
      </c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/>
      <c r="F29" s="10"/>
      <c r="G29" s="2"/>
      <c r="H29" s="10"/>
      <c r="I29" s="2"/>
      <c r="J29" s="10"/>
      <c r="K29" s="2"/>
    </row>
    <row r="30">
      <c r="A30" s="8" t="s">
        <v>44</v>
      </c>
      <c r="B30" s="9" t="s">
        <v>17</v>
      </c>
      <c r="C30" s="9" t="s">
        <v>18</v>
      </c>
      <c r="D30" s="10"/>
      <c r="E30" s="2" t="n">
        <f>52163</f>
        <v>52163.0</v>
      </c>
      <c r="F30" s="10"/>
      <c r="G30" s="2" t="n">
        <f>1492960558210</f>
        <v>1.49296055821E12</v>
      </c>
      <c r="H30" s="10"/>
      <c r="I30" s="2" t="n">
        <f>9826</f>
        <v>9826.0</v>
      </c>
      <c r="J30" s="10"/>
      <c r="K30" s="2" t="n">
        <f>324575</f>
        <v>324575.0</v>
      </c>
    </row>
    <row r="31">
      <c r="A31" s="8" t="s">
        <v>45</v>
      </c>
      <c r="B31" s="9" t="s">
        <v>17</v>
      </c>
      <c r="C31" s="9" t="s">
        <v>18</v>
      </c>
      <c r="D31" s="10"/>
      <c r="E31" s="2" t="n">
        <f>49614</f>
        <v>49614.0</v>
      </c>
      <c r="F31" s="10"/>
      <c r="G31" s="2" t="n">
        <f>1438240086980</f>
        <v>1.43824008698E12</v>
      </c>
      <c r="H31" s="10"/>
      <c r="I31" s="2" t="n">
        <f>7682</f>
        <v>7682.0</v>
      </c>
      <c r="J31" s="10"/>
      <c r="K31" s="2" t="n">
        <f>324617</f>
        <v>324617.0</v>
      </c>
    </row>
    <row r="32">
      <c r="A32" s="8" t="s">
        <v>46</v>
      </c>
      <c r="B32" s="9" t="s">
        <v>17</v>
      </c>
      <c r="C32" s="9" t="s">
        <v>18</v>
      </c>
      <c r="D32" s="10" t="s">
        <v>19</v>
      </c>
      <c r="E32" s="2" t="n">
        <f>46881</f>
        <v>46881.0</v>
      </c>
      <c r="F32" s="10" t="s">
        <v>19</v>
      </c>
      <c r="G32" s="2" t="n">
        <f>1360086835570</f>
        <v>1.36008683557E12</v>
      </c>
      <c r="H32" s="10"/>
      <c r="I32" s="2" t="n">
        <f>5658</f>
        <v>5658.0</v>
      </c>
      <c r="J32" s="10"/>
      <c r="K32" s="2" t="n">
        <f>323010</f>
        <v>323010.0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52554</f>
        <v>52554.0</v>
      </c>
      <c r="F33" s="10"/>
      <c r="G33" s="2" t="n">
        <f>1513755489380</f>
        <v>1.51375548938E12</v>
      </c>
      <c r="H33" s="10"/>
      <c r="I33" s="2" t="n">
        <f>7173</f>
        <v>7173.0</v>
      </c>
      <c r="J33" s="10"/>
      <c r="K33" s="2" t="n">
        <f>323175</f>
        <v>323175.0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58531</f>
        <v>58531.0</v>
      </c>
      <c r="F34" s="10"/>
      <c r="G34" s="2" t="n">
        <f>1685404509120</f>
        <v>1.68540450912E12</v>
      </c>
      <c r="H34" s="10"/>
      <c r="I34" s="2" t="n">
        <f>7421</f>
        <v>7421.0</v>
      </c>
      <c r="J34" s="10"/>
      <c r="K34" s="2" t="n">
        <f>322986</f>
        <v>322986.0</v>
      </c>
    </row>
    <row r="35">
      <c r="A35" s="8" t="s">
        <v>49</v>
      </c>
      <c r="B35" s="9" t="s">
        <v>17</v>
      </c>
      <c r="C35" s="9" t="s">
        <v>18</v>
      </c>
      <c r="D35" s="10"/>
      <c r="E35" s="2"/>
      <c r="F35" s="10"/>
      <c r="G35" s="2"/>
      <c r="H35" s="10"/>
      <c r="I35" s="2"/>
      <c r="J35" s="10"/>
      <c r="K35" s="2"/>
    </row>
    <row r="36">
      <c r="A36" s="8" t="s">
        <v>50</v>
      </c>
      <c r="B36" s="9" t="s">
        <v>17</v>
      </c>
      <c r="C36" s="9" t="s">
        <v>18</v>
      </c>
      <c r="D36" s="10"/>
      <c r="E36" s="2"/>
      <c r="F36" s="10"/>
      <c r="G36" s="2"/>
      <c r="H36" s="10"/>
      <c r="I36" s="2"/>
      <c r="J36" s="10"/>
      <c r="K36" s="2"/>
    </row>
    <row r="37">
      <c r="A37" s="8" t="s">
        <v>16</v>
      </c>
      <c r="B37" s="9" t="s">
        <v>51</v>
      </c>
      <c r="C37" s="9" t="s">
        <v>52</v>
      </c>
      <c r="D37" s="10"/>
      <c r="E37" s="2" t="n">
        <f>1665389</f>
        <v>1665389.0</v>
      </c>
      <c r="F37" s="10"/>
      <c r="G37" s="2" t="n">
        <f>4855423933588</f>
        <v>4.855423933588E12</v>
      </c>
      <c r="H37" s="10"/>
      <c r="I37" s="2" t="n">
        <f>231087</f>
        <v>231087.0</v>
      </c>
      <c r="J37" s="10"/>
      <c r="K37" s="2" t="n">
        <f>398048</f>
        <v>398048.0</v>
      </c>
    </row>
    <row r="38">
      <c r="A38" s="8" t="s">
        <v>20</v>
      </c>
      <c r="B38" s="9" t="s">
        <v>51</v>
      </c>
      <c r="C38" s="9" t="s">
        <v>52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21</v>
      </c>
      <c r="B39" s="9" t="s">
        <v>51</v>
      </c>
      <c r="C39" s="9" t="s">
        <v>52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22</v>
      </c>
      <c r="B40" s="9" t="s">
        <v>51</v>
      </c>
      <c r="C40" s="9" t="s">
        <v>52</v>
      </c>
      <c r="D40" s="10"/>
      <c r="E40" s="2" t="n">
        <f>1624113</f>
        <v>1624113.0</v>
      </c>
      <c r="F40" s="10"/>
      <c r="G40" s="2" t="n">
        <f>4662467759674</f>
        <v>4.662467759674E12</v>
      </c>
      <c r="H40" s="10"/>
      <c r="I40" s="2" t="n">
        <f>218195</f>
        <v>218195.0</v>
      </c>
      <c r="J40" s="10"/>
      <c r="K40" s="2" t="n">
        <f>419331</f>
        <v>419331.0</v>
      </c>
    </row>
    <row r="41">
      <c r="A41" s="8" t="s">
        <v>23</v>
      </c>
      <c r="B41" s="9" t="s">
        <v>51</v>
      </c>
      <c r="C41" s="9" t="s">
        <v>52</v>
      </c>
      <c r="D41" s="10"/>
      <c r="E41" s="2" t="n">
        <f>1765400</f>
        <v>1765400.0</v>
      </c>
      <c r="F41" s="10"/>
      <c r="G41" s="2" t="n">
        <f>4919904415292</f>
        <v>4.919904415292E12</v>
      </c>
      <c r="H41" s="10"/>
      <c r="I41" s="2" t="n">
        <f>257830</f>
        <v>257830.0</v>
      </c>
      <c r="J41" s="10"/>
      <c r="K41" s="2" t="n">
        <f>447501</f>
        <v>447501.0</v>
      </c>
    </row>
    <row r="42">
      <c r="A42" s="8" t="s">
        <v>25</v>
      </c>
      <c r="B42" s="9" t="s">
        <v>51</v>
      </c>
      <c r="C42" s="9" t="s">
        <v>52</v>
      </c>
      <c r="D42" s="10"/>
      <c r="E42" s="2" t="n">
        <f>1662844</f>
        <v>1662844.0</v>
      </c>
      <c r="F42" s="10"/>
      <c r="G42" s="2" t="n">
        <f>4614407945964</f>
        <v>4.614407945964E12</v>
      </c>
      <c r="H42" s="10"/>
      <c r="I42" s="2" t="n">
        <f>247912</f>
        <v>247912.0</v>
      </c>
      <c r="J42" s="10"/>
      <c r="K42" s="2" t="n">
        <f>442117</f>
        <v>442117.0</v>
      </c>
    </row>
    <row r="43">
      <c r="A43" s="8" t="s">
        <v>26</v>
      </c>
      <c r="B43" s="9" t="s">
        <v>51</v>
      </c>
      <c r="C43" s="9" t="s">
        <v>52</v>
      </c>
      <c r="D43" s="10" t="s">
        <v>24</v>
      </c>
      <c r="E43" s="2" t="n">
        <f>1816033</f>
        <v>1816033.0</v>
      </c>
      <c r="F43" s="10" t="s">
        <v>24</v>
      </c>
      <c r="G43" s="2" t="n">
        <f>5000492763008</f>
        <v>5.000492763008E12</v>
      </c>
      <c r="H43" s="10" t="s">
        <v>24</v>
      </c>
      <c r="I43" s="2" t="n">
        <f>263937</f>
        <v>263937.0</v>
      </c>
      <c r="J43" s="10" t="s">
        <v>24</v>
      </c>
      <c r="K43" s="2" t="n">
        <f>733752</f>
        <v>733752.0</v>
      </c>
    </row>
    <row r="44">
      <c r="A44" s="8" t="s">
        <v>27</v>
      </c>
      <c r="B44" s="9" t="s">
        <v>51</v>
      </c>
      <c r="C44" s="9" t="s">
        <v>52</v>
      </c>
      <c r="D44" s="10"/>
      <c r="E44" s="2" t="n">
        <f>967497</f>
        <v>967497.0</v>
      </c>
      <c r="F44" s="10"/>
      <c r="G44" s="2" t="n">
        <f>2717941043671</f>
        <v>2.717941043671E12</v>
      </c>
      <c r="H44" s="10"/>
      <c r="I44" s="2" t="n">
        <f>139064</f>
        <v>139064.0</v>
      </c>
      <c r="J44" s="10"/>
      <c r="K44" s="2" t="n">
        <f>488121</f>
        <v>488121.0</v>
      </c>
    </row>
    <row r="45">
      <c r="A45" s="8" t="s">
        <v>28</v>
      </c>
      <c r="B45" s="9" t="s">
        <v>51</v>
      </c>
      <c r="C45" s="9" t="s">
        <v>52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29</v>
      </c>
      <c r="B46" s="9" t="s">
        <v>51</v>
      </c>
      <c r="C46" s="9" t="s">
        <v>52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30</v>
      </c>
      <c r="B47" s="9" t="s">
        <v>51</v>
      </c>
      <c r="C47" s="9" t="s">
        <v>52</v>
      </c>
      <c r="D47" s="10"/>
      <c r="E47" s="2" t="n">
        <f>963425</f>
        <v>963425.0</v>
      </c>
      <c r="F47" s="10"/>
      <c r="G47" s="2" t="n">
        <f>2721008307610</f>
        <v>2.72100830761E12</v>
      </c>
      <c r="H47" s="10"/>
      <c r="I47" s="2" t="n">
        <f>130453</f>
        <v>130453.0</v>
      </c>
      <c r="J47" s="10" t="s">
        <v>19</v>
      </c>
      <c r="K47" s="2" t="n">
        <f>310928</f>
        <v>310928.0</v>
      </c>
    </row>
    <row r="48">
      <c r="A48" s="8" t="s">
        <v>31</v>
      </c>
      <c r="B48" s="9" t="s">
        <v>51</v>
      </c>
      <c r="C48" s="9" t="s">
        <v>52</v>
      </c>
      <c r="D48" s="10"/>
      <c r="E48" s="2" t="n">
        <f>925806</f>
        <v>925806.0</v>
      </c>
      <c r="F48" s="10"/>
      <c r="G48" s="2" t="n">
        <f>2630656635830</f>
        <v>2.63065663583E12</v>
      </c>
      <c r="H48" s="10"/>
      <c r="I48" s="2" t="n">
        <f>128519</f>
        <v>128519.0</v>
      </c>
      <c r="J48" s="10"/>
      <c r="K48" s="2" t="n">
        <f>316238</f>
        <v>316238.0</v>
      </c>
    </row>
    <row r="49">
      <c r="A49" s="8" t="s">
        <v>32</v>
      </c>
      <c r="B49" s="9" t="s">
        <v>51</v>
      </c>
      <c r="C49" s="9" t="s">
        <v>52</v>
      </c>
      <c r="D49" s="10"/>
      <c r="E49" s="2" t="n">
        <f>938669</f>
        <v>938669.0</v>
      </c>
      <c r="F49" s="10"/>
      <c r="G49" s="2" t="n">
        <f>2647862018691</f>
        <v>2.647862018691E12</v>
      </c>
      <c r="H49" s="10"/>
      <c r="I49" s="2" t="n">
        <f>115185</f>
        <v>115185.0</v>
      </c>
      <c r="J49" s="10"/>
      <c r="K49" s="2" t="n">
        <f>313836</f>
        <v>313836.0</v>
      </c>
    </row>
    <row r="50">
      <c r="A50" s="8" t="s">
        <v>33</v>
      </c>
      <c r="B50" s="9" t="s">
        <v>51</v>
      </c>
      <c r="C50" s="9" t="s">
        <v>52</v>
      </c>
      <c r="D50" s="10"/>
      <c r="E50" s="2" t="n">
        <f>856432</f>
        <v>856432.0</v>
      </c>
      <c r="F50" s="10"/>
      <c r="G50" s="2" t="n">
        <f>2426912547767</f>
        <v>2.426912547767E12</v>
      </c>
      <c r="H50" s="10"/>
      <c r="I50" s="2" t="n">
        <f>106297</f>
        <v>106297.0</v>
      </c>
      <c r="J50" s="10"/>
      <c r="K50" s="2" t="n">
        <f>314005</f>
        <v>314005.0</v>
      </c>
    </row>
    <row r="51">
      <c r="A51" s="8" t="s">
        <v>34</v>
      </c>
      <c r="B51" s="9" t="s">
        <v>51</v>
      </c>
      <c r="C51" s="9" t="s">
        <v>52</v>
      </c>
      <c r="D51" s="10"/>
      <c r="E51" s="2" t="n">
        <f>859616</f>
        <v>859616.0</v>
      </c>
      <c r="F51" s="10"/>
      <c r="G51" s="2" t="n">
        <f>2478186976124</f>
        <v>2.478186976124E12</v>
      </c>
      <c r="H51" s="10"/>
      <c r="I51" s="2" t="n">
        <f>116267</f>
        <v>116267.0</v>
      </c>
      <c r="J51" s="10"/>
      <c r="K51" s="2" t="n">
        <f>322669</f>
        <v>322669.0</v>
      </c>
    </row>
    <row r="52">
      <c r="A52" s="8" t="s">
        <v>35</v>
      </c>
      <c r="B52" s="9" t="s">
        <v>51</v>
      </c>
      <c r="C52" s="9" t="s">
        <v>52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36</v>
      </c>
      <c r="B53" s="9" t="s">
        <v>51</v>
      </c>
      <c r="C53" s="9" t="s">
        <v>52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37</v>
      </c>
      <c r="B54" s="9" t="s">
        <v>51</v>
      </c>
      <c r="C54" s="9" t="s">
        <v>52</v>
      </c>
      <c r="D54" s="10"/>
      <c r="E54" s="2" t="n">
        <f>759318</f>
        <v>759318.0</v>
      </c>
      <c r="F54" s="10"/>
      <c r="G54" s="2" t="n">
        <f>2207648856224</f>
        <v>2.207648856224E12</v>
      </c>
      <c r="H54" s="10"/>
      <c r="I54" s="2" t="n">
        <f>93854</f>
        <v>93854.0</v>
      </c>
      <c r="J54" s="10"/>
      <c r="K54" s="2" t="n">
        <f>331065</f>
        <v>331065.0</v>
      </c>
    </row>
    <row r="55">
      <c r="A55" s="8" t="s">
        <v>38</v>
      </c>
      <c r="B55" s="9" t="s">
        <v>51</v>
      </c>
      <c r="C55" s="9" t="s">
        <v>52</v>
      </c>
      <c r="D55" s="10"/>
      <c r="E55" s="2" t="n">
        <f>691398</f>
        <v>691398.0</v>
      </c>
      <c r="F55" s="10"/>
      <c r="G55" s="2" t="n">
        <f>2012098803350</f>
        <v>2.01209880335E12</v>
      </c>
      <c r="H55" s="10"/>
      <c r="I55" s="2" t="n">
        <f>89781</f>
        <v>89781.0</v>
      </c>
      <c r="J55" s="10"/>
      <c r="K55" s="2" t="n">
        <f>330065</f>
        <v>330065.0</v>
      </c>
    </row>
    <row r="56">
      <c r="A56" s="8" t="s">
        <v>39</v>
      </c>
      <c r="B56" s="9" t="s">
        <v>51</v>
      </c>
      <c r="C56" s="9" t="s">
        <v>52</v>
      </c>
      <c r="D56" s="10"/>
      <c r="E56" s="2" t="n">
        <f>690715</f>
        <v>690715.0</v>
      </c>
      <c r="F56" s="10"/>
      <c r="G56" s="2" t="n">
        <f>2025970028788</f>
        <v>2.025970028788E12</v>
      </c>
      <c r="H56" s="10"/>
      <c r="I56" s="2" t="n">
        <f>93937</f>
        <v>93937.0</v>
      </c>
      <c r="J56" s="10"/>
      <c r="K56" s="2" t="n">
        <f>332007</f>
        <v>332007.0</v>
      </c>
    </row>
    <row r="57">
      <c r="A57" s="8" t="s">
        <v>40</v>
      </c>
      <c r="B57" s="9" t="s">
        <v>51</v>
      </c>
      <c r="C57" s="9" t="s">
        <v>52</v>
      </c>
      <c r="D57" s="10"/>
      <c r="E57" s="2" t="n">
        <f>913051</f>
        <v>913051.0</v>
      </c>
      <c r="F57" s="10"/>
      <c r="G57" s="2" t="n">
        <f>2649819861400</f>
        <v>2.6498198614E12</v>
      </c>
      <c r="H57" s="10"/>
      <c r="I57" s="2" t="n">
        <f>121234</f>
        <v>121234.0</v>
      </c>
      <c r="J57" s="10"/>
      <c r="K57" s="2" t="n">
        <f>344458</f>
        <v>344458.0</v>
      </c>
    </row>
    <row r="58">
      <c r="A58" s="8" t="s">
        <v>41</v>
      </c>
      <c r="B58" s="9" t="s">
        <v>51</v>
      </c>
      <c r="C58" s="9" t="s">
        <v>52</v>
      </c>
      <c r="D58" s="10"/>
      <c r="E58" s="2" t="n">
        <f>1086329</f>
        <v>1086329.0</v>
      </c>
      <c r="F58" s="10"/>
      <c r="G58" s="2" t="n">
        <f>3116977028403</f>
        <v>3.116977028403E12</v>
      </c>
      <c r="H58" s="10"/>
      <c r="I58" s="2" t="n">
        <f>150914</f>
        <v>150914.0</v>
      </c>
      <c r="J58" s="10"/>
      <c r="K58" s="2" t="n">
        <f>342537</f>
        <v>342537.0</v>
      </c>
    </row>
    <row r="59">
      <c r="A59" s="8" t="s">
        <v>42</v>
      </c>
      <c r="B59" s="9" t="s">
        <v>51</v>
      </c>
      <c r="C59" s="9" t="s">
        <v>52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43</v>
      </c>
      <c r="B60" s="9" t="s">
        <v>51</v>
      </c>
      <c r="C60" s="9" t="s">
        <v>52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44</v>
      </c>
      <c r="B61" s="9" t="s">
        <v>51</v>
      </c>
      <c r="C61" s="9" t="s">
        <v>52</v>
      </c>
      <c r="D61" s="10"/>
      <c r="E61" s="2" t="n">
        <f>774700</f>
        <v>774700.0</v>
      </c>
      <c r="F61" s="10"/>
      <c r="G61" s="2" t="n">
        <f>2220598865802</f>
        <v>2.220598865802E12</v>
      </c>
      <c r="H61" s="10"/>
      <c r="I61" s="2" t="n">
        <f>116649</f>
        <v>116649.0</v>
      </c>
      <c r="J61" s="10"/>
      <c r="K61" s="2" t="n">
        <f>343077</f>
        <v>343077.0</v>
      </c>
    </row>
    <row r="62">
      <c r="A62" s="8" t="s">
        <v>45</v>
      </c>
      <c r="B62" s="9" t="s">
        <v>51</v>
      </c>
      <c r="C62" s="9" t="s">
        <v>52</v>
      </c>
      <c r="D62" s="10"/>
      <c r="E62" s="2" t="n">
        <f>698721</f>
        <v>698721.0</v>
      </c>
      <c r="F62" s="10"/>
      <c r="G62" s="2" t="n">
        <f>2022602321972</f>
        <v>2.022602321972E12</v>
      </c>
      <c r="H62" s="10" t="s">
        <v>19</v>
      </c>
      <c r="I62" s="2" t="n">
        <f>86833</f>
        <v>86833.0</v>
      </c>
      <c r="J62" s="10"/>
      <c r="K62" s="2" t="n">
        <f>356816</f>
        <v>356816.0</v>
      </c>
    </row>
    <row r="63">
      <c r="A63" s="8" t="s">
        <v>46</v>
      </c>
      <c r="B63" s="9" t="s">
        <v>51</v>
      </c>
      <c r="C63" s="9" t="s">
        <v>52</v>
      </c>
      <c r="D63" s="10" t="s">
        <v>19</v>
      </c>
      <c r="E63" s="2" t="n">
        <f>652695</f>
        <v>652695.0</v>
      </c>
      <c r="F63" s="10" t="s">
        <v>19</v>
      </c>
      <c r="G63" s="2" t="n">
        <f>1895547899678</f>
        <v>1.895547899678E12</v>
      </c>
      <c r="H63" s="10"/>
      <c r="I63" s="2" t="n">
        <f>89490</f>
        <v>89490.0</v>
      </c>
      <c r="J63" s="10"/>
      <c r="K63" s="2" t="n">
        <f>358468</f>
        <v>358468.0</v>
      </c>
    </row>
    <row r="64">
      <c r="A64" s="8" t="s">
        <v>47</v>
      </c>
      <c r="B64" s="9" t="s">
        <v>51</v>
      </c>
      <c r="C64" s="9" t="s">
        <v>52</v>
      </c>
      <c r="D64" s="10"/>
      <c r="E64" s="2" t="n">
        <f>818783</f>
        <v>818783.0</v>
      </c>
      <c r="F64" s="10"/>
      <c r="G64" s="2" t="n">
        <f>2357770974538</f>
        <v>2.357770974538E12</v>
      </c>
      <c r="H64" s="10"/>
      <c r="I64" s="2" t="n">
        <f>114241</f>
        <v>114241.0</v>
      </c>
      <c r="J64" s="10"/>
      <c r="K64" s="2" t="n">
        <f>356305</f>
        <v>356305.0</v>
      </c>
    </row>
    <row r="65">
      <c r="A65" s="8" t="s">
        <v>48</v>
      </c>
      <c r="B65" s="9" t="s">
        <v>51</v>
      </c>
      <c r="C65" s="9" t="s">
        <v>52</v>
      </c>
      <c r="D65" s="10"/>
      <c r="E65" s="2" t="n">
        <f>917253</f>
        <v>917253.0</v>
      </c>
      <c r="F65" s="10"/>
      <c r="G65" s="2" t="n">
        <f>2638893296932</f>
        <v>2.638893296932E12</v>
      </c>
      <c r="H65" s="10"/>
      <c r="I65" s="2" t="n">
        <f>124906</f>
        <v>124906.0</v>
      </c>
      <c r="J65" s="10"/>
      <c r="K65" s="2" t="n">
        <f>348590</f>
        <v>348590.0</v>
      </c>
    </row>
    <row r="66">
      <c r="A66" s="8" t="s">
        <v>49</v>
      </c>
      <c r="B66" s="9" t="s">
        <v>51</v>
      </c>
      <c r="C66" s="9" t="s">
        <v>52</v>
      </c>
      <c r="D66" s="10"/>
      <c r="E66" s="2"/>
      <c r="F66" s="10"/>
      <c r="G66" s="2"/>
      <c r="H66" s="10"/>
      <c r="I66" s="2"/>
      <c r="J66" s="10"/>
      <c r="K66" s="2"/>
    </row>
    <row r="67">
      <c r="A67" s="8" t="s">
        <v>50</v>
      </c>
      <c r="B67" s="9" t="s">
        <v>51</v>
      </c>
      <c r="C67" s="9" t="s">
        <v>52</v>
      </c>
      <c r="D67" s="10"/>
      <c r="E67" s="2"/>
      <c r="F67" s="10"/>
      <c r="G67" s="2"/>
      <c r="H67" s="10"/>
      <c r="I67" s="2"/>
      <c r="J67" s="10"/>
      <c r="K67" s="2"/>
    </row>
    <row r="68">
      <c r="A68" s="8" t="s">
        <v>16</v>
      </c>
      <c r="B68" s="9" t="s">
        <v>53</v>
      </c>
      <c r="C68" s="9" t="s">
        <v>54</v>
      </c>
      <c r="D68" s="10" t="s">
        <v>24</v>
      </c>
      <c r="E68" s="2" t="n">
        <f>119760</f>
        <v>119760.0</v>
      </c>
      <c r="F68" s="10" t="s">
        <v>24</v>
      </c>
      <c r="G68" s="2" t="n">
        <f>2395868123936</f>
        <v>2.395868123936E12</v>
      </c>
      <c r="H68" s="10" t="s">
        <v>24</v>
      </c>
      <c r="I68" s="2" t="n">
        <f>21455</f>
        <v>21455.0</v>
      </c>
      <c r="J68" s="10"/>
      <c r="K68" s="2" t="n">
        <f>474532</f>
        <v>474532.0</v>
      </c>
    </row>
    <row r="69">
      <c r="A69" s="8" t="s">
        <v>20</v>
      </c>
      <c r="B69" s="9" t="s">
        <v>53</v>
      </c>
      <c r="C69" s="9" t="s">
        <v>54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21</v>
      </c>
      <c r="B70" s="9" t="s">
        <v>53</v>
      </c>
      <c r="C70" s="9" t="s">
        <v>54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22</v>
      </c>
      <c r="B71" s="9" t="s">
        <v>53</v>
      </c>
      <c r="C71" s="9" t="s">
        <v>54</v>
      </c>
      <c r="D71" s="10"/>
      <c r="E71" s="2" t="n">
        <f>88413</f>
        <v>88413.0</v>
      </c>
      <c r="F71" s="10"/>
      <c r="G71" s="2" t="n">
        <f>1751966003542</f>
        <v>1.751966003542E12</v>
      </c>
      <c r="H71" s="10"/>
      <c r="I71" s="2" t="n">
        <f>14986</f>
        <v>14986.0</v>
      </c>
      <c r="J71" s="10"/>
      <c r="K71" s="2" t="n">
        <f>470454</f>
        <v>470454.0</v>
      </c>
    </row>
    <row r="72">
      <c r="A72" s="8" t="s">
        <v>23</v>
      </c>
      <c r="B72" s="9" t="s">
        <v>53</v>
      </c>
      <c r="C72" s="9" t="s">
        <v>54</v>
      </c>
      <c r="D72" s="10"/>
      <c r="E72" s="2" t="n">
        <f>95743</f>
        <v>95743.0</v>
      </c>
      <c r="F72" s="10"/>
      <c r="G72" s="2" t="n">
        <f>1863796000830</f>
        <v>1.86379600083E12</v>
      </c>
      <c r="H72" s="10"/>
      <c r="I72" s="2" t="n">
        <f>16835</f>
        <v>16835.0</v>
      </c>
      <c r="J72" s="10"/>
      <c r="K72" s="2" t="n">
        <f>468882</f>
        <v>468882.0</v>
      </c>
    </row>
    <row r="73">
      <c r="A73" s="8" t="s">
        <v>25</v>
      </c>
      <c r="B73" s="9" t="s">
        <v>53</v>
      </c>
      <c r="C73" s="9" t="s">
        <v>54</v>
      </c>
      <c r="D73" s="10"/>
      <c r="E73" s="2" t="n">
        <f>89402</f>
        <v>89402.0</v>
      </c>
      <c r="F73" s="10"/>
      <c r="G73" s="2" t="n">
        <f>1741668190230</f>
        <v>1.74166819023E12</v>
      </c>
      <c r="H73" s="10"/>
      <c r="I73" s="2" t="n">
        <f>15529</f>
        <v>15529.0</v>
      </c>
      <c r="J73" s="10"/>
      <c r="K73" s="2" t="n">
        <f>458539</f>
        <v>458539.0</v>
      </c>
    </row>
    <row r="74">
      <c r="A74" s="8" t="s">
        <v>26</v>
      </c>
      <c r="B74" s="9" t="s">
        <v>53</v>
      </c>
      <c r="C74" s="9" t="s">
        <v>54</v>
      </c>
      <c r="D74" s="10"/>
      <c r="E74" s="2" t="n">
        <f>76994</f>
        <v>76994.0</v>
      </c>
      <c r="F74" s="10"/>
      <c r="G74" s="2" t="n">
        <f>1494059343497</f>
        <v>1.494059343497E12</v>
      </c>
      <c r="H74" s="10"/>
      <c r="I74" s="2" t="n">
        <f>14959</f>
        <v>14959.0</v>
      </c>
      <c r="J74" s="10" t="s">
        <v>24</v>
      </c>
      <c r="K74" s="2" t="n">
        <f>476699</f>
        <v>476699.0</v>
      </c>
    </row>
    <row r="75">
      <c r="A75" s="8" t="s">
        <v>27</v>
      </c>
      <c r="B75" s="9" t="s">
        <v>53</v>
      </c>
      <c r="C75" s="9" t="s">
        <v>54</v>
      </c>
      <c r="D75" s="10"/>
      <c r="E75" s="2" t="n">
        <f>65291</f>
        <v>65291.0</v>
      </c>
      <c r="F75" s="10"/>
      <c r="G75" s="2" t="n">
        <f>1284188127890</f>
        <v>1.28418812789E12</v>
      </c>
      <c r="H75" s="10"/>
      <c r="I75" s="2" t="n">
        <f>12804</f>
        <v>12804.0</v>
      </c>
      <c r="J75" s="10"/>
      <c r="K75" s="2" t="n">
        <f>459382</f>
        <v>459382.0</v>
      </c>
    </row>
    <row r="76">
      <c r="A76" s="8" t="s">
        <v>28</v>
      </c>
      <c r="B76" s="9" t="s">
        <v>53</v>
      </c>
      <c r="C76" s="9" t="s">
        <v>54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29</v>
      </c>
      <c r="B77" s="9" t="s">
        <v>53</v>
      </c>
      <c r="C77" s="9" t="s">
        <v>54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30</v>
      </c>
      <c r="B78" s="9" t="s">
        <v>53</v>
      </c>
      <c r="C78" s="9" t="s">
        <v>54</v>
      </c>
      <c r="D78" s="10"/>
      <c r="E78" s="2" t="n">
        <f>58753</f>
        <v>58753.0</v>
      </c>
      <c r="F78" s="10"/>
      <c r="G78" s="2" t="n">
        <f>1163864034100</f>
        <v>1.1638640341E12</v>
      </c>
      <c r="H78" s="10"/>
      <c r="I78" s="2" t="n">
        <f>14690</f>
        <v>14690.0</v>
      </c>
      <c r="J78" s="10"/>
      <c r="K78" s="2" t="n">
        <f>459185</f>
        <v>459185.0</v>
      </c>
    </row>
    <row r="79">
      <c r="A79" s="8" t="s">
        <v>31</v>
      </c>
      <c r="B79" s="9" t="s">
        <v>53</v>
      </c>
      <c r="C79" s="9" t="s">
        <v>54</v>
      </c>
      <c r="D79" s="10"/>
      <c r="E79" s="2" t="n">
        <f>48592</f>
        <v>48592.0</v>
      </c>
      <c r="F79" s="10"/>
      <c r="G79" s="2" t="n">
        <f>966271507051</f>
        <v>9.66271507051E11</v>
      </c>
      <c r="H79" s="10"/>
      <c r="I79" s="2" t="n">
        <f>10626</f>
        <v>10626.0</v>
      </c>
      <c r="J79" s="10"/>
      <c r="K79" s="2" t="n">
        <f>459788</f>
        <v>459788.0</v>
      </c>
    </row>
    <row r="80">
      <c r="A80" s="8" t="s">
        <v>32</v>
      </c>
      <c r="B80" s="9" t="s">
        <v>53</v>
      </c>
      <c r="C80" s="9" t="s">
        <v>54</v>
      </c>
      <c r="D80" s="10"/>
      <c r="E80" s="2" t="n">
        <f>55074</f>
        <v>55074.0</v>
      </c>
      <c r="F80" s="10"/>
      <c r="G80" s="2" t="n">
        <f>1090096161800</f>
        <v>1.0900961618E12</v>
      </c>
      <c r="H80" s="10"/>
      <c r="I80" s="2" t="n">
        <f>12942</f>
        <v>12942.0</v>
      </c>
      <c r="J80" s="10" t="s">
        <v>19</v>
      </c>
      <c r="K80" s="2" t="n">
        <f>457075</f>
        <v>457075.0</v>
      </c>
    </row>
    <row r="81">
      <c r="A81" s="8" t="s">
        <v>33</v>
      </c>
      <c r="B81" s="9" t="s">
        <v>53</v>
      </c>
      <c r="C81" s="9" t="s">
        <v>54</v>
      </c>
      <c r="D81" s="10"/>
      <c r="E81" s="2" t="n">
        <f>45734</f>
        <v>45734.0</v>
      </c>
      <c r="F81" s="10"/>
      <c r="G81" s="2" t="n">
        <f>905360657750</f>
        <v>9.0536065775E11</v>
      </c>
      <c r="H81" s="10"/>
      <c r="I81" s="2" t="n">
        <f>11035</f>
        <v>11035.0</v>
      </c>
      <c r="J81" s="10"/>
      <c r="K81" s="2" t="n">
        <f>468346</f>
        <v>468346.0</v>
      </c>
    </row>
    <row r="82">
      <c r="A82" s="8" t="s">
        <v>34</v>
      </c>
      <c r="B82" s="9" t="s">
        <v>53</v>
      </c>
      <c r="C82" s="9" t="s">
        <v>54</v>
      </c>
      <c r="D82" s="10"/>
      <c r="E82" s="2" t="n">
        <f>61942</f>
        <v>61942.0</v>
      </c>
      <c r="F82" s="10"/>
      <c r="G82" s="2" t="n">
        <f>1246389457012</f>
        <v>1.246389457012E12</v>
      </c>
      <c r="H82" s="10"/>
      <c r="I82" s="2" t="n">
        <f>15367</f>
        <v>15367.0</v>
      </c>
      <c r="J82" s="10"/>
      <c r="K82" s="2" t="n">
        <f>459329</f>
        <v>459329.0</v>
      </c>
    </row>
    <row r="83">
      <c r="A83" s="8" t="s">
        <v>35</v>
      </c>
      <c r="B83" s="9" t="s">
        <v>53</v>
      </c>
      <c r="C83" s="9" t="s">
        <v>54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36</v>
      </c>
      <c r="B84" s="9" t="s">
        <v>53</v>
      </c>
      <c r="C84" s="9" t="s">
        <v>54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37</v>
      </c>
      <c r="B85" s="9" t="s">
        <v>53</v>
      </c>
      <c r="C85" s="9" t="s">
        <v>54</v>
      </c>
      <c r="D85" s="10"/>
      <c r="E85" s="2" t="n">
        <f>53920</f>
        <v>53920.0</v>
      </c>
      <c r="F85" s="10"/>
      <c r="G85" s="2" t="n">
        <f>1089938879786</f>
        <v>1.089938879786E12</v>
      </c>
      <c r="H85" s="10"/>
      <c r="I85" s="2" t="n">
        <f>10966</f>
        <v>10966.0</v>
      </c>
      <c r="J85" s="10"/>
      <c r="K85" s="2" t="n">
        <f>460196</f>
        <v>460196.0</v>
      </c>
    </row>
    <row r="86">
      <c r="A86" s="8" t="s">
        <v>38</v>
      </c>
      <c r="B86" s="9" t="s">
        <v>53</v>
      </c>
      <c r="C86" s="9" t="s">
        <v>54</v>
      </c>
      <c r="D86" s="10"/>
      <c r="E86" s="2" t="n">
        <f>44379</f>
        <v>44379.0</v>
      </c>
      <c r="F86" s="10"/>
      <c r="G86" s="2" t="n">
        <f>897892728800</f>
        <v>8.978927288E11</v>
      </c>
      <c r="H86" s="10"/>
      <c r="I86" s="2" t="n">
        <f>10257</f>
        <v>10257.0</v>
      </c>
      <c r="J86" s="10"/>
      <c r="K86" s="2" t="n">
        <f>458776</f>
        <v>458776.0</v>
      </c>
    </row>
    <row r="87">
      <c r="A87" s="8" t="s">
        <v>39</v>
      </c>
      <c r="B87" s="9" t="s">
        <v>53</v>
      </c>
      <c r="C87" s="9" t="s">
        <v>54</v>
      </c>
      <c r="D87" s="10" t="s">
        <v>19</v>
      </c>
      <c r="E87" s="2" t="n">
        <f>41556</f>
        <v>41556.0</v>
      </c>
      <c r="F87" s="10" t="s">
        <v>19</v>
      </c>
      <c r="G87" s="2" t="n">
        <f>844600315667</f>
        <v>8.44600315667E11</v>
      </c>
      <c r="H87" s="10" t="s">
        <v>19</v>
      </c>
      <c r="I87" s="2" t="n">
        <f>8609</f>
        <v>8609.0</v>
      </c>
      <c r="J87" s="10"/>
      <c r="K87" s="2" t="n">
        <f>459276</f>
        <v>459276.0</v>
      </c>
    </row>
    <row r="88">
      <c r="A88" s="8" t="s">
        <v>40</v>
      </c>
      <c r="B88" s="9" t="s">
        <v>53</v>
      </c>
      <c r="C88" s="9" t="s">
        <v>54</v>
      </c>
      <c r="D88" s="10"/>
      <c r="E88" s="2" t="n">
        <f>48655</f>
        <v>48655.0</v>
      </c>
      <c r="F88" s="10"/>
      <c r="G88" s="2" t="n">
        <f>980165594887</f>
        <v>9.80165594887E11</v>
      </c>
      <c r="H88" s="10"/>
      <c r="I88" s="2" t="n">
        <f>11684</f>
        <v>11684.0</v>
      </c>
      <c r="J88" s="10"/>
      <c r="K88" s="2" t="n">
        <f>462367</f>
        <v>462367.0</v>
      </c>
    </row>
    <row r="89">
      <c r="A89" s="8" t="s">
        <v>41</v>
      </c>
      <c r="B89" s="9" t="s">
        <v>53</v>
      </c>
      <c r="C89" s="9" t="s">
        <v>54</v>
      </c>
      <c r="D89" s="10"/>
      <c r="E89" s="2" t="n">
        <f>69111</f>
        <v>69111.0</v>
      </c>
      <c r="F89" s="10"/>
      <c r="G89" s="2" t="n">
        <f>1381881967600</f>
        <v>1.3818819676E12</v>
      </c>
      <c r="H89" s="10"/>
      <c r="I89" s="2" t="n">
        <f>13791</f>
        <v>13791.0</v>
      </c>
      <c r="J89" s="10"/>
      <c r="K89" s="2" t="n">
        <f>464169</f>
        <v>464169.0</v>
      </c>
    </row>
    <row r="90">
      <c r="A90" s="8" t="s">
        <v>42</v>
      </c>
      <c r="B90" s="9" t="s">
        <v>53</v>
      </c>
      <c r="C90" s="9" t="s">
        <v>54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43</v>
      </c>
      <c r="B91" s="9" t="s">
        <v>53</v>
      </c>
      <c r="C91" s="9" t="s">
        <v>54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44</v>
      </c>
      <c r="B92" s="9" t="s">
        <v>53</v>
      </c>
      <c r="C92" s="9" t="s">
        <v>54</v>
      </c>
      <c r="D92" s="10"/>
      <c r="E92" s="2" t="n">
        <f>60266</f>
        <v>60266.0</v>
      </c>
      <c r="F92" s="10"/>
      <c r="G92" s="2" t="n">
        <f>1203881079200</f>
        <v>1.2038810792E12</v>
      </c>
      <c r="H92" s="10"/>
      <c r="I92" s="2" t="n">
        <f>15887</f>
        <v>15887.0</v>
      </c>
      <c r="J92" s="10"/>
      <c r="K92" s="2" t="n">
        <f>467592</f>
        <v>467592.0</v>
      </c>
    </row>
    <row r="93">
      <c r="A93" s="8" t="s">
        <v>45</v>
      </c>
      <c r="B93" s="9" t="s">
        <v>53</v>
      </c>
      <c r="C93" s="9" t="s">
        <v>54</v>
      </c>
      <c r="D93" s="10"/>
      <c r="E93" s="2" t="n">
        <f>59846</f>
        <v>59846.0</v>
      </c>
      <c r="F93" s="10"/>
      <c r="G93" s="2" t="n">
        <f>1205212766217</f>
        <v>1.205212766217E12</v>
      </c>
      <c r="H93" s="10"/>
      <c r="I93" s="2" t="n">
        <f>14980</f>
        <v>14980.0</v>
      </c>
      <c r="J93" s="10"/>
      <c r="K93" s="2" t="n">
        <f>469835</f>
        <v>469835.0</v>
      </c>
    </row>
    <row r="94">
      <c r="A94" s="8" t="s">
        <v>46</v>
      </c>
      <c r="B94" s="9" t="s">
        <v>53</v>
      </c>
      <c r="C94" s="9" t="s">
        <v>54</v>
      </c>
      <c r="D94" s="10"/>
      <c r="E94" s="2" t="n">
        <f>50133</f>
        <v>50133.0</v>
      </c>
      <c r="F94" s="10"/>
      <c r="G94" s="2" t="n">
        <f>1009484300785</f>
        <v>1.009484300785E12</v>
      </c>
      <c r="H94" s="10"/>
      <c r="I94" s="2" t="n">
        <f>14068</f>
        <v>14068.0</v>
      </c>
      <c r="J94" s="10"/>
      <c r="K94" s="2" t="n">
        <f>468126</f>
        <v>468126.0</v>
      </c>
    </row>
    <row r="95">
      <c r="A95" s="8" t="s">
        <v>47</v>
      </c>
      <c r="B95" s="9" t="s">
        <v>53</v>
      </c>
      <c r="C95" s="9" t="s">
        <v>54</v>
      </c>
      <c r="D95" s="10"/>
      <c r="E95" s="2" t="n">
        <f>67624</f>
        <v>67624.0</v>
      </c>
      <c r="F95" s="10"/>
      <c r="G95" s="2" t="n">
        <f>1351443395350</f>
        <v>1.35144339535E12</v>
      </c>
      <c r="H95" s="10"/>
      <c r="I95" s="2" t="n">
        <f>18539</f>
        <v>18539.0</v>
      </c>
      <c r="J95" s="10"/>
      <c r="K95" s="2" t="n">
        <f>467736</f>
        <v>467736.0</v>
      </c>
    </row>
    <row r="96">
      <c r="A96" s="8" t="s">
        <v>48</v>
      </c>
      <c r="B96" s="9" t="s">
        <v>53</v>
      </c>
      <c r="C96" s="9" t="s">
        <v>54</v>
      </c>
      <c r="D96" s="10"/>
      <c r="E96" s="2" t="n">
        <f>71846</f>
        <v>71846.0</v>
      </c>
      <c r="F96" s="10"/>
      <c r="G96" s="2" t="n">
        <f>1434218782528</f>
        <v>1.434218782528E12</v>
      </c>
      <c r="H96" s="10"/>
      <c r="I96" s="2" t="n">
        <f>16462</f>
        <v>16462.0</v>
      </c>
      <c r="J96" s="10"/>
      <c r="K96" s="2" t="n">
        <f>467378</f>
        <v>467378.0</v>
      </c>
    </row>
    <row r="97">
      <c r="A97" s="8" t="s">
        <v>49</v>
      </c>
      <c r="B97" s="9" t="s">
        <v>53</v>
      </c>
      <c r="C97" s="9" t="s">
        <v>54</v>
      </c>
      <c r="D97" s="10"/>
      <c r="E97" s="2"/>
      <c r="F97" s="10"/>
      <c r="G97" s="2"/>
      <c r="H97" s="10"/>
      <c r="I97" s="2"/>
      <c r="J97" s="10"/>
      <c r="K97" s="2"/>
    </row>
    <row r="98">
      <c r="A98" s="8" t="s">
        <v>50</v>
      </c>
      <c r="B98" s="9" t="s">
        <v>53</v>
      </c>
      <c r="C98" s="9" t="s">
        <v>54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16</v>
      </c>
      <c r="B99" s="9" t="s">
        <v>55</v>
      </c>
      <c r="C99" s="9" t="s">
        <v>56</v>
      </c>
      <c r="D99" s="10" t="s">
        <v>24</v>
      </c>
      <c r="E99" s="2" t="n">
        <f>62330</f>
        <v>62330.0</v>
      </c>
      <c r="F99" s="10" t="s">
        <v>24</v>
      </c>
      <c r="G99" s="2" t="n">
        <f>124775880100</f>
        <v>1.247758801E11</v>
      </c>
      <c r="H99" s="10"/>
      <c r="I99" s="2" t="n">
        <f>7224</f>
        <v>7224.0</v>
      </c>
      <c r="J99" s="10"/>
      <c r="K99" s="2" t="n">
        <f>55887</f>
        <v>55887.0</v>
      </c>
    </row>
    <row r="100">
      <c r="A100" s="8" t="s">
        <v>20</v>
      </c>
      <c r="B100" s="9" t="s">
        <v>55</v>
      </c>
      <c r="C100" s="9" t="s">
        <v>56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21</v>
      </c>
      <c r="B101" s="9" t="s">
        <v>55</v>
      </c>
      <c r="C101" s="9" t="s">
        <v>56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22</v>
      </c>
      <c r="B102" s="9" t="s">
        <v>55</v>
      </c>
      <c r="C102" s="9" t="s">
        <v>56</v>
      </c>
      <c r="D102" s="10"/>
      <c r="E102" s="2" t="n">
        <f>51592</f>
        <v>51592.0</v>
      </c>
      <c r="F102" s="10"/>
      <c r="G102" s="2" t="n">
        <f>102237131500</f>
        <v>1.022371315E11</v>
      </c>
      <c r="H102" s="10"/>
      <c r="I102" s="2" t="n">
        <f>5170</f>
        <v>5170.0</v>
      </c>
      <c r="J102" s="10"/>
      <c r="K102" s="2" t="n">
        <f>56017</f>
        <v>56017.0</v>
      </c>
    </row>
    <row r="103">
      <c r="A103" s="8" t="s">
        <v>23</v>
      </c>
      <c r="B103" s="9" t="s">
        <v>55</v>
      </c>
      <c r="C103" s="9" t="s">
        <v>56</v>
      </c>
      <c r="D103" s="10"/>
      <c r="E103" s="2" t="n">
        <f>57982</f>
        <v>57982.0</v>
      </c>
      <c r="F103" s="10"/>
      <c r="G103" s="2" t="n">
        <f>112943850850</f>
        <v>1.1294385085E11</v>
      </c>
      <c r="H103" s="10"/>
      <c r="I103" s="2" t="n">
        <f>6454</f>
        <v>6454.0</v>
      </c>
      <c r="J103" s="10"/>
      <c r="K103" s="2" t="n">
        <f>54913</f>
        <v>54913.0</v>
      </c>
    </row>
    <row r="104">
      <c r="A104" s="8" t="s">
        <v>25</v>
      </c>
      <c r="B104" s="9" t="s">
        <v>55</v>
      </c>
      <c r="C104" s="9" t="s">
        <v>56</v>
      </c>
      <c r="D104" s="10"/>
      <c r="E104" s="2" t="n">
        <f>55440</f>
        <v>55440.0</v>
      </c>
      <c r="F104" s="10"/>
      <c r="G104" s="2" t="n">
        <f>108038688950</f>
        <v>1.0803868895E11</v>
      </c>
      <c r="H104" s="10"/>
      <c r="I104" s="2" t="n">
        <f>7840</f>
        <v>7840.0</v>
      </c>
      <c r="J104" s="10" t="s">
        <v>19</v>
      </c>
      <c r="K104" s="2" t="n">
        <f>54559</f>
        <v>54559.0</v>
      </c>
    </row>
    <row r="105">
      <c r="A105" s="8" t="s">
        <v>26</v>
      </c>
      <c r="B105" s="9" t="s">
        <v>55</v>
      </c>
      <c r="C105" s="9" t="s">
        <v>56</v>
      </c>
      <c r="D105" s="10"/>
      <c r="E105" s="2" t="n">
        <f>50471</f>
        <v>50471.0</v>
      </c>
      <c r="F105" s="10"/>
      <c r="G105" s="2" t="n">
        <f>97858831900</f>
        <v>9.78588319E10</v>
      </c>
      <c r="H105" s="10"/>
      <c r="I105" s="2" t="n">
        <f>7086</f>
        <v>7086.0</v>
      </c>
      <c r="J105" s="10" t="s">
        <v>24</v>
      </c>
      <c r="K105" s="2" t="n">
        <f>67454</f>
        <v>67454.0</v>
      </c>
    </row>
    <row r="106">
      <c r="A106" s="8" t="s">
        <v>27</v>
      </c>
      <c r="B106" s="9" t="s">
        <v>55</v>
      </c>
      <c r="C106" s="9" t="s">
        <v>56</v>
      </c>
      <c r="D106" s="10"/>
      <c r="E106" s="2" t="n">
        <f>37027</f>
        <v>37027.0</v>
      </c>
      <c r="F106" s="10"/>
      <c r="G106" s="2" t="n">
        <f>72830138450</f>
        <v>7.283013845E10</v>
      </c>
      <c r="H106" s="10"/>
      <c r="I106" s="2" t="n">
        <f>4302</f>
        <v>4302.0</v>
      </c>
      <c r="J106" s="10"/>
      <c r="K106" s="2" t="n">
        <f>55236</f>
        <v>55236.0</v>
      </c>
    </row>
    <row r="107">
      <c r="A107" s="8" t="s">
        <v>28</v>
      </c>
      <c r="B107" s="9" t="s">
        <v>55</v>
      </c>
      <c r="C107" s="9" t="s">
        <v>56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29</v>
      </c>
      <c r="B108" s="9" t="s">
        <v>55</v>
      </c>
      <c r="C108" s="9" t="s">
        <v>56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30</v>
      </c>
      <c r="B109" s="9" t="s">
        <v>55</v>
      </c>
      <c r="C109" s="9" t="s">
        <v>56</v>
      </c>
      <c r="D109" s="10"/>
      <c r="E109" s="2" t="n">
        <f>29569</f>
        <v>29569.0</v>
      </c>
      <c r="F109" s="10"/>
      <c r="G109" s="2" t="n">
        <f>58494671940</f>
        <v>5.849467194E10</v>
      </c>
      <c r="H109" s="10"/>
      <c r="I109" s="2" t="n">
        <f>3253</f>
        <v>3253.0</v>
      </c>
      <c r="J109" s="10"/>
      <c r="K109" s="2" t="n">
        <f>55030</f>
        <v>55030.0</v>
      </c>
    </row>
    <row r="110">
      <c r="A110" s="8" t="s">
        <v>31</v>
      </c>
      <c r="B110" s="9" t="s">
        <v>55</v>
      </c>
      <c r="C110" s="9" t="s">
        <v>56</v>
      </c>
      <c r="D110" s="10"/>
      <c r="E110" s="2" t="n">
        <f>29122</f>
        <v>29122.0</v>
      </c>
      <c r="F110" s="10"/>
      <c r="G110" s="2" t="n">
        <f>57934016260</f>
        <v>5.793401626E10</v>
      </c>
      <c r="H110" s="10" t="s">
        <v>19</v>
      </c>
      <c r="I110" s="2" t="n">
        <f>2580</f>
        <v>2580.0</v>
      </c>
      <c r="J110" s="10"/>
      <c r="K110" s="2" t="n">
        <f>54918</f>
        <v>54918.0</v>
      </c>
    </row>
    <row r="111">
      <c r="A111" s="8" t="s">
        <v>32</v>
      </c>
      <c r="B111" s="9" t="s">
        <v>55</v>
      </c>
      <c r="C111" s="9" t="s">
        <v>56</v>
      </c>
      <c r="D111" s="10"/>
      <c r="E111" s="2" t="n">
        <f>34122</f>
        <v>34122.0</v>
      </c>
      <c r="F111" s="10"/>
      <c r="G111" s="2" t="n">
        <f>67576793550</f>
        <v>6.757679355E10</v>
      </c>
      <c r="H111" s="10"/>
      <c r="I111" s="2" t="n">
        <f>3133</f>
        <v>3133.0</v>
      </c>
      <c r="J111" s="10"/>
      <c r="K111" s="2" t="n">
        <f>56167</f>
        <v>56167.0</v>
      </c>
    </row>
    <row r="112">
      <c r="A112" s="8" t="s">
        <v>33</v>
      </c>
      <c r="B112" s="9" t="s">
        <v>55</v>
      </c>
      <c r="C112" s="9" t="s">
        <v>56</v>
      </c>
      <c r="D112" s="10" t="s">
        <v>19</v>
      </c>
      <c r="E112" s="2" t="n">
        <f>23842</f>
        <v>23842.0</v>
      </c>
      <c r="F112" s="10" t="s">
        <v>19</v>
      </c>
      <c r="G112" s="2" t="n">
        <f>47188595410</f>
        <v>4.718859541E10</v>
      </c>
      <c r="H112" s="10"/>
      <c r="I112" s="2" t="n">
        <f>2686</f>
        <v>2686.0</v>
      </c>
      <c r="J112" s="10"/>
      <c r="K112" s="2" t="n">
        <f>55876</f>
        <v>55876.0</v>
      </c>
    </row>
    <row r="113">
      <c r="A113" s="8" t="s">
        <v>34</v>
      </c>
      <c r="B113" s="9" t="s">
        <v>55</v>
      </c>
      <c r="C113" s="9" t="s">
        <v>56</v>
      </c>
      <c r="D113" s="10"/>
      <c r="E113" s="2" t="n">
        <f>31758</f>
        <v>31758.0</v>
      </c>
      <c r="F113" s="10"/>
      <c r="G113" s="2" t="n">
        <f>63798821910</f>
        <v>6.379882191E10</v>
      </c>
      <c r="H113" s="10"/>
      <c r="I113" s="2" t="n">
        <f>3153</f>
        <v>3153.0</v>
      </c>
      <c r="J113" s="10"/>
      <c r="K113" s="2" t="n">
        <f>56389</f>
        <v>56389.0</v>
      </c>
    </row>
    <row r="114">
      <c r="A114" s="8" t="s">
        <v>35</v>
      </c>
      <c r="B114" s="9" t="s">
        <v>55</v>
      </c>
      <c r="C114" s="9" t="s">
        <v>56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36</v>
      </c>
      <c r="B115" s="9" t="s">
        <v>55</v>
      </c>
      <c r="C115" s="9" t="s">
        <v>56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37</v>
      </c>
      <c r="B116" s="9" t="s">
        <v>55</v>
      </c>
      <c r="C116" s="9" t="s">
        <v>56</v>
      </c>
      <c r="D116" s="10"/>
      <c r="E116" s="2" t="n">
        <f>28072</f>
        <v>28072.0</v>
      </c>
      <c r="F116" s="10"/>
      <c r="G116" s="2" t="n">
        <f>56793977410</f>
        <v>5.679397741E10</v>
      </c>
      <c r="H116" s="10"/>
      <c r="I116" s="2" t="n">
        <f>4383</f>
        <v>4383.0</v>
      </c>
      <c r="J116" s="10"/>
      <c r="K116" s="2" t="n">
        <f>56745</f>
        <v>56745.0</v>
      </c>
    </row>
    <row r="117">
      <c r="A117" s="8" t="s">
        <v>38</v>
      </c>
      <c r="B117" s="9" t="s">
        <v>55</v>
      </c>
      <c r="C117" s="9" t="s">
        <v>56</v>
      </c>
      <c r="D117" s="10"/>
      <c r="E117" s="2" t="n">
        <f>24778</f>
        <v>24778.0</v>
      </c>
      <c r="F117" s="10"/>
      <c r="G117" s="2" t="n">
        <f>50100969750</f>
        <v>5.010096975E10</v>
      </c>
      <c r="H117" s="10"/>
      <c r="I117" s="2" t="n">
        <f>3578</f>
        <v>3578.0</v>
      </c>
      <c r="J117" s="10"/>
      <c r="K117" s="2" t="n">
        <f>57745</f>
        <v>57745.0</v>
      </c>
    </row>
    <row r="118">
      <c r="A118" s="8" t="s">
        <v>39</v>
      </c>
      <c r="B118" s="9" t="s">
        <v>55</v>
      </c>
      <c r="C118" s="9" t="s">
        <v>56</v>
      </c>
      <c r="D118" s="10"/>
      <c r="E118" s="2" t="n">
        <f>24877</f>
        <v>24877.0</v>
      </c>
      <c r="F118" s="10"/>
      <c r="G118" s="2" t="n">
        <f>50573521760</f>
        <v>5.057352176E10</v>
      </c>
      <c r="H118" s="10"/>
      <c r="I118" s="2" t="n">
        <f>4699</f>
        <v>4699.0</v>
      </c>
      <c r="J118" s="10"/>
      <c r="K118" s="2" t="n">
        <f>57343</f>
        <v>57343.0</v>
      </c>
    </row>
    <row r="119">
      <c r="A119" s="8" t="s">
        <v>40</v>
      </c>
      <c r="B119" s="9" t="s">
        <v>55</v>
      </c>
      <c r="C119" s="9" t="s">
        <v>56</v>
      </c>
      <c r="D119" s="10"/>
      <c r="E119" s="2" t="n">
        <f>32035</f>
        <v>32035.0</v>
      </c>
      <c r="F119" s="10"/>
      <c r="G119" s="2" t="n">
        <f>64563783800</f>
        <v>6.45637838E10</v>
      </c>
      <c r="H119" s="10"/>
      <c r="I119" s="2" t="n">
        <f>5677</f>
        <v>5677.0</v>
      </c>
      <c r="J119" s="10"/>
      <c r="K119" s="2" t="n">
        <f>59207</f>
        <v>59207.0</v>
      </c>
    </row>
    <row r="120">
      <c r="A120" s="8" t="s">
        <v>41</v>
      </c>
      <c r="B120" s="9" t="s">
        <v>55</v>
      </c>
      <c r="C120" s="9" t="s">
        <v>56</v>
      </c>
      <c r="D120" s="10"/>
      <c r="E120" s="2" t="n">
        <f>42699</f>
        <v>42699.0</v>
      </c>
      <c r="F120" s="10"/>
      <c r="G120" s="2" t="n">
        <f>85349392300</f>
        <v>8.53493923E10</v>
      </c>
      <c r="H120" s="10" t="s">
        <v>24</v>
      </c>
      <c r="I120" s="2" t="n">
        <f>8107</f>
        <v>8107.0</v>
      </c>
      <c r="J120" s="10"/>
      <c r="K120" s="2" t="n">
        <f>60228</f>
        <v>60228.0</v>
      </c>
    </row>
    <row r="121">
      <c r="A121" s="8" t="s">
        <v>42</v>
      </c>
      <c r="B121" s="9" t="s">
        <v>55</v>
      </c>
      <c r="C121" s="9" t="s">
        <v>56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43</v>
      </c>
      <c r="B122" s="9" t="s">
        <v>55</v>
      </c>
      <c r="C122" s="9" t="s">
        <v>56</v>
      </c>
      <c r="D122" s="10"/>
      <c r="E122" s="2"/>
      <c r="F122" s="10"/>
      <c r="G122" s="2"/>
      <c r="H122" s="10"/>
      <c r="I122" s="2"/>
      <c r="J122" s="10"/>
      <c r="K122" s="2"/>
    </row>
    <row r="123">
      <c r="A123" s="8" t="s">
        <v>44</v>
      </c>
      <c r="B123" s="9" t="s">
        <v>55</v>
      </c>
      <c r="C123" s="9" t="s">
        <v>56</v>
      </c>
      <c r="D123" s="10"/>
      <c r="E123" s="2" t="n">
        <f>29143</f>
        <v>29143.0</v>
      </c>
      <c r="F123" s="10"/>
      <c r="G123" s="2" t="n">
        <f>58239622650</f>
        <v>5.823962265E10</v>
      </c>
      <c r="H123" s="10"/>
      <c r="I123" s="2" t="n">
        <f>4636</f>
        <v>4636.0</v>
      </c>
      <c r="J123" s="10"/>
      <c r="K123" s="2" t="n">
        <f>60440</f>
        <v>60440.0</v>
      </c>
    </row>
    <row r="124">
      <c r="A124" s="8" t="s">
        <v>45</v>
      </c>
      <c r="B124" s="9" t="s">
        <v>55</v>
      </c>
      <c r="C124" s="9" t="s">
        <v>56</v>
      </c>
      <c r="D124" s="10"/>
      <c r="E124" s="2" t="n">
        <f>26810</f>
        <v>26810.0</v>
      </c>
      <c r="F124" s="10"/>
      <c r="G124" s="2" t="n">
        <f>53949805200</f>
        <v>5.39498052E10</v>
      </c>
      <c r="H124" s="10"/>
      <c r="I124" s="2" t="n">
        <f>4310</f>
        <v>4310.0</v>
      </c>
      <c r="J124" s="10"/>
      <c r="K124" s="2" t="n">
        <f>60094</f>
        <v>60094.0</v>
      </c>
    </row>
    <row r="125">
      <c r="A125" s="8" t="s">
        <v>46</v>
      </c>
      <c r="B125" s="9" t="s">
        <v>55</v>
      </c>
      <c r="C125" s="9" t="s">
        <v>56</v>
      </c>
      <c r="D125" s="10"/>
      <c r="E125" s="2" t="n">
        <f>24427</f>
        <v>24427.0</v>
      </c>
      <c r="F125" s="10"/>
      <c r="G125" s="2" t="n">
        <f>49202132200</f>
        <v>4.92021322E10</v>
      </c>
      <c r="H125" s="10"/>
      <c r="I125" s="2" t="n">
        <f>3180</f>
        <v>3180.0</v>
      </c>
      <c r="J125" s="10"/>
      <c r="K125" s="2" t="n">
        <f>59689</f>
        <v>59689.0</v>
      </c>
    </row>
    <row r="126">
      <c r="A126" s="8" t="s">
        <v>47</v>
      </c>
      <c r="B126" s="9" t="s">
        <v>55</v>
      </c>
      <c r="C126" s="9" t="s">
        <v>56</v>
      </c>
      <c r="D126" s="10"/>
      <c r="E126" s="2" t="n">
        <f>32674</f>
        <v>32674.0</v>
      </c>
      <c r="F126" s="10"/>
      <c r="G126" s="2" t="n">
        <f>65291357020</f>
        <v>6.529135702E10</v>
      </c>
      <c r="H126" s="10"/>
      <c r="I126" s="2" t="n">
        <f>4726</f>
        <v>4726.0</v>
      </c>
      <c r="J126" s="10"/>
      <c r="K126" s="2" t="n">
        <f>59782</f>
        <v>59782.0</v>
      </c>
    </row>
    <row r="127">
      <c r="A127" s="8" t="s">
        <v>48</v>
      </c>
      <c r="B127" s="9" t="s">
        <v>55</v>
      </c>
      <c r="C127" s="9" t="s">
        <v>56</v>
      </c>
      <c r="D127" s="10"/>
      <c r="E127" s="2" t="n">
        <f>37028</f>
        <v>37028.0</v>
      </c>
      <c r="F127" s="10"/>
      <c r="G127" s="2" t="n">
        <f>73862972600</f>
        <v>7.38629726E10</v>
      </c>
      <c r="H127" s="10"/>
      <c r="I127" s="2" t="n">
        <f>5553</f>
        <v>5553.0</v>
      </c>
      <c r="J127" s="10"/>
      <c r="K127" s="2" t="n">
        <f>59659</f>
        <v>59659.0</v>
      </c>
    </row>
    <row r="128">
      <c r="A128" s="8" t="s">
        <v>49</v>
      </c>
      <c r="B128" s="9" t="s">
        <v>55</v>
      </c>
      <c r="C128" s="9" t="s">
        <v>56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50</v>
      </c>
      <c r="B129" s="9" t="s">
        <v>55</v>
      </c>
      <c r="C129" s="9" t="s">
        <v>56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16</v>
      </c>
      <c r="B130" s="9" t="s">
        <v>57</v>
      </c>
      <c r="C130" s="9" t="s">
        <v>58</v>
      </c>
      <c r="D130" s="10"/>
      <c r="E130" s="2" t="n">
        <f>13963</f>
        <v>13963.0</v>
      </c>
      <c r="F130" s="10"/>
      <c r="G130" s="2" t="n">
        <f>25170637500</f>
        <v>2.51706375E10</v>
      </c>
      <c r="H130" s="10"/>
      <c r="I130" s="2" t="n">
        <f>438</f>
        <v>438.0</v>
      </c>
      <c r="J130" s="10" t="s">
        <v>19</v>
      </c>
      <c r="K130" s="2" t="n">
        <f>57307</f>
        <v>57307.0</v>
      </c>
    </row>
    <row r="131">
      <c r="A131" s="8" t="s">
        <v>20</v>
      </c>
      <c r="B131" s="9" t="s">
        <v>57</v>
      </c>
      <c r="C131" s="9" t="s">
        <v>58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21</v>
      </c>
      <c r="B132" s="9" t="s">
        <v>57</v>
      </c>
      <c r="C132" s="9" t="s">
        <v>58</v>
      </c>
      <c r="D132" s="10"/>
      <c r="E132" s="2"/>
      <c r="F132" s="10"/>
      <c r="G132" s="2"/>
      <c r="H132" s="10"/>
      <c r="I132" s="2"/>
      <c r="J132" s="10"/>
      <c r="K132" s="2"/>
    </row>
    <row r="133">
      <c r="A133" s="8" t="s">
        <v>22</v>
      </c>
      <c r="B133" s="9" t="s">
        <v>57</v>
      </c>
      <c r="C133" s="9" t="s">
        <v>58</v>
      </c>
      <c r="D133" s="10"/>
      <c r="E133" s="2" t="n">
        <f>14159</f>
        <v>14159.0</v>
      </c>
      <c r="F133" s="10"/>
      <c r="G133" s="2" t="n">
        <f>25261338548</f>
        <v>2.5261338548E10</v>
      </c>
      <c r="H133" s="10"/>
      <c r="I133" s="2" t="n">
        <f>557</f>
        <v>557.0</v>
      </c>
      <c r="J133" s="10"/>
      <c r="K133" s="2" t="n">
        <f>58800</f>
        <v>58800.0</v>
      </c>
    </row>
    <row r="134">
      <c r="A134" s="8" t="s">
        <v>23</v>
      </c>
      <c r="B134" s="9" t="s">
        <v>57</v>
      </c>
      <c r="C134" s="9" t="s">
        <v>58</v>
      </c>
      <c r="D134" s="10" t="s">
        <v>24</v>
      </c>
      <c r="E134" s="2" t="n">
        <f>20721</f>
        <v>20721.0</v>
      </c>
      <c r="F134" s="10" t="s">
        <v>24</v>
      </c>
      <c r="G134" s="2" t="n">
        <f>36300300940</f>
        <v>3.630030094E10</v>
      </c>
      <c r="H134" s="10"/>
      <c r="I134" s="2" t="n">
        <f>922</f>
        <v>922.0</v>
      </c>
      <c r="J134" s="10"/>
      <c r="K134" s="2" t="n">
        <f>59195</f>
        <v>59195.0</v>
      </c>
    </row>
    <row r="135">
      <c r="A135" s="8" t="s">
        <v>25</v>
      </c>
      <c r="B135" s="9" t="s">
        <v>57</v>
      </c>
      <c r="C135" s="9" t="s">
        <v>58</v>
      </c>
      <c r="D135" s="10"/>
      <c r="E135" s="2" t="n">
        <f>18280</f>
        <v>18280.0</v>
      </c>
      <c r="F135" s="10"/>
      <c r="G135" s="2" t="n">
        <f>32074727080</f>
        <v>3.207472708E10</v>
      </c>
      <c r="H135" s="10"/>
      <c r="I135" s="2" t="n">
        <f>425</f>
        <v>425.0</v>
      </c>
      <c r="J135" s="10"/>
      <c r="K135" s="2" t="n">
        <f>57990</f>
        <v>57990.0</v>
      </c>
    </row>
    <row r="136">
      <c r="A136" s="8" t="s">
        <v>26</v>
      </c>
      <c r="B136" s="9" t="s">
        <v>57</v>
      </c>
      <c r="C136" s="9" t="s">
        <v>58</v>
      </c>
      <c r="D136" s="10"/>
      <c r="E136" s="2" t="n">
        <f>16957</f>
        <v>16957.0</v>
      </c>
      <c r="F136" s="10"/>
      <c r="G136" s="2" t="n">
        <f>29668116146</f>
        <v>2.9668116146E10</v>
      </c>
      <c r="H136" s="10" t="s">
        <v>24</v>
      </c>
      <c r="I136" s="2" t="n">
        <f>2068</f>
        <v>2068.0</v>
      </c>
      <c r="J136" s="10"/>
      <c r="K136" s="2" t="n">
        <f>61446</f>
        <v>61446.0</v>
      </c>
    </row>
    <row r="137">
      <c r="A137" s="8" t="s">
        <v>27</v>
      </c>
      <c r="B137" s="9" t="s">
        <v>57</v>
      </c>
      <c r="C137" s="9" t="s">
        <v>58</v>
      </c>
      <c r="D137" s="10"/>
      <c r="E137" s="2" t="n">
        <f>11926</f>
        <v>11926.0</v>
      </c>
      <c r="F137" s="10"/>
      <c r="G137" s="2" t="n">
        <f>21153821000</f>
        <v>2.1153821E10</v>
      </c>
      <c r="H137" s="10"/>
      <c r="I137" s="2" t="n">
        <f>748</f>
        <v>748.0</v>
      </c>
      <c r="J137" s="10"/>
      <c r="K137" s="2" t="n">
        <f>59996</f>
        <v>59996.0</v>
      </c>
    </row>
    <row r="138">
      <c r="A138" s="8" t="s">
        <v>28</v>
      </c>
      <c r="B138" s="9" t="s">
        <v>57</v>
      </c>
      <c r="C138" s="9" t="s">
        <v>58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29</v>
      </c>
      <c r="B139" s="9" t="s">
        <v>57</v>
      </c>
      <c r="C139" s="9" t="s">
        <v>58</v>
      </c>
      <c r="D139" s="10"/>
      <c r="E139" s="2"/>
      <c r="F139" s="10"/>
      <c r="G139" s="2"/>
      <c r="H139" s="10"/>
      <c r="I139" s="2"/>
      <c r="J139" s="10"/>
      <c r="K139" s="2"/>
    </row>
    <row r="140">
      <c r="A140" s="8" t="s">
        <v>30</v>
      </c>
      <c r="B140" s="9" t="s">
        <v>57</v>
      </c>
      <c r="C140" s="9" t="s">
        <v>58</v>
      </c>
      <c r="D140" s="10"/>
      <c r="E140" s="2" t="n">
        <f>14296</f>
        <v>14296.0</v>
      </c>
      <c r="F140" s="10"/>
      <c r="G140" s="2" t="n">
        <f>25513726500</f>
        <v>2.55137265E10</v>
      </c>
      <c r="H140" s="10"/>
      <c r="I140" s="2" t="n">
        <f>698</f>
        <v>698.0</v>
      </c>
      <c r="J140" s="10"/>
      <c r="K140" s="2" t="n">
        <f>60396</f>
        <v>60396.0</v>
      </c>
    </row>
    <row r="141">
      <c r="A141" s="8" t="s">
        <v>31</v>
      </c>
      <c r="B141" s="9" t="s">
        <v>57</v>
      </c>
      <c r="C141" s="9" t="s">
        <v>58</v>
      </c>
      <c r="D141" s="10"/>
      <c r="E141" s="2" t="n">
        <f>17050</f>
        <v>17050.0</v>
      </c>
      <c r="F141" s="10"/>
      <c r="G141" s="2" t="n">
        <f>30573283000</f>
        <v>3.0573283E10</v>
      </c>
      <c r="H141" s="10" t="s">
        <v>19</v>
      </c>
      <c r="I141" s="2" t="n">
        <f>359</f>
        <v>359.0</v>
      </c>
      <c r="J141" s="10"/>
      <c r="K141" s="2" t="n">
        <f>59896</f>
        <v>59896.0</v>
      </c>
    </row>
    <row r="142">
      <c r="A142" s="8" t="s">
        <v>32</v>
      </c>
      <c r="B142" s="9" t="s">
        <v>57</v>
      </c>
      <c r="C142" s="9" t="s">
        <v>58</v>
      </c>
      <c r="D142" s="10"/>
      <c r="E142" s="2" t="n">
        <f>10807</f>
        <v>10807.0</v>
      </c>
      <c r="F142" s="10"/>
      <c r="G142" s="2" t="n">
        <f>19288089000</f>
        <v>1.9288089E10</v>
      </c>
      <c r="H142" s="10"/>
      <c r="I142" s="2" t="n">
        <f>973</f>
        <v>973.0</v>
      </c>
      <c r="J142" s="10"/>
      <c r="K142" s="2" t="n">
        <f>60125</f>
        <v>60125.0</v>
      </c>
    </row>
    <row r="143">
      <c r="A143" s="8" t="s">
        <v>33</v>
      </c>
      <c r="B143" s="9" t="s">
        <v>57</v>
      </c>
      <c r="C143" s="9" t="s">
        <v>58</v>
      </c>
      <c r="D143" s="10"/>
      <c r="E143" s="2" t="n">
        <f>11413</f>
        <v>11413.0</v>
      </c>
      <c r="F143" s="10"/>
      <c r="G143" s="2" t="n">
        <f>20381013000</f>
        <v>2.0381013E10</v>
      </c>
      <c r="H143" s="10"/>
      <c r="I143" s="2" t="n">
        <f>729</f>
        <v>729.0</v>
      </c>
      <c r="J143" s="10"/>
      <c r="K143" s="2" t="n">
        <f>61099</f>
        <v>61099.0</v>
      </c>
    </row>
    <row r="144">
      <c r="A144" s="8" t="s">
        <v>34</v>
      </c>
      <c r="B144" s="9" t="s">
        <v>57</v>
      </c>
      <c r="C144" s="9" t="s">
        <v>58</v>
      </c>
      <c r="D144" s="10"/>
      <c r="E144" s="2" t="n">
        <f>11719</f>
        <v>11719.0</v>
      </c>
      <c r="F144" s="10"/>
      <c r="G144" s="2" t="n">
        <f>21238969000</f>
        <v>2.1238969E10</v>
      </c>
      <c r="H144" s="10"/>
      <c r="I144" s="2" t="n">
        <f>482</f>
        <v>482.0</v>
      </c>
      <c r="J144" s="10"/>
      <c r="K144" s="2" t="n">
        <f>61541</f>
        <v>61541.0</v>
      </c>
    </row>
    <row r="145">
      <c r="A145" s="8" t="s">
        <v>35</v>
      </c>
      <c r="B145" s="9" t="s">
        <v>57</v>
      </c>
      <c r="C145" s="9" t="s">
        <v>58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36</v>
      </c>
      <c r="B146" s="9" t="s">
        <v>57</v>
      </c>
      <c r="C146" s="9" t="s">
        <v>58</v>
      </c>
      <c r="D146" s="10"/>
      <c r="E146" s="2"/>
      <c r="F146" s="10"/>
      <c r="G146" s="2"/>
      <c r="H146" s="10"/>
      <c r="I146" s="2"/>
      <c r="J146" s="10"/>
      <c r="K146" s="2"/>
    </row>
    <row r="147">
      <c r="A147" s="8" t="s">
        <v>37</v>
      </c>
      <c r="B147" s="9" t="s">
        <v>57</v>
      </c>
      <c r="C147" s="9" t="s">
        <v>58</v>
      </c>
      <c r="D147" s="10"/>
      <c r="E147" s="2" t="n">
        <f>10553</f>
        <v>10553.0</v>
      </c>
      <c r="F147" s="10"/>
      <c r="G147" s="2" t="n">
        <f>19258620225</f>
        <v>1.9258620225E10</v>
      </c>
      <c r="H147" s="10"/>
      <c r="I147" s="2" t="n">
        <f>646</f>
        <v>646.0</v>
      </c>
      <c r="J147" s="10"/>
      <c r="K147" s="2" t="n">
        <f>59982</f>
        <v>59982.0</v>
      </c>
    </row>
    <row r="148">
      <c r="A148" s="8" t="s">
        <v>38</v>
      </c>
      <c r="B148" s="9" t="s">
        <v>57</v>
      </c>
      <c r="C148" s="9" t="s">
        <v>58</v>
      </c>
      <c r="D148" s="10"/>
      <c r="E148" s="2" t="n">
        <f>9370</f>
        <v>9370.0</v>
      </c>
      <c r="F148" s="10"/>
      <c r="G148" s="2" t="n">
        <f>17085094400</f>
        <v>1.70850944E10</v>
      </c>
      <c r="H148" s="10"/>
      <c r="I148" s="2" t="n">
        <f>722</f>
        <v>722.0</v>
      </c>
      <c r="J148" s="10"/>
      <c r="K148" s="2" t="n">
        <f>60279</f>
        <v>60279.0</v>
      </c>
    </row>
    <row r="149">
      <c r="A149" s="8" t="s">
        <v>39</v>
      </c>
      <c r="B149" s="9" t="s">
        <v>57</v>
      </c>
      <c r="C149" s="9" t="s">
        <v>58</v>
      </c>
      <c r="D149" s="10"/>
      <c r="E149" s="2" t="n">
        <f>8180</f>
        <v>8180.0</v>
      </c>
      <c r="F149" s="10"/>
      <c r="G149" s="2" t="n">
        <f>14983097866</f>
        <v>1.4983097866E10</v>
      </c>
      <c r="H149" s="10"/>
      <c r="I149" s="2" t="n">
        <f>369</f>
        <v>369.0</v>
      </c>
      <c r="J149" s="10"/>
      <c r="K149" s="2" t="n">
        <f>60399</f>
        <v>60399.0</v>
      </c>
    </row>
    <row r="150">
      <c r="A150" s="8" t="s">
        <v>40</v>
      </c>
      <c r="B150" s="9" t="s">
        <v>57</v>
      </c>
      <c r="C150" s="9" t="s">
        <v>58</v>
      </c>
      <c r="D150" s="10"/>
      <c r="E150" s="2" t="n">
        <f>10992</f>
        <v>10992.0</v>
      </c>
      <c r="F150" s="10"/>
      <c r="G150" s="2" t="n">
        <f>19975375700</f>
        <v>1.99753757E10</v>
      </c>
      <c r="H150" s="10"/>
      <c r="I150" s="2" t="n">
        <f>920</f>
        <v>920.0</v>
      </c>
      <c r="J150" s="10"/>
      <c r="K150" s="2" t="n">
        <f>60655</f>
        <v>60655.0</v>
      </c>
    </row>
    <row r="151">
      <c r="A151" s="8" t="s">
        <v>41</v>
      </c>
      <c r="B151" s="9" t="s">
        <v>57</v>
      </c>
      <c r="C151" s="9" t="s">
        <v>58</v>
      </c>
      <c r="D151" s="10"/>
      <c r="E151" s="2" t="n">
        <f>12306</f>
        <v>12306.0</v>
      </c>
      <c r="F151" s="10"/>
      <c r="G151" s="2" t="n">
        <f>22163492000</f>
        <v>2.2163492E10</v>
      </c>
      <c r="H151" s="10"/>
      <c r="I151" s="2" t="n">
        <f>699</f>
        <v>699.0</v>
      </c>
      <c r="J151" s="10"/>
      <c r="K151" s="2" t="n">
        <f>60439</f>
        <v>60439.0</v>
      </c>
    </row>
    <row r="152">
      <c r="A152" s="8" t="s">
        <v>42</v>
      </c>
      <c r="B152" s="9" t="s">
        <v>57</v>
      </c>
      <c r="C152" s="9" t="s">
        <v>58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43</v>
      </c>
      <c r="B153" s="9" t="s">
        <v>57</v>
      </c>
      <c r="C153" s="9" t="s">
        <v>58</v>
      </c>
      <c r="D153" s="10"/>
      <c r="E153" s="2"/>
      <c r="F153" s="10"/>
      <c r="G153" s="2"/>
      <c r="H153" s="10"/>
      <c r="I153" s="2"/>
      <c r="J153" s="10"/>
      <c r="K153" s="2"/>
    </row>
    <row r="154">
      <c r="A154" s="8" t="s">
        <v>44</v>
      </c>
      <c r="B154" s="9" t="s">
        <v>57</v>
      </c>
      <c r="C154" s="9" t="s">
        <v>58</v>
      </c>
      <c r="D154" s="10" t="s">
        <v>19</v>
      </c>
      <c r="E154" s="2" t="n">
        <f>8153</f>
        <v>8153.0</v>
      </c>
      <c r="F154" s="10" t="s">
        <v>19</v>
      </c>
      <c r="G154" s="2" t="n">
        <f>14691190000</f>
        <v>1.469119E10</v>
      </c>
      <c r="H154" s="10"/>
      <c r="I154" s="2" t="n">
        <f>688</f>
        <v>688.0</v>
      </c>
      <c r="J154" s="10"/>
      <c r="K154" s="2" t="n">
        <f>60797</f>
        <v>60797.0</v>
      </c>
    </row>
    <row r="155">
      <c r="A155" s="8" t="s">
        <v>45</v>
      </c>
      <c r="B155" s="9" t="s">
        <v>57</v>
      </c>
      <c r="C155" s="9" t="s">
        <v>58</v>
      </c>
      <c r="D155" s="10"/>
      <c r="E155" s="2" t="n">
        <f>8771</f>
        <v>8771.0</v>
      </c>
      <c r="F155" s="10"/>
      <c r="G155" s="2" t="n">
        <f>15916772000</f>
        <v>1.5916772E10</v>
      </c>
      <c r="H155" s="10"/>
      <c r="I155" s="2" t="n">
        <f>1064</f>
        <v>1064.0</v>
      </c>
      <c r="J155" s="10"/>
      <c r="K155" s="2" t="n">
        <f>61366</f>
        <v>61366.0</v>
      </c>
    </row>
    <row r="156">
      <c r="A156" s="8" t="s">
        <v>46</v>
      </c>
      <c r="B156" s="9" t="s">
        <v>57</v>
      </c>
      <c r="C156" s="9" t="s">
        <v>58</v>
      </c>
      <c r="D156" s="10"/>
      <c r="E156" s="2" t="n">
        <f>8349</f>
        <v>8349.0</v>
      </c>
      <c r="F156" s="10"/>
      <c r="G156" s="2" t="n">
        <f>15185584000</f>
        <v>1.5185584E10</v>
      </c>
      <c r="H156" s="10"/>
      <c r="I156" s="2" t="n">
        <f>468</f>
        <v>468.0</v>
      </c>
      <c r="J156" s="10"/>
      <c r="K156" s="2" t="n">
        <f>61785</f>
        <v>61785.0</v>
      </c>
    </row>
    <row r="157">
      <c r="A157" s="8" t="s">
        <v>47</v>
      </c>
      <c r="B157" s="9" t="s">
        <v>57</v>
      </c>
      <c r="C157" s="9" t="s">
        <v>58</v>
      </c>
      <c r="D157" s="10"/>
      <c r="E157" s="2" t="n">
        <f>13225</f>
        <v>13225.0</v>
      </c>
      <c r="F157" s="10"/>
      <c r="G157" s="2" t="n">
        <f>23847760600</f>
        <v>2.38477606E10</v>
      </c>
      <c r="H157" s="10"/>
      <c r="I157" s="2" t="n">
        <f>1404</f>
        <v>1404.0</v>
      </c>
      <c r="J157" s="10"/>
      <c r="K157" s="2" t="n">
        <f>60529</f>
        <v>60529.0</v>
      </c>
    </row>
    <row r="158">
      <c r="A158" s="8" t="s">
        <v>48</v>
      </c>
      <c r="B158" s="9" t="s">
        <v>57</v>
      </c>
      <c r="C158" s="9" t="s">
        <v>58</v>
      </c>
      <c r="D158" s="10"/>
      <c r="E158" s="2" t="n">
        <f>16034</f>
        <v>16034.0</v>
      </c>
      <c r="F158" s="10"/>
      <c r="G158" s="2" t="n">
        <f>28856956700</f>
        <v>2.88569567E10</v>
      </c>
      <c r="H158" s="10"/>
      <c r="I158" s="2" t="n">
        <f>1860</f>
        <v>1860.0</v>
      </c>
      <c r="J158" s="10" t="s">
        <v>24</v>
      </c>
      <c r="K158" s="2" t="n">
        <f>62293</f>
        <v>62293.0</v>
      </c>
    </row>
    <row r="159">
      <c r="A159" s="8" t="s">
        <v>49</v>
      </c>
      <c r="B159" s="9" t="s">
        <v>57</v>
      </c>
      <c r="C159" s="9" t="s">
        <v>58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50</v>
      </c>
      <c r="B160" s="9" t="s">
        <v>57</v>
      </c>
      <c r="C160" s="9" t="s">
        <v>58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16</v>
      </c>
      <c r="B161" s="9" t="s">
        <v>59</v>
      </c>
      <c r="C161" s="9" t="s">
        <v>60</v>
      </c>
      <c r="D161" s="10" t="s">
        <v>19</v>
      </c>
      <c r="E161" s="2" t="str">
        <f>"－"</f>
        <v>－</v>
      </c>
      <c r="F161" s="10" t="s">
        <v>19</v>
      </c>
      <c r="G161" s="2" t="str">
        <f>"－"</f>
        <v>－</v>
      </c>
      <c r="H161" s="10" t="s">
        <v>61</v>
      </c>
      <c r="I161" s="2" t="str">
        <f>"－"</f>
        <v>－</v>
      </c>
      <c r="J161" s="10" t="s">
        <v>19</v>
      </c>
      <c r="K161" s="2" t="n">
        <f>65</f>
        <v>65.0</v>
      </c>
    </row>
    <row r="162">
      <c r="A162" s="8" t="s">
        <v>20</v>
      </c>
      <c r="B162" s="9" t="s">
        <v>59</v>
      </c>
      <c r="C162" s="9" t="s">
        <v>60</v>
      </c>
      <c r="D162" s="10"/>
      <c r="E162" s="2"/>
      <c r="F162" s="10"/>
      <c r="G162" s="2"/>
      <c r="H162" s="10"/>
      <c r="I162" s="2"/>
      <c r="J162" s="10"/>
      <c r="K162" s="2"/>
    </row>
    <row r="163">
      <c r="A163" s="8" t="s">
        <v>21</v>
      </c>
      <c r="B163" s="9" t="s">
        <v>59</v>
      </c>
      <c r="C163" s="9" t="s">
        <v>60</v>
      </c>
      <c r="D163" s="10"/>
      <c r="E163" s="2"/>
      <c r="F163" s="10"/>
      <c r="G163" s="2"/>
      <c r="H163" s="10"/>
      <c r="I163" s="2"/>
      <c r="J163" s="10"/>
      <c r="K163" s="2"/>
    </row>
    <row r="164">
      <c r="A164" s="8" t="s">
        <v>22</v>
      </c>
      <c r="B164" s="9" t="s">
        <v>59</v>
      </c>
      <c r="C164" s="9" t="s">
        <v>60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65</f>
        <v>65.0</v>
      </c>
    </row>
    <row r="165">
      <c r="A165" s="8" t="s">
        <v>23</v>
      </c>
      <c r="B165" s="9" t="s">
        <v>59</v>
      </c>
      <c r="C165" s="9" t="s">
        <v>60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65</f>
        <v>65.0</v>
      </c>
    </row>
    <row r="166">
      <c r="A166" s="8" t="s">
        <v>25</v>
      </c>
      <c r="B166" s="9" t="s">
        <v>59</v>
      </c>
      <c r="C166" s="9" t="s">
        <v>60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65</f>
        <v>65.0</v>
      </c>
    </row>
    <row r="167">
      <c r="A167" s="8" t="s">
        <v>26</v>
      </c>
      <c r="B167" s="9" t="s">
        <v>59</v>
      </c>
      <c r="C167" s="9" t="s">
        <v>60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65</f>
        <v>65.0</v>
      </c>
    </row>
    <row r="168">
      <c r="A168" s="8" t="s">
        <v>27</v>
      </c>
      <c r="B168" s="9" t="s">
        <v>59</v>
      </c>
      <c r="C168" s="9" t="s">
        <v>60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65</f>
        <v>65.0</v>
      </c>
    </row>
    <row r="169">
      <c r="A169" s="8" t="s">
        <v>28</v>
      </c>
      <c r="B169" s="9" t="s">
        <v>59</v>
      </c>
      <c r="C169" s="9" t="s">
        <v>60</v>
      </c>
      <c r="D169" s="10"/>
      <c r="E169" s="2"/>
      <c r="F169" s="10"/>
      <c r="G169" s="2"/>
      <c r="H169" s="10"/>
      <c r="I169" s="2"/>
      <c r="J169" s="10"/>
      <c r="K169" s="2"/>
    </row>
    <row r="170">
      <c r="A170" s="8" t="s">
        <v>29</v>
      </c>
      <c r="B170" s="9" t="s">
        <v>59</v>
      </c>
      <c r="C170" s="9" t="s">
        <v>60</v>
      </c>
      <c r="D170" s="10"/>
      <c r="E170" s="2"/>
      <c r="F170" s="10"/>
      <c r="G170" s="2"/>
      <c r="H170" s="10"/>
      <c r="I170" s="2"/>
      <c r="J170" s="10"/>
      <c r="K170" s="2"/>
    </row>
    <row r="171">
      <c r="A171" s="8" t="s">
        <v>30</v>
      </c>
      <c r="B171" s="9" t="s">
        <v>59</v>
      </c>
      <c r="C171" s="9" t="s">
        <v>60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65</f>
        <v>65.0</v>
      </c>
    </row>
    <row r="172">
      <c r="A172" s="8" t="s">
        <v>31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65</f>
        <v>65.0</v>
      </c>
    </row>
    <row r="173">
      <c r="A173" s="8" t="s">
        <v>32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65</f>
        <v>65.0</v>
      </c>
    </row>
    <row r="174">
      <c r="A174" s="8" t="s">
        <v>33</v>
      </c>
      <c r="B174" s="9" t="s">
        <v>59</v>
      </c>
      <c r="C174" s="9" t="s">
        <v>60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65</f>
        <v>65.0</v>
      </c>
    </row>
    <row r="175">
      <c r="A175" s="8" t="s">
        <v>34</v>
      </c>
      <c r="B175" s="9" t="s">
        <v>59</v>
      </c>
      <c r="C175" s="9" t="s">
        <v>60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65</f>
        <v>65.0</v>
      </c>
    </row>
    <row r="176">
      <c r="A176" s="8" t="s">
        <v>35</v>
      </c>
      <c r="B176" s="9" t="s">
        <v>59</v>
      </c>
      <c r="C176" s="9" t="s">
        <v>60</v>
      </c>
      <c r="D176" s="10"/>
      <c r="E176" s="2"/>
      <c r="F176" s="10"/>
      <c r="G176" s="2"/>
      <c r="H176" s="10"/>
      <c r="I176" s="2"/>
      <c r="J176" s="10"/>
      <c r="K176" s="2"/>
    </row>
    <row r="177">
      <c r="A177" s="8" t="s">
        <v>36</v>
      </c>
      <c r="B177" s="9" t="s">
        <v>59</v>
      </c>
      <c r="C177" s="9" t="s">
        <v>60</v>
      </c>
      <c r="D177" s="10"/>
      <c r="E177" s="2"/>
      <c r="F177" s="10"/>
      <c r="G177" s="2"/>
      <c r="H177" s="10"/>
      <c r="I177" s="2"/>
      <c r="J177" s="10"/>
      <c r="K177" s="2"/>
    </row>
    <row r="178">
      <c r="A178" s="8" t="s">
        <v>37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65</f>
        <v>65.0</v>
      </c>
    </row>
    <row r="179">
      <c r="A179" s="8" t="s">
        <v>38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65</f>
        <v>65.0</v>
      </c>
    </row>
    <row r="180">
      <c r="A180" s="8" t="s">
        <v>39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65</f>
        <v>65.0</v>
      </c>
    </row>
    <row r="181">
      <c r="A181" s="8" t="s">
        <v>40</v>
      </c>
      <c r="B181" s="9" t="s">
        <v>59</v>
      </c>
      <c r="C181" s="9" t="s">
        <v>60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65</f>
        <v>65.0</v>
      </c>
    </row>
    <row r="182">
      <c r="A182" s="8" t="s">
        <v>41</v>
      </c>
      <c r="B182" s="9" t="s">
        <v>59</v>
      </c>
      <c r="C182" s="9" t="s">
        <v>60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65</f>
        <v>65.0</v>
      </c>
    </row>
    <row r="183">
      <c r="A183" s="8" t="s">
        <v>42</v>
      </c>
      <c r="B183" s="9" t="s">
        <v>59</v>
      </c>
      <c r="C183" s="9" t="s">
        <v>60</v>
      </c>
      <c r="D183" s="10"/>
      <c r="E183" s="2"/>
      <c r="F183" s="10"/>
      <c r="G183" s="2"/>
      <c r="H183" s="10"/>
      <c r="I183" s="2"/>
      <c r="J183" s="10"/>
      <c r="K183" s="2"/>
    </row>
    <row r="184">
      <c r="A184" s="8" t="s">
        <v>43</v>
      </c>
      <c r="B184" s="9" t="s">
        <v>59</v>
      </c>
      <c r="C184" s="9" t="s">
        <v>60</v>
      </c>
      <c r="D184" s="10"/>
      <c r="E184" s="2"/>
      <c r="F184" s="10"/>
      <c r="G184" s="2"/>
      <c r="H184" s="10"/>
      <c r="I184" s="2"/>
      <c r="J184" s="10"/>
      <c r="K184" s="2"/>
    </row>
    <row r="185">
      <c r="A185" s="8" t="s">
        <v>44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65</f>
        <v>65.0</v>
      </c>
    </row>
    <row r="186">
      <c r="A186" s="8" t="s">
        <v>45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65</f>
        <v>65.0</v>
      </c>
    </row>
    <row r="187">
      <c r="A187" s="8" t="s">
        <v>46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65</f>
        <v>65.0</v>
      </c>
    </row>
    <row r="188">
      <c r="A188" s="8" t="s">
        <v>47</v>
      </c>
      <c r="B188" s="9" t="s">
        <v>59</v>
      </c>
      <c r="C188" s="9" t="s">
        <v>60</v>
      </c>
      <c r="D188" s="10"/>
      <c r="E188" s="2" t="str">
        <f>"－"</f>
        <v>－</v>
      </c>
      <c r="F188" s="10"/>
      <c r="G188" s="2" t="str">
        <f>"－"</f>
        <v>－</v>
      </c>
      <c r="H188" s="10"/>
      <c r="I188" s="2" t="str">
        <f>"－"</f>
        <v>－</v>
      </c>
      <c r="J188" s="10"/>
      <c r="K188" s="2" t="n">
        <f>65</f>
        <v>65.0</v>
      </c>
    </row>
    <row r="189">
      <c r="A189" s="8" t="s">
        <v>48</v>
      </c>
      <c r="B189" s="9" t="s">
        <v>59</v>
      </c>
      <c r="C189" s="9" t="s">
        <v>60</v>
      </c>
      <c r="D189" s="10" t="s">
        <v>24</v>
      </c>
      <c r="E189" s="2" t="n">
        <f>11</f>
        <v>11.0</v>
      </c>
      <c r="F189" s="10" t="s">
        <v>24</v>
      </c>
      <c r="G189" s="2" t="n">
        <f>10494770</f>
        <v>1.049477E7</v>
      </c>
      <c r="H189" s="10"/>
      <c r="I189" s="2" t="str">
        <f>"－"</f>
        <v>－</v>
      </c>
      <c r="J189" s="10" t="s">
        <v>24</v>
      </c>
      <c r="K189" s="2" t="n">
        <f>76</f>
        <v>76.0</v>
      </c>
    </row>
    <row r="190">
      <c r="A190" s="8" t="s">
        <v>49</v>
      </c>
      <c r="B190" s="9" t="s">
        <v>59</v>
      </c>
      <c r="C190" s="9" t="s">
        <v>60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50</v>
      </c>
      <c r="B191" s="9" t="s">
        <v>59</v>
      </c>
      <c r="C191" s="9" t="s">
        <v>60</v>
      </c>
      <c r="D191" s="10"/>
      <c r="E191" s="2"/>
      <c r="F191" s="10"/>
      <c r="G191" s="2"/>
      <c r="H191" s="10"/>
      <c r="I191" s="2"/>
      <c r="J191" s="10"/>
      <c r="K191" s="2"/>
    </row>
    <row r="192">
      <c r="A192" s="8" t="s">
        <v>16</v>
      </c>
      <c r="B192" s="9" t="s">
        <v>62</v>
      </c>
      <c r="C192" s="9" t="s">
        <v>63</v>
      </c>
      <c r="D192" s="10" t="s">
        <v>19</v>
      </c>
      <c r="E192" s="2" t="str">
        <f>"－"</f>
        <v>－</v>
      </c>
      <c r="F192" s="10" t="s">
        <v>19</v>
      </c>
      <c r="G192" s="2" t="str">
        <f>"－"</f>
        <v>－</v>
      </c>
      <c r="H192" s="10" t="s">
        <v>19</v>
      </c>
      <c r="I192" s="2" t="str">
        <f>"－"</f>
        <v>－</v>
      </c>
      <c r="J192" s="10"/>
      <c r="K192" s="2" t="n">
        <f>46397</f>
        <v>46397.0</v>
      </c>
    </row>
    <row r="193">
      <c r="A193" s="8" t="s">
        <v>20</v>
      </c>
      <c r="B193" s="9" t="s">
        <v>62</v>
      </c>
      <c r="C193" s="9" t="s">
        <v>63</v>
      </c>
      <c r="D193" s="10"/>
      <c r="E193" s="2"/>
      <c r="F193" s="10"/>
      <c r="G193" s="2"/>
      <c r="H193" s="10"/>
      <c r="I193" s="2"/>
      <c r="J193" s="10"/>
      <c r="K193" s="2"/>
    </row>
    <row r="194">
      <c r="A194" s="8" t="s">
        <v>21</v>
      </c>
      <c r="B194" s="9" t="s">
        <v>62</v>
      </c>
      <c r="C194" s="9" t="s">
        <v>63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22</v>
      </c>
      <c r="B195" s="9" t="s">
        <v>62</v>
      </c>
      <c r="C195" s="9" t="s">
        <v>63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46397</f>
        <v>46397.0</v>
      </c>
    </row>
    <row r="196">
      <c r="A196" s="8" t="s">
        <v>23</v>
      </c>
      <c r="B196" s="9" t="s">
        <v>62</v>
      </c>
      <c r="C196" s="9" t="s">
        <v>63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46397</f>
        <v>46397.0</v>
      </c>
    </row>
    <row r="197">
      <c r="A197" s="8" t="s">
        <v>25</v>
      </c>
      <c r="B197" s="9" t="s">
        <v>62</v>
      </c>
      <c r="C197" s="9" t="s">
        <v>63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46397</f>
        <v>46397.0</v>
      </c>
    </row>
    <row r="198">
      <c r="A198" s="8" t="s">
        <v>26</v>
      </c>
      <c r="B198" s="9" t="s">
        <v>62</v>
      </c>
      <c r="C198" s="9" t="s">
        <v>63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/>
      <c r="K198" s="2" t="n">
        <f>46397</f>
        <v>46397.0</v>
      </c>
    </row>
    <row r="199">
      <c r="A199" s="8" t="s">
        <v>27</v>
      </c>
      <c r="B199" s="9" t="s">
        <v>62</v>
      </c>
      <c r="C199" s="9" t="s">
        <v>63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46397</f>
        <v>46397.0</v>
      </c>
    </row>
    <row r="200">
      <c r="A200" s="8" t="s">
        <v>28</v>
      </c>
      <c r="B200" s="9" t="s">
        <v>62</v>
      </c>
      <c r="C200" s="9" t="s">
        <v>63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29</v>
      </c>
      <c r="B201" s="9" t="s">
        <v>62</v>
      </c>
      <c r="C201" s="9" t="s">
        <v>63</v>
      </c>
      <c r="D201" s="10"/>
      <c r="E201" s="2"/>
      <c r="F201" s="10"/>
      <c r="G201" s="2"/>
      <c r="H201" s="10"/>
      <c r="I201" s="2"/>
      <c r="J201" s="10"/>
      <c r="K201" s="2"/>
    </row>
    <row r="202">
      <c r="A202" s="8" t="s">
        <v>30</v>
      </c>
      <c r="B202" s="9" t="s">
        <v>62</v>
      </c>
      <c r="C202" s="9" t="s">
        <v>63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46397</f>
        <v>46397.0</v>
      </c>
    </row>
    <row r="203">
      <c r="A203" s="8" t="s">
        <v>31</v>
      </c>
      <c r="B203" s="9" t="s">
        <v>62</v>
      </c>
      <c r="C203" s="9" t="s">
        <v>63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46397</f>
        <v>46397.0</v>
      </c>
    </row>
    <row r="204">
      <c r="A204" s="8" t="s">
        <v>32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46397</f>
        <v>46397.0</v>
      </c>
    </row>
    <row r="205">
      <c r="A205" s="8" t="s">
        <v>33</v>
      </c>
      <c r="B205" s="9" t="s">
        <v>62</v>
      </c>
      <c r="C205" s="9" t="s">
        <v>63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46397</f>
        <v>46397.0</v>
      </c>
    </row>
    <row r="206">
      <c r="A206" s="8" t="s">
        <v>34</v>
      </c>
      <c r="B206" s="9" t="s">
        <v>62</v>
      </c>
      <c r="C206" s="9" t="s">
        <v>63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46397</f>
        <v>46397.0</v>
      </c>
    </row>
    <row r="207">
      <c r="A207" s="8" t="s">
        <v>35</v>
      </c>
      <c r="B207" s="9" t="s">
        <v>62</v>
      </c>
      <c r="C207" s="9" t="s">
        <v>63</v>
      </c>
      <c r="D207" s="10"/>
      <c r="E207" s="2"/>
      <c r="F207" s="10"/>
      <c r="G207" s="2"/>
      <c r="H207" s="10"/>
      <c r="I207" s="2"/>
      <c r="J207" s="10"/>
      <c r="K207" s="2"/>
    </row>
    <row r="208">
      <c r="A208" s="8" t="s">
        <v>36</v>
      </c>
      <c r="B208" s="9" t="s">
        <v>62</v>
      </c>
      <c r="C208" s="9" t="s">
        <v>63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37</v>
      </c>
      <c r="B209" s="9" t="s">
        <v>62</v>
      </c>
      <c r="C209" s="9" t="s">
        <v>63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46397</f>
        <v>46397.0</v>
      </c>
    </row>
    <row r="210">
      <c r="A210" s="8" t="s">
        <v>38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46397</f>
        <v>46397.0</v>
      </c>
    </row>
    <row r="211">
      <c r="A211" s="8" t="s">
        <v>39</v>
      </c>
      <c r="B211" s="9" t="s">
        <v>62</v>
      </c>
      <c r="C211" s="9" t="s">
        <v>63</v>
      </c>
      <c r="D211" s="10"/>
      <c r="E211" s="2" t="n">
        <f>115</f>
        <v>115.0</v>
      </c>
      <c r="F211" s="10"/>
      <c r="G211" s="2" t="n">
        <f>172240675</f>
        <v>1.72240675E8</v>
      </c>
      <c r="H211" s="10"/>
      <c r="I211" s="2" t="n">
        <f>115</f>
        <v>115.0</v>
      </c>
      <c r="J211" s="10" t="s">
        <v>24</v>
      </c>
      <c r="K211" s="2" t="n">
        <f>46512</f>
        <v>46512.0</v>
      </c>
    </row>
    <row r="212">
      <c r="A212" s="8" t="s">
        <v>40</v>
      </c>
      <c r="B212" s="9" t="s">
        <v>62</v>
      </c>
      <c r="C212" s="9" t="s">
        <v>63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46512</f>
        <v>46512.0</v>
      </c>
    </row>
    <row r="213">
      <c r="A213" s="8" t="s">
        <v>41</v>
      </c>
      <c r="B213" s="9" t="s">
        <v>62</v>
      </c>
      <c r="C213" s="9" t="s">
        <v>63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46512</f>
        <v>46512.0</v>
      </c>
    </row>
    <row r="214">
      <c r="A214" s="8" t="s">
        <v>42</v>
      </c>
      <c r="B214" s="9" t="s">
        <v>62</v>
      </c>
      <c r="C214" s="9" t="s">
        <v>63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43</v>
      </c>
      <c r="B215" s="9" t="s">
        <v>62</v>
      </c>
      <c r="C215" s="9" t="s">
        <v>63</v>
      </c>
      <c r="D215" s="10"/>
      <c r="E215" s="2"/>
      <c r="F215" s="10"/>
      <c r="G215" s="2"/>
      <c r="H215" s="10"/>
      <c r="I215" s="2"/>
      <c r="J215" s="10"/>
      <c r="K215" s="2"/>
    </row>
    <row r="216">
      <c r="A216" s="8" t="s">
        <v>44</v>
      </c>
      <c r="B216" s="9" t="s">
        <v>62</v>
      </c>
      <c r="C216" s="9" t="s">
        <v>63</v>
      </c>
      <c r="D216" s="10"/>
      <c r="E216" s="2" t="str">
        <f>"－"</f>
        <v>－</v>
      </c>
      <c r="F216" s="10"/>
      <c r="G216" s="2" t="str">
        <f>"－"</f>
        <v>－</v>
      </c>
      <c r="H216" s="10"/>
      <c r="I216" s="2" t="str">
        <f>"－"</f>
        <v>－</v>
      </c>
      <c r="J216" s="10"/>
      <c r="K216" s="2" t="n">
        <f>46512</f>
        <v>46512.0</v>
      </c>
    </row>
    <row r="217">
      <c r="A217" s="8" t="s">
        <v>45</v>
      </c>
      <c r="B217" s="9" t="s">
        <v>62</v>
      </c>
      <c r="C217" s="9" t="s">
        <v>63</v>
      </c>
      <c r="D217" s="10" t="s">
        <v>24</v>
      </c>
      <c r="E217" s="2" t="n">
        <f>403</f>
        <v>403.0</v>
      </c>
      <c r="F217" s="10" t="s">
        <v>24</v>
      </c>
      <c r="G217" s="2" t="n">
        <f>589759469</f>
        <v>5.89759469E8</v>
      </c>
      <c r="H217" s="10" t="s">
        <v>24</v>
      </c>
      <c r="I217" s="2" t="n">
        <f>403</f>
        <v>403.0</v>
      </c>
      <c r="J217" s="10" t="s">
        <v>19</v>
      </c>
      <c r="K217" s="2" t="n">
        <f>46109</f>
        <v>46109.0</v>
      </c>
    </row>
    <row r="218">
      <c r="A218" s="8" t="s">
        <v>46</v>
      </c>
      <c r="B218" s="9" t="s">
        <v>62</v>
      </c>
      <c r="C218" s="9" t="s">
        <v>63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46109</f>
        <v>46109.0</v>
      </c>
    </row>
    <row r="219">
      <c r="A219" s="8" t="s">
        <v>47</v>
      </c>
      <c r="B219" s="9" t="s">
        <v>62</v>
      </c>
      <c r="C219" s="9" t="s">
        <v>63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46109</f>
        <v>46109.0</v>
      </c>
    </row>
    <row r="220">
      <c r="A220" s="8" t="s">
        <v>48</v>
      </c>
      <c r="B220" s="9" t="s">
        <v>62</v>
      </c>
      <c r="C220" s="9" t="s">
        <v>63</v>
      </c>
      <c r="D220" s="10"/>
      <c r="E220" s="2" t="str">
        <f>"－"</f>
        <v>－</v>
      </c>
      <c r="F220" s="10"/>
      <c r="G220" s="2" t="str">
        <f>"－"</f>
        <v>－</v>
      </c>
      <c r="H220" s="10"/>
      <c r="I220" s="2" t="str">
        <f>"－"</f>
        <v>－</v>
      </c>
      <c r="J220" s="10"/>
      <c r="K220" s="2" t="n">
        <f>46109</f>
        <v>46109.0</v>
      </c>
    </row>
    <row r="221">
      <c r="A221" s="8" t="s">
        <v>49</v>
      </c>
      <c r="B221" s="9" t="s">
        <v>62</v>
      </c>
      <c r="C221" s="9" t="s">
        <v>63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50</v>
      </c>
      <c r="B222" s="9" t="s">
        <v>62</v>
      </c>
      <c r="C222" s="9" t="s">
        <v>63</v>
      </c>
      <c r="D222" s="10"/>
      <c r="E222" s="2"/>
      <c r="F222" s="10"/>
      <c r="G222" s="2"/>
      <c r="H222" s="10"/>
      <c r="I222" s="2"/>
      <c r="J222" s="10"/>
      <c r="K222" s="2"/>
    </row>
    <row r="223">
      <c r="A223" s="8" t="s">
        <v>16</v>
      </c>
      <c r="B223" s="9" t="s">
        <v>64</v>
      </c>
      <c r="C223" s="9" t="s">
        <v>65</v>
      </c>
      <c r="D223" s="10"/>
      <c r="E223" s="2" t="n">
        <f>2020</f>
        <v>2020.0</v>
      </c>
      <c r="F223" s="10"/>
      <c r="G223" s="2" t="n">
        <f>4112666420</f>
        <v>4.11266642E9</v>
      </c>
      <c r="H223" s="10"/>
      <c r="I223" s="2" t="n">
        <f>59</f>
        <v>59.0</v>
      </c>
      <c r="J223" s="10" t="s">
        <v>19</v>
      </c>
      <c r="K223" s="2" t="n">
        <f>67006</f>
        <v>67006.0</v>
      </c>
    </row>
    <row r="224">
      <c r="A224" s="8" t="s">
        <v>20</v>
      </c>
      <c r="B224" s="9" t="s">
        <v>64</v>
      </c>
      <c r="C224" s="9" t="s">
        <v>65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21</v>
      </c>
      <c r="B225" s="9" t="s">
        <v>64</v>
      </c>
      <c r="C225" s="9" t="s">
        <v>65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22</v>
      </c>
      <c r="B226" s="9" t="s">
        <v>64</v>
      </c>
      <c r="C226" s="9" t="s">
        <v>65</v>
      </c>
      <c r="D226" s="10"/>
      <c r="E226" s="2" t="n">
        <f>586</f>
        <v>586.0</v>
      </c>
      <c r="F226" s="10"/>
      <c r="G226" s="2" t="n">
        <f>1189131000</f>
        <v>1.189131E9</v>
      </c>
      <c r="H226" s="10"/>
      <c r="I226" s="2" t="n">
        <f>33</f>
        <v>33.0</v>
      </c>
      <c r="J226" s="10"/>
      <c r="K226" s="2" t="n">
        <f>67099</f>
        <v>67099.0</v>
      </c>
    </row>
    <row r="227">
      <c r="A227" s="8" t="s">
        <v>23</v>
      </c>
      <c r="B227" s="9" t="s">
        <v>64</v>
      </c>
      <c r="C227" s="9" t="s">
        <v>65</v>
      </c>
      <c r="D227" s="10"/>
      <c r="E227" s="2" t="n">
        <f>748</f>
        <v>748.0</v>
      </c>
      <c r="F227" s="10"/>
      <c r="G227" s="2" t="n">
        <f>1510901920</f>
        <v>1.51090192E9</v>
      </c>
      <c r="H227" s="10" t="s">
        <v>24</v>
      </c>
      <c r="I227" s="2" t="n">
        <f>127</f>
        <v>127.0</v>
      </c>
      <c r="J227" s="10"/>
      <c r="K227" s="2" t="n">
        <f>67079</f>
        <v>67079.0</v>
      </c>
    </row>
    <row r="228">
      <c r="A228" s="8" t="s">
        <v>25</v>
      </c>
      <c r="B228" s="9" t="s">
        <v>64</v>
      </c>
      <c r="C228" s="9" t="s">
        <v>65</v>
      </c>
      <c r="D228" s="10"/>
      <c r="E228" s="2" t="n">
        <f>354</f>
        <v>354.0</v>
      </c>
      <c r="F228" s="10"/>
      <c r="G228" s="2" t="n">
        <f>715765820</f>
        <v>7.1576582E8</v>
      </c>
      <c r="H228" s="10"/>
      <c r="I228" s="2" t="n">
        <f>39</f>
        <v>39.0</v>
      </c>
      <c r="J228" s="10"/>
      <c r="K228" s="2" t="n">
        <f>67042</f>
        <v>67042.0</v>
      </c>
    </row>
    <row r="229">
      <c r="A229" s="8" t="s">
        <v>26</v>
      </c>
      <c r="B229" s="9" t="s">
        <v>64</v>
      </c>
      <c r="C229" s="9" t="s">
        <v>65</v>
      </c>
      <c r="D229" s="10"/>
      <c r="E229" s="2" t="n">
        <f>883</f>
        <v>883.0</v>
      </c>
      <c r="F229" s="10"/>
      <c r="G229" s="2" t="n">
        <f>1799621480</f>
        <v>1.79962148E9</v>
      </c>
      <c r="H229" s="10"/>
      <c r="I229" s="2" t="n">
        <f>41</f>
        <v>41.0</v>
      </c>
      <c r="J229" s="10"/>
      <c r="K229" s="2" t="n">
        <f>67201</f>
        <v>67201.0</v>
      </c>
    </row>
    <row r="230">
      <c r="A230" s="8" t="s">
        <v>27</v>
      </c>
      <c r="B230" s="9" t="s">
        <v>64</v>
      </c>
      <c r="C230" s="9" t="s">
        <v>65</v>
      </c>
      <c r="D230" s="10"/>
      <c r="E230" s="2" t="n">
        <f>439</f>
        <v>439.0</v>
      </c>
      <c r="F230" s="10"/>
      <c r="G230" s="2" t="n">
        <f>896567500</f>
        <v>8.965675E8</v>
      </c>
      <c r="H230" s="10"/>
      <c r="I230" s="2" t="n">
        <f>46</f>
        <v>46.0</v>
      </c>
      <c r="J230" s="10"/>
      <c r="K230" s="2" t="n">
        <f>67237</f>
        <v>67237.0</v>
      </c>
    </row>
    <row r="231">
      <c r="A231" s="8" t="s">
        <v>28</v>
      </c>
      <c r="B231" s="9" t="s">
        <v>64</v>
      </c>
      <c r="C231" s="9" t="s">
        <v>65</v>
      </c>
      <c r="D231" s="10"/>
      <c r="E231" s="2"/>
      <c r="F231" s="10"/>
      <c r="G231" s="2"/>
      <c r="H231" s="10"/>
      <c r="I231" s="2"/>
      <c r="J231" s="10"/>
      <c r="K231" s="2"/>
    </row>
    <row r="232">
      <c r="A232" s="8" t="s">
        <v>29</v>
      </c>
      <c r="B232" s="9" t="s">
        <v>64</v>
      </c>
      <c r="C232" s="9" t="s">
        <v>65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30</v>
      </c>
      <c r="B233" s="9" t="s">
        <v>64</v>
      </c>
      <c r="C233" s="9" t="s">
        <v>65</v>
      </c>
      <c r="D233" s="10"/>
      <c r="E233" s="2" t="n">
        <f>663</f>
        <v>663.0</v>
      </c>
      <c r="F233" s="10"/>
      <c r="G233" s="2" t="n">
        <f>1348797500</f>
        <v>1.3487975E9</v>
      </c>
      <c r="H233" s="10"/>
      <c r="I233" s="2" t="n">
        <f>3</f>
        <v>3.0</v>
      </c>
      <c r="J233" s="10"/>
      <c r="K233" s="2" t="n">
        <f>67714</f>
        <v>67714.0</v>
      </c>
    </row>
    <row r="234">
      <c r="A234" s="8" t="s">
        <v>31</v>
      </c>
      <c r="B234" s="9" t="s">
        <v>64</v>
      </c>
      <c r="C234" s="9" t="s">
        <v>65</v>
      </c>
      <c r="D234" s="10"/>
      <c r="E234" s="2" t="n">
        <f>504</f>
        <v>504.0</v>
      </c>
      <c r="F234" s="10"/>
      <c r="G234" s="2" t="n">
        <f>1030677490</f>
        <v>1.03067749E9</v>
      </c>
      <c r="H234" s="10"/>
      <c r="I234" s="2" t="n">
        <f>28</f>
        <v>28.0</v>
      </c>
      <c r="J234" s="10"/>
      <c r="K234" s="2" t="n">
        <f>67832</f>
        <v>67832.0</v>
      </c>
    </row>
    <row r="235">
      <c r="A235" s="8" t="s">
        <v>32</v>
      </c>
      <c r="B235" s="9" t="s">
        <v>64</v>
      </c>
      <c r="C235" s="9" t="s">
        <v>65</v>
      </c>
      <c r="D235" s="10" t="s">
        <v>24</v>
      </c>
      <c r="E235" s="2" t="n">
        <f>3000</f>
        <v>3000.0</v>
      </c>
      <c r="F235" s="10" t="s">
        <v>24</v>
      </c>
      <c r="G235" s="2" t="n">
        <f>6211433670</f>
        <v>6.21143367E9</v>
      </c>
      <c r="H235" s="10"/>
      <c r="I235" s="2" t="n">
        <f>89</f>
        <v>89.0</v>
      </c>
      <c r="J235" s="10"/>
      <c r="K235" s="2" t="n">
        <f>69717</f>
        <v>69717.0</v>
      </c>
    </row>
    <row r="236">
      <c r="A236" s="8" t="s">
        <v>33</v>
      </c>
      <c r="B236" s="9" t="s">
        <v>64</v>
      </c>
      <c r="C236" s="9" t="s">
        <v>65</v>
      </c>
      <c r="D236" s="10"/>
      <c r="E236" s="2" t="n">
        <f>882</f>
        <v>882.0</v>
      </c>
      <c r="F236" s="10"/>
      <c r="G236" s="2" t="n">
        <f>1826769950</f>
        <v>1.82676995E9</v>
      </c>
      <c r="H236" s="10"/>
      <c r="I236" s="2" t="n">
        <f>20</f>
        <v>20.0</v>
      </c>
      <c r="J236" s="10" t="s">
        <v>24</v>
      </c>
      <c r="K236" s="2" t="n">
        <f>69840</f>
        <v>69840.0</v>
      </c>
    </row>
    <row r="237">
      <c r="A237" s="8" t="s">
        <v>34</v>
      </c>
      <c r="B237" s="9" t="s">
        <v>64</v>
      </c>
      <c r="C237" s="9" t="s">
        <v>65</v>
      </c>
      <c r="D237" s="10"/>
      <c r="E237" s="2" t="n">
        <f>2793</f>
        <v>2793.0</v>
      </c>
      <c r="F237" s="10"/>
      <c r="G237" s="2" t="n">
        <f>5824427620</f>
        <v>5.82442762E9</v>
      </c>
      <c r="H237" s="10"/>
      <c r="I237" s="2" t="n">
        <f>7</f>
        <v>7.0</v>
      </c>
      <c r="J237" s="10"/>
      <c r="K237" s="2" t="n">
        <f>67837</f>
        <v>67837.0</v>
      </c>
    </row>
    <row r="238">
      <c r="A238" s="8" t="s">
        <v>35</v>
      </c>
      <c r="B238" s="9" t="s">
        <v>64</v>
      </c>
      <c r="C238" s="9" t="s">
        <v>65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36</v>
      </c>
      <c r="B239" s="9" t="s">
        <v>64</v>
      </c>
      <c r="C239" s="9" t="s">
        <v>65</v>
      </c>
      <c r="D239" s="10"/>
      <c r="E239" s="2"/>
      <c r="F239" s="10"/>
      <c r="G239" s="2"/>
      <c r="H239" s="10"/>
      <c r="I239" s="2"/>
      <c r="J239" s="10"/>
      <c r="K239" s="2"/>
    </row>
    <row r="240">
      <c r="A240" s="8" t="s">
        <v>37</v>
      </c>
      <c r="B240" s="9" t="s">
        <v>64</v>
      </c>
      <c r="C240" s="9" t="s">
        <v>65</v>
      </c>
      <c r="D240" s="10"/>
      <c r="E240" s="2" t="n">
        <f>514</f>
        <v>514.0</v>
      </c>
      <c r="F240" s="10"/>
      <c r="G240" s="2" t="n">
        <f>1067856420</f>
        <v>1.06785642E9</v>
      </c>
      <c r="H240" s="10"/>
      <c r="I240" s="2" t="n">
        <f>49</f>
        <v>49.0</v>
      </c>
      <c r="J240" s="10"/>
      <c r="K240" s="2" t="n">
        <f>67769</f>
        <v>67769.0</v>
      </c>
    </row>
    <row r="241">
      <c r="A241" s="8" t="s">
        <v>38</v>
      </c>
      <c r="B241" s="9" t="s">
        <v>64</v>
      </c>
      <c r="C241" s="9" t="s">
        <v>65</v>
      </c>
      <c r="D241" s="10"/>
      <c r="E241" s="2" t="n">
        <f>289</f>
        <v>289.0</v>
      </c>
      <c r="F241" s="10"/>
      <c r="G241" s="2" t="n">
        <f>605432920</f>
        <v>6.0543292E8</v>
      </c>
      <c r="H241" s="10" t="s">
        <v>19</v>
      </c>
      <c r="I241" s="2" t="str">
        <f>"－"</f>
        <v>－</v>
      </c>
      <c r="J241" s="10"/>
      <c r="K241" s="2" t="n">
        <f>67789</f>
        <v>67789.0</v>
      </c>
    </row>
    <row r="242">
      <c r="A242" s="8" t="s">
        <v>39</v>
      </c>
      <c r="B242" s="9" t="s">
        <v>64</v>
      </c>
      <c r="C242" s="9" t="s">
        <v>65</v>
      </c>
      <c r="D242" s="10"/>
      <c r="E242" s="2" t="n">
        <f>544</f>
        <v>544.0</v>
      </c>
      <c r="F242" s="10"/>
      <c r="G242" s="2" t="n">
        <f>1135387100</f>
        <v>1.1353871E9</v>
      </c>
      <c r="H242" s="10"/>
      <c r="I242" s="2" t="str">
        <f>"－"</f>
        <v>－</v>
      </c>
      <c r="J242" s="10"/>
      <c r="K242" s="2" t="n">
        <f>67858</f>
        <v>67858.0</v>
      </c>
    </row>
    <row r="243">
      <c r="A243" s="8" t="s">
        <v>40</v>
      </c>
      <c r="B243" s="9" t="s">
        <v>64</v>
      </c>
      <c r="C243" s="9" t="s">
        <v>65</v>
      </c>
      <c r="D243" s="10"/>
      <c r="E243" s="2" t="n">
        <f>863</f>
        <v>863.0</v>
      </c>
      <c r="F243" s="10"/>
      <c r="G243" s="2" t="n">
        <f>1800774120</f>
        <v>1.80077412E9</v>
      </c>
      <c r="H243" s="10"/>
      <c r="I243" s="2" t="n">
        <f>10</f>
        <v>10.0</v>
      </c>
      <c r="J243" s="10"/>
      <c r="K243" s="2" t="n">
        <f>67318</f>
        <v>67318.0</v>
      </c>
    </row>
    <row r="244">
      <c r="A244" s="8" t="s">
        <v>41</v>
      </c>
      <c r="B244" s="9" t="s">
        <v>64</v>
      </c>
      <c r="C244" s="9" t="s">
        <v>65</v>
      </c>
      <c r="D244" s="10"/>
      <c r="E244" s="2" t="n">
        <f>427</f>
        <v>427.0</v>
      </c>
      <c r="F244" s="10"/>
      <c r="G244" s="2" t="n">
        <f>880500980</f>
        <v>8.8050098E8</v>
      </c>
      <c r="H244" s="10"/>
      <c r="I244" s="2" t="n">
        <f>76</f>
        <v>76.0</v>
      </c>
      <c r="J244" s="10"/>
      <c r="K244" s="2" t="n">
        <f>67244</f>
        <v>67244.0</v>
      </c>
    </row>
    <row r="245">
      <c r="A245" s="8" t="s">
        <v>42</v>
      </c>
      <c r="B245" s="9" t="s">
        <v>64</v>
      </c>
      <c r="C245" s="9" t="s">
        <v>65</v>
      </c>
      <c r="D245" s="10"/>
      <c r="E245" s="2"/>
      <c r="F245" s="10"/>
      <c r="G245" s="2"/>
      <c r="H245" s="10"/>
      <c r="I245" s="2"/>
      <c r="J245" s="10"/>
      <c r="K245" s="2"/>
    </row>
    <row r="246">
      <c r="A246" s="8" t="s">
        <v>43</v>
      </c>
      <c r="B246" s="9" t="s">
        <v>64</v>
      </c>
      <c r="C246" s="9" t="s">
        <v>65</v>
      </c>
      <c r="D246" s="10"/>
      <c r="E246" s="2"/>
      <c r="F246" s="10"/>
      <c r="G246" s="2"/>
      <c r="H246" s="10"/>
      <c r="I246" s="2"/>
      <c r="J246" s="10"/>
      <c r="K246" s="2"/>
    </row>
    <row r="247">
      <c r="A247" s="8" t="s">
        <v>44</v>
      </c>
      <c r="B247" s="9" t="s">
        <v>64</v>
      </c>
      <c r="C247" s="9" t="s">
        <v>65</v>
      </c>
      <c r="D247" s="10"/>
      <c r="E247" s="2" t="n">
        <f>617</f>
        <v>617.0</v>
      </c>
      <c r="F247" s="10"/>
      <c r="G247" s="2" t="n">
        <f>1276904550</f>
        <v>1.27690455E9</v>
      </c>
      <c r="H247" s="10"/>
      <c r="I247" s="2" t="n">
        <f>59</f>
        <v>59.0</v>
      </c>
      <c r="J247" s="10"/>
      <c r="K247" s="2" t="n">
        <f>67522</f>
        <v>67522.0</v>
      </c>
    </row>
    <row r="248">
      <c r="A248" s="8" t="s">
        <v>45</v>
      </c>
      <c r="B248" s="9" t="s">
        <v>64</v>
      </c>
      <c r="C248" s="9" t="s">
        <v>65</v>
      </c>
      <c r="D248" s="10"/>
      <c r="E248" s="2" t="n">
        <f>535</f>
        <v>535.0</v>
      </c>
      <c r="F248" s="10"/>
      <c r="G248" s="2" t="n">
        <f>1104076440</f>
        <v>1.10407644E9</v>
      </c>
      <c r="H248" s="10"/>
      <c r="I248" s="2" t="str">
        <f>"－"</f>
        <v>－</v>
      </c>
      <c r="J248" s="10"/>
      <c r="K248" s="2" t="n">
        <f>67348</f>
        <v>67348.0</v>
      </c>
    </row>
    <row r="249">
      <c r="A249" s="8" t="s">
        <v>46</v>
      </c>
      <c r="B249" s="9" t="s">
        <v>64</v>
      </c>
      <c r="C249" s="9" t="s">
        <v>65</v>
      </c>
      <c r="D249" s="10"/>
      <c r="E249" s="2" t="n">
        <f>494</f>
        <v>494.0</v>
      </c>
      <c r="F249" s="10"/>
      <c r="G249" s="2" t="n">
        <f>1023004800</f>
        <v>1.0230048E9</v>
      </c>
      <c r="H249" s="10"/>
      <c r="I249" s="2" t="n">
        <f>34</f>
        <v>34.0</v>
      </c>
      <c r="J249" s="10"/>
      <c r="K249" s="2" t="n">
        <f>67255</f>
        <v>67255.0</v>
      </c>
    </row>
    <row r="250">
      <c r="A250" s="8" t="s">
        <v>47</v>
      </c>
      <c r="B250" s="9" t="s">
        <v>64</v>
      </c>
      <c r="C250" s="9" t="s">
        <v>65</v>
      </c>
      <c r="D250" s="10"/>
      <c r="E250" s="2" t="n">
        <f>722</f>
        <v>722.0</v>
      </c>
      <c r="F250" s="10"/>
      <c r="G250" s="2" t="n">
        <f>1497909220</f>
        <v>1.49790922E9</v>
      </c>
      <c r="H250" s="10"/>
      <c r="I250" s="2" t="n">
        <f>2</f>
        <v>2.0</v>
      </c>
      <c r="J250" s="10"/>
      <c r="K250" s="2" t="n">
        <f>67736</f>
        <v>67736.0</v>
      </c>
    </row>
    <row r="251">
      <c r="A251" s="8" t="s">
        <v>48</v>
      </c>
      <c r="B251" s="9" t="s">
        <v>64</v>
      </c>
      <c r="C251" s="9" t="s">
        <v>65</v>
      </c>
      <c r="D251" s="10" t="s">
        <v>19</v>
      </c>
      <c r="E251" s="2" t="n">
        <f>262</f>
        <v>262.0</v>
      </c>
      <c r="F251" s="10" t="s">
        <v>19</v>
      </c>
      <c r="G251" s="2" t="n">
        <f>545757870</f>
        <v>5.4575787E8</v>
      </c>
      <c r="H251" s="10"/>
      <c r="I251" s="2" t="n">
        <f>22</f>
        <v>22.0</v>
      </c>
      <c r="J251" s="10"/>
      <c r="K251" s="2" t="n">
        <f>67716</f>
        <v>67716.0</v>
      </c>
    </row>
    <row r="252">
      <c r="A252" s="8" t="s">
        <v>49</v>
      </c>
      <c r="B252" s="9" t="s">
        <v>64</v>
      </c>
      <c r="C252" s="9" t="s">
        <v>65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50</v>
      </c>
      <c r="B253" s="9" t="s">
        <v>64</v>
      </c>
      <c r="C253" s="9" t="s">
        <v>65</v>
      </c>
      <c r="D253" s="10"/>
      <c r="E253" s="2"/>
      <c r="F253" s="10"/>
      <c r="G253" s="2"/>
      <c r="H253" s="10"/>
      <c r="I253" s="2"/>
      <c r="J253" s="10"/>
      <c r="K253" s="2"/>
    </row>
    <row r="254">
      <c r="A254" s="8" t="s">
        <v>16</v>
      </c>
      <c r="B254" s="9" t="s">
        <v>66</v>
      </c>
      <c r="C254" s="9" t="s">
        <v>67</v>
      </c>
      <c r="D254" s="10" t="s">
        <v>61</v>
      </c>
      <c r="E254" s="2" t="str">
        <f>"－"</f>
        <v>－</v>
      </c>
      <c r="F254" s="10" t="s">
        <v>61</v>
      </c>
      <c r="G254" s="2" t="str">
        <f>"－"</f>
        <v>－</v>
      </c>
      <c r="H254" s="10" t="s">
        <v>61</v>
      </c>
      <c r="I254" s="2" t="str">
        <f>"－"</f>
        <v>－</v>
      </c>
      <c r="J254" s="10" t="s">
        <v>61</v>
      </c>
      <c r="K254" s="2" t="str">
        <f>"－"</f>
        <v>－</v>
      </c>
    </row>
    <row r="255">
      <c r="A255" s="8" t="s">
        <v>20</v>
      </c>
      <c r="B255" s="9" t="s">
        <v>66</v>
      </c>
      <c r="C255" s="9" t="s">
        <v>67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21</v>
      </c>
      <c r="B256" s="9" t="s">
        <v>66</v>
      </c>
      <c r="C256" s="9" t="s">
        <v>67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22</v>
      </c>
      <c r="B257" s="9" t="s">
        <v>66</v>
      </c>
      <c r="C257" s="9" t="s">
        <v>67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23</v>
      </c>
      <c r="B258" s="9" t="s">
        <v>66</v>
      </c>
      <c r="C258" s="9" t="s">
        <v>67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25</v>
      </c>
      <c r="B259" s="9" t="s">
        <v>66</v>
      </c>
      <c r="C259" s="9" t="s">
        <v>67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26</v>
      </c>
      <c r="B260" s="9" t="s">
        <v>66</v>
      </c>
      <c r="C260" s="9" t="s">
        <v>67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27</v>
      </c>
      <c r="B261" s="9" t="s">
        <v>66</v>
      </c>
      <c r="C261" s="9" t="s">
        <v>67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28</v>
      </c>
      <c r="B262" s="9" t="s">
        <v>66</v>
      </c>
      <c r="C262" s="9" t="s">
        <v>67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29</v>
      </c>
      <c r="B263" s="9" t="s">
        <v>66</v>
      </c>
      <c r="C263" s="9" t="s">
        <v>67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30</v>
      </c>
      <c r="B264" s="9" t="s">
        <v>66</v>
      </c>
      <c r="C264" s="9" t="s">
        <v>67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31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32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33</v>
      </c>
      <c r="B267" s="9" t="s">
        <v>66</v>
      </c>
      <c r="C267" s="9" t="s">
        <v>67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34</v>
      </c>
      <c r="B268" s="9" t="s">
        <v>66</v>
      </c>
      <c r="C268" s="9" t="s">
        <v>67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35</v>
      </c>
      <c r="B269" s="9" t="s">
        <v>66</v>
      </c>
      <c r="C269" s="9" t="s">
        <v>67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36</v>
      </c>
      <c r="B270" s="9" t="s">
        <v>66</v>
      </c>
      <c r="C270" s="9" t="s">
        <v>67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37</v>
      </c>
      <c r="B271" s="9" t="s">
        <v>66</v>
      </c>
      <c r="C271" s="9" t="s">
        <v>67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38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39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40</v>
      </c>
      <c r="B274" s="9" t="s">
        <v>66</v>
      </c>
      <c r="C274" s="9" t="s">
        <v>67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41</v>
      </c>
      <c r="B275" s="9" t="s">
        <v>66</v>
      </c>
      <c r="C275" s="9" t="s">
        <v>67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42</v>
      </c>
      <c r="B276" s="9" t="s">
        <v>66</v>
      </c>
      <c r="C276" s="9" t="s">
        <v>67</v>
      </c>
      <c r="D276" s="10"/>
      <c r="E276" s="2"/>
      <c r="F276" s="10"/>
      <c r="G276" s="2"/>
      <c r="H276" s="10"/>
      <c r="I276" s="2"/>
      <c r="J276" s="10"/>
      <c r="K276" s="2"/>
    </row>
    <row r="277">
      <c r="A277" s="8" t="s">
        <v>43</v>
      </c>
      <c r="B277" s="9" t="s">
        <v>66</v>
      </c>
      <c r="C277" s="9" t="s">
        <v>67</v>
      </c>
      <c r="D277" s="10"/>
      <c r="E277" s="2"/>
      <c r="F277" s="10"/>
      <c r="G277" s="2"/>
      <c r="H277" s="10"/>
      <c r="I277" s="2"/>
      <c r="J277" s="10"/>
      <c r="K277" s="2"/>
    </row>
    <row r="278">
      <c r="A278" s="8" t="s">
        <v>44</v>
      </c>
      <c r="B278" s="9" t="s">
        <v>66</v>
      </c>
      <c r="C278" s="9" t="s">
        <v>67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45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46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47</v>
      </c>
      <c r="B281" s="9" t="s">
        <v>66</v>
      </c>
      <c r="C281" s="9" t="s">
        <v>67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48</v>
      </c>
      <c r="B282" s="9" t="s">
        <v>66</v>
      </c>
      <c r="C282" s="9" t="s">
        <v>67</v>
      </c>
      <c r="D282" s="10"/>
      <c r="E282" s="2" t="str">
        <f>"－"</f>
        <v>－</v>
      </c>
      <c r="F282" s="10"/>
      <c r="G282" s="2" t="str">
        <f>"－"</f>
        <v>－</v>
      </c>
      <c r="H282" s="10"/>
      <c r="I282" s="2" t="str">
        <f>"－"</f>
        <v>－</v>
      </c>
      <c r="J282" s="10"/>
      <c r="K282" s="2" t="str">
        <f>"－"</f>
        <v>－</v>
      </c>
    </row>
    <row r="283">
      <c r="A283" s="8" t="s">
        <v>49</v>
      </c>
      <c r="B283" s="9" t="s">
        <v>66</v>
      </c>
      <c r="C283" s="9" t="s">
        <v>67</v>
      </c>
      <c r="D283" s="10"/>
      <c r="E283" s="2"/>
      <c r="F283" s="10"/>
      <c r="G283" s="2"/>
      <c r="H283" s="10"/>
      <c r="I283" s="2"/>
      <c r="J283" s="10"/>
      <c r="K283" s="2"/>
    </row>
    <row r="284">
      <c r="A284" s="8" t="s">
        <v>50</v>
      </c>
      <c r="B284" s="9" t="s">
        <v>66</v>
      </c>
      <c r="C284" s="9" t="s">
        <v>67</v>
      </c>
      <c r="D284" s="10"/>
      <c r="E284" s="2"/>
      <c r="F284" s="10"/>
      <c r="G284" s="2"/>
      <c r="H284" s="10"/>
      <c r="I284" s="2"/>
      <c r="J284" s="10"/>
      <c r="K284" s="2"/>
    </row>
    <row r="285">
      <c r="A285" s="8" t="s">
        <v>16</v>
      </c>
      <c r="B285" s="9" t="s">
        <v>68</v>
      </c>
      <c r="C285" s="9" t="s">
        <v>69</v>
      </c>
      <c r="D285" s="10"/>
      <c r="E285" s="2" t="n">
        <f>4941</f>
        <v>4941.0</v>
      </c>
      <c r="F285" s="10"/>
      <c r="G285" s="2" t="n">
        <f>5477998400</f>
        <v>5.4779984E9</v>
      </c>
      <c r="H285" s="10"/>
      <c r="I285" s="2" t="n">
        <f>305</f>
        <v>305.0</v>
      </c>
      <c r="J285" s="10" t="s">
        <v>19</v>
      </c>
      <c r="K285" s="2" t="n">
        <f>20940</f>
        <v>20940.0</v>
      </c>
    </row>
    <row r="286">
      <c r="A286" s="8" t="s">
        <v>20</v>
      </c>
      <c r="B286" s="9" t="s">
        <v>68</v>
      </c>
      <c r="C286" s="9" t="s">
        <v>69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21</v>
      </c>
      <c r="B287" s="9" t="s">
        <v>68</v>
      </c>
      <c r="C287" s="9" t="s">
        <v>69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22</v>
      </c>
      <c r="B288" s="9" t="s">
        <v>68</v>
      </c>
      <c r="C288" s="9" t="s">
        <v>69</v>
      </c>
      <c r="D288" s="10"/>
      <c r="E288" s="2" t="n">
        <f>5236</f>
        <v>5236.0</v>
      </c>
      <c r="F288" s="10"/>
      <c r="G288" s="2" t="n">
        <f>5733610040</f>
        <v>5.73361004E9</v>
      </c>
      <c r="H288" s="10"/>
      <c r="I288" s="2" t="n">
        <f>320</f>
        <v>320.0</v>
      </c>
      <c r="J288" s="10"/>
      <c r="K288" s="2" t="n">
        <f>21072</f>
        <v>21072.0</v>
      </c>
    </row>
    <row r="289">
      <c r="A289" s="8" t="s">
        <v>23</v>
      </c>
      <c r="B289" s="9" t="s">
        <v>68</v>
      </c>
      <c r="C289" s="9" t="s">
        <v>69</v>
      </c>
      <c r="D289" s="10" t="s">
        <v>24</v>
      </c>
      <c r="E289" s="2" t="n">
        <f>6864</f>
        <v>6864.0</v>
      </c>
      <c r="F289" s="10" t="s">
        <v>24</v>
      </c>
      <c r="G289" s="2" t="n">
        <f>7250580040</f>
        <v>7.25058004E9</v>
      </c>
      <c r="H289" s="10"/>
      <c r="I289" s="2" t="n">
        <f>429</f>
        <v>429.0</v>
      </c>
      <c r="J289" s="10"/>
      <c r="K289" s="2" t="n">
        <f>21391</f>
        <v>21391.0</v>
      </c>
    </row>
    <row r="290">
      <c r="A290" s="8" t="s">
        <v>25</v>
      </c>
      <c r="B290" s="9" t="s">
        <v>68</v>
      </c>
      <c r="C290" s="9" t="s">
        <v>69</v>
      </c>
      <c r="D290" s="10"/>
      <c r="E290" s="2" t="n">
        <f>5563</f>
        <v>5563.0</v>
      </c>
      <c r="F290" s="10"/>
      <c r="G290" s="2" t="n">
        <f>5888175200</f>
        <v>5.8881752E9</v>
      </c>
      <c r="H290" s="10"/>
      <c r="I290" s="2" t="n">
        <f>442</f>
        <v>442.0</v>
      </c>
      <c r="J290" s="10"/>
      <c r="K290" s="2" t="n">
        <f>21991</f>
        <v>21991.0</v>
      </c>
    </row>
    <row r="291">
      <c r="A291" s="8" t="s">
        <v>26</v>
      </c>
      <c r="B291" s="9" t="s">
        <v>68</v>
      </c>
      <c r="C291" s="9" t="s">
        <v>69</v>
      </c>
      <c r="D291" s="10"/>
      <c r="E291" s="2" t="n">
        <f>4949</f>
        <v>4949.0</v>
      </c>
      <c r="F291" s="10"/>
      <c r="G291" s="2" t="n">
        <f>5248113930</f>
        <v>5.24811393E9</v>
      </c>
      <c r="H291" s="10"/>
      <c r="I291" s="2" t="n">
        <f>332</f>
        <v>332.0</v>
      </c>
      <c r="J291" s="10" t="s">
        <v>24</v>
      </c>
      <c r="K291" s="2" t="n">
        <f>23453</f>
        <v>23453.0</v>
      </c>
    </row>
    <row r="292">
      <c r="A292" s="8" t="s">
        <v>27</v>
      </c>
      <c r="B292" s="9" t="s">
        <v>68</v>
      </c>
      <c r="C292" s="9" t="s">
        <v>69</v>
      </c>
      <c r="D292" s="10"/>
      <c r="E292" s="2" t="n">
        <f>3076</f>
        <v>3076.0</v>
      </c>
      <c r="F292" s="10"/>
      <c r="G292" s="2" t="n">
        <f>3335253260</f>
        <v>3.33525326E9</v>
      </c>
      <c r="H292" s="10"/>
      <c r="I292" s="2" t="n">
        <f>193</f>
        <v>193.0</v>
      </c>
      <c r="J292" s="10"/>
      <c r="K292" s="2" t="n">
        <f>22114</f>
        <v>22114.0</v>
      </c>
    </row>
    <row r="293">
      <c r="A293" s="8" t="s">
        <v>28</v>
      </c>
      <c r="B293" s="9" t="s">
        <v>68</v>
      </c>
      <c r="C293" s="9" t="s">
        <v>69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29</v>
      </c>
      <c r="B294" s="9" t="s">
        <v>68</v>
      </c>
      <c r="C294" s="9" t="s">
        <v>69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30</v>
      </c>
      <c r="B295" s="9" t="s">
        <v>68</v>
      </c>
      <c r="C295" s="9" t="s">
        <v>69</v>
      </c>
      <c r="D295" s="10"/>
      <c r="E295" s="2" t="n">
        <f>3682</f>
        <v>3682.0</v>
      </c>
      <c r="F295" s="10"/>
      <c r="G295" s="2" t="n">
        <f>4008136920</f>
        <v>4.00813692E9</v>
      </c>
      <c r="H295" s="10"/>
      <c r="I295" s="2" t="n">
        <f>364</f>
        <v>364.0</v>
      </c>
      <c r="J295" s="10"/>
      <c r="K295" s="2" t="n">
        <f>22084</f>
        <v>22084.0</v>
      </c>
    </row>
    <row r="296">
      <c r="A296" s="8" t="s">
        <v>31</v>
      </c>
      <c r="B296" s="9" t="s">
        <v>68</v>
      </c>
      <c r="C296" s="9" t="s">
        <v>69</v>
      </c>
      <c r="D296" s="10"/>
      <c r="E296" s="2" t="n">
        <f>3323</f>
        <v>3323.0</v>
      </c>
      <c r="F296" s="10"/>
      <c r="G296" s="2" t="n">
        <f>3622776400</f>
        <v>3.6227764E9</v>
      </c>
      <c r="H296" s="10"/>
      <c r="I296" s="2" t="n">
        <f>171</f>
        <v>171.0</v>
      </c>
      <c r="J296" s="10"/>
      <c r="K296" s="2" t="n">
        <f>22400</f>
        <v>22400.0</v>
      </c>
    </row>
    <row r="297">
      <c r="A297" s="8" t="s">
        <v>32</v>
      </c>
      <c r="B297" s="9" t="s">
        <v>68</v>
      </c>
      <c r="C297" s="9" t="s">
        <v>69</v>
      </c>
      <c r="D297" s="10"/>
      <c r="E297" s="2" t="n">
        <f>3276</f>
        <v>3276.0</v>
      </c>
      <c r="F297" s="10"/>
      <c r="G297" s="2" t="n">
        <f>3545781520</f>
        <v>3.54578152E9</v>
      </c>
      <c r="H297" s="10"/>
      <c r="I297" s="2" t="n">
        <f>185</f>
        <v>185.0</v>
      </c>
      <c r="J297" s="10"/>
      <c r="K297" s="2" t="n">
        <f>22351</f>
        <v>22351.0</v>
      </c>
    </row>
    <row r="298">
      <c r="A298" s="8" t="s">
        <v>33</v>
      </c>
      <c r="B298" s="9" t="s">
        <v>68</v>
      </c>
      <c r="C298" s="9" t="s">
        <v>69</v>
      </c>
      <c r="D298" s="10"/>
      <c r="E298" s="2" t="n">
        <f>3141</f>
        <v>3141.0</v>
      </c>
      <c r="F298" s="10"/>
      <c r="G298" s="2" t="n">
        <f>3410212100</f>
        <v>3.4102121E9</v>
      </c>
      <c r="H298" s="10"/>
      <c r="I298" s="2" t="n">
        <f>200</f>
        <v>200.0</v>
      </c>
      <c r="J298" s="10"/>
      <c r="K298" s="2" t="n">
        <f>22273</f>
        <v>22273.0</v>
      </c>
    </row>
    <row r="299">
      <c r="A299" s="8" t="s">
        <v>34</v>
      </c>
      <c r="B299" s="9" t="s">
        <v>68</v>
      </c>
      <c r="C299" s="9" t="s">
        <v>69</v>
      </c>
      <c r="D299" s="10"/>
      <c r="E299" s="2" t="n">
        <f>4343</f>
        <v>4343.0</v>
      </c>
      <c r="F299" s="10"/>
      <c r="G299" s="2" t="n">
        <f>4807080830</f>
        <v>4.80708083E9</v>
      </c>
      <c r="H299" s="10"/>
      <c r="I299" s="2" t="n">
        <f>305</f>
        <v>305.0</v>
      </c>
      <c r="J299" s="10"/>
      <c r="K299" s="2" t="n">
        <f>22092</f>
        <v>22092.0</v>
      </c>
    </row>
    <row r="300">
      <c r="A300" s="8" t="s">
        <v>35</v>
      </c>
      <c r="B300" s="9" t="s">
        <v>68</v>
      </c>
      <c r="C300" s="9" t="s">
        <v>69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36</v>
      </c>
      <c r="B301" s="9" t="s">
        <v>68</v>
      </c>
      <c r="C301" s="9" t="s">
        <v>69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37</v>
      </c>
      <c r="B302" s="9" t="s">
        <v>68</v>
      </c>
      <c r="C302" s="9" t="s">
        <v>69</v>
      </c>
      <c r="D302" s="10"/>
      <c r="E302" s="2" t="n">
        <f>3573</f>
        <v>3573.0</v>
      </c>
      <c r="F302" s="10"/>
      <c r="G302" s="2" t="n">
        <f>3985124630</f>
        <v>3.98512463E9</v>
      </c>
      <c r="H302" s="10"/>
      <c r="I302" s="2" t="n">
        <f>169</f>
        <v>169.0</v>
      </c>
      <c r="J302" s="10"/>
      <c r="K302" s="2" t="n">
        <f>22056</f>
        <v>22056.0</v>
      </c>
    </row>
    <row r="303">
      <c r="A303" s="8" t="s">
        <v>38</v>
      </c>
      <c r="B303" s="9" t="s">
        <v>68</v>
      </c>
      <c r="C303" s="9" t="s">
        <v>69</v>
      </c>
      <c r="D303" s="10"/>
      <c r="E303" s="2" t="n">
        <f>3365</f>
        <v>3365.0</v>
      </c>
      <c r="F303" s="10"/>
      <c r="G303" s="2" t="n">
        <f>3782441120</f>
        <v>3.78244112E9</v>
      </c>
      <c r="H303" s="10"/>
      <c r="I303" s="2" t="n">
        <f>192</f>
        <v>192.0</v>
      </c>
      <c r="J303" s="10"/>
      <c r="K303" s="2" t="n">
        <f>21993</f>
        <v>21993.0</v>
      </c>
    </row>
    <row r="304">
      <c r="A304" s="8" t="s">
        <v>39</v>
      </c>
      <c r="B304" s="9" t="s">
        <v>68</v>
      </c>
      <c r="C304" s="9" t="s">
        <v>69</v>
      </c>
      <c r="D304" s="10"/>
      <c r="E304" s="2" t="n">
        <f>3467</f>
        <v>3467.0</v>
      </c>
      <c r="F304" s="10"/>
      <c r="G304" s="2" t="n">
        <f>3933380330</f>
        <v>3.93338033E9</v>
      </c>
      <c r="H304" s="10" t="s">
        <v>24</v>
      </c>
      <c r="I304" s="2" t="n">
        <f>613</f>
        <v>613.0</v>
      </c>
      <c r="J304" s="10"/>
      <c r="K304" s="2" t="n">
        <f>22151</f>
        <v>22151.0</v>
      </c>
    </row>
    <row r="305">
      <c r="A305" s="8" t="s">
        <v>40</v>
      </c>
      <c r="B305" s="9" t="s">
        <v>68</v>
      </c>
      <c r="C305" s="9" t="s">
        <v>69</v>
      </c>
      <c r="D305" s="10"/>
      <c r="E305" s="2" t="n">
        <f>3647</f>
        <v>3647.0</v>
      </c>
      <c r="F305" s="10"/>
      <c r="G305" s="2" t="n">
        <f>4059036980</f>
        <v>4.05903698E9</v>
      </c>
      <c r="H305" s="10"/>
      <c r="I305" s="2" t="n">
        <f>224</f>
        <v>224.0</v>
      </c>
      <c r="J305" s="10"/>
      <c r="K305" s="2" t="n">
        <f>22000</f>
        <v>22000.0</v>
      </c>
    </row>
    <row r="306">
      <c r="A306" s="8" t="s">
        <v>41</v>
      </c>
      <c r="B306" s="9" t="s">
        <v>68</v>
      </c>
      <c r="C306" s="9" t="s">
        <v>69</v>
      </c>
      <c r="D306" s="10"/>
      <c r="E306" s="2" t="n">
        <f>2937</f>
        <v>2937.0</v>
      </c>
      <c r="F306" s="10"/>
      <c r="G306" s="2" t="n">
        <f>3236564660</f>
        <v>3.23656466E9</v>
      </c>
      <c r="H306" s="10"/>
      <c r="I306" s="2" t="n">
        <f>267</f>
        <v>267.0</v>
      </c>
      <c r="J306" s="10"/>
      <c r="K306" s="2" t="n">
        <f>21967</f>
        <v>21967.0</v>
      </c>
    </row>
    <row r="307">
      <c r="A307" s="8" t="s">
        <v>42</v>
      </c>
      <c r="B307" s="9" t="s">
        <v>68</v>
      </c>
      <c r="C307" s="9" t="s">
        <v>69</v>
      </c>
      <c r="D307" s="10"/>
      <c r="E307" s="2"/>
      <c r="F307" s="10"/>
      <c r="G307" s="2"/>
      <c r="H307" s="10"/>
      <c r="I307" s="2"/>
      <c r="J307" s="10"/>
      <c r="K307" s="2"/>
    </row>
    <row r="308">
      <c r="A308" s="8" t="s">
        <v>43</v>
      </c>
      <c r="B308" s="9" t="s">
        <v>68</v>
      </c>
      <c r="C308" s="9" t="s">
        <v>69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44</v>
      </c>
      <c r="B309" s="9" t="s">
        <v>68</v>
      </c>
      <c r="C309" s="9" t="s">
        <v>69</v>
      </c>
      <c r="D309" s="10"/>
      <c r="E309" s="2" t="n">
        <f>2748</f>
        <v>2748.0</v>
      </c>
      <c r="F309" s="10"/>
      <c r="G309" s="2" t="n">
        <f>2997603830</f>
        <v>2.99760383E9</v>
      </c>
      <c r="H309" s="10"/>
      <c r="I309" s="2" t="n">
        <f>156</f>
        <v>156.0</v>
      </c>
      <c r="J309" s="10"/>
      <c r="K309" s="2" t="n">
        <f>21867</f>
        <v>21867.0</v>
      </c>
    </row>
    <row r="310">
      <c r="A310" s="8" t="s">
        <v>45</v>
      </c>
      <c r="B310" s="9" t="s">
        <v>68</v>
      </c>
      <c r="C310" s="9" t="s">
        <v>69</v>
      </c>
      <c r="D310" s="10"/>
      <c r="E310" s="2" t="n">
        <f>2793</f>
        <v>2793.0</v>
      </c>
      <c r="F310" s="10"/>
      <c r="G310" s="2" t="n">
        <f>3095663440</f>
        <v>3.09566344E9</v>
      </c>
      <c r="H310" s="10" t="s">
        <v>19</v>
      </c>
      <c r="I310" s="2" t="n">
        <f>97</f>
        <v>97.0</v>
      </c>
      <c r="J310" s="10"/>
      <c r="K310" s="2" t="n">
        <f>21589</f>
        <v>21589.0</v>
      </c>
    </row>
    <row r="311">
      <c r="A311" s="8" t="s">
        <v>46</v>
      </c>
      <c r="B311" s="9" t="s">
        <v>68</v>
      </c>
      <c r="C311" s="9" t="s">
        <v>69</v>
      </c>
      <c r="D311" s="10" t="s">
        <v>19</v>
      </c>
      <c r="E311" s="2" t="n">
        <f>2337</f>
        <v>2337.0</v>
      </c>
      <c r="F311" s="10" t="s">
        <v>19</v>
      </c>
      <c r="G311" s="2" t="n">
        <f>2590513060</f>
        <v>2.59051306E9</v>
      </c>
      <c r="H311" s="10"/>
      <c r="I311" s="2" t="n">
        <f>105</f>
        <v>105.0</v>
      </c>
      <c r="J311" s="10"/>
      <c r="K311" s="2" t="n">
        <f>21590</f>
        <v>21590.0</v>
      </c>
    </row>
    <row r="312">
      <c r="A312" s="8" t="s">
        <v>47</v>
      </c>
      <c r="B312" s="9" t="s">
        <v>68</v>
      </c>
      <c r="C312" s="9" t="s">
        <v>69</v>
      </c>
      <c r="D312" s="10"/>
      <c r="E312" s="2" t="n">
        <f>2929</f>
        <v>2929.0</v>
      </c>
      <c r="F312" s="10"/>
      <c r="G312" s="2" t="n">
        <f>3242206720</f>
        <v>3.24220672E9</v>
      </c>
      <c r="H312" s="10"/>
      <c r="I312" s="2" t="n">
        <f>189</f>
        <v>189.0</v>
      </c>
      <c r="J312" s="10"/>
      <c r="K312" s="2" t="n">
        <f>21438</f>
        <v>21438.0</v>
      </c>
    </row>
    <row r="313">
      <c r="A313" s="8" t="s">
        <v>48</v>
      </c>
      <c r="B313" s="9" t="s">
        <v>68</v>
      </c>
      <c r="C313" s="9" t="s">
        <v>69</v>
      </c>
      <c r="D313" s="10"/>
      <c r="E313" s="2" t="n">
        <f>2614</f>
        <v>2614.0</v>
      </c>
      <c r="F313" s="10"/>
      <c r="G313" s="2" t="n">
        <f>2900196020</f>
        <v>2.90019602E9</v>
      </c>
      <c r="H313" s="10"/>
      <c r="I313" s="2" t="n">
        <f>116</f>
        <v>116.0</v>
      </c>
      <c r="J313" s="10"/>
      <c r="K313" s="2" t="n">
        <f>21512</f>
        <v>21512.0</v>
      </c>
    </row>
    <row r="314">
      <c r="A314" s="8" t="s">
        <v>49</v>
      </c>
      <c r="B314" s="9" t="s">
        <v>68</v>
      </c>
      <c r="C314" s="9" t="s">
        <v>69</v>
      </c>
      <c r="D314" s="10"/>
      <c r="E314" s="2"/>
      <c r="F314" s="10"/>
      <c r="G314" s="2"/>
      <c r="H314" s="10"/>
      <c r="I314" s="2"/>
      <c r="J314" s="10"/>
      <c r="K314" s="2"/>
    </row>
    <row r="315">
      <c r="A315" s="8" t="s">
        <v>50</v>
      </c>
      <c r="B315" s="9" t="s">
        <v>68</v>
      </c>
      <c r="C315" s="9" t="s">
        <v>69</v>
      </c>
      <c r="D315" s="10"/>
      <c r="E315" s="2"/>
      <c r="F315" s="10"/>
      <c r="G315" s="2"/>
      <c r="H315" s="10"/>
      <c r="I315" s="2"/>
      <c r="J315" s="10"/>
      <c r="K315" s="2"/>
    </row>
    <row r="316">
      <c r="A316" s="8" t="s">
        <v>16</v>
      </c>
      <c r="B316" s="9" t="s">
        <v>70</v>
      </c>
      <c r="C316" s="9" t="s">
        <v>71</v>
      </c>
      <c r="D316" s="10"/>
      <c r="E316" s="2" t="n">
        <f>2655</f>
        <v>2655.0</v>
      </c>
      <c r="F316" s="10"/>
      <c r="G316" s="2" t="n">
        <f>9001868900</f>
        <v>9.0018689E9</v>
      </c>
      <c r="H316" s="10"/>
      <c r="I316" s="2" t="n">
        <f>716</f>
        <v>716.0</v>
      </c>
      <c r="J316" s="10"/>
      <c r="K316" s="2" t="n">
        <f>3480</f>
        <v>3480.0</v>
      </c>
    </row>
    <row r="317">
      <c r="A317" s="8" t="s">
        <v>20</v>
      </c>
      <c r="B317" s="9" t="s">
        <v>70</v>
      </c>
      <c r="C317" s="9" t="s">
        <v>71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21</v>
      </c>
      <c r="B318" s="9" t="s">
        <v>70</v>
      </c>
      <c r="C318" s="9" t="s">
        <v>71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22</v>
      </c>
      <c r="B319" s="9" t="s">
        <v>70</v>
      </c>
      <c r="C319" s="9" t="s">
        <v>71</v>
      </c>
      <c r="D319" s="10"/>
      <c r="E319" s="2" t="n">
        <f>2708</f>
        <v>2708.0</v>
      </c>
      <c r="F319" s="10"/>
      <c r="G319" s="2" t="n">
        <f>9174456500</f>
        <v>9.1744565E9</v>
      </c>
      <c r="H319" s="10" t="s">
        <v>24</v>
      </c>
      <c r="I319" s="2" t="n">
        <f>1076</f>
        <v>1076.0</v>
      </c>
      <c r="J319" s="10" t="s">
        <v>24</v>
      </c>
      <c r="K319" s="2" t="n">
        <f>3502</f>
        <v>3502.0</v>
      </c>
    </row>
    <row r="320">
      <c r="A320" s="8" t="s">
        <v>23</v>
      </c>
      <c r="B320" s="9" t="s">
        <v>70</v>
      </c>
      <c r="C320" s="9" t="s">
        <v>71</v>
      </c>
      <c r="D320" s="10"/>
      <c r="E320" s="2" t="n">
        <f>2978</f>
        <v>2978.0</v>
      </c>
      <c r="F320" s="10"/>
      <c r="G320" s="2" t="n">
        <f>10097909600</f>
        <v>1.00979096E10</v>
      </c>
      <c r="H320" s="10"/>
      <c r="I320" s="2" t="n">
        <f>1003</f>
        <v>1003.0</v>
      </c>
      <c r="J320" s="10"/>
      <c r="K320" s="2" t="n">
        <f>3381</f>
        <v>3381.0</v>
      </c>
    </row>
    <row r="321">
      <c r="A321" s="8" t="s">
        <v>25</v>
      </c>
      <c r="B321" s="9" t="s">
        <v>70</v>
      </c>
      <c r="C321" s="9" t="s">
        <v>71</v>
      </c>
      <c r="D321" s="10"/>
      <c r="E321" s="2" t="n">
        <f>2279</f>
        <v>2279.0</v>
      </c>
      <c r="F321" s="10"/>
      <c r="G321" s="2" t="n">
        <f>7775822300</f>
        <v>7.7758223E9</v>
      </c>
      <c r="H321" s="10"/>
      <c r="I321" s="2" t="n">
        <f>615</f>
        <v>615.0</v>
      </c>
      <c r="J321" s="10"/>
      <c r="K321" s="2" t="n">
        <f>3339</f>
        <v>3339.0</v>
      </c>
    </row>
    <row r="322">
      <c r="A322" s="8" t="s">
        <v>26</v>
      </c>
      <c r="B322" s="9" t="s">
        <v>70</v>
      </c>
      <c r="C322" s="9" t="s">
        <v>71</v>
      </c>
      <c r="D322" s="10" t="s">
        <v>24</v>
      </c>
      <c r="E322" s="2" t="n">
        <f>3572</f>
        <v>3572.0</v>
      </c>
      <c r="F322" s="10" t="s">
        <v>24</v>
      </c>
      <c r="G322" s="2" t="n">
        <f>12172974100</f>
        <v>1.21729741E10</v>
      </c>
      <c r="H322" s="10"/>
      <c r="I322" s="2" t="n">
        <f>885</f>
        <v>885.0</v>
      </c>
      <c r="J322" s="10"/>
      <c r="K322" s="2" t="n">
        <f>2646</f>
        <v>2646.0</v>
      </c>
    </row>
    <row r="323">
      <c r="A323" s="8" t="s">
        <v>27</v>
      </c>
      <c r="B323" s="9" t="s">
        <v>70</v>
      </c>
      <c r="C323" s="9" t="s">
        <v>71</v>
      </c>
      <c r="D323" s="10"/>
      <c r="E323" s="2" t="n">
        <f>1680</f>
        <v>1680.0</v>
      </c>
      <c r="F323" s="10"/>
      <c r="G323" s="2" t="n">
        <f>5814381800</f>
        <v>5.8143818E9</v>
      </c>
      <c r="H323" s="10"/>
      <c r="I323" s="2" t="n">
        <f>444</f>
        <v>444.0</v>
      </c>
      <c r="J323" s="10"/>
      <c r="K323" s="2" t="n">
        <f>2703</f>
        <v>2703.0</v>
      </c>
    </row>
    <row r="324">
      <c r="A324" s="8" t="s">
        <v>28</v>
      </c>
      <c r="B324" s="9" t="s">
        <v>70</v>
      </c>
      <c r="C324" s="9" t="s">
        <v>71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29</v>
      </c>
      <c r="B325" s="9" t="s">
        <v>70</v>
      </c>
      <c r="C325" s="9" t="s">
        <v>71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30</v>
      </c>
      <c r="B326" s="9" t="s">
        <v>70</v>
      </c>
      <c r="C326" s="9" t="s">
        <v>71</v>
      </c>
      <c r="D326" s="10"/>
      <c r="E326" s="2" t="n">
        <f>1491</f>
        <v>1491.0</v>
      </c>
      <c r="F326" s="10"/>
      <c r="G326" s="2" t="n">
        <f>5156300700</f>
        <v>5.1563007E9</v>
      </c>
      <c r="H326" s="10"/>
      <c r="I326" s="2" t="n">
        <f>318</f>
        <v>318.0</v>
      </c>
      <c r="J326" s="10"/>
      <c r="K326" s="2" t="n">
        <f>2770</f>
        <v>2770.0</v>
      </c>
    </row>
    <row r="327">
      <c r="A327" s="8" t="s">
        <v>31</v>
      </c>
      <c r="B327" s="9" t="s">
        <v>70</v>
      </c>
      <c r="C327" s="9" t="s">
        <v>71</v>
      </c>
      <c r="D327" s="10"/>
      <c r="E327" s="2" t="n">
        <f>1479</f>
        <v>1479.0</v>
      </c>
      <c r="F327" s="10"/>
      <c r="G327" s="2" t="n">
        <f>5101174300</f>
        <v>5.1011743E9</v>
      </c>
      <c r="H327" s="10"/>
      <c r="I327" s="2" t="n">
        <f>180</f>
        <v>180.0</v>
      </c>
      <c r="J327" s="10"/>
      <c r="K327" s="2" t="n">
        <f>2648</f>
        <v>2648.0</v>
      </c>
    </row>
    <row r="328">
      <c r="A328" s="8" t="s">
        <v>32</v>
      </c>
      <c r="B328" s="9" t="s">
        <v>70</v>
      </c>
      <c r="C328" s="9" t="s">
        <v>71</v>
      </c>
      <c r="D328" s="10"/>
      <c r="E328" s="2" t="n">
        <f>1220</f>
        <v>1220.0</v>
      </c>
      <c r="F328" s="10"/>
      <c r="G328" s="2" t="n">
        <f>4188141200</f>
        <v>4.1881412E9</v>
      </c>
      <c r="H328" s="10"/>
      <c r="I328" s="2" t="n">
        <f>25</f>
        <v>25.0</v>
      </c>
      <c r="J328" s="10"/>
      <c r="K328" s="2" t="n">
        <f>2632</f>
        <v>2632.0</v>
      </c>
    </row>
    <row r="329">
      <c r="A329" s="8" t="s">
        <v>33</v>
      </c>
      <c r="B329" s="9" t="s">
        <v>70</v>
      </c>
      <c r="C329" s="9" t="s">
        <v>71</v>
      </c>
      <c r="D329" s="10"/>
      <c r="E329" s="2" t="n">
        <f>824</f>
        <v>824.0</v>
      </c>
      <c r="F329" s="10"/>
      <c r="G329" s="2" t="n">
        <f>2817489700</f>
        <v>2.8174897E9</v>
      </c>
      <c r="H329" s="10"/>
      <c r="I329" s="2" t="n">
        <f>9</f>
        <v>9.0</v>
      </c>
      <c r="J329" s="10"/>
      <c r="K329" s="2" t="n">
        <f>2614</f>
        <v>2614.0</v>
      </c>
    </row>
    <row r="330">
      <c r="A330" s="8" t="s">
        <v>34</v>
      </c>
      <c r="B330" s="9" t="s">
        <v>70</v>
      </c>
      <c r="C330" s="9" t="s">
        <v>71</v>
      </c>
      <c r="D330" s="10"/>
      <c r="E330" s="2" t="n">
        <f>2325</f>
        <v>2325.0</v>
      </c>
      <c r="F330" s="10"/>
      <c r="G330" s="2" t="n">
        <f>8085562000</f>
        <v>8.085562E9</v>
      </c>
      <c r="H330" s="10"/>
      <c r="I330" s="2" t="n">
        <f>98</f>
        <v>98.0</v>
      </c>
      <c r="J330" s="10" t="s">
        <v>19</v>
      </c>
      <c r="K330" s="2" t="n">
        <f>1669</f>
        <v>1669.0</v>
      </c>
    </row>
    <row r="331">
      <c r="A331" s="8" t="s">
        <v>35</v>
      </c>
      <c r="B331" s="9" t="s">
        <v>70</v>
      </c>
      <c r="C331" s="9" t="s">
        <v>71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36</v>
      </c>
      <c r="B332" s="9" t="s">
        <v>70</v>
      </c>
      <c r="C332" s="9" t="s">
        <v>71</v>
      </c>
      <c r="D332" s="10"/>
      <c r="E332" s="2"/>
      <c r="F332" s="10"/>
      <c r="G332" s="2"/>
      <c r="H332" s="10"/>
      <c r="I332" s="2"/>
      <c r="J332" s="10"/>
      <c r="K332" s="2"/>
    </row>
    <row r="333">
      <c r="A333" s="8" t="s">
        <v>37</v>
      </c>
      <c r="B333" s="9" t="s">
        <v>70</v>
      </c>
      <c r="C333" s="9" t="s">
        <v>71</v>
      </c>
      <c r="D333" s="10"/>
      <c r="E333" s="2" t="n">
        <f>733</f>
        <v>733.0</v>
      </c>
      <c r="F333" s="10"/>
      <c r="G333" s="2" t="n">
        <f>2568116300</f>
        <v>2.5681163E9</v>
      </c>
      <c r="H333" s="10"/>
      <c r="I333" s="2" t="n">
        <f>51</f>
        <v>51.0</v>
      </c>
      <c r="J333" s="10"/>
      <c r="K333" s="2" t="n">
        <f>1718</f>
        <v>1718.0</v>
      </c>
    </row>
    <row r="334">
      <c r="A334" s="8" t="s">
        <v>38</v>
      </c>
      <c r="B334" s="9" t="s">
        <v>70</v>
      </c>
      <c r="C334" s="9" t="s">
        <v>71</v>
      </c>
      <c r="D334" s="10"/>
      <c r="E334" s="2" t="n">
        <f>922</f>
        <v>922.0</v>
      </c>
      <c r="F334" s="10"/>
      <c r="G334" s="2" t="n">
        <f>3230003700</f>
        <v>3.2300037E9</v>
      </c>
      <c r="H334" s="10"/>
      <c r="I334" s="2" t="n">
        <f>100</f>
        <v>100.0</v>
      </c>
      <c r="J334" s="10"/>
      <c r="K334" s="2" t="n">
        <f>1692</f>
        <v>1692.0</v>
      </c>
    </row>
    <row r="335">
      <c r="A335" s="8" t="s">
        <v>39</v>
      </c>
      <c r="B335" s="9" t="s">
        <v>70</v>
      </c>
      <c r="C335" s="9" t="s">
        <v>71</v>
      </c>
      <c r="D335" s="10"/>
      <c r="E335" s="2" t="n">
        <f>655</f>
        <v>655.0</v>
      </c>
      <c r="F335" s="10"/>
      <c r="G335" s="2" t="n">
        <f>2309640700</f>
        <v>2.3096407E9</v>
      </c>
      <c r="H335" s="10"/>
      <c r="I335" s="2" t="n">
        <f>8</f>
        <v>8.0</v>
      </c>
      <c r="J335" s="10"/>
      <c r="K335" s="2" t="n">
        <f>1813</f>
        <v>1813.0</v>
      </c>
    </row>
    <row r="336">
      <c r="A336" s="8" t="s">
        <v>40</v>
      </c>
      <c r="B336" s="9" t="s">
        <v>70</v>
      </c>
      <c r="C336" s="9" t="s">
        <v>71</v>
      </c>
      <c r="D336" s="10"/>
      <c r="E336" s="2" t="n">
        <f>2195</f>
        <v>2195.0</v>
      </c>
      <c r="F336" s="10"/>
      <c r="G336" s="2" t="n">
        <f>7769131400</f>
        <v>7.7691314E9</v>
      </c>
      <c r="H336" s="10"/>
      <c r="I336" s="2" t="n">
        <f>1</f>
        <v>1.0</v>
      </c>
      <c r="J336" s="10"/>
      <c r="K336" s="2" t="n">
        <f>1693</f>
        <v>1693.0</v>
      </c>
    </row>
    <row r="337">
      <c r="A337" s="8" t="s">
        <v>41</v>
      </c>
      <c r="B337" s="9" t="s">
        <v>70</v>
      </c>
      <c r="C337" s="9" t="s">
        <v>71</v>
      </c>
      <c r="D337" s="10"/>
      <c r="E337" s="2" t="n">
        <f>1120</f>
        <v>1120.0</v>
      </c>
      <c r="F337" s="10"/>
      <c r="G337" s="2" t="n">
        <f>3964310600</f>
        <v>3.9643106E9</v>
      </c>
      <c r="H337" s="10"/>
      <c r="I337" s="2" t="n">
        <f>4</f>
        <v>4.0</v>
      </c>
      <c r="J337" s="10"/>
      <c r="K337" s="2" t="n">
        <f>1761</f>
        <v>1761.0</v>
      </c>
    </row>
    <row r="338">
      <c r="A338" s="8" t="s">
        <v>42</v>
      </c>
      <c r="B338" s="9" t="s">
        <v>70</v>
      </c>
      <c r="C338" s="9" t="s">
        <v>71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43</v>
      </c>
      <c r="B339" s="9" t="s">
        <v>70</v>
      </c>
      <c r="C339" s="9" t="s">
        <v>71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44</v>
      </c>
      <c r="B340" s="9" t="s">
        <v>70</v>
      </c>
      <c r="C340" s="9" t="s">
        <v>71</v>
      </c>
      <c r="D340" s="10"/>
      <c r="E340" s="2" t="n">
        <f>939</f>
        <v>939.0</v>
      </c>
      <c r="F340" s="10"/>
      <c r="G340" s="2" t="n">
        <f>3334753400</f>
        <v>3.3347534E9</v>
      </c>
      <c r="H340" s="10"/>
      <c r="I340" s="2" t="n">
        <f>27</f>
        <v>27.0</v>
      </c>
      <c r="J340" s="10"/>
      <c r="K340" s="2" t="n">
        <f>1845</f>
        <v>1845.0</v>
      </c>
    </row>
    <row r="341">
      <c r="A341" s="8" t="s">
        <v>45</v>
      </c>
      <c r="B341" s="9" t="s">
        <v>70</v>
      </c>
      <c r="C341" s="9" t="s">
        <v>71</v>
      </c>
      <c r="D341" s="10" t="s">
        <v>19</v>
      </c>
      <c r="E341" s="2" t="n">
        <f>506</f>
        <v>506.0</v>
      </c>
      <c r="F341" s="10" t="s">
        <v>19</v>
      </c>
      <c r="G341" s="2" t="n">
        <f>1801154300</f>
        <v>1.8011543E9</v>
      </c>
      <c r="H341" s="10"/>
      <c r="I341" s="2" t="n">
        <f>3</f>
        <v>3.0</v>
      </c>
      <c r="J341" s="10"/>
      <c r="K341" s="2" t="n">
        <f>1960</f>
        <v>1960.0</v>
      </c>
    </row>
    <row r="342">
      <c r="A342" s="8" t="s">
        <v>46</v>
      </c>
      <c r="B342" s="9" t="s">
        <v>70</v>
      </c>
      <c r="C342" s="9" t="s">
        <v>71</v>
      </c>
      <c r="D342" s="10"/>
      <c r="E342" s="2" t="n">
        <f>868</f>
        <v>868.0</v>
      </c>
      <c r="F342" s="10"/>
      <c r="G342" s="2" t="n">
        <f>3096000900</f>
        <v>3.0960009E9</v>
      </c>
      <c r="H342" s="10" t="s">
        <v>19</v>
      </c>
      <c r="I342" s="2" t="str">
        <f>"－"</f>
        <v>－</v>
      </c>
      <c r="J342" s="10"/>
      <c r="K342" s="2" t="n">
        <f>2003</f>
        <v>2003.0</v>
      </c>
    </row>
    <row r="343">
      <c r="A343" s="8" t="s">
        <v>47</v>
      </c>
      <c r="B343" s="9" t="s">
        <v>70</v>
      </c>
      <c r="C343" s="9" t="s">
        <v>71</v>
      </c>
      <c r="D343" s="10"/>
      <c r="E343" s="2" t="n">
        <f>923</f>
        <v>923.0</v>
      </c>
      <c r="F343" s="10"/>
      <c r="G343" s="2" t="n">
        <f>3279340000</f>
        <v>3.27934E9</v>
      </c>
      <c r="H343" s="10"/>
      <c r="I343" s="2" t="str">
        <f>"－"</f>
        <v>－</v>
      </c>
      <c r="J343" s="10"/>
      <c r="K343" s="2" t="n">
        <f>1972</f>
        <v>1972.0</v>
      </c>
    </row>
    <row r="344">
      <c r="A344" s="8" t="s">
        <v>48</v>
      </c>
      <c r="B344" s="9" t="s">
        <v>70</v>
      </c>
      <c r="C344" s="9" t="s">
        <v>71</v>
      </c>
      <c r="D344" s="10"/>
      <c r="E344" s="2" t="n">
        <f>1096</f>
        <v>1096.0</v>
      </c>
      <c r="F344" s="10"/>
      <c r="G344" s="2" t="n">
        <f>3893100900</f>
        <v>3.8931009E9</v>
      </c>
      <c r="H344" s="10"/>
      <c r="I344" s="2" t="n">
        <f>1</f>
        <v>1.0</v>
      </c>
      <c r="J344" s="10"/>
      <c r="K344" s="2" t="n">
        <f>1977</f>
        <v>1977.0</v>
      </c>
    </row>
    <row r="345">
      <c r="A345" s="8" t="s">
        <v>49</v>
      </c>
      <c r="B345" s="9" t="s">
        <v>70</v>
      </c>
      <c r="C345" s="9" t="s">
        <v>71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50</v>
      </c>
      <c r="B346" s="9" t="s">
        <v>70</v>
      </c>
      <c r="C346" s="9" t="s">
        <v>71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16</v>
      </c>
      <c r="B347" s="9" t="s">
        <v>72</v>
      </c>
      <c r="C347" s="9" t="s">
        <v>73</v>
      </c>
      <c r="D347" s="10" t="s">
        <v>61</v>
      </c>
      <c r="E347" s="2" t="str">
        <f>"－"</f>
        <v>－</v>
      </c>
      <c r="F347" s="10" t="s">
        <v>61</v>
      </c>
      <c r="G347" s="2" t="str">
        <f>"－"</f>
        <v>－</v>
      </c>
      <c r="H347" s="10" t="s">
        <v>61</v>
      </c>
      <c r="I347" s="2" t="str">
        <f>"－"</f>
        <v>－</v>
      </c>
      <c r="J347" s="10" t="s">
        <v>61</v>
      </c>
      <c r="K347" s="2" t="str">
        <f>"－"</f>
        <v>－</v>
      </c>
    </row>
    <row r="348">
      <c r="A348" s="8" t="s">
        <v>20</v>
      </c>
      <c r="B348" s="9" t="s">
        <v>72</v>
      </c>
      <c r="C348" s="9" t="s">
        <v>73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21</v>
      </c>
      <c r="B349" s="9" t="s">
        <v>72</v>
      </c>
      <c r="C349" s="9" t="s">
        <v>73</v>
      </c>
      <c r="D349" s="10"/>
      <c r="E349" s="2"/>
      <c r="F349" s="10"/>
      <c r="G349" s="2"/>
      <c r="H349" s="10"/>
      <c r="I349" s="2"/>
      <c r="J349" s="10"/>
      <c r="K349" s="2"/>
    </row>
    <row r="350">
      <c r="A350" s="8" t="s">
        <v>22</v>
      </c>
      <c r="B350" s="9" t="s">
        <v>72</v>
      </c>
      <c r="C350" s="9" t="s">
        <v>73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23</v>
      </c>
      <c r="B351" s="9" t="s">
        <v>72</v>
      </c>
      <c r="C351" s="9" t="s">
        <v>73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25</v>
      </c>
      <c r="B352" s="9" t="s">
        <v>72</v>
      </c>
      <c r="C352" s="9" t="s">
        <v>73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26</v>
      </c>
      <c r="B353" s="9" t="s">
        <v>72</v>
      </c>
      <c r="C353" s="9" t="s">
        <v>73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27</v>
      </c>
      <c r="B354" s="9" t="s">
        <v>72</v>
      </c>
      <c r="C354" s="9" t="s">
        <v>73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28</v>
      </c>
      <c r="B355" s="9" t="s">
        <v>72</v>
      </c>
      <c r="C355" s="9" t="s">
        <v>73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29</v>
      </c>
      <c r="B356" s="9" t="s">
        <v>72</v>
      </c>
      <c r="C356" s="9" t="s">
        <v>73</v>
      </c>
      <c r="D356" s="10"/>
      <c r="E356" s="2"/>
      <c r="F356" s="10"/>
      <c r="G356" s="2"/>
      <c r="H356" s="10"/>
      <c r="I356" s="2"/>
      <c r="J356" s="10"/>
      <c r="K356" s="2"/>
    </row>
    <row r="357">
      <c r="A357" s="8" t="s">
        <v>30</v>
      </c>
      <c r="B357" s="9" t="s">
        <v>72</v>
      </c>
      <c r="C357" s="9" t="s">
        <v>73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31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34</v>
      </c>
      <c r="B361" s="9" t="s">
        <v>72</v>
      </c>
      <c r="C361" s="9" t="s">
        <v>73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36</v>
      </c>
      <c r="B363" s="9" t="s">
        <v>72</v>
      </c>
      <c r="C363" s="9" t="s">
        <v>73</v>
      </c>
      <c r="D363" s="10"/>
      <c r="E363" s="2"/>
      <c r="F363" s="10"/>
      <c r="G363" s="2"/>
      <c r="H363" s="10"/>
      <c r="I363" s="2"/>
      <c r="J363" s="10"/>
      <c r="K363" s="2"/>
    </row>
    <row r="364">
      <c r="A364" s="8" t="s">
        <v>37</v>
      </c>
      <c r="B364" s="9" t="s">
        <v>72</v>
      </c>
      <c r="C364" s="9" t="s">
        <v>73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41</v>
      </c>
      <c r="B368" s="9" t="s">
        <v>72</v>
      </c>
      <c r="C368" s="9" t="s">
        <v>73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str">
        <f>"－"</f>
        <v>－</v>
      </c>
    </row>
    <row r="369">
      <c r="A369" s="8" t="s">
        <v>42</v>
      </c>
      <c r="B369" s="9" t="s">
        <v>72</v>
      </c>
      <c r="C369" s="9" t="s">
        <v>73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43</v>
      </c>
      <c r="B370" s="9" t="s">
        <v>72</v>
      </c>
      <c r="C370" s="9" t="s">
        <v>73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44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50</v>
      </c>
      <c r="B377" s="9" t="s">
        <v>72</v>
      </c>
      <c r="C377" s="9" t="s">
        <v>73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16</v>
      </c>
      <c r="B378" s="9" t="s">
        <v>74</v>
      </c>
      <c r="C378" s="9" t="s">
        <v>75</v>
      </c>
      <c r="D378" s="10" t="s">
        <v>61</v>
      </c>
      <c r="E378" s="2" t="str">
        <f>"－"</f>
        <v>－</v>
      </c>
      <c r="F378" s="10" t="s">
        <v>61</v>
      </c>
      <c r="G378" s="2" t="str">
        <f>"－"</f>
        <v>－</v>
      </c>
      <c r="H378" s="10" t="s">
        <v>61</v>
      </c>
      <c r="I378" s="2" t="str">
        <f>"－"</f>
        <v>－</v>
      </c>
      <c r="J378" s="10" t="s">
        <v>61</v>
      </c>
      <c r="K378" s="2" t="str">
        <f>"－"</f>
        <v>－</v>
      </c>
    </row>
    <row r="379">
      <c r="A379" s="8" t="s">
        <v>20</v>
      </c>
      <c r="B379" s="9" t="s">
        <v>74</v>
      </c>
      <c r="C379" s="9" t="s">
        <v>75</v>
      </c>
      <c r="D379" s="10"/>
      <c r="E379" s="2"/>
      <c r="F379" s="10"/>
      <c r="G379" s="2"/>
      <c r="H379" s="10"/>
      <c r="I379" s="2"/>
      <c r="J379" s="10"/>
      <c r="K379" s="2"/>
    </row>
    <row r="380">
      <c r="A380" s="8" t="s">
        <v>21</v>
      </c>
      <c r="B380" s="9" t="s">
        <v>74</v>
      </c>
      <c r="C380" s="9" t="s">
        <v>75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22</v>
      </c>
      <c r="B381" s="9" t="s">
        <v>74</v>
      </c>
      <c r="C381" s="9" t="s">
        <v>75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23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25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26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27</v>
      </c>
      <c r="B385" s="9" t="s">
        <v>74</v>
      </c>
      <c r="C385" s="9" t="s">
        <v>75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28</v>
      </c>
      <c r="B386" s="9" t="s">
        <v>74</v>
      </c>
      <c r="C386" s="9" t="s">
        <v>75</v>
      </c>
      <c r="D386" s="10"/>
      <c r="E386" s="2"/>
      <c r="F386" s="10"/>
      <c r="G386" s="2"/>
      <c r="H386" s="10"/>
      <c r="I386" s="2"/>
      <c r="J386" s="10"/>
      <c r="K386" s="2"/>
    </row>
    <row r="387">
      <c r="A387" s="8" t="s">
        <v>29</v>
      </c>
      <c r="B387" s="9" t="s">
        <v>74</v>
      </c>
      <c r="C387" s="9" t="s">
        <v>75</v>
      </c>
      <c r="D387" s="10"/>
      <c r="E387" s="2"/>
      <c r="F387" s="10"/>
      <c r="G387" s="2"/>
      <c r="H387" s="10"/>
      <c r="I387" s="2"/>
      <c r="J387" s="10"/>
      <c r="K387" s="2"/>
    </row>
    <row r="388">
      <c r="A388" s="8" t="s">
        <v>30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31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2"/>
      <c r="F393" s="10"/>
      <c r="G393" s="2"/>
      <c r="H393" s="10"/>
      <c r="I393" s="2"/>
      <c r="J393" s="10"/>
      <c r="K393" s="2"/>
    </row>
    <row r="394">
      <c r="A394" s="8" t="s">
        <v>36</v>
      </c>
      <c r="B394" s="9" t="s">
        <v>74</v>
      </c>
      <c r="C394" s="9" t="s">
        <v>75</v>
      </c>
      <c r="D394" s="10"/>
      <c r="E394" s="2"/>
      <c r="F394" s="10"/>
      <c r="G394" s="2"/>
      <c r="H394" s="10"/>
      <c r="I394" s="2"/>
      <c r="J394" s="10"/>
      <c r="K394" s="2"/>
    </row>
    <row r="395">
      <c r="A395" s="8" t="s">
        <v>37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43</v>
      </c>
      <c r="B401" s="9" t="s">
        <v>74</v>
      </c>
      <c r="C401" s="9" t="s">
        <v>75</v>
      </c>
      <c r="D401" s="10"/>
      <c r="E401" s="2"/>
      <c r="F401" s="10"/>
      <c r="G401" s="2"/>
      <c r="H401" s="10"/>
      <c r="I401" s="2"/>
      <c r="J401" s="10"/>
      <c r="K401" s="2"/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50</v>
      </c>
      <c r="B408" s="9" t="s">
        <v>74</v>
      </c>
      <c r="C408" s="9" t="s">
        <v>75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16</v>
      </c>
      <c r="B409" s="9" t="s">
        <v>76</v>
      </c>
      <c r="C409" s="9" t="s">
        <v>77</v>
      </c>
      <c r="D409" s="10" t="s">
        <v>19</v>
      </c>
      <c r="E409" s="2" t="str">
        <f>"－"</f>
        <v>－</v>
      </c>
      <c r="F409" s="10" t="s">
        <v>19</v>
      </c>
      <c r="G409" s="2" t="str">
        <f>"－"</f>
        <v>－</v>
      </c>
      <c r="H409" s="10" t="s">
        <v>61</v>
      </c>
      <c r="I409" s="2" t="str">
        <f>"－"</f>
        <v>－</v>
      </c>
      <c r="J409" s="10" t="s">
        <v>24</v>
      </c>
      <c r="K409" s="2" t="n">
        <f>35591</f>
        <v>35591.0</v>
      </c>
    </row>
    <row r="410">
      <c r="A410" s="8" t="s">
        <v>20</v>
      </c>
      <c r="B410" s="9" t="s">
        <v>76</v>
      </c>
      <c r="C410" s="9" t="s">
        <v>77</v>
      </c>
      <c r="D410" s="10"/>
      <c r="E410" s="2"/>
      <c r="F410" s="10"/>
      <c r="G410" s="2"/>
      <c r="H410" s="10"/>
      <c r="I410" s="2"/>
      <c r="J410" s="10"/>
      <c r="K410" s="2"/>
    </row>
    <row r="411">
      <c r="A411" s="8" t="s">
        <v>21</v>
      </c>
      <c r="B411" s="9" t="s">
        <v>76</v>
      </c>
      <c r="C411" s="9" t="s">
        <v>77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22</v>
      </c>
      <c r="B412" s="9" t="s">
        <v>76</v>
      </c>
      <c r="C412" s="9" t="s">
        <v>77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35591</f>
        <v>35591.0</v>
      </c>
    </row>
    <row r="413">
      <c r="A413" s="8" t="s">
        <v>23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35591</f>
        <v>35591.0</v>
      </c>
    </row>
    <row r="414">
      <c r="A414" s="8" t="s">
        <v>25</v>
      </c>
      <c r="B414" s="9" t="s">
        <v>76</v>
      </c>
      <c r="C414" s="9" t="s">
        <v>77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35591</f>
        <v>35591.0</v>
      </c>
    </row>
    <row r="415">
      <c r="A415" s="8" t="s">
        <v>26</v>
      </c>
      <c r="B415" s="9" t="s">
        <v>76</v>
      </c>
      <c r="C415" s="9" t="s">
        <v>77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35591</f>
        <v>35591.0</v>
      </c>
    </row>
    <row r="416">
      <c r="A416" s="8" t="s">
        <v>27</v>
      </c>
      <c r="B416" s="9" t="s">
        <v>76</v>
      </c>
      <c r="C416" s="9" t="s">
        <v>77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35591</f>
        <v>35591.0</v>
      </c>
    </row>
    <row r="417">
      <c r="A417" s="8" t="s">
        <v>28</v>
      </c>
      <c r="B417" s="9" t="s">
        <v>76</v>
      </c>
      <c r="C417" s="9" t="s">
        <v>77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29</v>
      </c>
      <c r="B418" s="9" t="s">
        <v>76</v>
      </c>
      <c r="C418" s="9" t="s">
        <v>77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30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35591</f>
        <v>35591.0</v>
      </c>
    </row>
    <row r="420">
      <c r="A420" s="8" t="s">
        <v>31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35591</f>
        <v>35591.0</v>
      </c>
    </row>
    <row r="421">
      <c r="A421" s="8" t="s">
        <v>32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35591</f>
        <v>35591.0</v>
      </c>
    </row>
    <row r="422">
      <c r="A422" s="8" t="s">
        <v>33</v>
      </c>
      <c r="B422" s="9" t="s">
        <v>76</v>
      </c>
      <c r="C422" s="9" t="s">
        <v>77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35591</f>
        <v>35591.0</v>
      </c>
    </row>
    <row r="423">
      <c r="A423" s="8" t="s">
        <v>34</v>
      </c>
      <c r="B423" s="9" t="s">
        <v>76</v>
      </c>
      <c r="C423" s="9" t="s">
        <v>77</v>
      </c>
      <c r="D423" s="10" t="s">
        <v>24</v>
      </c>
      <c r="E423" s="2" t="n">
        <f>55</f>
        <v>55.0</v>
      </c>
      <c r="F423" s="10" t="s">
        <v>24</v>
      </c>
      <c r="G423" s="2" t="n">
        <f>26482500</f>
        <v>2.64825E7</v>
      </c>
      <c r="H423" s="10"/>
      <c r="I423" s="2" t="str">
        <f>"－"</f>
        <v>－</v>
      </c>
      <c r="J423" s="10" t="s">
        <v>19</v>
      </c>
      <c r="K423" s="2" t="n">
        <f>35536</f>
        <v>35536.0</v>
      </c>
    </row>
    <row r="424">
      <c r="A424" s="8" t="s">
        <v>35</v>
      </c>
      <c r="B424" s="9" t="s">
        <v>76</v>
      </c>
      <c r="C424" s="9" t="s">
        <v>77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36</v>
      </c>
      <c r="B425" s="9" t="s">
        <v>76</v>
      </c>
      <c r="C425" s="9" t="s">
        <v>77</v>
      </c>
      <c r="D425" s="10"/>
      <c r="E425" s="2"/>
      <c r="F425" s="10"/>
      <c r="G425" s="2"/>
      <c r="H425" s="10"/>
      <c r="I425" s="2"/>
      <c r="J425" s="10"/>
      <c r="K425" s="2"/>
    </row>
    <row r="426">
      <c r="A426" s="8" t="s">
        <v>37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35536</f>
        <v>35536.0</v>
      </c>
    </row>
    <row r="427">
      <c r="A427" s="8" t="s">
        <v>38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35536</f>
        <v>35536.0</v>
      </c>
    </row>
    <row r="428">
      <c r="A428" s="8" t="s">
        <v>39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35536</f>
        <v>35536.0</v>
      </c>
    </row>
    <row r="429">
      <c r="A429" s="8" t="s">
        <v>40</v>
      </c>
      <c r="B429" s="9" t="s">
        <v>76</v>
      </c>
      <c r="C429" s="9" t="s">
        <v>77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n">
        <f>35536</f>
        <v>35536.0</v>
      </c>
    </row>
    <row r="430">
      <c r="A430" s="8" t="s">
        <v>41</v>
      </c>
      <c r="B430" s="9" t="s">
        <v>76</v>
      </c>
      <c r="C430" s="9" t="s">
        <v>77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n">
        <f>35536</f>
        <v>35536.0</v>
      </c>
    </row>
    <row r="431">
      <c r="A431" s="8" t="s">
        <v>42</v>
      </c>
      <c r="B431" s="9" t="s">
        <v>76</v>
      </c>
      <c r="C431" s="9" t="s">
        <v>77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43</v>
      </c>
      <c r="B432" s="9" t="s">
        <v>76</v>
      </c>
      <c r="C432" s="9" t="s">
        <v>77</v>
      </c>
      <c r="D432" s="10"/>
      <c r="E432" s="2"/>
      <c r="F432" s="10"/>
      <c r="G432" s="2"/>
      <c r="H432" s="10"/>
      <c r="I432" s="2"/>
      <c r="J432" s="10"/>
      <c r="K432" s="2"/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35536</f>
        <v>35536.0</v>
      </c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35536</f>
        <v>35536.0</v>
      </c>
    </row>
    <row r="435">
      <c r="A435" s="8" t="s">
        <v>46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n">
        <f>35536</f>
        <v>35536.0</v>
      </c>
    </row>
    <row r="436">
      <c r="A436" s="8" t="s">
        <v>47</v>
      </c>
      <c r="B436" s="9" t="s">
        <v>76</v>
      </c>
      <c r="C436" s="9" t="s">
        <v>77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n">
        <f>35536</f>
        <v>35536.0</v>
      </c>
    </row>
    <row r="437">
      <c r="A437" s="8" t="s">
        <v>48</v>
      </c>
      <c r="B437" s="9" t="s">
        <v>76</v>
      </c>
      <c r="C437" s="9" t="s">
        <v>77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n">
        <f>35536</f>
        <v>35536.0</v>
      </c>
    </row>
    <row r="438">
      <c r="A438" s="8" t="s">
        <v>49</v>
      </c>
      <c r="B438" s="9" t="s">
        <v>76</v>
      </c>
      <c r="C438" s="9" t="s">
        <v>77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50</v>
      </c>
      <c r="B439" s="9" t="s">
        <v>76</v>
      </c>
      <c r="C439" s="9" t="s">
        <v>77</v>
      </c>
      <c r="D439" s="10"/>
      <c r="E439" s="2"/>
      <c r="F439" s="10"/>
      <c r="G439" s="2"/>
      <c r="H439" s="10"/>
      <c r="I439" s="2"/>
      <c r="J439" s="10"/>
      <c r="K439" s="2"/>
    </row>
    <row r="440">
      <c r="A440" s="8" t="s">
        <v>16</v>
      </c>
      <c r="B440" s="9" t="s">
        <v>78</v>
      </c>
      <c r="C440" s="9" t="s">
        <v>79</v>
      </c>
      <c r="D440" s="10"/>
      <c r="E440" s="2" t="n">
        <f>209</f>
        <v>209.0</v>
      </c>
      <c r="F440" s="10"/>
      <c r="G440" s="2" t="n">
        <f>48742000</f>
        <v>4.8742E7</v>
      </c>
      <c r="H440" s="10" t="s">
        <v>61</v>
      </c>
      <c r="I440" s="2" t="str">
        <f>"－"</f>
        <v>－</v>
      </c>
      <c r="J440" s="10"/>
      <c r="K440" s="2" t="n">
        <f>718</f>
        <v>718.0</v>
      </c>
    </row>
    <row r="441">
      <c r="A441" s="8" t="s">
        <v>20</v>
      </c>
      <c r="B441" s="9" t="s">
        <v>78</v>
      </c>
      <c r="C441" s="9" t="s">
        <v>79</v>
      </c>
      <c r="D441" s="10"/>
      <c r="E441" s="2"/>
      <c r="F441" s="10"/>
      <c r="G441" s="2"/>
      <c r="H441" s="10"/>
      <c r="I441" s="2"/>
      <c r="J441" s="10"/>
      <c r="K441" s="2"/>
    </row>
    <row r="442">
      <c r="A442" s="8" t="s">
        <v>21</v>
      </c>
      <c r="B442" s="9" t="s">
        <v>78</v>
      </c>
      <c r="C442" s="9" t="s">
        <v>79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22</v>
      </c>
      <c r="B443" s="9" t="s">
        <v>78</v>
      </c>
      <c r="C443" s="9" t="s">
        <v>79</v>
      </c>
      <c r="D443" s="10" t="s">
        <v>24</v>
      </c>
      <c r="E443" s="2" t="n">
        <f>317</f>
        <v>317.0</v>
      </c>
      <c r="F443" s="10" t="s">
        <v>24</v>
      </c>
      <c r="G443" s="2" t="n">
        <f>71398500</f>
        <v>7.13985E7</v>
      </c>
      <c r="H443" s="10"/>
      <c r="I443" s="2" t="str">
        <f>"－"</f>
        <v>－</v>
      </c>
      <c r="J443" s="10"/>
      <c r="K443" s="2" t="n">
        <f>619</f>
        <v>619.0</v>
      </c>
    </row>
    <row r="444">
      <c r="A444" s="8" t="s">
        <v>23</v>
      </c>
      <c r="B444" s="9" t="s">
        <v>78</v>
      </c>
      <c r="C444" s="9" t="s">
        <v>79</v>
      </c>
      <c r="D444" s="10"/>
      <c r="E444" s="2" t="n">
        <f>195</f>
        <v>195.0</v>
      </c>
      <c r="F444" s="10"/>
      <c r="G444" s="2" t="n">
        <f>48952500</f>
        <v>4.89525E7</v>
      </c>
      <c r="H444" s="10"/>
      <c r="I444" s="2" t="str">
        <f>"－"</f>
        <v>－</v>
      </c>
      <c r="J444" s="10"/>
      <c r="K444" s="2" t="n">
        <f>656</f>
        <v>656.0</v>
      </c>
    </row>
    <row r="445">
      <c r="A445" s="8" t="s">
        <v>25</v>
      </c>
      <c r="B445" s="9" t="s">
        <v>78</v>
      </c>
      <c r="C445" s="9" t="s">
        <v>79</v>
      </c>
      <c r="D445" s="10"/>
      <c r="E445" s="2" t="n">
        <f>130</f>
        <v>130.0</v>
      </c>
      <c r="F445" s="10"/>
      <c r="G445" s="2" t="n">
        <f>32322000</f>
        <v>3.2322E7</v>
      </c>
      <c r="H445" s="10"/>
      <c r="I445" s="2" t="str">
        <f>"－"</f>
        <v>－</v>
      </c>
      <c r="J445" s="10"/>
      <c r="K445" s="2" t="n">
        <f>699</f>
        <v>699.0</v>
      </c>
    </row>
    <row r="446">
      <c r="A446" s="8" t="s">
        <v>26</v>
      </c>
      <c r="B446" s="9" t="s">
        <v>78</v>
      </c>
      <c r="C446" s="9" t="s">
        <v>79</v>
      </c>
      <c r="D446" s="10"/>
      <c r="E446" s="2" t="n">
        <f>166</f>
        <v>166.0</v>
      </c>
      <c r="F446" s="10"/>
      <c r="G446" s="2" t="n">
        <f>40577000</f>
        <v>4.0577E7</v>
      </c>
      <c r="H446" s="10"/>
      <c r="I446" s="2" t="str">
        <f>"－"</f>
        <v>－</v>
      </c>
      <c r="J446" s="10" t="s">
        <v>24</v>
      </c>
      <c r="K446" s="2" t="n">
        <f>804</f>
        <v>804.0</v>
      </c>
    </row>
    <row r="447">
      <c r="A447" s="8" t="s">
        <v>27</v>
      </c>
      <c r="B447" s="9" t="s">
        <v>78</v>
      </c>
      <c r="C447" s="9" t="s">
        <v>79</v>
      </c>
      <c r="D447" s="10"/>
      <c r="E447" s="2" t="n">
        <f>112</f>
        <v>112.0</v>
      </c>
      <c r="F447" s="10"/>
      <c r="G447" s="2" t="n">
        <f>25931500</f>
        <v>2.59315E7</v>
      </c>
      <c r="H447" s="10"/>
      <c r="I447" s="2" t="str">
        <f>"－"</f>
        <v>－</v>
      </c>
      <c r="J447" s="10"/>
      <c r="K447" s="2" t="n">
        <f>712</f>
        <v>712.0</v>
      </c>
    </row>
    <row r="448">
      <c r="A448" s="8" t="s">
        <v>28</v>
      </c>
      <c r="B448" s="9" t="s">
        <v>78</v>
      </c>
      <c r="C448" s="9" t="s">
        <v>79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29</v>
      </c>
      <c r="B449" s="9" t="s">
        <v>78</v>
      </c>
      <c r="C449" s="9" t="s">
        <v>79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30</v>
      </c>
      <c r="B450" s="9" t="s">
        <v>78</v>
      </c>
      <c r="C450" s="9" t="s">
        <v>79</v>
      </c>
      <c r="D450" s="10"/>
      <c r="E450" s="2" t="n">
        <f>81</f>
        <v>81.0</v>
      </c>
      <c r="F450" s="10"/>
      <c r="G450" s="2" t="n">
        <f>18487500</f>
        <v>1.84875E7</v>
      </c>
      <c r="H450" s="10"/>
      <c r="I450" s="2" t="str">
        <f>"－"</f>
        <v>－</v>
      </c>
      <c r="J450" s="10"/>
      <c r="K450" s="2" t="n">
        <f>647</f>
        <v>647.0</v>
      </c>
    </row>
    <row r="451">
      <c r="A451" s="8" t="s">
        <v>31</v>
      </c>
      <c r="B451" s="9" t="s">
        <v>78</v>
      </c>
      <c r="C451" s="9" t="s">
        <v>79</v>
      </c>
      <c r="D451" s="10"/>
      <c r="E451" s="2" t="n">
        <f>105</f>
        <v>105.0</v>
      </c>
      <c r="F451" s="10"/>
      <c r="G451" s="2" t="n">
        <f>23893500</f>
        <v>2.38935E7</v>
      </c>
      <c r="H451" s="10"/>
      <c r="I451" s="2" t="str">
        <f>"－"</f>
        <v>－</v>
      </c>
      <c r="J451" s="10"/>
      <c r="K451" s="2" t="n">
        <f>708</f>
        <v>708.0</v>
      </c>
    </row>
    <row r="452">
      <c r="A452" s="8" t="s">
        <v>32</v>
      </c>
      <c r="B452" s="9" t="s">
        <v>78</v>
      </c>
      <c r="C452" s="9" t="s">
        <v>79</v>
      </c>
      <c r="D452" s="10"/>
      <c r="E452" s="2" t="n">
        <f>62</f>
        <v>62.0</v>
      </c>
      <c r="F452" s="10"/>
      <c r="G452" s="2" t="n">
        <f>14572500</f>
        <v>1.45725E7</v>
      </c>
      <c r="H452" s="10"/>
      <c r="I452" s="2" t="str">
        <f>"－"</f>
        <v>－</v>
      </c>
      <c r="J452" s="10"/>
      <c r="K452" s="2" t="n">
        <f>705</f>
        <v>705.0</v>
      </c>
    </row>
    <row r="453">
      <c r="A453" s="8" t="s">
        <v>33</v>
      </c>
      <c r="B453" s="9" t="s">
        <v>78</v>
      </c>
      <c r="C453" s="9" t="s">
        <v>79</v>
      </c>
      <c r="D453" s="10"/>
      <c r="E453" s="2" t="n">
        <f>98</f>
        <v>98.0</v>
      </c>
      <c r="F453" s="10"/>
      <c r="G453" s="2" t="n">
        <f>21406500</f>
        <v>2.14065E7</v>
      </c>
      <c r="H453" s="10"/>
      <c r="I453" s="2" t="str">
        <f>"－"</f>
        <v>－</v>
      </c>
      <c r="J453" s="10"/>
      <c r="K453" s="2" t="n">
        <f>401</f>
        <v>401.0</v>
      </c>
    </row>
    <row r="454">
      <c r="A454" s="8" t="s">
        <v>34</v>
      </c>
      <c r="B454" s="9" t="s">
        <v>78</v>
      </c>
      <c r="C454" s="9" t="s">
        <v>79</v>
      </c>
      <c r="D454" s="10" t="s">
        <v>19</v>
      </c>
      <c r="E454" s="2" t="n">
        <f>27</f>
        <v>27.0</v>
      </c>
      <c r="F454" s="10" t="s">
        <v>19</v>
      </c>
      <c r="G454" s="2" t="n">
        <f>5763500</f>
        <v>5763500.0</v>
      </c>
      <c r="H454" s="10"/>
      <c r="I454" s="2" t="str">
        <f>"－"</f>
        <v>－</v>
      </c>
      <c r="J454" s="10"/>
      <c r="K454" s="2" t="n">
        <f>387</f>
        <v>387.0</v>
      </c>
    </row>
    <row r="455">
      <c r="A455" s="8" t="s">
        <v>35</v>
      </c>
      <c r="B455" s="9" t="s">
        <v>78</v>
      </c>
      <c r="C455" s="9" t="s">
        <v>79</v>
      </c>
      <c r="D455" s="10"/>
      <c r="E455" s="2"/>
      <c r="F455" s="10"/>
      <c r="G455" s="2"/>
      <c r="H455" s="10"/>
      <c r="I455" s="2"/>
      <c r="J455" s="10"/>
      <c r="K455" s="2"/>
    </row>
    <row r="456">
      <c r="A456" s="8" t="s">
        <v>36</v>
      </c>
      <c r="B456" s="9" t="s">
        <v>78</v>
      </c>
      <c r="C456" s="9" t="s">
        <v>79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37</v>
      </c>
      <c r="B457" s="9" t="s">
        <v>78</v>
      </c>
      <c r="C457" s="9" t="s">
        <v>79</v>
      </c>
      <c r="D457" s="10"/>
      <c r="E457" s="2" t="n">
        <f>105</f>
        <v>105.0</v>
      </c>
      <c r="F457" s="10"/>
      <c r="G457" s="2" t="n">
        <f>22162500</f>
        <v>2.21625E7</v>
      </c>
      <c r="H457" s="10"/>
      <c r="I457" s="2" t="str">
        <f>"－"</f>
        <v>－</v>
      </c>
      <c r="J457" s="10"/>
      <c r="K457" s="2" t="n">
        <f>357</f>
        <v>357.0</v>
      </c>
    </row>
    <row r="458">
      <c r="A458" s="8" t="s">
        <v>38</v>
      </c>
      <c r="B458" s="9" t="s">
        <v>78</v>
      </c>
      <c r="C458" s="9" t="s">
        <v>79</v>
      </c>
      <c r="D458" s="10"/>
      <c r="E458" s="2" t="n">
        <f>279</f>
        <v>279.0</v>
      </c>
      <c r="F458" s="10"/>
      <c r="G458" s="2" t="n">
        <f>56233500</f>
        <v>5.62335E7</v>
      </c>
      <c r="H458" s="10"/>
      <c r="I458" s="2" t="str">
        <f>"－"</f>
        <v>－</v>
      </c>
      <c r="J458" s="10" t="s">
        <v>19</v>
      </c>
      <c r="K458" s="2" t="n">
        <f>173</f>
        <v>173.0</v>
      </c>
    </row>
    <row r="459">
      <c r="A459" s="8" t="s">
        <v>39</v>
      </c>
      <c r="B459" s="9" t="s">
        <v>78</v>
      </c>
      <c r="C459" s="9" t="s">
        <v>79</v>
      </c>
      <c r="D459" s="10"/>
      <c r="E459" s="2" t="n">
        <f>43</f>
        <v>43.0</v>
      </c>
      <c r="F459" s="10"/>
      <c r="G459" s="2" t="n">
        <f>8951500</f>
        <v>8951500.0</v>
      </c>
      <c r="H459" s="10"/>
      <c r="I459" s="2" t="str">
        <f>"－"</f>
        <v>－</v>
      </c>
      <c r="J459" s="10"/>
      <c r="K459" s="2" t="n">
        <f>188</f>
        <v>188.0</v>
      </c>
    </row>
    <row r="460">
      <c r="A460" s="8" t="s">
        <v>40</v>
      </c>
      <c r="B460" s="9" t="s">
        <v>78</v>
      </c>
      <c r="C460" s="9" t="s">
        <v>79</v>
      </c>
      <c r="D460" s="10"/>
      <c r="E460" s="2" t="n">
        <f>162</f>
        <v>162.0</v>
      </c>
      <c r="F460" s="10"/>
      <c r="G460" s="2" t="n">
        <f>33489000</f>
        <v>3.3489E7</v>
      </c>
      <c r="H460" s="10"/>
      <c r="I460" s="2" t="str">
        <f>"－"</f>
        <v>－</v>
      </c>
      <c r="J460" s="10"/>
      <c r="K460" s="2" t="n">
        <f>192</f>
        <v>192.0</v>
      </c>
    </row>
    <row r="461">
      <c r="A461" s="8" t="s">
        <v>41</v>
      </c>
      <c r="B461" s="9" t="s">
        <v>78</v>
      </c>
      <c r="C461" s="9" t="s">
        <v>79</v>
      </c>
      <c r="D461" s="10"/>
      <c r="E461" s="2" t="n">
        <f>90</f>
        <v>90.0</v>
      </c>
      <c r="F461" s="10"/>
      <c r="G461" s="2" t="n">
        <f>18752000</f>
        <v>1.8752E7</v>
      </c>
      <c r="H461" s="10"/>
      <c r="I461" s="2" t="str">
        <f>"－"</f>
        <v>－</v>
      </c>
      <c r="J461" s="10"/>
      <c r="K461" s="2" t="n">
        <f>180</f>
        <v>180.0</v>
      </c>
    </row>
    <row r="462">
      <c r="A462" s="8" t="s">
        <v>42</v>
      </c>
      <c r="B462" s="9" t="s">
        <v>78</v>
      </c>
      <c r="C462" s="9" t="s">
        <v>79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43</v>
      </c>
      <c r="B463" s="9" t="s">
        <v>78</v>
      </c>
      <c r="C463" s="9" t="s">
        <v>79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44</v>
      </c>
      <c r="B464" s="9" t="s">
        <v>78</v>
      </c>
      <c r="C464" s="9" t="s">
        <v>79</v>
      </c>
      <c r="D464" s="10"/>
      <c r="E464" s="2" t="n">
        <f>78</f>
        <v>78.0</v>
      </c>
      <c r="F464" s="10"/>
      <c r="G464" s="2" t="n">
        <f>16384000</f>
        <v>1.6384E7</v>
      </c>
      <c r="H464" s="10"/>
      <c r="I464" s="2" t="str">
        <f>"－"</f>
        <v>－</v>
      </c>
      <c r="J464" s="10"/>
      <c r="K464" s="2" t="n">
        <f>231</f>
        <v>231.0</v>
      </c>
    </row>
    <row r="465">
      <c r="A465" s="8" t="s">
        <v>45</v>
      </c>
      <c r="B465" s="9" t="s">
        <v>78</v>
      </c>
      <c r="C465" s="9" t="s">
        <v>79</v>
      </c>
      <c r="D465" s="10"/>
      <c r="E465" s="2" t="n">
        <f>59</f>
        <v>59.0</v>
      </c>
      <c r="F465" s="10"/>
      <c r="G465" s="2" t="n">
        <f>12559500</f>
        <v>1.25595E7</v>
      </c>
      <c r="H465" s="10"/>
      <c r="I465" s="2" t="str">
        <f>"－"</f>
        <v>－</v>
      </c>
      <c r="J465" s="10"/>
      <c r="K465" s="2" t="n">
        <f>255</f>
        <v>255.0</v>
      </c>
    </row>
    <row r="466">
      <c r="A466" s="8" t="s">
        <v>46</v>
      </c>
      <c r="B466" s="9" t="s">
        <v>78</v>
      </c>
      <c r="C466" s="9" t="s">
        <v>79</v>
      </c>
      <c r="D466" s="10"/>
      <c r="E466" s="2" t="n">
        <f>152</f>
        <v>152.0</v>
      </c>
      <c r="F466" s="10"/>
      <c r="G466" s="2" t="n">
        <f>34176500</f>
        <v>3.41765E7</v>
      </c>
      <c r="H466" s="10"/>
      <c r="I466" s="2" t="str">
        <f>"－"</f>
        <v>－</v>
      </c>
      <c r="J466" s="10"/>
      <c r="K466" s="2" t="n">
        <f>296</f>
        <v>296.0</v>
      </c>
    </row>
    <row r="467">
      <c r="A467" s="8" t="s">
        <v>47</v>
      </c>
      <c r="B467" s="9" t="s">
        <v>78</v>
      </c>
      <c r="C467" s="9" t="s">
        <v>79</v>
      </c>
      <c r="D467" s="10"/>
      <c r="E467" s="2" t="n">
        <f>138</f>
        <v>138.0</v>
      </c>
      <c r="F467" s="10"/>
      <c r="G467" s="2" t="n">
        <f>27701000</f>
        <v>2.7701E7</v>
      </c>
      <c r="H467" s="10"/>
      <c r="I467" s="2" t="str">
        <f>"－"</f>
        <v>－</v>
      </c>
      <c r="J467" s="10"/>
      <c r="K467" s="2" t="n">
        <f>344</f>
        <v>344.0</v>
      </c>
    </row>
    <row r="468">
      <c r="A468" s="8" t="s">
        <v>48</v>
      </c>
      <c r="B468" s="9" t="s">
        <v>78</v>
      </c>
      <c r="C468" s="9" t="s">
        <v>79</v>
      </c>
      <c r="D468" s="10"/>
      <c r="E468" s="2" t="n">
        <f>40</f>
        <v>40.0</v>
      </c>
      <c r="F468" s="10"/>
      <c r="G468" s="2" t="n">
        <f>8473500</f>
        <v>8473500.0</v>
      </c>
      <c r="H468" s="10"/>
      <c r="I468" s="2" t="str">
        <f>"－"</f>
        <v>－</v>
      </c>
      <c r="J468" s="10"/>
      <c r="K468" s="2" t="n">
        <f>346</f>
        <v>346.0</v>
      </c>
    </row>
    <row r="469">
      <c r="A469" s="8" t="s">
        <v>49</v>
      </c>
      <c r="B469" s="9" t="s">
        <v>78</v>
      </c>
      <c r="C469" s="9" t="s">
        <v>79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50</v>
      </c>
      <c r="B470" s="9" t="s">
        <v>78</v>
      </c>
      <c r="C470" s="9" t="s">
        <v>79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20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21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22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23</v>
      </c>
      <c r="B475" s="9" t="s">
        <v>80</v>
      </c>
      <c r="C475" s="9" t="s">
        <v>81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25</v>
      </c>
      <c r="B476" s="9" t="s">
        <v>80</v>
      </c>
      <c r="C476" s="9" t="s">
        <v>81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26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27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28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29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30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31</v>
      </c>
      <c r="B482" s="9" t="s">
        <v>80</v>
      </c>
      <c r="C482" s="9" t="s">
        <v>81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32</v>
      </c>
      <c r="B483" s="9" t="s">
        <v>80</v>
      </c>
      <c r="C483" s="9" t="s">
        <v>81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33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34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35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36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37</v>
      </c>
      <c r="B488" s="9" t="s">
        <v>80</v>
      </c>
      <c r="C488" s="9" t="s">
        <v>81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38</v>
      </c>
      <c r="B489" s="9" t="s">
        <v>80</v>
      </c>
      <c r="C489" s="9" t="s">
        <v>81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39</v>
      </c>
      <c r="B490" s="9" t="s">
        <v>80</v>
      </c>
      <c r="C490" s="9" t="s">
        <v>81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40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44</v>
      </c>
      <c r="B495" s="9" t="s">
        <v>80</v>
      </c>
      <c r="C495" s="9" t="s">
        <v>81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45</v>
      </c>
      <c r="B496" s="9" t="s">
        <v>80</v>
      </c>
      <c r="C496" s="9" t="s">
        <v>81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46</v>
      </c>
      <c r="B497" s="9" t="s">
        <v>80</v>
      </c>
      <c r="C497" s="9" t="s">
        <v>81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