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<sst xmlns="http://schemas.openxmlformats.org/spreadsheetml/2006/main" count="1558" uniqueCount="81">
  <si>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</si>
  <si>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</si>
  <si>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</si>
  <si>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</si>
  <si>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</si>
  <si>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</si>
  <si>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</si>
  <si>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</si>
  <si>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</si>
  <si>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</si>
  <si>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</si>
  <si>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</si>
  <si>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</si>
  <si>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</si>
  <si>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</si>
  <si>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</si>
  <si>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11.1</t>
  </si>
  <si>
    <t>日経225先物</t>
  </si>
  <si>
    <t>Nikkei 225 Futures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</si>
  <si>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</si>
  <si>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</si>
  <si>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</si>
  <si>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</si>
  <si>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</si>
  <si>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</si>
  <si>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</si>
  <si>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</si>
  <si>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</si>
  <si>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</si>
  <si>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</si>
  <si>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</si>
  <si>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</si>
  <si>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</si>
  <si>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</si>
  <si>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</si>
  <si>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</si>
  <si>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</si>
  <si>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</si>
  <si>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</si>
  <si>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</si>
  <si>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</si>
  <si>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</si>
  <si>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</si>
  <si>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</si>
  <si>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</si>
  <si>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</si>
  <si>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</si>
  <si>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</si>
  <si>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◎</t>
  </si>
  <si>
    <t>30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</si>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</sst>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8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75161</f>
        <v>75161.0</v>
      </c>
      <c r="F6" s="10"/>
      <c r="G6" s="2" t="n">
        <f>2211117176440</f>
        <v>2.21111717644E12</v>
      </c>
      <c r="H6" s="10"/>
      <c r="I6" s="2" t="n">
        <f>11629</f>
        <v>11629.0</v>
      </c>
      <c r="J6" s="10" t="s">
        <v>19</v>
      </c>
      <c r="K6" s="2" t="n">
        <f>322477</f>
        <v>322477.0</v>
      </c>
    </row>
    <row r="7">
      <c r="A7" s="8" t="s">
        <v>20</v>
      </c>
      <c r="B7" s="9" t="s">
        <v>17</v>
      </c>
      <c r="C7" s="9" t="s">
        <v>18</v>
      </c>
      <c r="D7" s="10"/>
      <c r="E7" s="2" t="n">
        <f>49964</f>
        <v>49964.0</v>
      </c>
      <c r="F7" s="10"/>
      <c r="G7" s="2" t="n">
        <f>1474755981150</f>
        <v>1.47475598115E12</v>
      </c>
      <c r="H7" s="10"/>
      <c r="I7" s="2" t="n">
        <f>5921</f>
        <v>5921.0</v>
      </c>
      <c r="J7" s="10"/>
      <c r="K7" s="2" t="n">
        <f>324998</f>
        <v>324998.0</v>
      </c>
    </row>
    <row r="8">
      <c r="A8" s="8" t="s">
        <v>21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22</v>
      </c>
      <c r="B9" s="9" t="s">
        <v>17</v>
      </c>
      <c r="C9" s="9" t="s">
        <v>18</v>
      </c>
      <c r="D9" s="10"/>
      <c r="E9" s="2" t="n">
        <f>41229</f>
        <v>41229.0</v>
      </c>
      <c r="F9" s="10"/>
      <c r="G9" s="2" t="n">
        <f>1224842643070</f>
        <v>1.22484264307E12</v>
      </c>
      <c r="H9" s="10"/>
      <c r="I9" s="2" t="n">
        <f>6758</f>
        <v>6758.0</v>
      </c>
      <c r="J9" s="10"/>
      <c r="K9" s="2" t="n">
        <f>325049</f>
        <v>325049.0</v>
      </c>
    </row>
    <row r="10">
      <c r="A10" s="8" t="s">
        <v>23</v>
      </c>
      <c r="B10" s="9" t="s">
        <v>17</v>
      </c>
      <c r="C10" s="9" t="s">
        <v>18</v>
      </c>
      <c r="D10" s="10"/>
      <c r="E10" s="2" t="n">
        <f>53684</f>
        <v>53684.0</v>
      </c>
      <c r="F10" s="10"/>
      <c r="G10" s="2" t="n">
        <f>1589658849570</f>
        <v>1.58965884957E12</v>
      </c>
      <c r="H10" s="10"/>
      <c r="I10" s="2" t="n">
        <f>5070</f>
        <v>5070.0</v>
      </c>
      <c r="J10" s="10"/>
      <c r="K10" s="2" t="n">
        <f>324733</f>
        <v>324733.0</v>
      </c>
    </row>
    <row r="11">
      <c r="A11" s="8" t="s">
        <v>24</v>
      </c>
      <c r="B11" s="9" t="s">
        <v>17</v>
      </c>
      <c r="C11" s="9" t="s">
        <v>18</v>
      </c>
      <c r="D11" s="10"/>
      <c r="E11" s="2"/>
      <c r="F11" s="10"/>
      <c r="G11" s="2"/>
      <c r="H11" s="10"/>
      <c r="I11" s="2"/>
      <c r="J11" s="10"/>
      <c r="K11" s="2"/>
    </row>
    <row r="12">
      <c r="A12" s="8" t="s">
        <v>25</v>
      </c>
      <c r="B12" s="9" t="s">
        <v>17</v>
      </c>
      <c r="C12" s="9" t="s">
        <v>18</v>
      </c>
      <c r="D12" s="10"/>
      <c r="E12" s="2"/>
      <c r="F12" s="10"/>
      <c r="G12" s="2"/>
      <c r="H12" s="10"/>
      <c r="I12" s="2"/>
      <c r="J12" s="10"/>
      <c r="K12" s="2"/>
    </row>
    <row r="13">
      <c r="A13" s="8" t="s">
        <v>26</v>
      </c>
      <c r="B13" s="9" t="s">
        <v>17</v>
      </c>
      <c r="C13" s="9" t="s">
        <v>18</v>
      </c>
      <c r="D13" s="10"/>
      <c r="E13" s="2" t="n">
        <f>38029</f>
        <v>38029.0</v>
      </c>
      <c r="F13" s="10"/>
      <c r="G13" s="2" t="n">
        <f>1125323359340</f>
        <v>1.12532335934E12</v>
      </c>
      <c r="H13" s="10"/>
      <c r="I13" s="2" t="n">
        <f>4519</f>
        <v>4519.0</v>
      </c>
      <c r="J13" s="10"/>
      <c r="K13" s="2" t="n">
        <f>326221</f>
        <v>326221.0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50284</f>
        <v>50284.0</v>
      </c>
      <c r="F14" s="10"/>
      <c r="G14" s="2" t="n">
        <f>1480792887470</f>
        <v>1.48079288747E12</v>
      </c>
      <c r="H14" s="10"/>
      <c r="I14" s="2" t="n">
        <f>7173</f>
        <v>7173.0</v>
      </c>
      <c r="J14" s="10"/>
      <c r="K14" s="2" t="n">
        <f>329299</f>
        <v>329299.0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63024</f>
        <v>63024.0</v>
      </c>
      <c r="F15" s="10"/>
      <c r="G15" s="2" t="n">
        <f>1838569409840</f>
        <v>1.83856940984E12</v>
      </c>
      <c r="H15" s="10"/>
      <c r="I15" s="2" t="n">
        <f>8482</f>
        <v>8482.0</v>
      </c>
      <c r="J15" s="10"/>
      <c r="K15" s="2" t="n">
        <f>336868</f>
        <v>336868.0</v>
      </c>
    </row>
    <row r="16">
      <c r="A16" s="8" t="s">
        <v>29</v>
      </c>
      <c r="B16" s="9" t="s">
        <v>17</v>
      </c>
      <c r="C16" s="9" t="s">
        <v>18</v>
      </c>
      <c r="D16" s="10"/>
      <c r="E16" s="2" t="n">
        <f>52299</f>
        <v>52299.0</v>
      </c>
      <c r="F16" s="10"/>
      <c r="G16" s="2" t="n">
        <f>1528134166920</f>
        <v>1.52813416692E12</v>
      </c>
      <c r="H16" s="10"/>
      <c r="I16" s="2" t="n">
        <f>8525</f>
        <v>8525.0</v>
      </c>
      <c r="J16" s="10"/>
      <c r="K16" s="2" t="n">
        <f>340249</f>
        <v>340249.0</v>
      </c>
    </row>
    <row r="17">
      <c r="A17" s="8" t="s">
        <v>30</v>
      </c>
      <c r="B17" s="9" t="s">
        <v>17</v>
      </c>
      <c r="C17" s="9" t="s">
        <v>18</v>
      </c>
      <c r="D17" s="10"/>
      <c r="E17" s="2" t="n">
        <f>52060</f>
        <v>52060.0</v>
      </c>
      <c r="F17" s="10"/>
      <c r="G17" s="2" t="n">
        <f>1540078952140</f>
        <v>1.54007895214E12</v>
      </c>
      <c r="H17" s="10"/>
      <c r="I17" s="2" t="n">
        <f>9057</f>
        <v>9057.0</v>
      </c>
      <c r="J17" s="10"/>
      <c r="K17" s="2" t="n">
        <f>340055</f>
        <v>340055.0</v>
      </c>
    </row>
    <row r="18">
      <c r="A18" s="8" t="s">
        <v>31</v>
      </c>
      <c r="B18" s="9" t="s">
        <v>17</v>
      </c>
      <c r="C18" s="9" t="s">
        <v>18</v>
      </c>
      <c r="D18" s="10"/>
      <c r="E18" s="2"/>
      <c r="F18" s="10"/>
      <c r="G18" s="2"/>
      <c r="H18" s="10"/>
      <c r="I18" s="2"/>
      <c r="J18" s="10"/>
      <c r="K18" s="2"/>
    </row>
    <row r="19">
      <c r="A19" s="8" t="s">
        <v>32</v>
      </c>
      <c r="B19" s="9" t="s">
        <v>17</v>
      </c>
      <c r="C19" s="9" t="s">
        <v>18</v>
      </c>
      <c r="D19" s="10"/>
      <c r="E19" s="2"/>
      <c r="F19" s="10"/>
      <c r="G19" s="2"/>
      <c r="H19" s="10"/>
      <c r="I19" s="2"/>
      <c r="J19" s="10"/>
      <c r="K19" s="2"/>
    </row>
    <row r="20">
      <c r="A20" s="8" t="s">
        <v>33</v>
      </c>
      <c r="B20" s="9" t="s">
        <v>17</v>
      </c>
      <c r="C20" s="9" t="s">
        <v>18</v>
      </c>
      <c r="D20" s="10" t="s">
        <v>19</v>
      </c>
      <c r="E20" s="2" t="n">
        <f>34889</f>
        <v>34889.0</v>
      </c>
      <c r="F20" s="10" t="s">
        <v>19</v>
      </c>
      <c r="G20" s="2" t="n">
        <f>1036738831890</f>
        <v>1.03673883189E12</v>
      </c>
      <c r="H20" s="10" t="s">
        <v>19</v>
      </c>
      <c r="I20" s="2" t="n">
        <f>4351</f>
        <v>4351.0</v>
      </c>
      <c r="J20" s="10"/>
      <c r="K20" s="2" t="n">
        <f>338249</f>
        <v>338249.0</v>
      </c>
    </row>
    <row r="21">
      <c r="A21" s="8" t="s">
        <v>34</v>
      </c>
      <c r="B21" s="9" t="s">
        <v>17</v>
      </c>
      <c r="C21" s="9" t="s">
        <v>18</v>
      </c>
      <c r="D21" s="10"/>
      <c r="E21" s="2" t="n">
        <f>39769</f>
        <v>39769.0</v>
      </c>
      <c r="F21" s="10"/>
      <c r="G21" s="2" t="n">
        <f>1184640696440</f>
        <v>1.18464069644E12</v>
      </c>
      <c r="H21" s="10"/>
      <c r="I21" s="2" t="n">
        <f>5428</f>
        <v>5428.0</v>
      </c>
      <c r="J21" s="10"/>
      <c r="K21" s="2" t="n">
        <f>341624</f>
        <v>341624.0</v>
      </c>
    </row>
    <row r="22">
      <c r="A22" s="8" t="s">
        <v>35</v>
      </c>
      <c r="B22" s="9" t="s">
        <v>17</v>
      </c>
      <c r="C22" s="9" t="s">
        <v>18</v>
      </c>
      <c r="D22" s="10"/>
      <c r="E22" s="2" t="n">
        <f>43554</f>
        <v>43554.0</v>
      </c>
      <c r="F22" s="10"/>
      <c r="G22" s="2" t="n">
        <f>1294744164140</f>
        <v>1.29474416414E12</v>
      </c>
      <c r="H22" s="10"/>
      <c r="I22" s="2" t="n">
        <f>5148</f>
        <v>5148.0</v>
      </c>
      <c r="J22" s="10"/>
      <c r="K22" s="2" t="n">
        <f>344667</f>
        <v>344667.0</v>
      </c>
    </row>
    <row r="23">
      <c r="A23" s="8" t="s">
        <v>36</v>
      </c>
      <c r="B23" s="9" t="s">
        <v>17</v>
      </c>
      <c r="C23" s="9" t="s">
        <v>18</v>
      </c>
      <c r="D23" s="10"/>
      <c r="E23" s="2" t="n">
        <f>53670</f>
        <v>53670.0</v>
      </c>
      <c r="F23" s="10"/>
      <c r="G23" s="2" t="n">
        <f>1585657651930</f>
        <v>1.58565765193E12</v>
      </c>
      <c r="H23" s="10"/>
      <c r="I23" s="2" t="n">
        <f>8637</f>
        <v>8637.0</v>
      </c>
      <c r="J23" s="10"/>
      <c r="K23" s="2" t="n">
        <f>346911</f>
        <v>346911.0</v>
      </c>
    </row>
    <row r="24">
      <c r="A24" s="8" t="s">
        <v>37</v>
      </c>
      <c r="B24" s="9" t="s">
        <v>17</v>
      </c>
      <c r="C24" s="9" t="s">
        <v>18</v>
      </c>
      <c r="D24" s="10"/>
      <c r="E24" s="2" t="n">
        <f>43440</f>
        <v>43440.0</v>
      </c>
      <c r="F24" s="10"/>
      <c r="G24" s="2" t="n">
        <f>1288887476242</f>
        <v>1.288887476242E12</v>
      </c>
      <c r="H24" s="10"/>
      <c r="I24" s="2" t="n">
        <f>6595</f>
        <v>6595.0</v>
      </c>
      <c r="J24" s="10"/>
      <c r="K24" s="2" t="n">
        <f>349169</f>
        <v>349169.0</v>
      </c>
    </row>
    <row r="25">
      <c r="A25" s="8" t="s">
        <v>38</v>
      </c>
      <c r="B25" s="9" t="s">
        <v>17</v>
      </c>
      <c r="C25" s="9" t="s">
        <v>18</v>
      </c>
      <c r="D25" s="10"/>
      <c r="E25" s="2"/>
      <c r="F25" s="10"/>
      <c r="G25" s="2"/>
      <c r="H25" s="10"/>
      <c r="I25" s="2"/>
      <c r="J25" s="10"/>
      <c r="K25" s="2"/>
    </row>
    <row r="26">
      <c r="A26" s="8" t="s">
        <v>39</v>
      </c>
      <c r="B26" s="9" t="s">
        <v>17</v>
      </c>
      <c r="C26" s="9" t="s">
        <v>18</v>
      </c>
      <c r="D26" s="10"/>
      <c r="E26" s="2"/>
      <c r="F26" s="10"/>
      <c r="G26" s="2"/>
      <c r="H26" s="10"/>
      <c r="I26" s="2"/>
      <c r="J26" s="10"/>
      <c r="K26" s="2"/>
    </row>
    <row r="27">
      <c r="A27" s="8" t="s">
        <v>40</v>
      </c>
      <c r="B27" s="9" t="s">
        <v>17</v>
      </c>
      <c r="C27" s="9" t="s">
        <v>18</v>
      </c>
      <c r="D27" s="10"/>
      <c r="E27" s="2" t="n">
        <f>37524</f>
        <v>37524.0</v>
      </c>
      <c r="F27" s="10"/>
      <c r="G27" s="2" t="n">
        <f>1112425413040</f>
        <v>1.11242541304E12</v>
      </c>
      <c r="H27" s="10"/>
      <c r="I27" s="2" t="n">
        <f>5494</f>
        <v>5494.0</v>
      </c>
      <c r="J27" s="10"/>
      <c r="K27" s="2" t="n">
        <f>348170</f>
        <v>348170.0</v>
      </c>
    </row>
    <row r="28">
      <c r="A28" s="8" t="s">
        <v>41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42</v>
      </c>
      <c r="B29" s="9" t="s">
        <v>17</v>
      </c>
      <c r="C29" s="9" t="s">
        <v>18</v>
      </c>
      <c r="D29" s="10"/>
      <c r="E29" s="2" t="n">
        <f>64771</f>
        <v>64771.0</v>
      </c>
      <c r="F29" s="10"/>
      <c r="G29" s="2" t="n">
        <f>1910387469150</f>
        <v>1.91038746915E12</v>
      </c>
      <c r="H29" s="10"/>
      <c r="I29" s="2" t="n">
        <f>10306</f>
        <v>10306.0</v>
      </c>
      <c r="J29" s="10"/>
      <c r="K29" s="2" t="n">
        <f>356129</f>
        <v>356129.0</v>
      </c>
    </row>
    <row r="30">
      <c r="A30" s="8" t="s">
        <v>43</v>
      </c>
      <c r="B30" s="9" t="s">
        <v>17</v>
      </c>
      <c r="C30" s="9" t="s">
        <v>18</v>
      </c>
      <c r="D30" s="10"/>
      <c r="E30" s="2" t="n">
        <f>42884</f>
        <v>42884.0</v>
      </c>
      <c r="F30" s="10"/>
      <c r="G30" s="2" t="n">
        <f>1262392909920</f>
        <v>1.26239290992E12</v>
      </c>
      <c r="H30" s="10"/>
      <c r="I30" s="2" t="n">
        <f>5987</f>
        <v>5987.0</v>
      </c>
      <c r="J30" s="10"/>
      <c r="K30" s="2" t="n">
        <f>355252</f>
        <v>355252.0</v>
      </c>
    </row>
    <row r="31">
      <c r="A31" s="8" t="s">
        <v>44</v>
      </c>
      <c r="B31" s="9" t="s">
        <v>17</v>
      </c>
      <c r="C31" s="9" t="s">
        <v>18</v>
      </c>
      <c r="D31" s="10"/>
      <c r="E31" s="2" t="n">
        <f>85497</f>
        <v>85497.0</v>
      </c>
      <c r="F31" s="10"/>
      <c r="G31" s="2" t="n">
        <f>2465652479010</f>
        <v>2.46565247901E12</v>
      </c>
      <c r="H31" s="10"/>
      <c r="I31" s="2" t="n">
        <f>16073</f>
        <v>16073.0</v>
      </c>
      <c r="J31" s="10"/>
      <c r="K31" s="2" t="n">
        <f>357663</f>
        <v>357663.0</v>
      </c>
    </row>
    <row r="32">
      <c r="A32" s="8" t="s">
        <v>45</v>
      </c>
      <c r="B32" s="9" t="s">
        <v>17</v>
      </c>
      <c r="C32" s="9" t="s">
        <v>18</v>
      </c>
      <c r="D32" s="10"/>
      <c r="E32" s="2"/>
      <c r="F32" s="10"/>
      <c r="G32" s="2"/>
      <c r="H32" s="10"/>
      <c r="I32" s="2"/>
      <c r="J32" s="10"/>
      <c r="K32" s="2"/>
    </row>
    <row r="33">
      <c r="A33" s="8" t="s">
        <v>46</v>
      </c>
      <c r="B33" s="9" t="s">
        <v>17</v>
      </c>
      <c r="C33" s="9" t="s">
        <v>18</v>
      </c>
      <c r="D33" s="10"/>
      <c r="E33" s="2"/>
      <c r="F33" s="10"/>
      <c r="G33" s="2"/>
      <c r="H33" s="10"/>
      <c r="I33" s="2"/>
      <c r="J33" s="10"/>
      <c r="K33" s="2"/>
    </row>
    <row r="34">
      <c r="A34" s="8" t="s">
        <v>47</v>
      </c>
      <c r="B34" s="9" t="s">
        <v>17</v>
      </c>
      <c r="C34" s="9" t="s">
        <v>18</v>
      </c>
      <c r="D34" s="10" t="s">
        <v>48</v>
      </c>
      <c r="E34" s="2" t="n">
        <f>136654</f>
        <v>136654.0</v>
      </c>
      <c r="F34" s="10" t="s">
        <v>48</v>
      </c>
      <c r="G34" s="2" t="n">
        <f>3882791566900</f>
        <v>3.8827915669E12</v>
      </c>
      <c r="H34" s="10"/>
      <c r="I34" s="2" t="n">
        <f>20504</f>
        <v>20504.0</v>
      </c>
      <c r="J34" s="10"/>
      <c r="K34" s="2" t="n">
        <f>356284</f>
        <v>356284.0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108287</f>
        <v>108287.0</v>
      </c>
      <c r="F35" s="10"/>
      <c r="G35" s="2" t="n">
        <f>3053782088306</f>
        <v>3.053782088306E12</v>
      </c>
      <c r="H35" s="10" t="s">
        <v>48</v>
      </c>
      <c r="I35" s="2" t="n">
        <f>21756</f>
        <v>21756.0</v>
      </c>
      <c r="J35" s="10" t="s">
        <v>48</v>
      </c>
      <c r="K35" s="2" t="n">
        <f>360024</f>
        <v>360024.0</v>
      </c>
    </row>
    <row r="36">
      <c r="A36" s="8" t="s">
        <v>16</v>
      </c>
      <c r="B36" s="9" t="s">
        <v>50</v>
      </c>
      <c r="C36" s="9" t="s">
        <v>51</v>
      </c>
      <c r="D36" s="10"/>
      <c r="E36" s="2" t="n">
        <f>930139</f>
        <v>930139.0</v>
      </c>
      <c r="F36" s="10"/>
      <c r="G36" s="2" t="n">
        <f>2724928468388</f>
        <v>2.724928468388E12</v>
      </c>
      <c r="H36" s="10"/>
      <c r="I36" s="2" t="n">
        <f>111709</f>
        <v>111709.0</v>
      </c>
      <c r="J36" s="10" t="s">
        <v>19</v>
      </c>
      <c r="K36" s="2" t="n">
        <f>362185</f>
        <v>362185.0</v>
      </c>
    </row>
    <row r="37">
      <c r="A37" s="8" t="s">
        <v>20</v>
      </c>
      <c r="B37" s="9" t="s">
        <v>50</v>
      </c>
      <c r="C37" s="9" t="s">
        <v>51</v>
      </c>
      <c r="D37" s="10"/>
      <c r="E37" s="2" t="n">
        <f>634760</f>
        <v>634760.0</v>
      </c>
      <c r="F37" s="10"/>
      <c r="G37" s="2" t="n">
        <f>1874954555880</f>
        <v>1.87495455588E12</v>
      </c>
      <c r="H37" s="10"/>
      <c r="I37" s="2" t="n">
        <f>88538</f>
        <v>88538.0</v>
      </c>
      <c r="J37" s="10"/>
      <c r="K37" s="2" t="n">
        <f>362433</f>
        <v>362433.0</v>
      </c>
    </row>
    <row r="38">
      <c r="A38" s="8" t="s">
        <v>21</v>
      </c>
      <c r="B38" s="9" t="s">
        <v>50</v>
      </c>
      <c r="C38" s="9" t="s">
        <v>51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22</v>
      </c>
      <c r="B39" s="9" t="s">
        <v>50</v>
      </c>
      <c r="C39" s="9" t="s">
        <v>51</v>
      </c>
      <c r="D39" s="10"/>
      <c r="E39" s="2" t="n">
        <f>576941</f>
        <v>576941.0</v>
      </c>
      <c r="F39" s="10"/>
      <c r="G39" s="2" t="n">
        <f>1713074210699</f>
        <v>1.713074210699E12</v>
      </c>
      <c r="H39" s="10"/>
      <c r="I39" s="2" t="n">
        <f>77869</f>
        <v>77869.0</v>
      </c>
      <c r="J39" s="10"/>
      <c r="K39" s="2" t="n">
        <f>368020</f>
        <v>368020.0</v>
      </c>
    </row>
    <row r="40">
      <c r="A40" s="8" t="s">
        <v>23</v>
      </c>
      <c r="B40" s="9" t="s">
        <v>50</v>
      </c>
      <c r="C40" s="9" t="s">
        <v>51</v>
      </c>
      <c r="D40" s="10"/>
      <c r="E40" s="2" t="n">
        <f>638982</f>
        <v>638982.0</v>
      </c>
      <c r="F40" s="10"/>
      <c r="G40" s="2" t="n">
        <f>1895277001607</f>
        <v>1.895277001607E12</v>
      </c>
      <c r="H40" s="10"/>
      <c r="I40" s="2" t="n">
        <f>87491</f>
        <v>87491.0</v>
      </c>
      <c r="J40" s="10"/>
      <c r="K40" s="2" t="n">
        <f>394118</f>
        <v>394118.0</v>
      </c>
    </row>
    <row r="41">
      <c r="A41" s="8" t="s">
        <v>24</v>
      </c>
      <c r="B41" s="9" t="s">
        <v>50</v>
      </c>
      <c r="C41" s="9" t="s">
        <v>51</v>
      </c>
      <c r="D41" s="10"/>
      <c r="E41" s="2"/>
      <c r="F41" s="10"/>
      <c r="G41" s="2"/>
      <c r="H41" s="10"/>
      <c r="I41" s="2"/>
      <c r="J41" s="10"/>
      <c r="K41" s="2"/>
    </row>
    <row r="42">
      <c r="A42" s="8" t="s">
        <v>25</v>
      </c>
      <c r="B42" s="9" t="s">
        <v>50</v>
      </c>
      <c r="C42" s="9" t="s">
        <v>51</v>
      </c>
      <c r="D42" s="10"/>
      <c r="E42" s="2"/>
      <c r="F42" s="10"/>
      <c r="G42" s="2"/>
      <c r="H42" s="10"/>
      <c r="I42" s="2"/>
      <c r="J42" s="10"/>
      <c r="K42" s="2"/>
    </row>
    <row r="43">
      <c r="A43" s="8" t="s">
        <v>26</v>
      </c>
      <c r="B43" s="9" t="s">
        <v>50</v>
      </c>
      <c r="C43" s="9" t="s">
        <v>51</v>
      </c>
      <c r="D43" s="10"/>
      <c r="E43" s="2" t="n">
        <f>649262</f>
        <v>649262.0</v>
      </c>
      <c r="F43" s="10"/>
      <c r="G43" s="2" t="n">
        <f>1924029690580</f>
        <v>1.92402969058E12</v>
      </c>
      <c r="H43" s="10"/>
      <c r="I43" s="2" t="n">
        <f>85083</f>
        <v>85083.0</v>
      </c>
      <c r="J43" s="10"/>
      <c r="K43" s="2" t="n">
        <f>401457</f>
        <v>401457.0</v>
      </c>
    </row>
    <row r="44">
      <c r="A44" s="8" t="s">
        <v>27</v>
      </c>
      <c r="B44" s="9" t="s">
        <v>50</v>
      </c>
      <c r="C44" s="9" t="s">
        <v>51</v>
      </c>
      <c r="D44" s="10"/>
      <c r="E44" s="2" t="n">
        <f>837342</f>
        <v>837342.0</v>
      </c>
      <c r="F44" s="10"/>
      <c r="G44" s="2" t="n">
        <f>2471077627459</f>
        <v>2.471077627459E12</v>
      </c>
      <c r="H44" s="10"/>
      <c r="I44" s="2" t="n">
        <f>127044</f>
        <v>127044.0</v>
      </c>
      <c r="J44" s="10"/>
      <c r="K44" s="2" t="n">
        <f>402215</f>
        <v>402215.0</v>
      </c>
    </row>
    <row r="45">
      <c r="A45" s="8" t="s">
        <v>28</v>
      </c>
      <c r="B45" s="9" t="s">
        <v>50</v>
      </c>
      <c r="C45" s="9" t="s">
        <v>51</v>
      </c>
      <c r="D45" s="10"/>
      <c r="E45" s="2" t="n">
        <f>807896</f>
        <v>807896.0</v>
      </c>
      <c r="F45" s="10"/>
      <c r="G45" s="2" t="n">
        <f>2361488894830</f>
        <v>2.36148889483E12</v>
      </c>
      <c r="H45" s="10"/>
      <c r="I45" s="2" t="n">
        <f>102825</f>
        <v>102825.0</v>
      </c>
      <c r="J45" s="10"/>
      <c r="K45" s="2" t="n">
        <f>433878</f>
        <v>433878.0</v>
      </c>
    </row>
    <row r="46">
      <c r="A46" s="8" t="s">
        <v>29</v>
      </c>
      <c r="B46" s="9" t="s">
        <v>50</v>
      </c>
      <c r="C46" s="9" t="s">
        <v>51</v>
      </c>
      <c r="D46" s="10"/>
      <c r="E46" s="2" t="n">
        <f>945874</f>
        <v>945874.0</v>
      </c>
      <c r="F46" s="10"/>
      <c r="G46" s="2" t="n">
        <f>2763745501466</f>
        <v>2.763745501466E12</v>
      </c>
      <c r="H46" s="10"/>
      <c r="I46" s="2" t="n">
        <f>133056</f>
        <v>133056.0</v>
      </c>
      <c r="J46" s="10"/>
      <c r="K46" s="2" t="n">
        <f>456514</f>
        <v>456514.0</v>
      </c>
    </row>
    <row r="47">
      <c r="A47" s="8" t="s">
        <v>30</v>
      </c>
      <c r="B47" s="9" t="s">
        <v>50</v>
      </c>
      <c r="C47" s="9" t="s">
        <v>51</v>
      </c>
      <c r="D47" s="10"/>
      <c r="E47" s="2" t="n">
        <f>706899</f>
        <v>706899.0</v>
      </c>
      <c r="F47" s="10"/>
      <c r="G47" s="2" t="n">
        <f>2085538412229</f>
        <v>2.085538412229E12</v>
      </c>
      <c r="H47" s="10"/>
      <c r="I47" s="2" t="n">
        <f>90218</f>
        <v>90218.0</v>
      </c>
      <c r="J47" s="10"/>
      <c r="K47" s="2" t="n">
        <f>461227</f>
        <v>461227.0</v>
      </c>
    </row>
    <row r="48">
      <c r="A48" s="8" t="s">
        <v>31</v>
      </c>
      <c r="B48" s="9" t="s">
        <v>50</v>
      </c>
      <c r="C48" s="9" t="s">
        <v>51</v>
      </c>
      <c r="D48" s="10"/>
      <c r="E48" s="2"/>
      <c r="F48" s="10"/>
      <c r="G48" s="2"/>
      <c r="H48" s="10"/>
      <c r="I48" s="2"/>
      <c r="J48" s="10"/>
      <c r="K48" s="2"/>
    </row>
    <row r="49">
      <c r="A49" s="8" t="s">
        <v>32</v>
      </c>
      <c r="B49" s="9" t="s">
        <v>50</v>
      </c>
      <c r="C49" s="9" t="s">
        <v>51</v>
      </c>
      <c r="D49" s="10"/>
      <c r="E49" s="2"/>
      <c r="F49" s="10"/>
      <c r="G49" s="2"/>
      <c r="H49" s="10"/>
      <c r="I49" s="2"/>
      <c r="J49" s="10"/>
      <c r="K49" s="2"/>
    </row>
    <row r="50">
      <c r="A50" s="8" t="s">
        <v>33</v>
      </c>
      <c r="B50" s="9" t="s">
        <v>50</v>
      </c>
      <c r="C50" s="9" t="s">
        <v>51</v>
      </c>
      <c r="D50" s="10" t="s">
        <v>19</v>
      </c>
      <c r="E50" s="2" t="n">
        <f>562645</f>
        <v>562645.0</v>
      </c>
      <c r="F50" s="10" t="s">
        <v>19</v>
      </c>
      <c r="G50" s="2" t="n">
        <f>1672076402654</f>
        <v>1.672076402654E12</v>
      </c>
      <c r="H50" s="10" t="s">
        <v>19</v>
      </c>
      <c r="I50" s="2" t="n">
        <f>66372</f>
        <v>66372.0</v>
      </c>
      <c r="J50" s="10"/>
      <c r="K50" s="2" t="n">
        <f>378474</f>
        <v>378474.0</v>
      </c>
    </row>
    <row r="51">
      <c r="A51" s="8" t="s">
        <v>34</v>
      </c>
      <c r="B51" s="9" t="s">
        <v>50</v>
      </c>
      <c r="C51" s="9" t="s">
        <v>51</v>
      </c>
      <c r="D51" s="10"/>
      <c r="E51" s="2" t="n">
        <f>616769</f>
        <v>616769.0</v>
      </c>
      <c r="F51" s="10"/>
      <c r="G51" s="2" t="n">
        <f>1836484937458</f>
        <v>1.836484937458E12</v>
      </c>
      <c r="H51" s="10"/>
      <c r="I51" s="2" t="n">
        <f>80118</f>
        <v>80118.0</v>
      </c>
      <c r="J51" s="10"/>
      <c r="K51" s="2" t="n">
        <f>383612</f>
        <v>383612.0</v>
      </c>
    </row>
    <row r="52">
      <c r="A52" s="8" t="s">
        <v>35</v>
      </c>
      <c r="B52" s="9" t="s">
        <v>50</v>
      </c>
      <c r="C52" s="9" t="s">
        <v>51</v>
      </c>
      <c r="D52" s="10"/>
      <c r="E52" s="2" t="n">
        <f>568482</f>
        <v>568482.0</v>
      </c>
      <c r="F52" s="10"/>
      <c r="G52" s="2" t="n">
        <f>1691315770052</f>
        <v>1.691315770052E12</v>
      </c>
      <c r="H52" s="10"/>
      <c r="I52" s="2" t="n">
        <f>68896</f>
        <v>68896.0</v>
      </c>
      <c r="J52" s="10"/>
      <c r="K52" s="2" t="n">
        <f>395106</f>
        <v>395106.0</v>
      </c>
    </row>
    <row r="53">
      <c r="A53" s="8" t="s">
        <v>36</v>
      </c>
      <c r="B53" s="9" t="s">
        <v>50</v>
      </c>
      <c r="C53" s="9" t="s">
        <v>51</v>
      </c>
      <c r="D53" s="10"/>
      <c r="E53" s="2" t="n">
        <f>738438</f>
        <v>738438.0</v>
      </c>
      <c r="F53" s="10"/>
      <c r="G53" s="2" t="n">
        <f>2183685619654</f>
        <v>2.183685619654E12</v>
      </c>
      <c r="H53" s="10"/>
      <c r="I53" s="2" t="n">
        <f>108194</f>
        <v>108194.0</v>
      </c>
      <c r="J53" s="10"/>
      <c r="K53" s="2" t="n">
        <f>406185</f>
        <v>406185.0</v>
      </c>
    </row>
    <row r="54">
      <c r="A54" s="8" t="s">
        <v>37</v>
      </c>
      <c r="B54" s="9" t="s">
        <v>50</v>
      </c>
      <c r="C54" s="9" t="s">
        <v>51</v>
      </c>
      <c r="D54" s="10"/>
      <c r="E54" s="2" t="n">
        <f>633837</f>
        <v>633837.0</v>
      </c>
      <c r="F54" s="10"/>
      <c r="G54" s="2" t="n">
        <f>1879095802172</f>
        <v>1.879095802172E12</v>
      </c>
      <c r="H54" s="10"/>
      <c r="I54" s="2" t="n">
        <f>82391</f>
        <v>82391.0</v>
      </c>
      <c r="J54" s="10"/>
      <c r="K54" s="2" t="n">
        <f>403273</f>
        <v>403273.0</v>
      </c>
    </row>
    <row r="55">
      <c r="A55" s="8" t="s">
        <v>38</v>
      </c>
      <c r="B55" s="9" t="s">
        <v>50</v>
      </c>
      <c r="C55" s="9" t="s">
        <v>51</v>
      </c>
      <c r="D55" s="10"/>
      <c r="E55" s="2"/>
      <c r="F55" s="10"/>
      <c r="G55" s="2"/>
      <c r="H55" s="10"/>
      <c r="I55" s="2"/>
      <c r="J55" s="10"/>
      <c r="K55" s="2"/>
    </row>
    <row r="56">
      <c r="A56" s="8" t="s">
        <v>39</v>
      </c>
      <c r="B56" s="9" t="s">
        <v>50</v>
      </c>
      <c r="C56" s="9" t="s">
        <v>51</v>
      </c>
      <c r="D56" s="10"/>
      <c r="E56" s="2"/>
      <c r="F56" s="10"/>
      <c r="G56" s="2"/>
      <c r="H56" s="10"/>
      <c r="I56" s="2"/>
      <c r="J56" s="10"/>
      <c r="K56" s="2"/>
    </row>
    <row r="57">
      <c r="A57" s="8" t="s">
        <v>40</v>
      </c>
      <c r="B57" s="9" t="s">
        <v>50</v>
      </c>
      <c r="C57" s="9" t="s">
        <v>51</v>
      </c>
      <c r="D57" s="10"/>
      <c r="E57" s="2" t="n">
        <f>755782</f>
        <v>755782.0</v>
      </c>
      <c r="F57" s="10"/>
      <c r="G57" s="2" t="n">
        <f>2239167594882</f>
        <v>2.239167594882E12</v>
      </c>
      <c r="H57" s="10"/>
      <c r="I57" s="2" t="n">
        <f>97716</f>
        <v>97716.0</v>
      </c>
      <c r="J57" s="10"/>
      <c r="K57" s="2" t="n">
        <f>408996</f>
        <v>408996.0</v>
      </c>
    </row>
    <row r="58">
      <c r="A58" s="8" t="s">
        <v>41</v>
      </c>
      <c r="B58" s="9" t="s">
        <v>50</v>
      </c>
      <c r="C58" s="9" t="s">
        <v>51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42</v>
      </c>
      <c r="B59" s="9" t="s">
        <v>50</v>
      </c>
      <c r="C59" s="9" t="s">
        <v>51</v>
      </c>
      <c r="D59" s="10"/>
      <c r="E59" s="2" t="n">
        <f>953588</f>
        <v>953588.0</v>
      </c>
      <c r="F59" s="10"/>
      <c r="G59" s="2" t="n">
        <f>2819436351093</f>
        <v>2.819436351093E12</v>
      </c>
      <c r="H59" s="10"/>
      <c r="I59" s="2" t="n">
        <f>122114</f>
        <v>122114.0</v>
      </c>
      <c r="J59" s="10"/>
      <c r="K59" s="2" t="n">
        <f>432392</f>
        <v>432392.0</v>
      </c>
    </row>
    <row r="60">
      <c r="A60" s="8" t="s">
        <v>43</v>
      </c>
      <c r="B60" s="9" t="s">
        <v>50</v>
      </c>
      <c r="C60" s="9" t="s">
        <v>51</v>
      </c>
      <c r="D60" s="10"/>
      <c r="E60" s="2" t="n">
        <f>775411</f>
        <v>775411.0</v>
      </c>
      <c r="F60" s="10"/>
      <c r="G60" s="2" t="n">
        <f>2280213865067</f>
        <v>2.280213865067E12</v>
      </c>
      <c r="H60" s="10"/>
      <c r="I60" s="2" t="n">
        <f>105291</f>
        <v>105291.0</v>
      </c>
      <c r="J60" s="10"/>
      <c r="K60" s="2" t="n">
        <f>436709</f>
        <v>436709.0</v>
      </c>
    </row>
    <row r="61">
      <c r="A61" s="8" t="s">
        <v>44</v>
      </c>
      <c r="B61" s="9" t="s">
        <v>50</v>
      </c>
      <c r="C61" s="9" t="s">
        <v>51</v>
      </c>
      <c r="D61" s="10"/>
      <c r="E61" s="2" t="n">
        <f>1060194</f>
        <v>1060194.0</v>
      </c>
      <c r="F61" s="10"/>
      <c r="G61" s="2" t="n">
        <f>3066825697022</f>
        <v>3.066825697022E12</v>
      </c>
      <c r="H61" s="10"/>
      <c r="I61" s="2" t="n">
        <f>160758</f>
        <v>160758.0</v>
      </c>
      <c r="J61" s="10"/>
      <c r="K61" s="2" t="n">
        <f>475580</f>
        <v>475580.0</v>
      </c>
    </row>
    <row r="62">
      <c r="A62" s="8" t="s">
        <v>45</v>
      </c>
      <c r="B62" s="9" t="s">
        <v>50</v>
      </c>
      <c r="C62" s="9" t="s">
        <v>51</v>
      </c>
      <c r="D62" s="10"/>
      <c r="E62" s="2"/>
      <c r="F62" s="10"/>
      <c r="G62" s="2"/>
      <c r="H62" s="10"/>
      <c r="I62" s="2"/>
      <c r="J62" s="10"/>
      <c r="K62" s="2"/>
    </row>
    <row r="63">
      <c r="A63" s="8" t="s">
        <v>46</v>
      </c>
      <c r="B63" s="9" t="s">
        <v>50</v>
      </c>
      <c r="C63" s="9" t="s">
        <v>51</v>
      </c>
      <c r="D63" s="10"/>
      <c r="E63" s="2"/>
      <c r="F63" s="10"/>
      <c r="G63" s="2"/>
      <c r="H63" s="10"/>
      <c r="I63" s="2"/>
      <c r="J63" s="10"/>
      <c r="K63" s="2"/>
    </row>
    <row r="64">
      <c r="A64" s="8" t="s">
        <v>47</v>
      </c>
      <c r="B64" s="9" t="s">
        <v>50</v>
      </c>
      <c r="C64" s="9" t="s">
        <v>51</v>
      </c>
      <c r="D64" s="10" t="s">
        <v>48</v>
      </c>
      <c r="E64" s="2" t="n">
        <f>1937404</f>
        <v>1937404.0</v>
      </c>
      <c r="F64" s="10" t="s">
        <v>48</v>
      </c>
      <c r="G64" s="2" t="n">
        <f>5508301959994</f>
        <v>5.508301959994E12</v>
      </c>
      <c r="H64" s="10" t="s">
        <v>48</v>
      </c>
      <c r="I64" s="2" t="n">
        <f>266631</f>
        <v>266631.0</v>
      </c>
      <c r="J64" s="10"/>
      <c r="K64" s="2" t="n">
        <f>461999</f>
        <v>461999.0</v>
      </c>
    </row>
    <row r="65">
      <c r="A65" s="8" t="s">
        <v>49</v>
      </c>
      <c r="B65" s="9" t="s">
        <v>50</v>
      </c>
      <c r="C65" s="9" t="s">
        <v>51</v>
      </c>
      <c r="D65" s="10"/>
      <c r="E65" s="2" t="n">
        <f>1518414</f>
        <v>1518414.0</v>
      </c>
      <c r="F65" s="10"/>
      <c r="G65" s="2" t="n">
        <f>4294970377674</f>
        <v>4.294970377674E12</v>
      </c>
      <c r="H65" s="10"/>
      <c r="I65" s="2" t="n">
        <f>188402</f>
        <v>188402.0</v>
      </c>
      <c r="J65" s="10" t="s">
        <v>48</v>
      </c>
      <c r="K65" s="2" t="n">
        <f>481712</f>
        <v>481712.0</v>
      </c>
    </row>
    <row r="66">
      <c r="A66" s="8" t="s">
        <v>16</v>
      </c>
      <c r="B66" s="9" t="s">
        <v>52</v>
      </c>
      <c r="C66" s="9" t="s">
        <v>53</v>
      </c>
      <c r="D66" s="10"/>
      <c r="E66" s="2" t="n">
        <f>71358</f>
        <v>71358.0</v>
      </c>
      <c r="F66" s="10"/>
      <c r="G66" s="2" t="n">
        <f>1448289493900</f>
        <v>1.4482894939E12</v>
      </c>
      <c r="H66" s="10"/>
      <c r="I66" s="2" t="n">
        <f>14082</f>
        <v>14082.0</v>
      </c>
      <c r="J66" s="10"/>
      <c r="K66" s="2" t="n">
        <f>468529</f>
        <v>468529.0</v>
      </c>
    </row>
    <row r="67">
      <c r="A67" s="8" t="s">
        <v>20</v>
      </c>
      <c r="B67" s="9" t="s">
        <v>52</v>
      </c>
      <c r="C67" s="9" t="s">
        <v>53</v>
      </c>
      <c r="D67" s="10"/>
      <c r="E67" s="2" t="n">
        <f>58186</f>
        <v>58186.0</v>
      </c>
      <c r="F67" s="10"/>
      <c r="G67" s="2" t="n">
        <f>1183748947331</f>
        <v>1.183748947331E12</v>
      </c>
      <c r="H67" s="10"/>
      <c r="I67" s="2" t="n">
        <f>13730</f>
        <v>13730.0</v>
      </c>
      <c r="J67" s="10"/>
      <c r="K67" s="2" t="n">
        <f>466162</f>
        <v>466162.0</v>
      </c>
    </row>
    <row r="68">
      <c r="A68" s="8" t="s">
        <v>21</v>
      </c>
      <c r="B68" s="9" t="s">
        <v>52</v>
      </c>
      <c r="C68" s="9" t="s">
        <v>53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22</v>
      </c>
      <c r="B69" s="9" t="s">
        <v>52</v>
      </c>
      <c r="C69" s="9" t="s">
        <v>53</v>
      </c>
      <c r="D69" s="10"/>
      <c r="E69" s="2" t="n">
        <f>56818</f>
        <v>56818.0</v>
      </c>
      <c r="F69" s="10"/>
      <c r="G69" s="2" t="n">
        <f>1163186136600</f>
        <v>1.1631861366E12</v>
      </c>
      <c r="H69" s="10"/>
      <c r="I69" s="2" t="n">
        <f>14270</f>
        <v>14270.0</v>
      </c>
      <c r="J69" s="10"/>
      <c r="K69" s="2" t="n">
        <f>466526</f>
        <v>466526.0</v>
      </c>
    </row>
    <row r="70">
      <c r="A70" s="8" t="s">
        <v>23</v>
      </c>
      <c r="B70" s="9" t="s">
        <v>52</v>
      </c>
      <c r="C70" s="9" t="s">
        <v>53</v>
      </c>
      <c r="D70" s="10"/>
      <c r="E70" s="2" t="n">
        <f>60663</f>
        <v>60663.0</v>
      </c>
      <c r="F70" s="10"/>
      <c r="G70" s="2" t="n">
        <f>1239583370978</f>
        <v>1.239583370978E12</v>
      </c>
      <c r="H70" s="10"/>
      <c r="I70" s="2" t="n">
        <f>12435</f>
        <v>12435.0</v>
      </c>
      <c r="J70" s="10"/>
      <c r="K70" s="2" t="n">
        <f>464878</f>
        <v>464878.0</v>
      </c>
    </row>
    <row r="71">
      <c r="A71" s="8" t="s">
        <v>24</v>
      </c>
      <c r="B71" s="9" t="s">
        <v>52</v>
      </c>
      <c r="C71" s="9" t="s">
        <v>53</v>
      </c>
      <c r="D71" s="10"/>
      <c r="E71" s="2"/>
      <c r="F71" s="10"/>
      <c r="G71" s="2"/>
      <c r="H71" s="10"/>
      <c r="I71" s="2"/>
      <c r="J71" s="10"/>
      <c r="K71" s="2"/>
    </row>
    <row r="72">
      <c r="A72" s="8" t="s">
        <v>25</v>
      </c>
      <c r="B72" s="9" t="s">
        <v>52</v>
      </c>
      <c r="C72" s="9" t="s">
        <v>53</v>
      </c>
      <c r="D72" s="10"/>
      <c r="E72" s="2"/>
      <c r="F72" s="10"/>
      <c r="G72" s="2"/>
      <c r="H72" s="10"/>
      <c r="I72" s="2"/>
      <c r="J72" s="10"/>
      <c r="K72" s="2"/>
    </row>
    <row r="73">
      <c r="A73" s="8" t="s">
        <v>26</v>
      </c>
      <c r="B73" s="9" t="s">
        <v>52</v>
      </c>
      <c r="C73" s="9" t="s">
        <v>53</v>
      </c>
      <c r="D73" s="10"/>
      <c r="E73" s="2" t="n">
        <f>50714</f>
        <v>50714.0</v>
      </c>
      <c r="F73" s="10"/>
      <c r="G73" s="2" t="n">
        <f>1034840769400</f>
        <v>1.0348407694E12</v>
      </c>
      <c r="H73" s="10"/>
      <c r="I73" s="2" t="n">
        <f>9628</f>
        <v>9628.0</v>
      </c>
      <c r="J73" s="10"/>
      <c r="K73" s="2" t="n">
        <f>465894</f>
        <v>465894.0</v>
      </c>
    </row>
    <row r="74">
      <c r="A74" s="8" t="s">
        <v>27</v>
      </c>
      <c r="B74" s="9" t="s">
        <v>52</v>
      </c>
      <c r="C74" s="9" t="s">
        <v>53</v>
      </c>
      <c r="D74" s="10"/>
      <c r="E74" s="2" t="n">
        <f>53482</f>
        <v>53482.0</v>
      </c>
      <c r="F74" s="10"/>
      <c r="G74" s="2" t="n">
        <f>1086061741152</f>
        <v>1.086061741152E12</v>
      </c>
      <c r="H74" s="10"/>
      <c r="I74" s="2" t="n">
        <f>10356</f>
        <v>10356.0</v>
      </c>
      <c r="J74" s="10"/>
      <c r="K74" s="2" t="n">
        <f>466861</f>
        <v>466861.0</v>
      </c>
    </row>
    <row r="75">
      <c r="A75" s="8" t="s">
        <v>28</v>
      </c>
      <c r="B75" s="9" t="s">
        <v>52</v>
      </c>
      <c r="C75" s="9" t="s">
        <v>53</v>
      </c>
      <c r="D75" s="10"/>
      <c r="E75" s="2" t="n">
        <f>46753</f>
        <v>46753.0</v>
      </c>
      <c r="F75" s="10"/>
      <c r="G75" s="2" t="n">
        <f>941964907971</f>
        <v>9.41964907971E11</v>
      </c>
      <c r="H75" s="10"/>
      <c r="I75" s="2" t="n">
        <f>10314</f>
        <v>10314.0</v>
      </c>
      <c r="J75" s="10" t="s">
        <v>19</v>
      </c>
      <c r="K75" s="2" t="n">
        <f>464660</f>
        <v>464660.0</v>
      </c>
    </row>
    <row r="76">
      <c r="A76" s="8" t="s">
        <v>29</v>
      </c>
      <c r="B76" s="9" t="s">
        <v>52</v>
      </c>
      <c r="C76" s="9" t="s">
        <v>53</v>
      </c>
      <c r="D76" s="10"/>
      <c r="E76" s="2" t="n">
        <f>51991</f>
        <v>51991.0</v>
      </c>
      <c r="F76" s="10"/>
      <c r="G76" s="2" t="n">
        <f>1046759130310</f>
        <v>1.04675913031E12</v>
      </c>
      <c r="H76" s="10"/>
      <c r="I76" s="2" t="n">
        <f>13338</f>
        <v>13338.0</v>
      </c>
      <c r="J76" s="10"/>
      <c r="K76" s="2" t="n">
        <f>466803</f>
        <v>466803.0</v>
      </c>
    </row>
    <row r="77">
      <c r="A77" s="8" t="s">
        <v>30</v>
      </c>
      <c r="B77" s="9" t="s">
        <v>52</v>
      </c>
      <c r="C77" s="9" t="s">
        <v>53</v>
      </c>
      <c r="D77" s="10"/>
      <c r="E77" s="2" t="n">
        <f>53941</f>
        <v>53941.0</v>
      </c>
      <c r="F77" s="10"/>
      <c r="G77" s="2" t="n">
        <f>1097964209884</f>
        <v>1.097964209884E12</v>
      </c>
      <c r="H77" s="10"/>
      <c r="I77" s="2" t="n">
        <f>11794</f>
        <v>11794.0</v>
      </c>
      <c r="J77" s="10"/>
      <c r="K77" s="2" t="n">
        <f>470839</f>
        <v>470839.0</v>
      </c>
    </row>
    <row r="78">
      <c r="A78" s="8" t="s">
        <v>31</v>
      </c>
      <c r="B78" s="9" t="s">
        <v>52</v>
      </c>
      <c r="C78" s="9" t="s">
        <v>53</v>
      </c>
      <c r="D78" s="10"/>
      <c r="E78" s="2"/>
      <c r="F78" s="10"/>
      <c r="G78" s="2"/>
      <c r="H78" s="10"/>
      <c r="I78" s="2"/>
      <c r="J78" s="10"/>
      <c r="K78" s="2"/>
    </row>
    <row r="79">
      <c r="A79" s="8" t="s">
        <v>32</v>
      </c>
      <c r="B79" s="9" t="s">
        <v>52</v>
      </c>
      <c r="C79" s="9" t="s">
        <v>53</v>
      </c>
      <c r="D79" s="10"/>
      <c r="E79" s="2"/>
      <c r="F79" s="10"/>
      <c r="G79" s="2"/>
      <c r="H79" s="10"/>
      <c r="I79" s="2"/>
      <c r="J79" s="10"/>
      <c r="K79" s="2"/>
    </row>
    <row r="80">
      <c r="A80" s="8" t="s">
        <v>33</v>
      </c>
      <c r="B80" s="9" t="s">
        <v>52</v>
      </c>
      <c r="C80" s="9" t="s">
        <v>53</v>
      </c>
      <c r="D80" s="10"/>
      <c r="E80" s="2" t="n">
        <f>41760</f>
        <v>41760.0</v>
      </c>
      <c r="F80" s="10"/>
      <c r="G80" s="2" t="n">
        <f>855219721250</f>
        <v>8.5521972125E11</v>
      </c>
      <c r="H80" s="10"/>
      <c r="I80" s="2" t="n">
        <f>9551</f>
        <v>9551.0</v>
      </c>
      <c r="J80" s="10"/>
      <c r="K80" s="2" t="n">
        <f>473925</f>
        <v>473925.0</v>
      </c>
    </row>
    <row r="81">
      <c r="A81" s="8" t="s">
        <v>34</v>
      </c>
      <c r="B81" s="9" t="s">
        <v>52</v>
      </c>
      <c r="C81" s="9" t="s">
        <v>53</v>
      </c>
      <c r="D81" s="10"/>
      <c r="E81" s="2" t="n">
        <f>52738</f>
        <v>52738.0</v>
      </c>
      <c r="F81" s="10"/>
      <c r="G81" s="2" t="n">
        <f>1081872792300</f>
        <v>1.0818727923E12</v>
      </c>
      <c r="H81" s="10"/>
      <c r="I81" s="2" t="n">
        <f>11389</f>
        <v>11389.0</v>
      </c>
      <c r="J81" s="10"/>
      <c r="K81" s="2" t="n">
        <f>474645</f>
        <v>474645.0</v>
      </c>
    </row>
    <row r="82">
      <c r="A82" s="8" t="s">
        <v>35</v>
      </c>
      <c r="B82" s="9" t="s">
        <v>52</v>
      </c>
      <c r="C82" s="9" t="s">
        <v>53</v>
      </c>
      <c r="D82" s="10"/>
      <c r="E82" s="2" t="n">
        <f>52489</f>
        <v>52489.0</v>
      </c>
      <c r="F82" s="10"/>
      <c r="G82" s="2" t="n">
        <f>1071958149150</f>
        <v>1.07195814915E12</v>
      </c>
      <c r="H82" s="10"/>
      <c r="I82" s="2" t="n">
        <f>10369</f>
        <v>10369.0</v>
      </c>
      <c r="J82" s="10"/>
      <c r="K82" s="2" t="n">
        <f>472273</f>
        <v>472273.0</v>
      </c>
    </row>
    <row r="83">
      <c r="A83" s="8" t="s">
        <v>36</v>
      </c>
      <c r="B83" s="9" t="s">
        <v>52</v>
      </c>
      <c r="C83" s="9" t="s">
        <v>53</v>
      </c>
      <c r="D83" s="10"/>
      <c r="E83" s="2" t="n">
        <f>57488</f>
        <v>57488.0</v>
      </c>
      <c r="F83" s="10"/>
      <c r="G83" s="2" t="n">
        <f>1169400277850</f>
        <v>1.16940027785E12</v>
      </c>
      <c r="H83" s="10"/>
      <c r="I83" s="2" t="n">
        <f>10718</f>
        <v>10718.0</v>
      </c>
      <c r="J83" s="10"/>
      <c r="K83" s="2" t="n">
        <f>473307</f>
        <v>473307.0</v>
      </c>
    </row>
    <row r="84">
      <c r="A84" s="8" t="s">
        <v>37</v>
      </c>
      <c r="B84" s="9" t="s">
        <v>52</v>
      </c>
      <c r="C84" s="9" t="s">
        <v>53</v>
      </c>
      <c r="D84" s="10"/>
      <c r="E84" s="2" t="n">
        <f>44287</f>
        <v>44287.0</v>
      </c>
      <c r="F84" s="10"/>
      <c r="G84" s="2" t="n">
        <f>903394432200</f>
        <v>9.033944322E11</v>
      </c>
      <c r="H84" s="10"/>
      <c r="I84" s="2" t="n">
        <f>10329</f>
        <v>10329.0</v>
      </c>
      <c r="J84" s="10"/>
      <c r="K84" s="2" t="n">
        <f>477067</f>
        <v>477067.0</v>
      </c>
    </row>
    <row r="85">
      <c r="A85" s="8" t="s">
        <v>38</v>
      </c>
      <c r="B85" s="9" t="s">
        <v>52</v>
      </c>
      <c r="C85" s="9" t="s">
        <v>53</v>
      </c>
      <c r="D85" s="10"/>
      <c r="E85" s="2"/>
      <c r="F85" s="10"/>
      <c r="G85" s="2"/>
      <c r="H85" s="10"/>
      <c r="I85" s="2"/>
      <c r="J85" s="10"/>
      <c r="K85" s="2"/>
    </row>
    <row r="86">
      <c r="A86" s="8" t="s">
        <v>39</v>
      </c>
      <c r="B86" s="9" t="s">
        <v>52</v>
      </c>
      <c r="C86" s="9" t="s">
        <v>53</v>
      </c>
      <c r="D86" s="10"/>
      <c r="E86" s="2"/>
      <c r="F86" s="10"/>
      <c r="G86" s="2"/>
      <c r="H86" s="10"/>
      <c r="I86" s="2"/>
      <c r="J86" s="10"/>
      <c r="K86" s="2"/>
    </row>
    <row r="87">
      <c r="A87" s="8" t="s">
        <v>40</v>
      </c>
      <c r="B87" s="9" t="s">
        <v>52</v>
      </c>
      <c r="C87" s="9" t="s">
        <v>53</v>
      </c>
      <c r="D87" s="10"/>
      <c r="E87" s="2" t="n">
        <f>44284</f>
        <v>44284.0</v>
      </c>
      <c r="F87" s="10"/>
      <c r="G87" s="2" t="n">
        <f>902315273034</f>
        <v>9.02315273034E11</v>
      </c>
      <c r="H87" s="10"/>
      <c r="I87" s="2" t="n">
        <f>9742</f>
        <v>9742.0</v>
      </c>
      <c r="J87" s="10"/>
      <c r="K87" s="2" t="n">
        <f>477248</f>
        <v>477248.0</v>
      </c>
    </row>
    <row r="88">
      <c r="A88" s="8" t="s">
        <v>41</v>
      </c>
      <c r="B88" s="9" t="s">
        <v>52</v>
      </c>
      <c r="C88" s="9" t="s">
        <v>53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42</v>
      </c>
      <c r="B89" s="9" t="s">
        <v>52</v>
      </c>
      <c r="C89" s="9" t="s">
        <v>53</v>
      </c>
      <c r="D89" s="10"/>
      <c r="E89" s="2" t="n">
        <f>63796</f>
        <v>63796.0</v>
      </c>
      <c r="F89" s="10"/>
      <c r="G89" s="2" t="n">
        <f>1295244715700</f>
        <v>1.2952447157E12</v>
      </c>
      <c r="H89" s="10"/>
      <c r="I89" s="2" t="n">
        <f>13993</f>
        <v>13993.0</v>
      </c>
      <c r="J89" s="10"/>
      <c r="K89" s="2" t="n">
        <f>478726</f>
        <v>478726.0</v>
      </c>
    </row>
    <row r="90">
      <c r="A90" s="8" t="s">
        <v>43</v>
      </c>
      <c r="B90" s="9" t="s">
        <v>52</v>
      </c>
      <c r="C90" s="9" t="s">
        <v>53</v>
      </c>
      <c r="D90" s="10" t="s">
        <v>19</v>
      </c>
      <c r="E90" s="2" t="n">
        <f>39055</f>
        <v>39055.0</v>
      </c>
      <c r="F90" s="10" t="s">
        <v>19</v>
      </c>
      <c r="G90" s="2" t="n">
        <f>790938645450</f>
        <v>7.9093864545E11</v>
      </c>
      <c r="H90" s="10" t="s">
        <v>19</v>
      </c>
      <c r="I90" s="2" t="n">
        <f>8688</f>
        <v>8688.0</v>
      </c>
      <c r="J90" s="10" t="s">
        <v>48</v>
      </c>
      <c r="K90" s="2" t="n">
        <f>478781</f>
        <v>478781.0</v>
      </c>
    </row>
    <row r="91">
      <c r="A91" s="8" t="s">
        <v>44</v>
      </c>
      <c r="B91" s="9" t="s">
        <v>52</v>
      </c>
      <c r="C91" s="9" t="s">
        <v>53</v>
      </c>
      <c r="D91" s="10"/>
      <c r="E91" s="2" t="n">
        <f>69611</f>
        <v>69611.0</v>
      </c>
      <c r="F91" s="10"/>
      <c r="G91" s="2" t="n">
        <f>1385774043050</f>
        <v>1.38577404305E12</v>
      </c>
      <c r="H91" s="10"/>
      <c r="I91" s="2" t="n">
        <f>11434</f>
        <v>11434.0</v>
      </c>
      <c r="J91" s="10"/>
      <c r="K91" s="2" t="n">
        <f>476628</f>
        <v>476628.0</v>
      </c>
    </row>
    <row r="92">
      <c r="A92" s="8" t="s">
        <v>45</v>
      </c>
      <c r="B92" s="9" t="s">
        <v>52</v>
      </c>
      <c r="C92" s="9" t="s">
        <v>53</v>
      </c>
      <c r="D92" s="10"/>
      <c r="E92" s="2"/>
      <c r="F92" s="10"/>
      <c r="G92" s="2"/>
      <c r="H92" s="10"/>
      <c r="I92" s="2"/>
      <c r="J92" s="10"/>
      <c r="K92" s="2"/>
    </row>
    <row r="93">
      <c r="A93" s="8" t="s">
        <v>46</v>
      </c>
      <c r="B93" s="9" t="s">
        <v>52</v>
      </c>
      <c r="C93" s="9" t="s">
        <v>53</v>
      </c>
      <c r="D93" s="10"/>
      <c r="E93" s="2"/>
      <c r="F93" s="10"/>
      <c r="G93" s="2"/>
      <c r="H93" s="10"/>
      <c r="I93" s="2"/>
      <c r="J93" s="10"/>
      <c r="K93" s="2"/>
    </row>
    <row r="94">
      <c r="A94" s="8" t="s">
        <v>47</v>
      </c>
      <c r="B94" s="9" t="s">
        <v>52</v>
      </c>
      <c r="C94" s="9" t="s">
        <v>53</v>
      </c>
      <c r="D94" s="10"/>
      <c r="E94" s="2" t="n">
        <f>122158</f>
        <v>122158.0</v>
      </c>
      <c r="F94" s="10"/>
      <c r="G94" s="2" t="n">
        <f>2390995547426</f>
        <v>2.390995547426E12</v>
      </c>
      <c r="H94" s="10"/>
      <c r="I94" s="2" t="n">
        <f>23414</f>
        <v>23414.0</v>
      </c>
      <c r="J94" s="10"/>
      <c r="K94" s="2" t="n">
        <f>474471</f>
        <v>474471.0</v>
      </c>
    </row>
    <row r="95">
      <c r="A95" s="8" t="s">
        <v>49</v>
      </c>
      <c r="B95" s="9" t="s">
        <v>52</v>
      </c>
      <c r="C95" s="9" t="s">
        <v>53</v>
      </c>
      <c r="D95" s="10" t="s">
        <v>48</v>
      </c>
      <c r="E95" s="2" t="n">
        <f>126401</f>
        <v>126401.0</v>
      </c>
      <c r="F95" s="10" t="s">
        <v>48</v>
      </c>
      <c r="G95" s="2" t="n">
        <f>2458724825900</f>
        <v>2.4587248259E12</v>
      </c>
      <c r="H95" s="10" t="s">
        <v>48</v>
      </c>
      <c r="I95" s="2" t="n">
        <f>25278</f>
        <v>25278.0</v>
      </c>
      <c r="J95" s="10"/>
      <c r="K95" s="2" t="n">
        <f>477158</f>
        <v>477158.0</v>
      </c>
    </row>
    <row r="96">
      <c r="A96" s="8" t="s">
        <v>16</v>
      </c>
      <c r="B96" s="9" t="s">
        <v>54</v>
      </c>
      <c r="C96" s="9" t="s">
        <v>55</v>
      </c>
      <c r="D96" s="10"/>
      <c r="E96" s="2" t="n">
        <f>37004</f>
        <v>37004.0</v>
      </c>
      <c r="F96" s="10"/>
      <c r="G96" s="2" t="n">
        <f>74941008300</f>
        <v>7.49410083E10</v>
      </c>
      <c r="H96" s="10"/>
      <c r="I96" s="2" t="n">
        <f>5199</f>
        <v>5199.0</v>
      </c>
      <c r="J96" s="10"/>
      <c r="K96" s="2" t="n">
        <f>61970</f>
        <v>61970.0</v>
      </c>
    </row>
    <row r="97">
      <c r="A97" s="8" t="s">
        <v>20</v>
      </c>
      <c r="B97" s="9" t="s">
        <v>54</v>
      </c>
      <c r="C97" s="9" t="s">
        <v>55</v>
      </c>
      <c r="D97" s="10"/>
      <c r="E97" s="2" t="n">
        <f>25379</f>
        <v>25379.0</v>
      </c>
      <c r="F97" s="10"/>
      <c r="G97" s="2" t="n">
        <f>51655162750</f>
        <v>5.165516275E10</v>
      </c>
      <c r="H97" s="10"/>
      <c r="I97" s="2" t="n">
        <f>3449</f>
        <v>3449.0</v>
      </c>
      <c r="J97" s="10"/>
      <c r="K97" s="2" t="n">
        <f>60837</f>
        <v>60837.0</v>
      </c>
    </row>
    <row r="98">
      <c r="A98" s="8" t="s">
        <v>21</v>
      </c>
      <c r="B98" s="9" t="s">
        <v>54</v>
      </c>
      <c r="C98" s="9" t="s">
        <v>55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22</v>
      </c>
      <c r="B99" s="9" t="s">
        <v>54</v>
      </c>
      <c r="C99" s="9" t="s">
        <v>55</v>
      </c>
      <c r="D99" s="10"/>
      <c r="E99" s="2" t="n">
        <f>28259</f>
        <v>28259.0</v>
      </c>
      <c r="F99" s="10"/>
      <c r="G99" s="2" t="n">
        <f>57760944900</f>
        <v>5.77609449E10</v>
      </c>
      <c r="H99" s="10"/>
      <c r="I99" s="2" t="n">
        <f>4250</f>
        <v>4250.0</v>
      </c>
      <c r="J99" s="10"/>
      <c r="K99" s="2" t="n">
        <f>61884</f>
        <v>61884.0</v>
      </c>
    </row>
    <row r="100">
      <c r="A100" s="8" t="s">
        <v>23</v>
      </c>
      <c r="B100" s="9" t="s">
        <v>54</v>
      </c>
      <c r="C100" s="9" t="s">
        <v>55</v>
      </c>
      <c r="D100" s="10"/>
      <c r="E100" s="2" t="n">
        <f>26667</f>
        <v>26667.0</v>
      </c>
      <c r="F100" s="10"/>
      <c r="G100" s="2" t="n">
        <f>54520703950</f>
        <v>5.452070395E10</v>
      </c>
      <c r="H100" s="10"/>
      <c r="I100" s="2" t="n">
        <f>4727</f>
        <v>4727.0</v>
      </c>
      <c r="J100" s="10"/>
      <c r="K100" s="2" t="n">
        <f>61710</f>
        <v>61710.0</v>
      </c>
    </row>
    <row r="101">
      <c r="A101" s="8" t="s">
        <v>24</v>
      </c>
      <c r="B101" s="9" t="s">
        <v>54</v>
      </c>
      <c r="C101" s="9" t="s">
        <v>55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25</v>
      </c>
      <c r="B102" s="9" t="s">
        <v>54</v>
      </c>
      <c r="C102" s="9" t="s">
        <v>55</v>
      </c>
      <c r="D102" s="10"/>
      <c r="E102" s="2"/>
      <c r="F102" s="10"/>
      <c r="G102" s="2"/>
      <c r="H102" s="10"/>
      <c r="I102" s="2"/>
      <c r="J102" s="10"/>
      <c r="K102" s="2"/>
    </row>
    <row r="103">
      <c r="A103" s="8" t="s">
        <v>26</v>
      </c>
      <c r="B103" s="9" t="s">
        <v>54</v>
      </c>
      <c r="C103" s="9" t="s">
        <v>55</v>
      </c>
      <c r="D103" s="10"/>
      <c r="E103" s="2" t="n">
        <f>19952</f>
        <v>19952.0</v>
      </c>
      <c r="F103" s="10"/>
      <c r="G103" s="2" t="n">
        <f>40750486800</f>
        <v>4.07504868E10</v>
      </c>
      <c r="H103" s="10"/>
      <c r="I103" s="2" t="n">
        <f>3486</f>
        <v>3486.0</v>
      </c>
      <c r="J103" s="10"/>
      <c r="K103" s="2" t="n">
        <f>61680</f>
        <v>61680.0</v>
      </c>
    </row>
    <row r="104">
      <c r="A104" s="8" t="s">
        <v>27</v>
      </c>
      <c r="B104" s="9" t="s">
        <v>54</v>
      </c>
      <c r="C104" s="9" t="s">
        <v>55</v>
      </c>
      <c r="D104" s="10"/>
      <c r="E104" s="2" t="n">
        <f>24526</f>
        <v>24526.0</v>
      </c>
      <c r="F104" s="10"/>
      <c r="G104" s="2" t="n">
        <f>49846363300</f>
        <v>4.98463633E10</v>
      </c>
      <c r="H104" s="10"/>
      <c r="I104" s="2" t="n">
        <f>3108</f>
        <v>3108.0</v>
      </c>
      <c r="J104" s="10"/>
      <c r="K104" s="2" t="n">
        <f>62259</f>
        <v>62259.0</v>
      </c>
    </row>
    <row r="105">
      <c r="A105" s="8" t="s">
        <v>28</v>
      </c>
      <c r="B105" s="9" t="s">
        <v>54</v>
      </c>
      <c r="C105" s="9" t="s">
        <v>55</v>
      </c>
      <c r="D105" s="10"/>
      <c r="E105" s="2" t="n">
        <f>23217</f>
        <v>23217.0</v>
      </c>
      <c r="F105" s="10"/>
      <c r="G105" s="2" t="n">
        <f>46814217520</f>
        <v>4.681421752E10</v>
      </c>
      <c r="H105" s="10"/>
      <c r="I105" s="2" t="n">
        <f>3261</f>
        <v>3261.0</v>
      </c>
      <c r="J105" s="10"/>
      <c r="K105" s="2" t="n">
        <f>61857</f>
        <v>61857.0</v>
      </c>
    </row>
    <row r="106">
      <c r="A106" s="8" t="s">
        <v>29</v>
      </c>
      <c r="B106" s="9" t="s">
        <v>54</v>
      </c>
      <c r="C106" s="9" t="s">
        <v>55</v>
      </c>
      <c r="D106" s="10"/>
      <c r="E106" s="2" t="n">
        <f>26583</f>
        <v>26583.0</v>
      </c>
      <c r="F106" s="10"/>
      <c r="G106" s="2" t="n">
        <f>53536619750</f>
        <v>5.353661975E10</v>
      </c>
      <c r="H106" s="10"/>
      <c r="I106" s="2" t="n">
        <f>4022</f>
        <v>4022.0</v>
      </c>
      <c r="J106" s="10"/>
      <c r="K106" s="2" t="n">
        <f>61781</f>
        <v>61781.0</v>
      </c>
    </row>
    <row r="107">
      <c r="A107" s="8" t="s">
        <v>30</v>
      </c>
      <c r="B107" s="9" t="s">
        <v>54</v>
      </c>
      <c r="C107" s="9" t="s">
        <v>55</v>
      </c>
      <c r="D107" s="10"/>
      <c r="E107" s="2" t="n">
        <f>25831</f>
        <v>25831.0</v>
      </c>
      <c r="F107" s="10"/>
      <c r="G107" s="2" t="n">
        <f>52536524500</f>
        <v>5.25365245E10</v>
      </c>
      <c r="H107" s="10"/>
      <c r="I107" s="2" t="n">
        <f>3143</f>
        <v>3143.0</v>
      </c>
      <c r="J107" s="10"/>
      <c r="K107" s="2" t="n">
        <f>62840</f>
        <v>62840.0</v>
      </c>
    </row>
    <row r="108">
      <c r="A108" s="8" t="s">
        <v>31</v>
      </c>
      <c r="B108" s="9" t="s">
        <v>54</v>
      </c>
      <c r="C108" s="9" t="s">
        <v>55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32</v>
      </c>
      <c r="B109" s="9" t="s">
        <v>54</v>
      </c>
      <c r="C109" s="9" t="s">
        <v>55</v>
      </c>
      <c r="D109" s="10"/>
      <c r="E109" s="2"/>
      <c r="F109" s="10"/>
      <c r="G109" s="2"/>
      <c r="H109" s="10"/>
      <c r="I109" s="2"/>
      <c r="J109" s="10"/>
      <c r="K109" s="2"/>
    </row>
    <row r="110">
      <c r="A110" s="8" t="s">
        <v>33</v>
      </c>
      <c r="B110" s="9" t="s">
        <v>54</v>
      </c>
      <c r="C110" s="9" t="s">
        <v>55</v>
      </c>
      <c r="D110" s="10" t="s">
        <v>19</v>
      </c>
      <c r="E110" s="2" t="n">
        <f>18164</f>
        <v>18164.0</v>
      </c>
      <c r="F110" s="10" t="s">
        <v>19</v>
      </c>
      <c r="G110" s="2" t="n">
        <f>37190793450</f>
        <v>3.719079345E10</v>
      </c>
      <c r="H110" s="10"/>
      <c r="I110" s="2" t="n">
        <f>2713</f>
        <v>2713.0</v>
      </c>
      <c r="J110" s="10"/>
      <c r="K110" s="2" t="n">
        <f>62409</f>
        <v>62409.0</v>
      </c>
    </row>
    <row r="111">
      <c r="A111" s="8" t="s">
        <v>34</v>
      </c>
      <c r="B111" s="9" t="s">
        <v>54</v>
      </c>
      <c r="C111" s="9" t="s">
        <v>55</v>
      </c>
      <c r="D111" s="10"/>
      <c r="E111" s="2" t="n">
        <f>23775</f>
        <v>23775.0</v>
      </c>
      <c r="F111" s="10"/>
      <c r="G111" s="2" t="n">
        <f>48768450950</f>
        <v>4.876845095E10</v>
      </c>
      <c r="H111" s="10"/>
      <c r="I111" s="2" t="n">
        <f>3198</f>
        <v>3198.0</v>
      </c>
      <c r="J111" s="10"/>
      <c r="K111" s="2" t="n">
        <f>62258</f>
        <v>62258.0</v>
      </c>
    </row>
    <row r="112">
      <c r="A112" s="8" t="s">
        <v>35</v>
      </c>
      <c r="B112" s="9" t="s">
        <v>54</v>
      </c>
      <c r="C112" s="9" t="s">
        <v>55</v>
      </c>
      <c r="D112" s="10"/>
      <c r="E112" s="2" t="n">
        <f>21193</f>
        <v>21193.0</v>
      </c>
      <c r="F112" s="10"/>
      <c r="G112" s="2" t="n">
        <f>43328373300</f>
        <v>4.33283733E10</v>
      </c>
      <c r="H112" s="10"/>
      <c r="I112" s="2" t="n">
        <f>2548</f>
        <v>2548.0</v>
      </c>
      <c r="J112" s="10"/>
      <c r="K112" s="2" t="n">
        <f>60823</f>
        <v>60823.0</v>
      </c>
    </row>
    <row r="113">
      <c r="A113" s="8" t="s">
        <v>36</v>
      </c>
      <c r="B113" s="9" t="s">
        <v>54</v>
      </c>
      <c r="C113" s="9" t="s">
        <v>55</v>
      </c>
      <c r="D113" s="10"/>
      <c r="E113" s="2" t="n">
        <f>25481</f>
        <v>25481.0</v>
      </c>
      <c r="F113" s="10"/>
      <c r="G113" s="2" t="n">
        <f>51820656000</f>
        <v>5.1820656E10</v>
      </c>
      <c r="H113" s="10"/>
      <c r="I113" s="2" t="n">
        <f>2807</f>
        <v>2807.0</v>
      </c>
      <c r="J113" s="10"/>
      <c r="K113" s="2" t="n">
        <f>61229</f>
        <v>61229.0</v>
      </c>
    </row>
    <row r="114">
      <c r="A114" s="8" t="s">
        <v>37</v>
      </c>
      <c r="B114" s="9" t="s">
        <v>54</v>
      </c>
      <c r="C114" s="9" t="s">
        <v>55</v>
      </c>
      <c r="D114" s="10"/>
      <c r="E114" s="2" t="n">
        <f>23082</f>
        <v>23082.0</v>
      </c>
      <c r="F114" s="10"/>
      <c r="G114" s="2" t="n">
        <f>47051917900</f>
        <v>4.70519179E10</v>
      </c>
      <c r="H114" s="10"/>
      <c r="I114" s="2" t="n">
        <f>2988</f>
        <v>2988.0</v>
      </c>
      <c r="J114" s="10"/>
      <c r="K114" s="2" t="n">
        <f>62472</f>
        <v>62472.0</v>
      </c>
    </row>
    <row r="115">
      <c r="A115" s="8" t="s">
        <v>38</v>
      </c>
      <c r="B115" s="9" t="s">
        <v>54</v>
      </c>
      <c r="C115" s="9" t="s">
        <v>55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39</v>
      </c>
      <c r="B116" s="9" t="s">
        <v>54</v>
      </c>
      <c r="C116" s="9" t="s">
        <v>55</v>
      </c>
      <c r="D116" s="10"/>
      <c r="E116" s="2"/>
      <c r="F116" s="10"/>
      <c r="G116" s="2"/>
      <c r="H116" s="10"/>
      <c r="I116" s="2"/>
      <c r="J116" s="10"/>
      <c r="K116" s="2"/>
    </row>
    <row r="117">
      <c r="A117" s="8" t="s">
        <v>40</v>
      </c>
      <c r="B117" s="9" t="s">
        <v>54</v>
      </c>
      <c r="C117" s="9" t="s">
        <v>55</v>
      </c>
      <c r="D117" s="10"/>
      <c r="E117" s="2" t="n">
        <f>23358</f>
        <v>23358.0</v>
      </c>
      <c r="F117" s="10"/>
      <c r="G117" s="2" t="n">
        <f>47563701610</f>
        <v>4.756370161E10</v>
      </c>
      <c r="H117" s="10"/>
      <c r="I117" s="2" t="n">
        <f>2805</f>
        <v>2805.0</v>
      </c>
      <c r="J117" s="10" t="s">
        <v>48</v>
      </c>
      <c r="K117" s="2" t="n">
        <f>63804</f>
        <v>63804.0</v>
      </c>
    </row>
    <row r="118">
      <c r="A118" s="8" t="s">
        <v>41</v>
      </c>
      <c r="B118" s="9" t="s">
        <v>54</v>
      </c>
      <c r="C118" s="9" t="s">
        <v>55</v>
      </c>
      <c r="D118" s="10"/>
      <c r="E118" s="2"/>
      <c r="F118" s="10"/>
      <c r="G118" s="2"/>
      <c r="H118" s="10"/>
      <c r="I118" s="2"/>
      <c r="J118" s="10"/>
      <c r="K118" s="2"/>
    </row>
    <row r="119">
      <c r="A119" s="8" t="s">
        <v>42</v>
      </c>
      <c r="B119" s="9" t="s">
        <v>54</v>
      </c>
      <c r="C119" s="9" t="s">
        <v>55</v>
      </c>
      <c r="D119" s="10"/>
      <c r="E119" s="2" t="n">
        <f>30613</f>
        <v>30613.0</v>
      </c>
      <c r="F119" s="10"/>
      <c r="G119" s="2" t="n">
        <f>62231190150</f>
        <v>6.223119015E10</v>
      </c>
      <c r="H119" s="10"/>
      <c r="I119" s="2" t="n">
        <f>4182</f>
        <v>4182.0</v>
      </c>
      <c r="J119" s="10"/>
      <c r="K119" s="2" t="n">
        <f>62673</f>
        <v>62673.0</v>
      </c>
    </row>
    <row r="120">
      <c r="A120" s="8" t="s">
        <v>43</v>
      </c>
      <c r="B120" s="9" t="s">
        <v>54</v>
      </c>
      <c r="C120" s="9" t="s">
        <v>55</v>
      </c>
      <c r="D120" s="10"/>
      <c r="E120" s="2" t="n">
        <f>22630</f>
        <v>22630.0</v>
      </c>
      <c r="F120" s="10"/>
      <c r="G120" s="2" t="n">
        <f>45810634410</f>
        <v>4.581063441E10</v>
      </c>
      <c r="H120" s="10" t="s">
        <v>19</v>
      </c>
      <c r="I120" s="2" t="n">
        <f>2525</f>
        <v>2525.0</v>
      </c>
      <c r="J120" s="10"/>
      <c r="K120" s="2" t="n">
        <f>62906</f>
        <v>62906.0</v>
      </c>
    </row>
    <row r="121">
      <c r="A121" s="8" t="s">
        <v>44</v>
      </c>
      <c r="B121" s="9" t="s">
        <v>54</v>
      </c>
      <c r="C121" s="9" t="s">
        <v>55</v>
      </c>
      <c r="D121" s="10"/>
      <c r="E121" s="2" t="n">
        <f>36157</f>
        <v>36157.0</v>
      </c>
      <c r="F121" s="10"/>
      <c r="G121" s="2" t="n">
        <f>72038014050</f>
        <v>7.203801405E10</v>
      </c>
      <c r="H121" s="10"/>
      <c r="I121" s="2" t="n">
        <f>3952</f>
        <v>3952.0</v>
      </c>
      <c r="J121" s="10"/>
      <c r="K121" s="2" t="n">
        <f>62208</f>
        <v>62208.0</v>
      </c>
    </row>
    <row r="122">
      <c r="A122" s="8" t="s">
        <v>45</v>
      </c>
      <c r="B122" s="9" t="s">
        <v>54</v>
      </c>
      <c r="C122" s="9" t="s">
        <v>55</v>
      </c>
      <c r="D122" s="10"/>
      <c r="E122" s="2"/>
      <c r="F122" s="10"/>
      <c r="G122" s="2"/>
      <c r="H122" s="10"/>
      <c r="I122" s="2"/>
      <c r="J122" s="10"/>
      <c r="K122" s="2"/>
    </row>
    <row r="123">
      <c r="A123" s="8" t="s">
        <v>46</v>
      </c>
      <c r="B123" s="9" t="s">
        <v>54</v>
      </c>
      <c r="C123" s="9" t="s">
        <v>55</v>
      </c>
      <c r="D123" s="10"/>
      <c r="E123" s="2"/>
      <c r="F123" s="10"/>
      <c r="G123" s="2"/>
      <c r="H123" s="10"/>
      <c r="I123" s="2"/>
      <c r="J123" s="10"/>
      <c r="K123" s="2"/>
    </row>
    <row r="124">
      <c r="A124" s="8" t="s">
        <v>47</v>
      </c>
      <c r="B124" s="9" t="s">
        <v>54</v>
      </c>
      <c r="C124" s="9" t="s">
        <v>55</v>
      </c>
      <c r="D124" s="10" t="s">
        <v>48</v>
      </c>
      <c r="E124" s="2" t="n">
        <f>74828</f>
        <v>74828.0</v>
      </c>
      <c r="F124" s="10" t="s">
        <v>48</v>
      </c>
      <c r="G124" s="2" t="n">
        <f>146457163200</f>
        <v>1.464571632E11</v>
      </c>
      <c r="H124" s="10" t="s">
        <v>48</v>
      </c>
      <c r="I124" s="2" t="n">
        <f>9096</f>
        <v>9096.0</v>
      </c>
      <c r="J124" s="10"/>
      <c r="K124" s="2" t="n">
        <f>60281</f>
        <v>60281.0</v>
      </c>
    </row>
    <row r="125">
      <c r="A125" s="8" t="s">
        <v>49</v>
      </c>
      <c r="B125" s="9" t="s">
        <v>54</v>
      </c>
      <c r="C125" s="9" t="s">
        <v>55</v>
      </c>
      <c r="D125" s="10"/>
      <c r="E125" s="2" t="n">
        <f>66312</f>
        <v>66312.0</v>
      </c>
      <c r="F125" s="10"/>
      <c r="G125" s="2" t="n">
        <f>129191358680</f>
        <v>1.2919135868E11</v>
      </c>
      <c r="H125" s="10"/>
      <c r="I125" s="2" t="n">
        <f>6945</f>
        <v>6945.0</v>
      </c>
      <c r="J125" s="10" t="s">
        <v>19</v>
      </c>
      <c r="K125" s="2" t="n">
        <f>59014</f>
        <v>59014.0</v>
      </c>
    </row>
    <row r="126">
      <c r="A126" s="8" t="s">
        <v>16</v>
      </c>
      <c r="B126" s="9" t="s">
        <v>56</v>
      </c>
      <c r="C126" s="9" t="s">
        <v>57</v>
      </c>
      <c r="D126" s="10"/>
      <c r="E126" s="2" t="n">
        <f>12983</f>
        <v>12983.0</v>
      </c>
      <c r="F126" s="10"/>
      <c r="G126" s="2" t="n">
        <f>23720564900</f>
        <v>2.37205649E10</v>
      </c>
      <c r="H126" s="10"/>
      <c r="I126" s="2" t="n">
        <f>868</f>
        <v>868.0</v>
      </c>
      <c r="J126" s="10"/>
      <c r="K126" s="2" t="n">
        <f>63575</f>
        <v>63575.0</v>
      </c>
    </row>
    <row r="127">
      <c r="A127" s="8" t="s">
        <v>20</v>
      </c>
      <c r="B127" s="9" t="s">
        <v>56</v>
      </c>
      <c r="C127" s="9" t="s">
        <v>57</v>
      </c>
      <c r="D127" s="10"/>
      <c r="E127" s="2" t="n">
        <f>8557</f>
        <v>8557.0</v>
      </c>
      <c r="F127" s="10"/>
      <c r="G127" s="2" t="n">
        <f>15688300800</f>
        <v>1.56883008E10</v>
      </c>
      <c r="H127" s="10"/>
      <c r="I127" s="2" t="n">
        <f>488</f>
        <v>488.0</v>
      </c>
      <c r="J127" s="10"/>
      <c r="K127" s="2" t="n">
        <f>63414</f>
        <v>63414.0</v>
      </c>
    </row>
    <row r="128">
      <c r="A128" s="8" t="s">
        <v>21</v>
      </c>
      <c r="B128" s="9" t="s">
        <v>56</v>
      </c>
      <c r="C128" s="9" t="s">
        <v>57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22</v>
      </c>
      <c r="B129" s="9" t="s">
        <v>56</v>
      </c>
      <c r="C129" s="9" t="s">
        <v>57</v>
      </c>
      <c r="D129" s="10"/>
      <c r="E129" s="2" t="n">
        <f>7653</f>
        <v>7653.0</v>
      </c>
      <c r="F129" s="10"/>
      <c r="G129" s="2" t="n">
        <f>14098716064</f>
        <v>1.4098716064E10</v>
      </c>
      <c r="H129" s="10"/>
      <c r="I129" s="2" t="n">
        <f>245</f>
        <v>245.0</v>
      </c>
      <c r="J129" s="10"/>
      <c r="K129" s="2" t="n">
        <f>63381</f>
        <v>63381.0</v>
      </c>
    </row>
    <row r="130">
      <c r="A130" s="8" t="s">
        <v>23</v>
      </c>
      <c r="B130" s="9" t="s">
        <v>56</v>
      </c>
      <c r="C130" s="9" t="s">
        <v>57</v>
      </c>
      <c r="D130" s="10"/>
      <c r="E130" s="2" t="n">
        <f>9848</f>
        <v>9848.0</v>
      </c>
      <c r="F130" s="10"/>
      <c r="G130" s="2" t="n">
        <f>18144815400</f>
        <v>1.81448154E10</v>
      </c>
      <c r="H130" s="10"/>
      <c r="I130" s="2" t="n">
        <f>742</f>
        <v>742.0</v>
      </c>
      <c r="J130" s="10"/>
      <c r="K130" s="2" t="n">
        <f>63037</f>
        <v>63037.0</v>
      </c>
    </row>
    <row r="131">
      <c r="A131" s="8" t="s">
        <v>24</v>
      </c>
      <c r="B131" s="9" t="s">
        <v>56</v>
      </c>
      <c r="C131" s="9" t="s">
        <v>57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25</v>
      </c>
      <c r="B132" s="9" t="s">
        <v>56</v>
      </c>
      <c r="C132" s="9" t="s">
        <v>57</v>
      </c>
      <c r="D132" s="10"/>
      <c r="E132" s="2"/>
      <c r="F132" s="10"/>
      <c r="G132" s="2"/>
      <c r="H132" s="10"/>
      <c r="I132" s="2"/>
      <c r="J132" s="10"/>
      <c r="K132" s="2"/>
    </row>
    <row r="133">
      <c r="A133" s="8" t="s">
        <v>26</v>
      </c>
      <c r="B133" s="9" t="s">
        <v>56</v>
      </c>
      <c r="C133" s="9" t="s">
        <v>57</v>
      </c>
      <c r="D133" s="10" t="s">
        <v>19</v>
      </c>
      <c r="E133" s="2" t="n">
        <f>6668</f>
        <v>6668.0</v>
      </c>
      <c r="F133" s="10" t="s">
        <v>19</v>
      </c>
      <c r="G133" s="2" t="n">
        <f>12267443500</f>
        <v>1.22674435E10</v>
      </c>
      <c r="H133" s="10"/>
      <c r="I133" s="2" t="n">
        <f>213</f>
        <v>213.0</v>
      </c>
      <c r="J133" s="10"/>
      <c r="K133" s="2" t="n">
        <f>62636</f>
        <v>62636.0</v>
      </c>
    </row>
    <row r="134">
      <c r="A134" s="8" t="s">
        <v>27</v>
      </c>
      <c r="B134" s="9" t="s">
        <v>56</v>
      </c>
      <c r="C134" s="9" t="s">
        <v>57</v>
      </c>
      <c r="D134" s="10"/>
      <c r="E134" s="2" t="n">
        <f>8202</f>
        <v>8202.0</v>
      </c>
      <c r="F134" s="10"/>
      <c r="G134" s="2" t="n">
        <f>15021605000</f>
        <v>1.5021605E10</v>
      </c>
      <c r="H134" s="10"/>
      <c r="I134" s="2" t="n">
        <f>491</f>
        <v>491.0</v>
      </c>
      <c r="J134" s="10"/>
      <c r="K134" s="2" t="n">
        <f>62675</f>
        <v>62675.0</v>
      </c>
    </row>
    <row r="135">
      <c r="A135" s="8" t="s">
        <v>28</v>
      </c>
      <c r="B135" s="9" t="s">
        <v>56</v>
      </c>
      <c r="C135" s="9" t="s">
        <v>57</v>
      </c>
      <c r="D135" s="10"/>
      <c r="E135" s="2" t="n">
        <f>6941</f>
        <v>6941.0</v>
      </c>
      <c r="F135" s="10"/>
      <c r="G135" s="2" t="n">
        <f>12610079628</f>
        <v>1.2610079628E10</v>
      </c>
      <c r="H135" s="10"/>
      <c r="I135" s="2" t="n">
        <f>375</f>
        <v>375.0</v>
      </c>
      <c r="J135" s="10"/>
      <c r="K135" s="2" t="n">
        <f>62376</f>
        <v>62376.0</v>
      </c>
    </row>
    <row r="136">
      <c r="A136" s="8" t="s">
        <v>29</v>
      </c>
      <c r="B136" s="9" t="s">
        <v>56</v>
      </c>
      <c r="C136" s="9" t="s">
        <v>57</v>
      </c>
      <c r="D136" s="10"/>
      <c r="E136" s="2" t="n">
        <f>7234</f>
        <v>7234.0</v>
      </c>
      <c r="F136" s="10"/>
      <c r="G136" s="2" t="n">
        <f>13121174500</f>
        <v>1.31211745E10</v>
      </c>
      <c r="H136" s="10"/>
      <c r="I136" s="2" t="n">
        <f>392</f>
        <v>392.0</v>
      </c>
      <c r="J136" s="10"/>
      <c r="K136" s="2" t="n">
        <f>62506</f>
        <v>62506.0</v>
      </c>
    </row>
    <row r="137">
      <c r="A137" s="8" t="s">
        <v>30</v>
      </c>
      <c r="B137" s="9" t="s">
        <v>56</v>
      </c>
      <c r="C137" s="9" t="s">
        <v>57</v>
      </c>
      <c r="D137" s="10"/>
      <c r="E137" s="2" t="n">
        <f>7400</f>
        <v>7400.0</v>
      </c>
      <c r="F137" s="10"/>
      <c r="G137" s="2" t="n">
        <f>13549470000</f>
        <v>1.354947E10</v>
      </c>
      <c r="H137" s="10"/>
      <c r="I137" s="2" t="n">
        <f>306</f>
        <v>306.0</v>
      </c>
      <c r="J137" s="10"/>
      <c r="K137" s="2" t="n">
        <f>63294</f>
        <v>63294.0</v>
      </c>
    </row>
    <row r="138">
      <c r="A138" s="8" t="s">
        <v>31</v>
      </c>
      <c r="B138" s="9" t="s">
        <v>56</v>
      </c>
      <c r="C138" s="9" t="s">
        <v>57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32</v>
      </c>
      <c r="B139" s="9" t="s">
        <v>56</v>
      </c>
      <c r="C139" s="9" t="s">
        <v>57</v>
      </c>
      <c r="D139" s="10"/>
      <c r="E139" s="2"/>
      <c r="F139" s="10"/>
      <c r="G139" s="2"/>
      <c r="H139" s="10"/>
      <c r="I139" s="2"/>
      <c r="J139" s="10"/>
      <c r="K139" s="2"/>
    </row>
    <row r="140">
      <c r="A140" s="8" t="s">
        <v>33</v>
      </c>
      <c r="B140" s="9" t="s">
        <v>56</v>
      </c>
      <c r="C140" s="9" t="s">
        <v>57</v>
      </c>
      <c r="D140" s="10"/>
      <c r="E140" s="2" t="n">
        <f>6926</f>
        <v>6926.0</v>
      </c>
      <c r="F140" s="10"/>
      <c r="G140" s="2" t="n">
        <f>12776297920</f>
        <v>1.277629792E10</v>
      </c>
      <c r="H140" s="10"/>
      <c r="I140" s="2" t="n">
        <f>268</f>
        <v>268.0</v>
      </c>
      <c r="J140" s="10"/>
      <c r="K140" s="2" t="n">
        <f>63361</f>
        <v>63361.0</v>
      </c>
    </row>
    <row r="141">
      <c r="A141" s="8" t="s">
        <v>34</v>
      </c>
      <c r="B141" s="9" t="s">
        <v>56</v>
      </c>
      <c r="C141" s="9" t="s">
        <v>57</v>
      </c>
      <c r="D141" s="10"/>
      <c r="E141" s="2" t="n">
        <f>8107</f>
        <v>8107.0</v>
      </c>
      <c r="F141" s="10"/>
      <c r="G141" s="2" t="n">
        <f>14985295000</f>
        <v>1.4985295E10</v>
      </c>
      <c r="H141" s="10"/>
      <c r="I141" s="2" t="n">
        <f>271</f>
        <v>271.0</v>
      </c>
      <c r="J141" s="10"/>
      <c r="K141" s="2" t="n">
        <f>63838</f>
        <v>63838.0</v>
      </c>
    </row>
    <row r="142">
      <c r="A142" s="8" t="s">
        <v>35</v>
      </c>
      <c r="B142" s="9" t="s">
        <v>56</v>
      </c>
      <c r="C142" s="9" t="s">
        <v>57</v>
      </c>
      <c r="D142" s="10"/>
      <c r="E142" s="2" t="n">
        <f>6759</f>
        <v>6759.0</v>
      </c>
      <c r="F142" s="10"/>
      <c r="G142" s="2" t="n">
        <f>12455755000</f>
        <v>1.2455755E10</v>
      </c>
      <c r="H142" s="10"/>
      <c r="I142" s="2" t="n">
        <f>361</f>
        <v>361.0</v>
      </c>
      <c r="J142" s="10"/>
      <c r="K142" s="2" t="n">
        <f>63045</f>
        <v>63045.0</v>
      </c>
    </row>
    <row r="143">
      <c r="A143" s="8" t="s">
        <v>36</v>
      </c>
      <c r="B143" s="9" t="s">
        <v>56</v>
      </c>
      <c r="C143" s="9" t="s">
        <v>57</v>
      </c>
      <c r="D143" s="10"/>
      <c r="E143" s="2" t="n">
        <f>8347</f>
        <v>8347.0</v>
      </c>
      <c r="F143" s="10"/>
      <c r="G143" s="2" t="n">
        <f>15304430000</f>
        <v>1.530443E10</v>
      </c>
      <c r="H143" s="10" t="s">
        <v>19</v>
      </c>
      <c r="I143" s="2" t="n">
        <f>188</f>
        <v>188.0</v>
      </c>
      <c r="J143" s="10" t="s">
        <v>19</v>
      </c>
      <c r="K143" s="2" t="n">
        <f>62203</f>
        <v>62203.0</v>
      </c>
    </row>
    <row r="144">
      <c r="A144" s="8" t="s">
        <v>37</v>
      </c>
      <c r="B144" s="9" t="s">
        <v>56</v>
      </c>
      <c r="C144" s="9" t="s">
        <v>57</v>
      </c>
      <c r="D144" s="10"/>
      <c r="E144" s="2" t="n">
        <f>7517</f>
        <v>7517.0</v>
      </c>
      <c r="F144" s="10"/>
      <c r="G144" s="2" t="n">
        <f>13819502500</f>
        <v>1.38195025E10</v>
      </c>
      <c r="H144" s="10"/>
      <c r="I144" s="2" t="n">
        <f>905</f>
        <v>905.0</v>
      </c>
      <c r="J144" s="10"/>
      <c r="K144" s="2" t="n">
        <f>62441</f>
        <v>62441.0</v>
      </c>
    </row>
    <row r="145">
      <c r="A145" s="8" t="s">
        <v>38</v>
      </c>
      <c r="B145" s="9" t="s">
        <v>56</v>
      </c>
      <c r="C145" s="9" t="s">
        <v>57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39</v>
      </c>
      <c r="B146" s="9" t="s">
        <v>56</v>
      </c>
      <c r="C146" s="9" t="s">
        <v>57</v>
      </c>
      <c r="D146" s="10"/>
      <c r="E146" s="2"/>
      <c r="F146" s="10"/>
      <c r="G146" s="2"/>
      <c r="H146" s="10"/>
      <c r="I146" s="2"/>
      <c r="J146" s="10"/>
      <c r="K146" s="2"/>
    </row>
    <row r="147">
      <c r="A147" s="8" t="s">
        <v>40</v>
      </c>
      <c r="B147" s="9" t="s">
        <v>56</v>
      </c>
      <c r="C147" s="9" t="s">
        <v>57</v>
      </c>
      <c r="D147" s="10"/>
      <c r="E147" s="2" t="n">
        <f>8904</f>
        <v>8904.0</v>
      </c>
      <c r="F147" s="10"/>
      <c r="G147" s="2" t="n">
        <f>16391626748</f>
        <v>1.6391626748E10</v>
      </c>
      <c r="H147" s="10"/>
      <c r="I147" s="2" t="n">
        <f>392</f>
        <v>392.0</v>
      </c>
      <c r="J147" s="10"/>
      <c r="K147" s="2" t="n">
        <f>63755</f>
        <v>63755.0</v>
      </c>
    </row>
    <row r="148">
      <c r="A148" s="8" t="s">
        <v>41</v>
      </c>
      <c r="B148" s="9" t="s">
        <v>56</v>
      </c>
      <c r="C148" s="9" t="s">
        <v>57</v>
      </c>
      <c r="D148" s="10"/>
      <c r="E148" s="2"/>
      <c r="F148" s="10"/>
      <c r="G148" s="2"/>
      <c r="H148" s="10"/>
      <c r="I148" s="2"/>
      <c r="J148" s="10"/>
      <c r="K148" s="2"/>
    </row>
    <row r="149">
      <c r="A149" s="8" t="s">
        <v>42</v>
      </c>
      <c r="B149" s="9" t="s">
        <v>56</v>
      </c>
      <c r="C149" s="9" t="s">
        <v>57</v>
      </c>
      <c r="D149" s="10"/>
      <c r="E149" s="2" t="n">
        <f>10621</f>
        <v>10621.0</v>
      </c>
      <c r="F149" s="10"/>
      <c r="G149" s="2" t="n">
        <f>19484016000</f>
        <v>1.9484016E10</v>
      </c>
      <c r="H149" s="10"/>
      <c r="I149" s="2" t="n">
        <f>649</f>
        <v>649.0</v>
      </c>
      <c r="J149" s="10"/>
      <c r="K149" s="2" t="n">
        <f>63537</f>
        <v>63537.0</v>
      </c>
    </row>
    <row r="150">
      <c r="A150" s="8" t="s">
        <v>43</v>
      </c>
      <c r="B150" s="9" t="s">
        <v>56</v>
      </c>
      <c r="C150" s="9" t="s">
        <v>57</v>
      </c>
      <c r="D150" s="10"/>
      <c r="E150" s="2" t="n">
        <f>8138</f>
        <v>8138.0</v>
      </c>
      <c r="F150" s="10"/>
      <c r="G150" s="2" t="n">
        <f>14863254000</f>
        <v>1.4863254E10</v>
      </c>
      <c r="H150" s="10"/>
      <c r="I150" s="2" t="n">
        <f>1494</f>
        <v>1494.0</v>
      </c>
      <c r="J150" s="10"/>
      <c r="K150" s="2" t="n">
        <f>64016</f>
        <v>64016.0</v>
      </c>
    </row>
    <row r="151">
      <c r="A151" s="8" t="s">
        <v>44</v>
      </c>
      <c r="B151" s="9" t="s">
        <v>56</v>
      </c>
      <c r="C151" s="9" t="s">
        <v>57</v>
      </c>
      <c r="D151" s="10"/>
      <c r="E151" s="2" t="n">
        <f>12156</f>
        <v>12156.0</v>
      </c>
      <c r="F151" s="10"/>
      <c r="G151" s="2" t="n">
        <f>21879995500</f>
        <v>2.18799955E10</v>
      </c>
      <c r="H151" s="10"/>
      <c r="I151" s="2" t="n">
        <f>424</f>
        <v>424.0</v>
      </c>
      <c r="J151" s="10"/>
      <c r="K151" s="2" t="n">
        <f>63935</f>
        <v>63935.0</v>
      </c>
    </row>
    <row r="152">
      <c r="A152" s="8" t="s">
        <v>45</v>
      </c>
      <c r="B152" s="9" t="s">
        <v>56</v>
      </c>
      <c r="C152" s="9" t="s">
        <v>57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46</v>
      </c>
      <c r="B153" s="9" t="s">
        <v>56</v>
      </c>
      <c r="C153" s="9" t="s">
        <v>57</v>
      </c>
      <c r="D153" s="10"/>
      <c r="E153" s="2"/>
      <c r="F153" s="10"/>
      <c r="G153" s="2"/>
      <c r="H153" s="10"/>
      <c r="I153" s="2"/>
      <c r="J153" s="10"/>
      <c r="K153" s="2"/>
    </row>
    <row r="154">
      <c r="A154" s="8" t="s">
        <v>47</v>
      </c>
      <c r="B154" s="9" t="s">
        <v>56</v>
      </c>
      <c r="C154" s="9" t="s">
        <v>57</v>
      </c>
      <c r="D154" s="10" t="s">
        <v>48</v>
      </c>
      <c r="E154" s="2" t="n">
        <f>23694</f>
        <v>23694.0</v>
      </c>
      <c r="F154" s="10" t="s">
        <v>48</v>
      </c>
      <c r="G154" s="2" t="n">
        <f>41884588700</f>
        <v>4.18845887E10</v>
      </c>
      <c r="H154" s="10"/>
      <c r="I154" s="2" t="n">
        <f>1059</f>
        <v>1059.0</v>
      </c>
      <c r="J154" s="10"/>
      <c r="K154" s="2" t="n">
        <f>63542</f>
        <v>63542.0</v>
      </c>
    </row>
    <row r="155">
      <c r="A155" s="8" t="s">
        <v>49</v>
      </c>
      <c r="B155" s="9" t="s">
        <v>56</v>
      </c>
      <c r="C155" s="9" t="s">
        <v>57</v>
      </c>
      <c r="D155" s="10"/>
      <c r="E155" s="2" t="n">
        <f>21359</f>
        <v>21359.0</v>
      </c>
      <c r="F155" s="10"/>
      <c r="G155" s="2" t="n">
        <f>37588661500</f>
        <v>3.75886615E10</v>
      </c>
      <c r="H155" s="10" t="s">
        <v>48</v>
      </c>
      <c r="I155" s="2" t="n">
        <f>1628</f>
        <v>1628.0</v>
      </c>
      <c r="J155" s="10" t="s">
        <v>48</v>
      </c>
      <c r="K155" s="2" t="n">
        <f>64249</f>
        <v>64249.0</v>
      </c>
    </row>
    <row r="156">
      <c r="A156" s="8" t="s">
        <v>16</v>
      </c>
      <c r="B156" s="9" t="s">
        <v>58</v>
      </c>
      <c r="C156" s="9" t="s">
        <v>59</v>
      </c>
      <c r="D156" s="10" t="s">
        <v>60</v>
      </c>
      <c r="E156" s="2" t="str">
        <f>"－"</f>
        <v>－</v>
      </c>
      <c r="F156" s="10" t="s">
        <v>60</v>
      </c>
      <c r="G156" s="2" t="str">
        <f>"－"</f>
        <v>－</v>
      </c>
      <c r="H156" s="10" t="s">
        <v>60</v>
      </c>
      <c r="I156" s="2" t="str">
        <f>"－"</f>
        <v>－</v>
      </c>
      <c r="J156" s="10" t="s">
        <v>60</v>
      </c>
      <c r="K156" s="2" t="n">
        <f>76</f>
        <v>76.0</v>
      </c>
    </row>
    <row r="157">
      <c r="A157" s="8" t="s">
        <v>20</v>
      </c>
      <c r="B157" s="9" t="s">
        <v>58</v>
      </c>
      <c r="C157" s="9" t="s">
        <v>59</v>
      </c>
      <c r="D157" s="10"/>
      <c r="E157" s="2" t="str">
        <f>"－"</f>
        <v>－</v>
      </c>
      <c r="F157" s="10"/>
      <c r="G157" s="2" t="str">
        <f>"－"</f>
        <v>－</v>
      </c>
      <c r="H157" s="10"/>
      <c r="I157" s="2" t="str">
        <f>"－"</f>
        <v>－</v>
      </c>
      <c r="J157" s="10"/>
      <c r="K157" s="2" t="n">
        <f>76</f>
        <v>76.0</v>
      </c>
    </row>
    <row r="158">
      <c r="A158" s="8" t="s">
        <v>21</v>
      </c>
      <c r="B158" s="9" t="s">
        <v>58</v>
      </c>
      <c r="C158" s="9" t="s">
        <v>59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22</v>
      </c>
      <c r="B159" s="9" t="s">
        <v>58</v>
      </c>
      <c r="C159" s="9" t="s">
        <v>59</v>
      </c>
      <c r="D159" s="10"/>
      <c r="E159" s="2" t="str">
        <f>"－"</f>
        <v>－</v>
      </c>
      <c r="F159" s="10"/>
      <c r="G159" s="2" t="str">
        <f>"－"</f>
        <v>－</v>
      </c>
      <c r="H159" s="10"/>
      <c r="I159" s="2" t="str">
        <f>"－"</f>
        <v>－</v>
      </c>
      <c r="J159" s="10"/>
      <c r="K159" s="2" t="n">
        <f>76</f>
        <v>76.0</v>
      </c>
    </row>
    <row r="160">
      <c r="A160" s="8" t="s">
        <v>23</v>
      </c>
      <c r="B160" s="9" t="s">
        <v>58</v>
      </c>
      <c r="C160" s="9" t="s">
        <v>59</v>
      </c>
      <c r="D160" s="10"/>
      <c r="E160" s="2" t="str">
        <f>"－"</f>
        <v>－</v>
      </c>
      <c r="F160" s="10"/>
      <c r="G160" s="2" t="str">
        <f>"－"</f>
        <v>－</v>
      </c>
      <c r="H160" s="10"/>
      <c r="I160" s="2" t="str">
        <f>"－"</f>
        <v>－</v>
      </c>
      <c r="J160" s="10"/>
      <c r="K160" s="2" t="n">
        <f>76</f>
        <v>76.0</v>
      </c>
    </row>
    <row r="161">
      <c r="A161" s="8" t="s">
        <v>24</v>
      </c>
      <c r="B161" s="9" t="s">
        <v>58</v>
      </c>
      <c r="C161" s="9" t="s">
        <v>59</v>
      </c>
      <c r="D161" s="10"/>
      <c r="E161" s="2"/>
      <c r="F161" s="10"/>
      <c r="G161" s="2"/>
      <c r="H161" s="10"/>
      <c r="I161" s="2"/>
      <c r="J161" s="10"/>
      <c r="K161" s="2"/>
    </row>
    <row r="162">
      <c r="A162" s="8" t="s">
        <v>25</v>
      </c>
      <c r="B162" s="9" t="s">
        <v>58</v>
      </c>
      <c r="C162" s="9" t="s">
        <v>59</v>
      </c>
      <c r="D162" s="10"/>
      <c r="E162" s="2"/>
      <c r="F162" s="10"/>
      <c r="G162" s="2"/>
      <c r="H162" s="10"/>
      <c r="I162" s="2"/>
      <c r="J162" s="10"/>
      <c r="K162" s="2"/>
    </row>
    <row r="163">
      <c r="A163" s="8" t="s">
        <v>26</v>
      </c>
      <c r="B163" s="9" t="s">
        <v>58</v>
      </c>
      <c r="C163" s="9" t="s">
        <v>59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76</f>
        <v>76.0</v>
      </c>
    </row>
    <row r="164">
      <c r="A164" s="8" t="s">
        <v>27</v>
      </c>
      <c r="B164" s="9" t="s">
        <v>58</v>
      </c>
      <c r="C164" s="9" t="s">
        <v>59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76</f>
        <v>76.0</v>
      </c>
    </row>
    <row r="165">
      <c r="A165" s="8" t="s">
        <v>28</v>
      </c>
      <c r="B165" s="9" t="s">
        <v>58</v>
      </c>
      <c r="C165" s="9" t="s">
        <v>59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76</f>
        <v>76.0</v>
      </c>
    </row>
    <row r="166">
      <c r="A166" s="8" t="s">
        <v>29</v>
      </c>
      <c r="B166" s="9" t="s">
        <v>58</v>
      </c>
      <c r="C166" s="9" t="s">
        <v>59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76</f>
        <v>76.0</v>
      </c>
    </row>
    <row r="167">
      <c r="A167" s="8" t="s">
        <v>30</v>
      </c>
      <c r="B167" s="9" t="s">
        <v>58</v>
      </c>
      <c r="C167" s="9" t="s">
        <v>59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76</f>
        <v>76.0</v>
      </c>
    </row>
    <row r="168">
      <c r="A168" s="8" t="s">
        <v>31</v>
      </c>
      <c r="B168" s="9" t="s">
        <v>58</v>
      </c>
      <c r="C168" s="9" t="s">
        <v>59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32</v>
      </c>
      <c r="B169" s="9" t="s">
        <v>58</v>
      </c>
      <c r="C169" s="9" t="s">
        <v>59</v>
      </c>
      <c r="D169" s="10"/>
      <c r="E169" s="2"/>
      <c r="F169" s="10"/>
      <c r="G169" s="2"/>
      <c r="H169" s="10"/>
      <c r="I169" s="2"/>
      <c r="J169" s="10"/>
      <c r="K169" s="2"/>
    </row>
    <row r="170">
      <c r="A170" s="8" t="s">
        <v>33</v>
      </c>
      <c r="B170" s="9" t="s">
        <v>58</v>
      </c>
      <c r="C170" s="9" t="s">
        <v>59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76</f>
        <v>76.0</v>
      </c>
    </row>
    <row r="171">
      <c r="A171" s="8" t="s">
        <v>34</v>
      </c>
      <c r="B171" s="9" t="s">
        <v>58</v>
      </c>
      <c r="C171" s="9" t="s">
        <v>59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76</f>
        <v>76.0</v>
      </c>
    </row>
    <row r="172">
      <c r="A172" s="8" t="s">
        <v>35</v>
      </c>
      <c r="B172" s="9" t="s">
        <v>58</v>
      </c>
      <c r="C172" s="9" t="s">
        <v>59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76</f>
        <v>76.0</v>
      </c>
    </row>
    <row r="173">
      <c r="A173" s="8" t="s">
        <v>36</v>
      </c>
      <c r="B173" s="9" t="s">
        <v>58</v>
      </c>
      <c r="C173" s="9" t="s">
        <v>59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76</f>
        <v>76.0</v>
      </c>
    </row>
    <row r="174">
      <c r="A174" s="8" t="s">
        <v>37</v>
      </c>
      <c r="B174" s="9" t="s">
        <v>58</v>
      </c>
      <c r="C174" s="9" t="s">
        <v>59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76</f>
        <v>76.0</v>
      </c>
    </row>
    <row r="175">
      <c r="A175" s="8" t="s">
        <v>38</v>
      </c>
      <c r="B175" s="9" t="s">
        <v>58</v>
      </c>
      <c r="C175" s="9" t="s">
        <v>59</v>
      </c>
      <c r="D175" s="10"/>
      <c r="E175" s="2"/>
      <c r="F175" s="10"/>
      <c r="G175" s="2"/>
      <c r="H175" s="10"/>
      <c r="I175" s="2"/>
      <c r="J175" s="10"/>
      <c r="K175" s="2"/>
    </row>
    <row r="176">
      <c r="A176" s="8" t="s">
        <v>39</v>
      </c>
      <c r="B176" s="9" t="s">
        <v>58</v>
      </c>
      <c r="C176" s="9" t="s">
        <v>59</v>
      </c>
      <c r="D176" s="10"/>
      <c r="E176" s="2"/>
      <c r="F176" s="10"/>
      <c r="G176" s="2"/>
      <c r="H176" s="10"/>
      <c r="I176" s="2"/>
      <c r="J176" s="10"/>
      <c r="K176" s="2"/>
    </row>
    <row r="177">
      <c r="A177" s="8" t="s">
        <v>40</v>
      </c>
      <c r="B177" s="9" t="s">
        <v>58</v>
      </c>
      <c r="C177" s="9" t="s">
        <v>59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76</f>
        <v>76.0</v>
      </c>
    </row>
    <row r="178">
      <c r="A178" s="8" t="s">
        <v>41</v>
      </c>
      <c r="B178" s="9" t="s">
        <v>58</v>
      </c>
      <c r="C178" s="9" t="s">
        <v>59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42</v>
      </c>
      <c r="B179" s="9" t="s">
        <v>58</v>
      </c>
      <c r="C179" s="9" t="s">
        <v>59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76</f>
        <v>76.0</v>
      </c>
    </row>
    <row r="180">
      <c r="A180" s="8" t="s">
        <v>43</v>
      </c>
      <c r="B180" s="9" t="s">
        <v>58</v>
      </c>
      <c r="C180" s="9" t="s">
        <v>59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76</f>
        <v>76.0</v>
      </c>
    </row>
    <row r="181">
      <c r="A181" s="8" t="s">
        <v>44</v>
      </c>
      <c r="B181" s="9" t="s">
        <v>58</v>
      </c>
      <c r="C181" s="9" t="s">
        <v>59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76</f>
        <v>76.0</v>
      </c>
    </row>
    <row r="182">
      <c r="A182" s="8" t="s">
        <v>45</v>
      </c>
      <c r="B182" s="9" t="s">
        <v>58</v>
      </c>
      <c r="C182" s="9" t="s">
        <v>59</v>
      </c>
      <c r="D182" s="10"/>
      <c r="E182" s="2"/>
      <c r="F182" s="10"/>
      <c r="G182" s="2"/>
      <c r="H182" s="10"/>
      <c r="I182" s="2"/>
      <c r="J182" s="10"/>
      <c r="K182" s="2"/>
    </row>
    <row r="183">
      <c r="A183" s="8" t="s">
        <v>46</v>
      </c>
      <c r="B183" s="9" t="s">
        <v>58</v>
      </c>
      <c r="C183" s="9" t="s">
        <v>59</v>
      </c>
      <c r="D183" s="10"/>
      <c r="E183" s="2"/>
      <c r="F183" s="10"/>
      <c r="G183" s="2"/>
      <c r="H183" s="10"/>
      <c r="I183" s="2"/>
      <c r="J183" s="10"/>
      <c r="K183" s="2"/>
    </row>
    <row r="184">
      <c r="A184" s="8" t="s">
        <v>47</v>
      </c>
      <c r="B184" s="9" t="s">
        <v>58</v>
      </c>
      <c r="C184" s="9" t="s">
        <v>59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76</f>
        <v>76.0</v>
      </c>
    </row>
    <row r="185">
      <c r="A185" s="8" t="s">
        <v>49</v>
      </c>
      <c r="B185" s="9" t="s">
        <v>58</v>
      </c>
      <c r="C185" s="9" t="s">
        <v>59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76</f>
        <v>76.0</v>
      </c>
    </row>
    <row r="186">
      <c r="A186" s="8" t="s">
        <v>16</v>
      </c>
      <c r="B186" s="9" t="s">
        <v>61</v>
      </c>
      <c r="C186" s="9" t="s">
        <v>62</v>
      </c>
      <c r="D186" s="10" t="s">
        <v>19</v>
      </c>
      <c r="E186" s="2" t="str">
        <f>"－"</f>
        <v>－</v>
      </c>
      <c r="F186" s="10" t="s">
        <v>19</v>
      </c>
      <c r="G186" s="2" t="str">
        <f>"－"</f>
        <v>－</v>
      </c>
      <c r="H186" s="10" t="s">
        <v>19</v>
      </c>
      <c r="I186" s="2" t="str">
        <f>"－"</f>
        <v>－</v>
      </c>
      <c r="J186" s="10" t="s">
        <v>19</v>
      </c>
      <c r="K186" s="2" t="n">
        <f>46109</f>
        <v>46109.0</v>
      </c>
    </row>
    <row r="187">
      <c r="A187" s="8" t="s">
        <v>20</v>
      </c>
      <c r="B187" s="9" t="s">
        <v>61</v>
      </c>
      <c r="C187" s="9" t="s">
        <v>62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46109</f>
        <v>46109.0</v>
      </c>
    </row>
    <row r="188">
      <c r="A188" s="8" t="s">
        <v>21</v>
      </c>
      <c r="B188" s="9" t="s">
        <v>61</v>
      </c>
      <c r="C188" s="9" t="s">
        <v>62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22</v>
      </c>
      <c r="B189" s="9" t="s">
        <v>61</v>
      </c>
      <c r="C189" s="9" t="s">
        <v>62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46109</f>
        <v>46109.0</v>
      </c>
    </row>
    <row r="190">
      <c r="A190" s="8" t="s">
        <v>23</v>
      </c>
      <c r="B190" s="9" t="s">
        <v>61</v>
      </c>
      <c r="C190" s="9" t="s">
        <v>62</v>
      </c>
      <c r="D190" s="10"/>
      <c r="E190" s="2" t="str">
        <f>"－"</f>
        <v>－</v>
      </c>
      <c r="F190" s="10"/>
      <c r="G190" s="2" t="str">
        <f>"－"</f>
        <v>－</v>
      </c>
      <c r="H190" s="10"/>
      <c r="I190" s="2" t="str">
        <f>"－"</f>
        <v>－</v>
      </c>
      <c r="J190" s="10"/>
      <c r="K190" s="2" t="n">
        <f>46109</f>
        <v>46109.0</v>
      </c>
    </row>
    <row r="191">
      <c r="A191" s="8" t="s">
        <v>24</v>
      </c>
      <c r="B191" s="9" t="s">
        <v>61</v>
      </c>
      <c r="C191" s="9" t="s">
        <v>62</v>
      </c>
      <c r="D191" s="10"/>
      <c r="E191" s="2"/>
      <c r="F191" s="10"/>
      <c r="G191" s="2"/>
      <c r="H191" s="10"/>
      <c r="I191" s="2"/>
      <c r="J191" s="10"/>
      <c r="K191" s="2"/>
    </row>
    <row r="192">
      <c r="A192" s="8" t="s">
        <v>25</v>
      </c>
      <c r="B192" s="9" t="s">
        <v>61</v>
      </c>
      <c r="C192" s="9" t="s">
        <v>62</v>
      </c>
      <c r="D192" s="10"/>
      <c r="E192" s="2"/>
      <c r="F192" s="10"/>
      <c r="G192" s="2"/>
      <c r="H192" s="10"/>
      <c r="I192" s="2"/>
      <c r="J192" s="10"/>
      <c r="K192" s="2"/>
    </row>
    <row r="193">
      <c r="A193" s="8" t="s">
        <v>26</v>
      </c>
      <c r="B193" s="9" t="s">
        <v>61</v>
      </c>
      <c r="C193" s="9" t="s">
        <v>62</v>
      </c>
      <c r="D193" s="10"/>
      <c r="E193" s="2" t="str">
        <f>"－"</f>
        <v>－</v>
      </c>
      <c r="F193" s="10"/>
      <c r="G193" s="2" t="str">
        <f>"－"</f>
        <v>－</v>
      </c>
      <c r="H193" s="10"/>
      <c r="I193" s="2" t="str">
        <f>"－"</f>
        <v>－</v>
      </c>
      <c r="J193" s="10"/>
      <c r="K193" s="2" t="n">
        <f>46109</f>
        <v>46109.0</v>
      </c>
    </row>
    <row r="194">
      <c r="A194" s="8" t="s">
        <v>27</v>
      </c>
      <c r="B194" s="9" t="s">
        <v>61</v>
      </c>
      <c r="C194" s="9" t="s">
        <v>62</v>
      </c>
      <c r="D194" s="10"/>
      <c r="E194" s="2" t="str">
        <f>"－"</f>
        <v>－</v>
      </c>
      <c r="F194" s="10"/>
      <c r="G194" s="2" t="str">
        <f>"－"</f>
        <v>－</v>
      </c>
      <c r="H194" s="10"/>
      <c r="I194" s="2" t="str">
        <f>"－"</f>
        <v>－</v>
      </c>
      <c r="J194" s="10"/>
      <c r="K194" s="2" t="n">
        <f>46109</f>
        <v>46109.0</v>
      </c>
    </row>
    <row r="195">
      <c r="A195" s="8" t="s">
        <v>28</v>
      </c>
      <c r="B195" s="9" t="s">
        <v>61</v>
      </c>
      <c r="C195" s="9" t="s">
        <v>62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46109</f>
        <v>46109.0</v>
      </c>
    </row>
    <row r="196">
      <c r="A196" s="8" t="s">
        <v>29</v>
      </c>
      <c r="B196" s="9" t="s">
        <v>61</v>
      </c>
      <c r="C196" s="9" t="s">
        <v>62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46109</f>
        <v>46109.0</v>
      </c>
    </row>
    <row r="197">
      <c r="A197" s="8" t="s">
        <v>30</v>
      </c>
      <c r="B197" s="9" t="s">
        <v>61</v>
      </c>
      <c r="C197" s="9" t="s">
        <v>62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46109</f>
        <v>46109.0</v>
      </c>
    </row>
    <row r="198">
      <c r="A198" s="8" t="s">
        <v>31</v>
      </c>
      <c r="B198" s="9" t="s">
        <v>61</v>
      </c>
      <c r="C198" s="9" t="s">
        <v>62</v>
      </c>
      <c r="D198" s="10"/>
      <c r="E198" s="2"/>
      <c r="F198" s="10"/>
      <c r="G198" s="2"/>
      <c r="H198" s="10"/>
      <c r="I198" s="2"/>
      <c r="J198" s="10"/>
      <c r="K198" s="2"/>
    </row>
    <row r="199">
      <c r="A199" s="8" t="s">
        <v>32</v>
      </c>
      <c r="B199" s="9" t="s">
        <v>61</v>
      </c>
      <c r="C199" s="9" t="s">
        <v>62</v>
      </c>
      <c r="D199" s="10"/>
      <c r="E199" s="2"/>
      <c r="F199" s="10"/>
      <c r="G199" s="2"/>
      <c r="H199" s="10"/>
      <c r="I199" s="2"/>
      <c r="J199" s="10"/>
      <c r="K199" s="2"/>
    </row>
    <row r="200">
      <c r="A200" s="8" t="s">
        <v>33</v>
      </c>
      <c r="B200" s="9" t="s">
        <v>61</v>
      </c>
      <c r="C200" s="9" t="s">
        <v>62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46109</f>
        <v>46109.0</v>
      </c>
    </row>
    <row r="201">
      <c r="A201" s="8" t="s">
        <v>34</v>
      </c>
      <c r="B201" s="9" t="s">
        <v>61</v>
      </c>
      <c r="C201" s="9" t="s">
        <v>62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46109</f>
        <v>46109.0</v>
      </c>
    </row>
    <row r="202">
      <c r="A202" s="8" t="s">
        <v>35</v>
      </c>
      <c r="B202" s="9" t="s">
        <v>61</v>
      </c>
      <c r="C202" s="9" t="s">
        <v>62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46109</f>
        <v>46109.0</v>
      </c>
    </row>
    <row r="203">
      <c r="A203" s="8" t="s">
        <v>36</v>
      </c>
      <c r="B203" s="9" t="s">
        <v>61</v>
      </c>
      <c r="C203" s="9" t="s">
        <v>62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46109</f>
        <v>46109.0</v>
      </c>
    </row>
    <row r="204">
      <c r="A204" s="8" t="s">
        <v>37</v>
      </c>
      <c r="B204" s="9" t="s">
        <v>61</v>
      </c>
      <c r="C204" s="9" t="s">
        <v>62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46109</f>
        <v>46109.0</v>
      </c>
    </row>
    <row r="205">
      <c r="A205" s="8" t="s">
        <v>38</v>
      </c>
      <c r="B205" s="9" t="s">
        <v>61</v>
      </c>
      <c r="C205" s="9" t="s">
        <v>62</v>
      </c>
      <c r="D205" s="10"/>
      <c r="E205" s="2"/>
      <c r="F205" s="10"/>
      <c r="G205" s="2"/>
      <c r="H205" s="10"/>
      <c r="I205" s="2"/>
      <c r="J205" s="10"/>
      <c r="K205" s="2"/>
    </row>
    <row r="206">
      <c r="A206" s="8" t="s">
        <v>39</v>
      </c>
      <c r="B206" s="9" t="s">
        <v>61</v>
      </c>
      <c r="C206" s="9" t="s">
        <v>62</v>
      </c>
      <c r="D206" s="10"/>
      <c r="E206" s="2"/>
      <c r="F206" s="10"/>
      <c r="G206" s="2"/>
      <c r="H206" s="10"/>
      <c r="I206" s="2"/>
      <c r="J206" s="10"/>
      <c r="K206" s="2"/>
    </row>
    <row r="207">
      <c r="A207" s="8" t="s">
        <v>40</v>
      </c>
      <c r="B207" s="9" t="s">
        <v>61</v>
      </c>
      <c r="C207" s="9" t="s">
        <v>62</v>
      </c>
      <c r="D207" s="10" t="s">
        <v>48</v>
      </c>
      <c r="E207" s="2" t="n">
        <f>324</f>
        <v>324.0</v>
      </c>
      <c r="F207" s="10" t="s">
        <v>48</v>
      </c>
      <c r="G207" s="2" t="n">
        <f>463444375</f>
        <v>4.63444375E8</v>
      </c>
      <c r="H207" s="10" t="s">
        <v>48</v>
      </c>
      <c r="I207" s="2" t="n">
        <f>319</f>
        <v>319.0</v>
      </c>
      <c r="J207" s="10" t="s">
        <v>48</v>
      </c>
      <c r="K207" s="2" t="n">
        <f>46428</f>
        <v>46428.0</v>
      </c>
    </row>
    <row r="208">
      <c r="A208" s="8" t="s">
        <v>41</v>
      </c>
      <c r="B208" s="9" t="s">
        <v>61</v>
      </c>
      <c r="C208" s="9" t="s">
        <v>62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42</v>
      </c>
      <c r="B209" s="9" t="s">
        <v>61</v>
      </c>
      <c r="C209" s="9" t="s">
        <v>62</v>
      </c>
      <c r="D209" s="10"/>
      <c r="E209" s="2" t="n">
        <f>319</f>
        <v>319.0</v>
      </c>
      <c r="F209" s="10"/>
      <c r="G209" s="2" t="n">
        <f>461374804</f>
        <v>4.61374804E8</v>
      </c>
      <c r="H209" s="10"/>
      <c r="I209" s="2" t="n">
        <f>319</f>
        <v>319.0</v>
      </c>
      <c r="J209" s="10"/>
      <c r="K209" s="2" t="n">
        <f>46109</f>
        <v>46109.0</v>
      </c>
    </row>
    <row r="210">
      <c r="A210" s="8" t="s">
        <v>43</v>
      </c>
      <c r="B210" s="9" t="s">
        <v>61</v>
      </c>
      <c r="C210" s="9" t="s">
        <v>62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46109</f>
        <v>46109.0</v>
      </c>
    </row>
    <row r="211">
      <c r="A211" s="8" t="s">
        <v>44</v>
      </c>
      <c r="B211" s="9" t="s">
        <v>61</v>
      </c>
      <c r="C211" s="9" t="s">
        <v>62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46109</f>
        <v>46109.0</v>
      </c>
    </row>
    <row r="212">
      <c r="A212" s="8" t="s">
        <v>45</v>
      </c>
      <c r="B212" s="9" t="s">
        <v>61</v>
      </c>
      <c r="C212" s="9" t="s">
        <v>62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46</v>
      </c>
      <c r="B213" s="9" t="s">
        <v>61</v>
      </c>
      <c r="C213" s="9" t="s">
        <v>62</v>
      </c>
      <c r="D213" s="10"/>
      <c r="E213" s="2"/>
      <c r="F213" s="10"/>
      <c r="G213" s="2"/>
      <c r="H213" s="10"/>
      <c r="I213" s="2"/>
      <c r="J213" s="10"/>
      <c r="K213" s="2"/>
    </row>
    <row r="214">
      <c r="A214" s="8" t="s">
        <v>47</v>
      </c>
      <c r="B214" s="9" t="s">
        <v>61</v>
      </c>
      <c r="C214" s="9" t="s">
        <v>62</v>
      </c>
      <c r="D214" s="10"/>
      <c r="E214" s="2" t="str">
        <f>"－"</f>
        <v>－</v>
      </c>
      <c r="F214" s="10"/>
      <c r="G214" s="2" t="str">
        <f>"－"</f>
        <v>－</v>
      </c>
      <c r="H214" s="10"/>
      <c r="I214" s="2" t="str">
        <f>"－"</f>
        <v>－</v>
      </c>
      <c r="J214" s="10"/>
      <c r="K214" s="2" t="n">
        <f>46109</f>
        <v>46109.0</v>
      </c>
    </row>
    <row r="215">
      <c r="A215" s="8" t="s">
        <v>49</v>
      </c>
      <c r="B215" s="9" t="s">
        <v>61</v>
      </c>
      <c r="C215" s="9" t="s">
        <v>62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46109</f>
        <v>46109.0</v>
      </c>
    </row>
    <row r="216">
      <c r="A216" s="8" t="s">
        <v>16</v>
      </c>
      <c r="B216" s="9" t="s">
        <v>63</v>
      </c>
      <c r="C216" s="9" t="s">
        <v>64</v>
      </c>
      <c r="D216" s="10"/>
      <c r="E216" s="2" t="n">
        <f>573</f>
        <v>573.0</v>
      </c>
      <c r="F216" s="10"/>
      <c r="G216" s="2" t="n">
        <f>1190539460</f>
        <v>1.19053946E9</v>
      </c>
      <c r="H216" s="10"/>
      <c r="I216" s="2" t="n">
        <f>44</f>
        <v>44.0</v>
      </c>
      <c r="J216" s="10"/>
      <c r="K216" s="2" t="n">
        <f>67566</f>
        <v>67566.0</v>
      </c>
    </row>
    <row r="217">
      <c r="A217" s="8" t="s">
        <v>20</v>
      </c>
      <c r="B217" s="9" t="s">
        <v>63</v>
      </c>
      <c r="C217" s="9" t="s">
        <v>64</v>
      </c>
      <c r="D217" s="10"/>
      <c r="E217" s="2" t="n">
        <f>164</f>
        <v>164.0</v>
      </c>
      <c r="F217" s="10"/>
      <c r="G217" s="2" t="n">
        <f>341497000</f>
        <v>3.41497E8</v>
      </c>
      <c r="H217" s="10"/>
      <c r="I217" s="2" t="n">
        <f>17</f>
        <v>17.0</v>
      </c>
      <c r="J217" s="10"/>
      <c r="K217" s="2" t="n">
        <f>67530</f>
        <v>67530.0</v>
      </c>
    </row>
    <row r="218">
      <c r="A218" s="8" t="s">
        <v>21</v>
      </c>
      <c r="B218" s="9" t="s">
        <v>63</v>
      </c>
      <c r="C218" s="9" t="s">
        <v>64</v>
      </c>
      <c r="D218" s="10"/>
      <c r="E218" s="2"/>
      <c r="F218" s="10"/>
      <c r="G218" s="2"/>
      <c r="H218" s="10"/>
      <c r="I218" s="2"/>
      <c r="J218" s="10"/>
      <c r="K218" s="2"/>
    </row>
    <row r="219">
      <c r="A219" s="8" t="s">
        <v>22</v>
      </c>
      <c r="B219" s="9" t="s">
        <v>63</v>
      </c>
      <c r="C219" s="9" t="s">
        <v>64</v>
      </c>
      <c r="D219" s="10"/>
      <c r="E219" s="2" t="n">
        <f>349</f>
        <v>349.0</v>
      </c>
      <c r="F219" s="10"/>
      <c r="G219" s="2" t="n">
        <f>726362000</f>
        <v>7.26362E8</v>
      </c>
      <c r="H219" s="10" t="s">
        <v>19</v>
      </c>
      <c r="I219" s="2" t="str">
        <f>"－"</f>
        <v>－</v>
      </c>
      <c r="J219" s="10"/>
      <c r="K219" s="2" t="n">
        <f>67563</f>
        <v>67563.0</v>
      </c>
    </row>
    <row r="220">
      <c r="A220" s="8" t="s">
        <v>23</v>
      </c>
      <c r="B220" s="9" t="s">
        <v>63</v>
      </c>
      <c r="C220" s="9" t="s">
        <v>64</v>
      </c>
      <c r="D220" s="10"/>
      <c r="E220" s="2" t="n">
        <f>285</f>
        <v>285.0</v>
      </c>
      <c r="F220" s="10"/>
      <c r="G220" s="2" t="n">
        <f>593023000</f>
        <v>5.93023E8</v>
      </c>
      <c r="H220" s="10"/>
      <c r="I220" s="2" t="str">
        <f>"－"</f>
        <v>－</v>
      </c>
      <c r="J220" s="10"/>
      <c r="K220" s="2" t="n">
        <f>67506</f>
        <v>67506.0</v>
      </c>
    </row>
    <row r="221">
      <c r="A221" s="8" t="s">
        <v>24</v>
      </c>
      <c r="B221" s="9" t="s">
        <v>63</v>
      </c>
      <c r="C221" s="9" t="s">
        <v>64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25</v>
      </c>
      <c r="B222" s="9" t="s">
        <v>63</v>
      </c>
      <c r="C222" s="9" t="s">
        <v>64</v>
      </c>
      <c r="D222" s="10"/>
      <c r="E222" s="2"/>
      <c r="F222" s="10"/>
      <c r="G222" s="2"/>
      <c r="H222" s="10"/>
      <c r="I222" s="2"/>
      <c r="J222" s="10"/>
      <c r="K222" s="2"/>
    </row>
    <row r="223">
      <c r="A223" s="8" t="s">
        <v>26</v>
      </c>
      <c r="B223" s="9" t="s">
        <v>63</v>
      </c>
      <c r="C223" s="9" t="s">
        <v>64</v>
      </c>
      <c r="D223" s="10"/>
      <c r="E223" s="2" t="n">
        <f>773</f>
        <v>773.0</v>
      </c>
      <c r="F223" s="10"/>
      <c r="G223" s="2" t="n">
        <f>1613666790</f>
        <v>1.61366679E9</v>
      </c>
      <c r="H223" s="10"/>
      <c r="I223" s="2" t="n">
        <f>6</f>
        <v>6.0</v>
      </c>
      <c r="J223" s="10"/>
      <c r="K223" s="2" t="n">
        <f>67270</f>
        <v>67270.0</v>
      </c>
    </row>
    <row r="224">
      <c r="A224" s="8" t="s">
        <v>27</v>
      </c>
      <c r="B224" s="9" t="s">
        <v>63</v>
      </c>
      <c r="C224" s="9" t="s">
        <v>64</v>
      </c>
      <c r="D224" s="10"/>
      <c r="E224" s="2" t="n">
        <f>439</f>
        <v>439.0</v>
      </c>
      <c r="F224" s="10"/>
      <c r="G224" s="2" t="n">
        <f>908372000</f>
        <v>9.08372E8</v>
      </c>
      <c r="H224" s="10"/>
      <c r="I224" s="2" t="n">
        <f>159</f>
        <v>159.0</v>
      </c>
      <c r="J224" s="10"/>
      <c r="K224" s="2" t="n">
        <f>67487</f>
        <v>67487.0</v>
      </c>
    </row>
    <row r="225">
      <c r="A225" s="8" t="s">
        <v>28</v>
      </c>
      <c r="B225" s="9" t="s">
        <v>63</v>
      </c>
      <c r="C225" s="9" t="s">
        <v>64</v>
      </c>
      <c r="D225" s="10"/>
      <c r="E225" s="2" t="n">
        <f>656</f>
        <v>656.0</v>
      </c>
      <c r="F225" s="10"/>
      <c r="G225" s="2" t="n">
        <f>1348372940</f>
        <v>1.34837294E9</v>
      </c>
      <c r="H225" s="10"/>
      <c r="I225" s="2" t="n">
        <f>64</f>
        <v>64.0</v>
      </c>
      <c r="J225" s="10"/>
      <c r="K225" s="2" t="n">
        <f>67373</f>
        <v>67373.0</v>
      </c>
    </row>
    <row r="226">
      <c r="A226" s="8" t="s">
        <v>29</v>
      </c>
      <c r="B226" s="9" t="s">
        <v>63</v>
      </c>
      <c r="C226" s="9" t="s">
        <v>64</v>
      </c>
      <c r="D226" s="10"/>
      <c r="E226" s="2" t="n">
        <f>932</f>
        <v>932.0</v>
      </c>
      <c r="F226" s="10"/>
      <c r="G226" s="2" t="n">
        <f>1924429400</f>
        <v>1.9244294E9</v>
      </c>
      <c r="H226" s="10"/>
      <c r="I226" s="2" t="str">
        <f>"－"</f>
        <v>－</v>
      </c>
      <c r="J226" s="10"/>
      <c r="K226" s="2" t="n">
        <f>67971</f>
        <v>67971.0</v>
      </c>
    </row>
    <row r="227">
      <c r="A227" s="8" t="s">
        <v>30</v>
      </c>
      <c r="B227" s="9" t="s">
        <v>63</v>
      </c>
      <c r="C227" s="9" t="s">
        <v>64</v>
      </c>
      <c r="D227" s="10"/>
      <c r="E227" s="2" t="n">
        <f>669</f>
        <v>669.0</v>
      </c>
      <c r="F227" s="10"/>
      <c r="G227" s="2" t="n">
        <f>1379000800</f>
        <v>1.3790008E9</v>
      </c>
      <c r="H227" s="10"/>
      <c r="I227" s="2" t="n">
        <f>88</f>
        <v>88.0</v>
      </c>
      <c r="J227" s="10"/>
      <c r="K227" s="2" t="n">
        <f>67881</f>
        <v>67881.0</v>
      </c>
    </row>
    <row r="228">
      <c r="A228" s="8" t="s">
        <v>31</v>
      </c>
      <c r="B228" s="9" t="s">
        <v>63</v>
      </c>
      <c r="C228" s="9" t="s">
        <v>64</v>
      </c>
      <c r="D228" s="10"/>
      <c r="E228" s="2"/>
      <c r="F228" s="10"/>
      <c r="G228" s="2"/>
      <c r="H228" s="10"/>
      <c r="I228" s="2"/>
      <c r="J228" s="10"/>
      <c r="K228" s="2"/>
    </row>
    <row r="229">
      <c r="A229" s="8" t="s">
        <v>32</v>
      </c>
      <c r="B229" s="9" t="s">
        <v>63</v>
      </c>
      <c r="C229" s="9" t="s">
        <v>64</v>
      </c>
      <c r="D229" s="10"/>
      <c r="E229" s="2"/>
      <c r="F229" s="10"/>
      <c r="G229" s="2"/>
      <c r="H229" s="10"/>
      <c r="I229" s="2"/>
      <c r="J229" s="10"/>
      <c r="K229" s="2"/>
    </row>
    <row r="230">
      <c r="A230" s="8" t="s">
        <v>33</v>
      </c>
      <c r="B230" s="9" t="s">
        <v>63</v>
      </c>
      <c r="C230" s="9" t="s">
        <v>64</v>
      </c>
      <c r="D230" s="10"/>
      <c r="E230" s="2" t="n">
        <f>1040</f>
        <v>1040.0</v>
      </c>
      <c r="F230" s="10"/>
      <c r="G230" s="2" t="n">
        <f>2140034250</f>
        <v>2.14003425E9</v>
      </c>
      <c r="H230" s="10"/>
      <c r="I230" s="2" t="n">
        <f>27</f>
        <v>27.0</v>
      </c>
      <c r="J230" s="10"/>
      <c r="K230" s="2" t="n">
        <f>67385</f>
        <v>67385.0</v>
      </c>
    </row>
    <row r="231">
      <c r="A231" s="8" t="s">
        <v>34</v>
      </c>
      <c r="B231" s="9" t="s">
        <v>63</v>
      </c>
      <c r="C231" s="9" t="s">
        <v>64</v>
      </c>
      <c r="D231" s="10"/>
      <c r="E231" s="2" t="n">
        <f>214</f>
        <v>214.0</v>
      </c>
      <c r="F231" s="10"/>
      <c r="G231" s="2" t="n">
        <f>441739800</f>
        <v>4.417398E8</v>
      </c>
      <c r="H231" s="10"/>
      <c r="I231" s="2" t="str">
        <f>"－"</f>
        <v>－</v>
      </c>
      <c r="J231" s="10"/>
      <c r="K231" s="2" t="n">
        <f>67420</f>
        <v>67420.0</v>
      </c>
    </row>
    <row r="232">
      <c r="A232" s="8" t="s">
        <v>35</v>
      </c>
      <c r="B232" s="9" t="s">
        <v>63</v>
      </c>
      <c r="C232" s="9" t="s">
        <v>64</v>
      </c>
      <c r="D232" s="10"/>
      <c r="E232" s="2" t="n">
        <f>166</f>
        <v>166.0</v>
      </c>
      <c r="F232" s="10"/>
      <c r="G232" s="2" t="n">
        <f>342015280</f>
        <v>3.4201528E8</v>
      </c>
      <c r="H232" s="10"/>
      <c r="I232" s="2" t="n">
        <f>25</f>
        <v>25.0</v>
      </c>
      <c r="J232" s="10"/>
      <c r="K232" s="2" t="n">
        <f>67415</f>
        <v>67415.0</v>
      </c>
    </row>
    <row r="233">
      <c r="A233" s="8" t="s">
        <v>36</v>
      </c>
      <c r="B233" s="9" t="s">
        <v>63</v>
      </c>
      <c r="C233" s="9" t="s">
        <v>64</v>
      </c>
      <c r="D233" s="10"/>
      <c r="E233" s="2" t="n">
        <f>449</f>
        <v>449.0</v>
      </c>
      <c r="F233" s="10"/>
      <c r="G233" s="2" t="n">
        <f>925420350</f>
        <v>9.2542035E8</v>
      </c>
      <c r="H233" s="10"/>
      <c r="I233" s="2" t="n">
        <f>10</f>
        <v>10.0</v>
      </c>
      <c r="J233" s="10"/>
      <c r="K233" s="2" t="n">
        <f>67369</f>
        <v>67369.0</v>
      </c>
    </row>
    <row r="234">
      <c r="A234" s="8" t="s">
        <v>37</v>
      </c>
      <c r="B234" s="9" t="s">
        <v>63</v>
      </c>
      <c r="C234" s="9" t="s">
        <v>64</v>
      </c>
      <c r="D234" s="10"/>
      <c r="E234" s="2" t="n">
        <f>493</f>
        <v>493.0</v>
      </c>
      <c r="F234" s="10"/>
      <c r="G234" s="2" t="n">
        <f>1012578100</f>
        <v>1.0125781E9</v>
      </c>
      <c r="H234" s="10"/>
      <c r="I234" s="2" t="n">
        <f>32</f>
        <v>32.0</v>
      </c>
      <c r="J234" s="10"/>
      <c r="K234" s="2" t="n">
        <f>67196</f>
        <v>67196.0</v>
      </c>
    </row>
    <row r="235">
      <c r="A235" s="8" t="s">
        <v>38</v>
      </c>
      <c r="B235" s="9" t="s">
        <v>63</v>
      </c>
      <c r="C235" s="9" t="s">
        <v>64</v>
      </c>
      <c r="D235" s="10"/>
      <c r="E235" s="2"/>
      <c r="F235" s="10"/>
      <c r="G235" s="2"/>
      <c r="H235" s="10"/>
      <c r="I235" s="2"/>
      <c r="J235" s="10"/>
      <c r="K235" s="2"/>
    </row>
    <row r="236">
      <c r="A236" s="8" t="s">
        <v>39</v>
      </c>
      <c r="B236" s="9" t="s">
        <v>63</v>
      </c>
      <c r="C236" s="9" t="s">
        <v>64</v>
      </c>
      <c r="D236" s="10"/>
      <c r="E236" s="2"/>
      <c r="F236" s="10"/>
      <c r="G236" s="2"/>
      <c r="H236" s="10"/>
      <c r="I236" s="2"/>
      <c r="J236" s="10"/>
      <c r="K236" s="2"/>
    </row>
    <row r="237">
      <c r="A237" s="8" t="s">
        <v>40</v>
      </c>
      <c r="B237" s="9" t="s">
        <v>63</v>
      </c>
      <c r="C237" s="9" t="s">
        <v>64</v>
      </c>
      <c r="D237" s="10" t="s">
        <v>19</v>
      </c>
      <c r="E237" s="2" t="n">
        <f>146</f>
        <v>146.0</v>
      </c>
      <c r="F237" s="10" t="s">
        <v>19</v>
      </c>
      <c r="G237" s="2" t="n">
        <f>300343110</f>
        <v>3.0034311E8</v>
      </c>
      <c r="H237" s="10"/>
      <c r="I237" s="2" t="str">
        <f>"－"</f>
        <v>－</v>
      </c>
      <c r="J237" s="10"/>
      <c r="K237" s="2" t="n">
        <f>67219</f>
        <v>67219.0</v>
      </c>
    </row>
    <row r="238">
      <c r="A238" s="8" t="s">
        <v>41</v>
      </c>
      <c r="B238" s="9" t="s">
        <v>63</v>
      </c>
      <c r="C238" s="9" t="s">
        <v>64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42</v>
      </c>
      <c r="B239" s="9" t="s">
        <v>63</v>
      </c>
      <c r="C239" s="9" t="s">
        <v>64</v>
      </c>
      <c r="D239" s="10"/>
      <c r="E239" s="2" t="n">
        <f>562</f>
        <v>562.0</v>
      </c>
      <c r="F239" s="10"/>
      <c r="G239" s="2" t="n">
        <f>1156060140</f>
        <v>1.15606014E9</v>
      </c>
      <c r="H239" s="10"/>
      <c r="I239" s="2" t="str">
        <f>"－"</f>
        <v>－</v>
      </c>
      <c r="J239" s="10"/>
      <c r="K239" s="2" t="n">
        <f>67119</f>
        <v>67119.0</v>
      </c>
    </row>
    <row r="240">
      <c r="A240" s="8" t="s">
        <v>43</v>
      </c>
      <c r="B240" s="9" t="s">
        <v>63</v>
      </c>
      <c r="C240" s="9" t="s">
        <v>64</v>
      </c>
      <c r="D240" s="10"/>
      <c r="E240" s="2" t="n">
        <f>288</f>
        <v>288.0</v>
      </c>
      <c r="F240" s="10"/>
      <c r="G240" s="2" t="n">
        <f>596245850</f>
        <v>5.9624585E8</v>
      </c>
      <c r="H240" s="10"/>
      <c r="I240" s="2" t="n">
        <f>135</f>
        <v>135.0</v>
      </c>
      <c r="J240" s="10"/>
      <c r="K240" s="2" t="n">
        <f>67149</f>
        <v>67149.0</v>
      </c>
    </row>
    <row r="241">
      <c r="A241" s="8" t="s">
        <v>44</v>
      </c>
      <c r="B241" s="9" t="s">
        <v>63</v>
      </c>
      <c r="C241" s="9" t="s">
        <v>64</v>
      </c>
      <c r="D241" s="10"/>
      <c r="E241" s="2" t="n">
        <f>1825</f>
        <v>1825.0</v>
      </c>
      <c r="F241" s="10"/>
      <c r="G241" s="2" t="n">
        <f>3760324940</f>
        <v>3.76032494E9</v>
      </c>
      <c r="H241" s="10"/>
      <c r="I241" s="2" t="n">
        <f>20</f>
        <v>20.0</v>
      </c>
      <c r="J241" s="10" t="s">
        <v>19</v>
      </c>
      <c r="K241" s="2" t="n">
        <f>66581</f>
        <v>66581.0</v>
      </c>
    </row>
    <row r="242">
      <c r="A242" s="8" t="s">
        <v>45</v>
      </c>
      <c r="B242" s="9" t="s">
        <v>63</v>
      </c>
      <c r="C242" s="9" t="s">
        <v>64</v>
      </c>
      <c r="D242" s="10"/>
      <c r="E242" s="2"/>
      <c r="F242" s="10"/>
      <c r="G242" s="2"/>
      <c r="H242" s="10"/>
      <c r="I242" s="2"/>
      <c r="J242" s="10"/>
      <c r="K242" s="2"/>
    </row>
    <row r="243">
      <c r="A243" s="8" t="s">
        <v>46</v>
      </c>
      <c r="B243" s="9" t="s">
        <v>63</v>
      </c>
      <c r="C243" s="9" t="s">
        <v>64</v>
      </c>
      <c r="D243" s="10"/>
      <c r="E243" s="2"/>
      <c r="F243" s="10"/>
      <c r="G243" s="2"/>
      <c r="H243" s="10"/>
      <c r="I243" s="2"/>
      <c r="J243" s="10"/>
      <c r="K243" s="2"/>
    </row>
    <row r="244">
      <c r="A244" s="8" t="s">
        <v>47</v>
      </c>
      <c r="B244" s="9" t="s">
        <v>63</v>
      </c>
      <c r="C244" s="9" t="s">
        <v>64</v>
      </c>
      <c r="D244" s="10"/>
      <c r="E244" s="2" t="n">
        <f>3634</f>
        <v>3634.0</v>
      </c>
      <c r="F244" s="10"/>
      <c r="G244" s="2" t="n">
        <f>7363916280</f>
        <v>7.36391628E9</v>
      </c>
      <c r="H244" s="10" t="s">
        <v>48</v>
      </c>
      <c r="I244" s="2" t="n">
        <f>187</f>
        <v>187.0</v>
      </c>
      <c r="J244" s="10"/>
      <c r="K244" s="2" t="n">
        <f>67243</f>
        <v>67243.0</v>
      </c>
    </row>
    <row r="245">
      <c r="A245" s="8" t="s">
        <v>49</v>
      </c>
      <c r="B245" s="9" t="s">
        <v>63</v>
      </c>
      <c r="C245" s="9" t="s">
        <v>64</v>
      </c>
      <c r="D245" s="10" t="s">
        <v>48</v>
      </c>
      <c r="E245" s="2" t="n">
        <f>4048</f>
        <v>4048.0</v>
      </c>
      <c r="F245" s="10" t="s">
        <v>48</v>
      </c>
      <c r="G245" s="2" t="n">
        <f>8157583670</f>
        <v>8.15758367E9</v>
      </c>
      <c r="H245" s="10"/>
      <c r="I245" s="2" t="n">
        <f>76</f>
        <v>76.0</v>
      </c>
      <c r="J245" s="10" t="s">
        <v>48</v>
      </c>
      <c r="K245" s="2" t="n">
        <f>69519</f>
        <v>69519.0</v>
      </c>
    </row>
    <row r="246">
      <c r="A246" s="8" t="s">
        <v>16</v>
      </c>
      <c r="B246" s="9" t="s">
        <v>65</v>
      </c>
      <c r="C246" s="9" t="s">
        <v>66</v>
      </c>
      <c r="D246" s="10" t="s">
        <v>60</v>
      </c>
      <c r="E246" s="2" t="str">
        <f>"－"</f>
        <v>－</v>
      </c>
      <c r="F246" s="10" t="s">
        <v>60</v>
      </c>
      <c r="G246" s="2" t="str">
        <f>"－"</f>
        <v>－</v>
      </c>
      <c r="H246" s="10" t="s">
        <v>60</v>
      </c>
      <c r="I246" s="2" t="str">
        <f>"－"</f>
        <v>－</v>
      </c>
      <c r="J246" s="10" t="s">
        <v>60</v>
      </c>
      <c r="K246" s="2" t="str">
        <f>"－"</f>
        <v>－</v>
      </c>
    </row>
    <row r="247">
      <c r="A247" s="8" t="s">
        <v>20</v>
      </c>
      <c r="B247" s="9" t="s">
        <v>65</v>
      </c>
      <c r="C247" s="9" t="s">
        <v>66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str">
        <f>"－"</f>
        <v>－</v>
      </c>
    </row>
    <row r="248">
      <c r="A248" s="8" t="s">
        <v>21</v>
      </c>
      <c r="B248" s="9" t="s">
        <v>65</v>
      </c>
      <c r="C248" s="9" t="s">
        <v>66</v>
      </c>
      <c r="D248" s="10"/>
      <c r="E248" s="2"/>
      <c r="F248" s="10"/>
      <c r="G248" s="2"/>
      <c r="H248" s="10"/>
      <c r="I248" s="2"/>
      <c r="J248" s="10"/>
      <c r="K248" s="2"/>
    </row>
    <row r="249">
      <c r="A249" s="8" t="s">
        <v>22</v>
      </c>
      <c r="B249" s="9" t="s">
        <v>65</v>
      </c>
      <c r="C249" s="9" t="s">
        <v>66</v>
      </c>
      <c r="D249" s="10"/>
      <c r="E249" s="2" t="str">
        <f>"－"</f>
        <v>－</v>
      </c>
      <c r="F249" s="10"/>
      <c r="G249" s="2" t="str">
        <f>"－"</f>
        <v>－</v>
      </c>
      <c r="H249" s="10"/>
      <c r="I249" s="2" t="str">
        <f>"－"</f>
        <v>－</v>
      </c>
      <c r="J249" s="10"/>
      <c r="K249" s="2" t="str">
        <f>"－"</f>
        <v>－</v>
      </c>
    </row>
    <row r="250">
      <c r="A250" s="8" t="s">
        <v>23</v>
      </c>
      <c r="B250" s="9" t="s">
        <v>65</v>
      </c>
      <c r="C250" s="9" t="s">
        <v>66</v>
      </c>
      <c r="D250" s="10"/>
      <c r="E250" s="2" t="str">
        <f>"－"</f>
        <v>－</v>
      </c>
      <c r="F250" s="10"/>
      <c r="G250" s="2" t="str">
        <f>"－"</f>
        <v>－</v>
      </c>
      <c r="H250" s="10"/>
      <c r="I250" s="2" t="str">
        <f>"－"</f>
        <v>－</v>
      </c>
      <c r="J250" s="10"/>
      <c r="K250" s="2" t="str">
        <f>"－"</f>
        <v>－</v>
      </c>
    </row>
    <row r="251">
      <c r="A251" s="8" t="s">
        <v>24</v>
      </c>
      <c r="B251" s="9" t="s">
        <v>65</v>
      </c>
      <c r="C251" s="9" t="s">
        <v>66</v>
      </c>
      <c r="D251" s="10"/>
      <c r="E251" s="2"/>
      <c r="F251" s="10"/>
      <c r="G251" s="2"/>
      <c r="H251" s="10"/>
      <c r="I251" s="2"/>
      <c r="J251" s="10"/>
      <c r="K251" s="2"/>
    </row>
    <row r="252">
      <c r="A252" s="8" t="s">
        <v>25</v>
      </c>
      <c r="B252" s="9" t="s">
        <v>65</v>
      </c>
      <c r="C252" s="9" t="s">
        <v>66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26</v>
      </c>
      <c r="B253" s="9" t="s">
        <v>65</v>
      </c>
      <c r="C253" s="9" t="s">
        <v>66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27</v>
      </c>
      <c r="B254" s="9" t="s">
        <v>65</v>
      </c>
      <c r="C254" s="9" t="s">
        <v>66</v>
      </c>
      <c r="D254" s="10"/>
      <c r="E254" s="2" t="str">
        <f>"－"</f>
        <v>－</v>
      </c>
      <c r="F254" s="10"/>
      <c r="G254" s="2" t="str">
        <f>"－"</f>
        <v>－</v>
      </c>
      <c r="H254" s="10"/>
      <c r="I254" s="2" t="str">
        <f>"－"</f>
        <v>－</v>
      </c>
      <c r="J254" s="10"/>
      <c r="K254" s="2" t="str">
        <f>"－"</f>
        <v>－</v>
      </c>
    </row>
    <row r="255">
      <c r="A255" s="8" t="s">
        <v>28</v>
      </c>
      <c r="B255" s="9" t="s">
        <v>65</v>
      </c>
      <c r="C255" s="9" t="s">
        <v>66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29</v>
      </c>
      <c r="B256" s="9" t="s">
        <v>65</v>
      </c>
      <c r="C256" s="9" t="s">
        <v>66</v>
      </c>
      <c r="D256" s="10"/>
      <c r="E256" s="2" t="str">
        <f>"－"</f>
        <v>－</v>
      </c>
      <c r="F256" s="10"/>
      <c r="G256" s="2" t="str">
        <f>"－"</f>
        <v>－</v>
      </c>
      <c r="H256" s="10"/>
      <c r="I256" s="2" t="str">
        <f>"－"</f>
        <v>－</v>
      </c>
      <c r="J256" s="10"/>
      <c r="K256" s="2" t="str">
        <f>"－"</f>
        <v>－</v>
      </c>
    </row>
    <row r="257">
      <c r="A257" s="8" t="s">
        <v>30</v>
      </c>
      <c r="B257" s="9" t="s">
        <v>65</v>
      </c>
      <c r="C257" s="9" t="s">
        <v>66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31</v>
      </c>
      <c r="B258" s="9" t="s">
        <v>65</v>
      </c>
      <c r="C258" s="9" t="s">
        <v>66</v>
      </c>
      <c r="D258" s="10"/>
      <c r="E258" s="2"/>
      <c r="F258" s="10"/>
      <c r="G258" s="2"/>
      <c r="H258" s="10"/>
      <c r="I258" s="2"/>
      <c r="J258" s="10"/>
      <c r="K258" s="2"/>
    </row>
    <row r="259">
      <c r="A259" s="8" t="s">
        <v>32</v>
      </c>
      <c r="B259" s="9" t="s">
        <v>65</v>
      </c>
      <c r="C259" s="9" t="s">
        <v>66</v>
      </c>
      <c r="D259" s="10"/>
      <c r="E259" s="2"/>
      <c r="F259" s="10"/>
      <c r="G259" s="2"/>
      <c r="H259" s="10"/>
      <c r="I259" s="2"/>
      <c r="J259" s="10"/>
      <c r="K259" s="2"/>
    </row>
    <row r="260">
      <c r="A260" s="8" t="s">
        <v>33</v>
      </c>
      <c r="B260" s="9" t="s">
        <v>65</v>
      </c>
      <c r="C260" s="9" t="s">
        <v>66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34</v>
      </c>
      <c r="B261" s="9" t="s">
        <v>65</v>
      </c>
      <c r="C261" s="9" t="s">
        <v>66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35</v>
      </c>
      <c r="B262" s="9" t="s">
        <v>65</v>
      </c>
      <c r="C262" s="9" t="s">
        <v>66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36</v>
      </c>
      <c r="B263" s="9" t="s">
        <v>65</v>
      </c>
      <c r="C263" s="9" t="s">
        <v>66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37</v>
      </c>
      <c r="B264" s="9" t="s">
        <v>65</v>
      </c>
      <c r="C264" s="9" t="s">
        <v>66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38</v>
      </c>
      <c r="B265" s="9" t="s">
        <v>65</v>
      </c>
      <c r="C265" s="9" t="s">
        <v>66</v>
      </c>
      <c r="D265" s="10"/>
      <c r="E265" s="2"/>
      <c r="F265" s="10"/>
      <c r="G265" s="2"/>
      <c r="H265" s="10"/>
      <c r="I265" s="2"/>
      <c r="J265" s="10"/>
      <c r="K265" s="2"/>
    </row>
    <row r="266">
      <c r="A266" s="8" t="s">
        <v>39</v>
      </c>
      <c r="B266" s="9" t="s">
        <v>65</v>
      </c>
      <c r="C266" s="9" t="s">
        <v>66</v>
      </c>
      <c r="D266" s="10"/>
      <c r="E266" s="2"/>
      <c r="F266" s="10"/>
      <c r="G266" s="2"/>
      <c r="H266" s="10"/>
      <c r="I266" s="2"/>
      <c r="J266" s="10"/>
      <c r="K266" s="2"/>
    </row>
    <row r="267">
      <c r="A267" s="8" t="s">
        <v>40</v>
      </c>
      <c r="B267" s="9" t="s">
        <v>65</v>
      </c>
      <c r="C267" s="9" t="s">
        <v>66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41</v>
      </c>
      <c r="B268" s="9" t="s">
        <v>65</v>
      </c>
      <c r="C268" s="9" t="s">
        <v>66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42</v>
      </c>
      <c r="B269" s="9" t="s">
        <v>65</v>
      </c>
      <c r="C269" s="9" t="s">
        <v>66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43</v>
      </c>
      <c r="B270" s="9" t="s">
        <v>65</v>
      </c>
      <c r="C270" s="9" t="s">
        <v>66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44</v>
      </c>
      <c r="B271" s="9" t="s">
        <v>65</v>
      </c>
      <c r="C271" s="9" t="s">
        <v>66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45</v>
      </c>
      <c r="B272" s="9" t="s">
        <v>65</v>
      </c>
      <c r="C272" s="9" t="s">
        <v>66</v>
      </c>
      <c r="D272" s="10"/>
      <c r="E272" s="2"/>
      <c r="F272" s="10"/>
      <c r="G272" s="2"/>
      <c r="H272" s="10"/>
      <c r="I272" s="2"/>
      <c r="J272" s="10"/>
      <c r="K272" s="2"/>
    </row>
    <row r="273">
      <c r="A273" s="8" t="s">
        <v>46</v>
      </c>
      <c r="B273" s="9" t="s">
        <v>65</v>
      </c>
      <c r="C273" s="9" t="s">
        <v>66</v>
      </c>
      <c r="D273" s="10"/>
      <c r="E273" s="2"/>
      <c r="F273" s="10"/>
      <c r="G273" s="2"/>
      <c r="H273" s="10"/>
      <c r="I273" s="2"/>
      <c r="J273" s="10"/>
      <c r="K273" s="2"/>
    </row>
    <row r="274">
      <c r="A274" s="8" t="s">
        <v>47</v>
      </c>
      <c r="B274" s="9" t="s">
        <v>65</v>
      </c>
      <c r="C274" s="9" t="s">
        <v>66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49</v>
      </c>
      <c r="B275" s="9" t="s">
        <v>65</v>
      </c>
      <c r="C275" s="9" t="s">
        <v>66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16</v>
      </c>
      <c r="B276" s="9" t="s">
        <v>67</v>
      </c>
      <c r="C276" s="9" t="s">
        <v>68</v>
      </c>
      <c r="D276" s="10"/>
      <c r="E276" s="2" t="n">
        <f>3199</f>
        <v>3199.0</v>
      </c>
      <c r="F276" s="10"/>
      <c r="G276" s="2" t="n">
        <f>3591148700</f>
        <v>3.5911487E9</v>
      </c>
      <c r="H276" s="10"/>
      <c r="I276" s="2" t="n">
        <f>302</f>
        <v>302.0</v>
      </c>
      <c r="J276" s="10"/>
      <c r="K276" s="2" t="n">
        <f>21674</f>
        <v>21674.0</v>
      </c>
    </row>
    <row r="277">
      <c r="A277" s="8" t="s">
        <v>20</v>
      </c>
      <c r="B277" s="9" t="s">
        <v>67</v>
      </c>
      <c r="C277" s="9" t="s">
        <v>68</v>
      </c>
      <c r="D277" s="10"/>
      <c r="E277" s="2" t="n">
        <f>2920</f>
        <v>2920.0</v>
      </c>
      <c r="F277" s="10"/>
      <c r="G277" s="2" t="n">
        <f>3323110810</f>
        <v>3.32311081E9</v>
      </c>
      <c r="H277" s="10"/>
      <c r="I277" s="2" t="n">
        <f>192</f>
        <v>192.0</v>
      </c>
      <c r="J277" s="10"/>
      <c r="K277" s="2" t="n">
        <f>21585</f>
        <v>21585.0</v>
      </c>
    </row>
    <row r="278">
      <c r="A278" s="8" t="s">
        <v>21</v>
      </c>
      <c r="B278" s="9" t="s">
        <v>67</v>
      </c>
      <c r="C278" s="9" t="s">
        <v>68</v>
      </c>
      <c r="D278" s="10"/>
      <c r="E278" s="2"/>
      <c r="F278" s="10"/>
      <c r="G278" s="2"/>
      <c r="H278" s="10"/>
      <c r="I278" s="2"/>
      <c r="J278" s="10"/>
      <c r="K278" s="2"/>
    </row>
    <row r="279">
      <c r="A279" s="8" t="s">
        <v>22</v>
      </c>
      <c r="B279" s="9" t="s">
        <v>67</v>
      </c>
      <c r="C279" s="9" t="s">
        <v>68</v>
      </c>
      <c r="D279" s="10"/>
      <c r="E279" s="2" t="n">
        <f>3570</f>
        <v>3570.0</v>
      </c>
      <c r="F279" s="10"/>
      <c r="G279" s="2" t="n">
        <f>4104025400</f>
        <v>4.1040254E9</v>
      </c>
      <c r="H279" s="10"/>
      <c r="I279" s="2" t="n">
        <f>422</f>
        <v>422.0</v>
      </c>
      <c r="J279" s="10"/>
      <c r="K279" s="2" t="n">
        <f>21747</f>
        <v>21747.0</v>
      </c>
    </row>
    <row r="280">
      <c r="A280" s="8" t="s">
        <v>23</v>
      </c>
      <c r="B280" s="9" t="s">
        <v>67</v>
      </c>
      <c r="C280" s="9" t="s">
        <v>68</v>
      </c>
      <c r="D280" s="10"/>
      <c r="E280" s="2" t="n">
        <f>3782</f>
        <v>3782.0</v>
      </c>
      <c r="F280" s="10"/>
      <c r="G280" s="2" t="n">
        <f>4345284680</f>
        <v>4.34528468E9</v>
      </c>
      <c r="H280" s="10"/>
      <c r="I280" s="2" t="n">
        <f>217</f>
        <v>217.0</v>
      </c>
      <c r="J280" s="10"/>
      <c r="K280" s="2" t="n">
        <f>21399</f>
        <v>21399.0</v>
      </c>
    </row>
    <row r="281">
      <c r="A281" s="8" t="s">
        <v>24</v>
      </c>
      <c r="B281" s="9" t="s">
        <v>67</v>
      </c>
      <c r="C281" s="9" t="s">
        <v>68</v>
      </c>
      <c r="D281" s="10"/>
      <c r="E281" s="2"/>
      <c r="F281" s="10"/>
      <c r="G281" s="2"/>
      <c r="H281" s="10"/>
      <c r="I281" s="2"/>
      <c r="J281" s="10"/>
      <c r="K281" s="2"/>
    </row>
    <row r="282">
      <c r="A282" s="8" t="s">
        <v>25</v>
      </c>
      <c r="B282" s="9" t="s">
        <v>67</v>
      </c>
      <c r="C282" s="9" t="s">
        <v>68</v>
      </c>
      <c r="D282" s="10"/>
      <c r="E282" s="2"/>
      <c r="F282" s="10"/>
      <c r="G282" s="2"/>
      <c r="H282" s="10"/>
      <c r="I282" s="2"/>
      <c r="J282" s="10"/>
      <c r="K282" s="2"/>
    </row>
    <row r="283">
      <c r="A283" s="8" t="s">
        <v>26</v>
      </c>
      <c r="B283" s="9" t="s">
        <v>67</v>
      </c>
      <c r="C283" s="9" t="s">
        <v>68</v>
      </c>
      <c r="D283" s="10"/>
      <c r="E283" s="2" t="n">
        <f>3254</f>
        <v>3254.0</v>
      </c>
      <c r="F283" s="10"/>
      <c r="G283" s="2" t="n">
        <f>3706624750</f>
        <v>3.70662475E9</v>
      </c>
      <c r="H283" s="10"/>
      <c r="I283" s="2" t="n">
        <f>235</f>
        <v>235.0</v>
      </c>
      <c r="J283" s="10"/>
      <c r="K283" s="2" t="n">
        <f>21488</f>
        <v>21488.0</v>
      </c>
    </row>
    <row r="284">
      <c r="A284" s="8" t="s">
        <v>27</v>
      </c>
      <c r="B284" s="9" t="s">
        <v>67</v>
      </c>
      <c r="C284" s="9" t="s">
        <v>68</v>
      </c>
      <c r="D284" s="10"/>
      <c r="E284" s="2" t="n">
        <f>3033</f>
        <v>3033.0</v>
      </c>
      <c r="F284" s="10"/>
      <c r="G284" s="2" t="n">
        <f>3402893340</f>
        <v>3.40289334E9</v>
      </c>
      <c r="H284" s="10"/>
      <c r="I284" s="2" t="n">
        <f>148</f>
        <v>148.0</v>
      </c>
      <c r="J284" s="10"/>
      <c r="K284" s="2" t="n">
        <f>21201</f>
        <v>21201.0</v>
      </c>
    </row>
    <row r="285">
      <c r="A285" s="8" t="s">
        <v>28</v>
      </c>
      <c r="B285" s="9" t="s">
        <v>67</v>
      </c>
      <c r="C285" s="9" t="s">
        <v>68</v>
      </c>
      <c r="D285" s="10"/>
      <c r="E285" s="2" t="n">
        <f>3007</f>
        <v>3007.0</v>
      </c>
      <c r="F285" s="10"/>
      <c r="G285" s="2" t="n">
        <f>3345577080</f>
        <v>3.34557708E9</v>
      </c>
      <c r="H285" s="10"/>
      <c r="I285" s="2" t="n">
        <f>149</f>
        <v>149.0</v>
      </c>
      <c r="J285" s="10"/>
      <c r="K285" s="2" t="n">
        <f>21235</f>
        <v>21235.0</v>
      </c>
    </row>
    <row r="286">
      <c r="A286" s="8" t="s">
        <v>29</v>
      </c>
      <c r="B286" s="9" t="s">
        <v>67</v>
      </c>
      <c r="C286" s="9" t="s">
        <v>68</v>
      </c>
      <c r="D286" s="10"/>
      <c r="E286" s="2" t="n">
        <f>2792</f>
        <v>2792.0</v>
      </c>
      <c r="F286" s="10"/>
      <c r="G286" s="2" t="n">
        <f>3093848990</f>
        <v>3.09384899E9</v>
      </c>
      <c r="H286" s="10"/>
      <c r="I286" s="2" t="n">
        <f>130</f>
        <v>130.0</v>
      </c>
      <c r="J286" s="10"/>
      <c r="K286" s="2" t="n">
        <f>21327</f>
        <v>21327.0</v>
      </c>
    </row>
    <row r="287">
      <c r="A287" s="8" t="s">
        <v>30</v>
      </c>
      <c r="B287" s="9" t="s">
        <v>67</v>
      </c>
      <c r="C287" s="9" t="s">
        <v>68</v>
      </c>
      <c r="D287" s="10" t="s">
        <v>19</v>
      </c>
      <c r="E287" s="2" t="n">
        <f>2645</f>
        <v>2645.0</v>
      </c>
      <c r="F287" s="10" t="s">
        <v>19</v>
      </c>
      <c r="G287" s="2" t="n">
        <f>2983289560</f>
        <v>2.98328956E9</v>
      </c>
      <c r="H287" s="10" t="s">
        <v>19</v>
      </c>
      <c r="I287" s="2" t="n">
        <f>111</f>
        <v>111.0</v>
      </c>
      <c r="J287" s="10"/>
      <c r="K287" s="2" t="n">
        <f>21099</f>
        <v>21099.0</v>
      </c>
    </row>
    <row r="288">
      <c r="A288" s="8" t="s">
        <v>31</v>
      </c>
      <c r="B288" s="9" t="s">
        <v>67</v>
      </c>
      <c r="C288" s="9" t="s">
        <v>68</v>
      </c>
      <c r="D288" s="10"/>
      <c r="E288" s="2"/>
      <c r="F288" s="10"/>
      <c r="G288" s="2"/>
      <c r="H288" s="10"/>
      <c r="I288" s="2"/>
      <c r="J288" s="10"/>
      <c r="K288" s="2"/>
    </row>
    <row r="289">
      <c r="A289" s="8" t="s">
        <v>32</v>
      </c>
      <c r="B289" s="9" t="s">
        <v>67</v>
      </c>
      <c r="C289" s="9" t="s">
        <v>68</v>
      </c>
      <c r="D289" s="10"/>
      <c r="E289" s="2"/>
      <c r="F289" s="10"/>
      <c r="G289" s="2"/>
      <c r="H289" s="10"/>
      <c r="I289" s="2"/>
      <c r="J289" s="10"/>
      <c r="K289" s="2"/>
    </row>
    <row r="290">
      <c r="A290" s="8" t="s">
        <v>33</v>
      </c>
      <c r="B290" s="9" t="s">
        <v>67</v>
      </c>
      <c r="C290" s="9" t="s">
        <v>68</v>
      </c>
      <c r="D290" s="10"/>
      <c r="E290" s="2" t="n">
        <f>2876</f>
        <v>2876.0</v>
      </c>
      <c r="F290" s="10"/>
      <c r="G290" s="2" t="n">
        <f>3298346520</f>
        <v>3.29834652E9</v>
      </c>
      <c r="H290" s="10"/>
      <c r="I290" s="2" t="n">
        <f>200</f>
        <v>200.0</v>
      </c>
      <c r="J290" s="10"/>
      <c r="K290" s="2" t="n">
        <f>21005</f>
        <v>21005.0</v>
      </c>
    </row>
    <row r="291">
      <c r="A291" s="8" t="s">
        <v>34</v>
      </c>
      <c r="B291" s="9" t="s">
        <v>67</v>
      </c>
      <c r="C291" s="9" t="s">
        <v>68</v>
      </c>
      <c r="D291" s="10"/>
      <c r="E291" s="2" t="n">
        <f>3728</f>
        <v>3728.0</v>
      </c>
      <c r="F291" s="10"/>
      <c r="G291" s="2" t="n">
        <f>4356116520</f>
        <v>4.35611652E9</v>
      </c>
      <c r="H291" s="10"/>
      <c r="I291" s="2" t="n">
        <f>279</f>
        <v>279.0</v>
      </c>
      <c r="J291" s="10"/>
      <c r="K291" s="2" t="n">
        <f>20957</f>
        <v>20957.0</v>
      </c>
    </row>
    <row r="292">
      <c r="A292" s="8" t="s">
        <v>35</v>
      </c>
      <c r="B292" s="9" t="s">
        <v>67</v>
      </c>
      <c r="C292" s="9" t="s">
        <v>68</v>
      </c>
      <c r="D292" s="10"/>
      <c r="E292" s="2" t="n">
        <f>4291</f>
        <v>4291.0</v>
      </c>
      <c r="F292" s="10"/>
      <c r="G292" s="2" t="n">
        <f>5059848480</f>
        <v>5.05984848E9</v>
      </c>
      <c r="H292" s="10"/>
      <c r="I292" s="2" t="n">
        <f>319</f>
        <v>319.0</v>
      </c>
      <c r="J292" s="10" t="s">
        <v>19</v>
      </c>
      <c r="K292" s="2" t="n">
        <f>20904</f>
        <v>20904.0</v>
      </c>
    </row>
    <row r="293">
      <c r="A293" s="8" t="s">
        <v>36</v>
      </c>
      <c r="B293" s="9" t="s">
        <v>67</v>
      </c>
      <c r="C293" s="9" t="s">
        <v>68</v>
      </c>
      <c r="D293" s="10"/>
      <c r="E293" s="2" t="n">
        <f>5209</f>
        <v>5209.0</v>
      </c>
      <c r="F293" s="10"/>
      <c r="G293" s="2" t="n">
        <f>6087085880</f>
        <v>6.08708588E9</v>
      </c>
      <c r="H293" s="10"/>
      <c r="I293" s="2" t="n">
        <f>297</f>
        <v>297.0</v>
      </c>
      <c r="J293" s="10"/>
      <c r="K293" s="2" t="n">
        <f>21017</f>
        <v>21017.0</v>
      </c>
    </row>
    <row r="294">
      <c r="A294" s="8" t="s">
        <v>37</v>
      </c>
      <c r="B294" s="9" t="s">
        <v>67</v>
      </c>
      <c r="C294" s="9" t="s">
        <v>68</v>
      </c>
      <c r="D294" s="10"/>
      <c r="E294" s="2" t="n">
        <f>3658</f>
        <v>3658.0</v>
      </c>
      <c r="F294" s="10"/>
      <c r="G294" s="2" t="n">
        <f>4233898080</f>
        <v>4.23389808E9</v>
      </c>
      <c r="H294" s="10" t="s">
        <v>48</v>
      </c>
      <c r="I294" s="2" t="n">
        <f>632</f>
        <v>632.0</v>
      </c>
      <c r="J294" s="10"/>
      <c r="K294" s="2" t="n">
        <f>21175</f>
        <v>21175.0</v>
      </c>
    </row>
    <row r="295">
      <c r="A295" s="8" t="s">
        <v>38</v>
      </c>
      <c r="B295" s="9" t="s">
        <v>67</v>
      </c>
      <c r="C295" s="9" t="s">
        <v>68</v>
      </c>
      <c r="D295" s="10"/>
      <c r="E295" s="2"/>
      <c r="F295" s="10"/>
      <c r="G295" s="2"/>
      <c r="H295" s="10"/>
      <c r="I295" s="2"/>
      <c r="J295" s="10"/>
      <c r="K295" s="2"/>
    </row>
    <row r="296">
      <c r="A296" s="8" t="s">
        <v>39</v>
      </c>
      <c r="B296" s="9" t="s">
        <v>67</v>
      </c>
      <c r="C296" s="9" t="s">
        <v>68</v>
      </c>
      <c r="D296" s="10"/>
      <c r="E296" s="2"/>
      <c r="F296" s="10"/>
      <c r="G296" s="2"/>
      <c r="H296" s="10"/>
      <c r="I296" s="2"/>
      <c r="J296" s="10"/>
      <c r="K296" s="2"/>
    </row>
    <row r="297">
      <c r="A297" s="8" t="s">
        <v>40</v>
      </c>
      <c r="B297" s="9" t="s">
        <v>67</v>
      </c>
      <c r="C297" s="9" t="s">
        <v>68</v>
      </c>
      <c r="D297" s="10"/>
      <c r="E297" s="2" t="n">
        <f>2849</f>
        <v>2849.0</v>
      </c>
      <c r="F297" s="10"/>
      <c r="G297" s="2" t="n">
        <f>3289327750</f>
        <v>3.28932775E9</v>
      </c>
      <c r="H297" s="10"/>
      <c r="I297" s="2" t="n">
        <f>206</f>
        <v>206.0</v>
      </c>
      <c r="J297" s="10"/>
      <c r="K297" s="2" t="n">
        <f>21128</f>
        <v>21128.0</v>
      </c>
    </row>
    <row r="298">
      <c r="A298" s="8" t="s">
        <v>41</v>
      </c>
      <c r="B298" s="9" t="s">
        <v>67</v>
      </c>
      <c r="C298" s="9" t="s">
        <v>68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42</v>
      </c>
      <c r="B299" s="9" t="s">
        <v>67</v>
      </c>
      <c r="C299" s="9" t="s">
        <v>68</v>
      </c>
      <c r="D299" s="10"/>
      <c r="E299" s="2" t="n">
        <f>5703</f>
        <v>5703.0</v>
      </c>
      <c r="F299" s="10"/>
      <c r="G299" s="2" t="n">
        <f>6526881900</f>
        <v>6.5268819E9</v>
      </c>
      <c r="H299" s="10"/>
      <c r="I299" s="2" t="n">
        <f>553</f>
        <v>553.0</v>
      </c>
      <c r="J299" s="10"/>
      <c r="K299" s="2" t="n">
        <f>21600</f>
        <v>21600.0</v>
      </c>
    </row>
    <row r="300">
      <c r="A300" s="8" t="s">
        <v>43</v>
      </c>
      <c r="B300" s="9" t="s">
        <v>67</v>
      </c>
      <c r="C300" s="9" t="s">
        <v>68</v>
      </c>
      <c r="D300" s="10"/>
      <c r="E300" s="2" t="n">
        <f>3726</f>
        <v>3726.0</v>
      </c>
      <c r="F300" s="10"/>
      <c r="G300" s="2" t="n">
        <f>4259496530</f>
        <v>4.25949653E9</v>
      </c>
      <c r="H300" s="10"/>
      <c r="I300" s="2" t="n">
        <f>361</f>
        <v>361.0</v>
      </c>
      <c r="J300" s="10" t="s">
        <v>48</v>
      </c>
      <c r="K300" s="2" t="n">
        <f>21905</f>
        <v>21905.0</v>
      </c>
    </row>
    <row r="301">
      <c r="A301" s="8" t="s">
        <v>44</v>
      </c>
      <c r="B301" s="9" t="s">
        <v>67</v>
      </c>
      <c r="C301" s="9" t="s">
        <v>68</v>
      </c>
      <c r="D301" s="10"/>
      <c r="E301" s="2" t="n">
        <f>4012</f>
        <v>4012.0</v>
      </c>
      <c r="F301" s="10"/>
      <c r="G301" s="2" t="n">
        <f>4516126070</f>
        <v>4.51612607E9</v>
      </c>
      <c r="H301" s="10"/>
      <c r="I301" s="2" t="n">
        <f>284</f>
        <v>284.0</v>
      </c>
      <c r="J301" s="10"/>
      <c r="K301" s="2" t="n">
        <f>21480</f>
        <v>21480.0</v>
      </c>
    </row>
    <row r="302">
      <c r="A302" s="8" t="s">
        <v>45</v>
      </c>
      <c r="B302" s="9" t="s">
        <v>67</v>
      </c>
      <c r="C302" s="9" t="s">
        <v>68</v>
      </c>
      <c r="D302" s="10"/>
      <c r="E302" s="2"/>
      <c r="F302" s="10"/>
      <c r="G302" s="2"/>
      <c r="H302" s="10"/>
      <c r="I302" s="2"/>
      <c r="J302" s="10"/>
      <c r="K302" s="2"/>
    </row>
    <row r="303">
      <c r="A303" s="8" t="s">
        <v>46</v>
      </c>
      <c r="B303" s="9" t="s">
        <v>67</v>
      </c>
      <c r="C303" s="9" t="s">
        <v>68</v>
      </c>
      <c r="D303" s="10"/>
      <c r="E303" s="2"/>
      <c r="F303" s="10"/>
      <c r="G303" s="2"/>
      <c r="H303" s="10"/>
      <c r="I303" s="2"/>
      <c r="J303" s="10"/>
      <c r="K303" s="2"/>
    </row>
    <row r="304">
      <c r="A304" s="8" t="s">
        <v>47</v>
      </c>
      <c r="B304" s="9" t="s">
        <v>67</v>
      </c>
      <c r="C304" s="9" t="s">
        <v>68</v>
      </c>
      <c r="D304" s="10" t="s">
        <v>48</v>
      </c>
      <c r="E304" s="2" t="n">
        <f>7337</f>
        <v>7337.0</v>
      </c>
      <c r="F304" s="10" t="s">
        <v>48</v>
      </c>
      <c r="G304" s="2" t="n">
        <f>8128605360</f>
        <v>8.12860536E9</v>
      </c>
      <c r="H304" s="10"/>
      <c r="I304" s="2" t="n">
        <f>534</f>
        <v>534.0</v>
      </c>
      <c r="J304" s="10"/>
      <c r="K304" s="2" t="n">
        <f>21160</f>
        <v>21160.0</v>
      </c>
    </row>
    <row r="305">
      <c r="A305" s="8" t="s">
        <v>49</v>
      </c>
      <c r="B305" s="9" t="s">
        <v>67</v>
      </c>
      <c r="C305" s="9" t="s">
        <v>68</v>
      </c>
      <c r="D305" s="10"/>
      <c r="E305" s="2" t="n">
        <f>4790</f>
        <v>4790.0</v>
      </c>
      <c r="F305" s="10"/>
      <c r="G305" s="2" t="n">
        <f>5232646390</f>
        <v>5.23264639E9</v>
      </c>
      <c r="H305" s="10"/>
      <c r="I305" s="2" t="n">
        <f>411</f>
        <v>411.0</v>
      </c>
      <c r="J305" s="10"/>
      <c r="K305" s="2" t="n">
        <f>21059</f>
        <v>21059.0</v>
      </c>
    </row>
    <row r="306">
      <c r="A306" s="8" t="s">
        <v>16</v>
      </c>
      <c r="B306" s="9" t="s">
        <v>69</v>
      </c>
      <c r="C306" s="9" t="s">
        <v>70</v>
      </c>
      <c r="D306" s="10"/>
      <c r="E306" s="2" t="n">
        <f>1295</f>
        <v>1295.0</v>
      </c>
      <c r="F306" s="10"/>
      <c r="G306" s="2" t="n">
        <f>4620446900</f>
        <v>4.6204469E9</v>
      </c>
      <c r="H306" s="10" t="s">
        <v>19</v>
      </c>
      <c r="I306" s="2" t="str">
        <f>"－"</f>
        <v>－</v>
      </c>
      <c r="J306" s="10" t="s">
        <v>19</v>
      </c>
      <c r="K306" s="2" t="n">
        <f>1965</f>
        <v>1965.0</v>
      </c>
    </row>
    <row r="307">
      <c r="A307" s="8" t="s">
        <v>20</v>
      </c>
      <c r="B307" s="9" t="s">
        <v>69</v>
      </c>
      <c r="C307" s="9" t="s">
        <v>70</v>
      </c>
      <c r="D307" s="10"/>
      <c r="E307" s="2" t="n">
        <f>678</f>
        <v>678.0</v>
      </c>
      <c r="F307" s="10"/>
      <c r="G307" s="2" t="n">
        <f>2425453300</f>
        <v>2.4254533E9</v>
      </c>
      <c r="H307" s="10"/>
      <c r="I307" s="2" t="str">
        <f>"－"</f>
        <v>－</v>
      </c>
      <c r="J307" s="10"/>
      <c r="K307" s="2" t="n">
        <f>2019</f>
        <v>2019.0</v>
      </c>
    </row>
    <row r="308">
      <c r="A308" s="8" t="s">
        <v>21</v>
      </c>
      <c r="B308" s="9" t="s">
        <v>69</v>
      </c>
      <c r="C308" s="9" t="s">
        <v>70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22</v>
      </c>
      <c r="B309" s="9" t="s">
        <v>69</v>
      </c>
      <c r="C309" s="9" t="s">
        <v>70</v>
      </c>
      <c r="D309" s="10"/>
      <c r="E309" s="2" t="n">
        <f>997</f>
        <v>997.0</v>
      </c>
      <c r="F309" s="10"/>
      <c r="G309" s="2" t="n">
        <f>3580157300</f>
        <v>3.5801573E9</v>
      </c>
      <c r="H309" s="10"/>
      <c r="I309" s="2" t="n">
        <f>27</f>
        <v>27.0</v>
      </c>
      <c r="J309" s="10"/>
      <c r="K309" s="2" t="n">
        <f>2266</f>
        <v>2266.0</v>
      </c>
    </row>
    <row r="310">
      <c r="A310" s="8" t="s">
        <v>23</v>
      </c>
      <c r="B310" s="9" t="s">
        <v>69</v>
      </c>
      <c r="C310" s="9" t="s">
        <v>70</v>
      </c>
      <c r="D310" s="10" t="s">
        <v>19</v>
      </c>
      <c r="E310" s="2" t="n">
        <f>454</f>
        <v>454.0</v>
      </c>
      <c r="F310" s="10" t="s">
        <v>19</v>
      </c>
      <c r="G310" s="2" t="n">
        <f>1632860600</f>
        <v>1.6328606E9</v>
      </c>
      <c r="H310" s="10"/>
      <c r="I310" s="2" t="str">
        <f>"－"</f>
        <v>－</v>
      </c>
      <c r="J310" s="10"/>
      <c r="K310" s="2" t="n">
        <f>2295</f>
        <v>2295.0</v>
      </c>
    </row>
    <row r="311">
      <c r="A311" s="8" t="s">
        <v>24</v>
      </c>
      <c r="B311" s="9" t="s">
        <v>69</v>
      </c>
      <c r="C311" s="9" t="s">
        <v>70</v>
      </c>
      <c r="D311" s="10"/>
      <c r="E311" s="2"/>
      <c r="F311" s="10"/>
      <c r="G311" s="2"/>
      <c r="H311" s="10"/>
      <c r="I311" s="2"/>
      <c r="J311" s="10"/>
      <c r="K311" s="2"/>
    </row>
    <row r="312">
      <c r="A312" s="8" t="s">
        <v>25</v>
      </c>
      <c r="B312" s="9" t="s">
        <v>69</v>
      </c>
      <c r="C312" s="9" t="s">
        <v>70</v>
      </c>
      <c r="D312" s="10"/>
      <c r="E312" s="2"/>
      <c r="F312" s="10"/>
      <c r="G312" s="2"/>
      <c r="H312" s="10"/>
      <c r="I312" s="2"/>
      <c r="J312" s="10"/>
      <c r="K312" s="2"/>
    </row>
    <row r="313">
      <c r="A313" s="8" t="s">
        <v>26</v>
      </c>
      <c r="B313" s="9" t="s">
        <v>69</v>
      </c>
      <c r="C313" s="9" t="s">
        <v>70</v>
      </c>
      <c r="D313" s="10"/>
      <c r="E313" s="2" t="n">
        <f>1306</f>
        <v>1306.0</v>
      </c>
      <c r="F313" s="10"/>
      <c r="G313" s="2" t="n">
        <f>4724079200</f>
        <v>4.7240792E9</v>
      </c>
      <c r="H313" s="10"/>
      <c r="I313" s="2" t="n">
        <f>151</f>
        <v>151.0</v>
      </c>
      <c r="J313" s="10"/>
      <c r="K313" s="2" t="n">
        <f>2537</f>
        <v>2537.0</v>
      </c>
    </row>
    <row r="314">
      <c r="A314" s="8" t="s">
        <v>27</v>
      </c>
      <c r="B314" s="9" t="s">
        <v>69</v>
      </c>
      <c r="C314" s="9" t="s">
        <v>70</v>
      </c>
      <c r="D314" s="10"/>
      <c r="E314" s="2" t="n">
        <f>937</f>
        <v>937.0</v>
      </c>
      <c r="F314" s="10"/>
      <c r="G314" s="2" t="n">
        <f>3399758000</f>
        <v>3.399758E9</v>
      </c>
      <c r="H314" s="10"/>
      <c r="I314" s="2" t="n">
        <f>259</f>
        <v>259.0</v>
      </c>
      <c r="J314" s="10"/>
      <c r="K314" s="2" t="n">
        <f>2848</f>
        <v>2848.0</v>
      </c>
    </row>
    <row r="315">
      <c r="A315" s="8" t="s">
        <v>28</v>
      </c>
      <c r="B315" s="9" t="s">
        <v>69</v>
      </c>
      <c r="C315" s="9" t="s">
        <v>70</v>
      </c>
      <c r="D315" s="10"/>
      <c r="E315" s="2" t="n">
        <f>1111</f>
        <v>1111.0</v>
      </c>
      <c r="F315" s="10"/>
      <c r="G315" s="2" t="n">
        <f>4015762100</f>
        <v>4.0157621E9</v>
      </c>
      <c r="H315" s="10"/>
      <c r="I315" s="2" t="n">
        <f>310</f>
        <v>310.0</v>
      </c>
      <c r="J315" s="10"/>
      <c r="K315" s="2" t="n">
        <f>2682</f>
        <v>2682.0</v>
      </c>
    </row>
    <row r="316">
      <c r="A316" s="8" t="s">
        <v>29</v>
      </c>
      <c r="B316" s="9" t="s">
        <v>69</v>
      </c>
      <c r="C316" s="9" t="s">
        <v>70</v>
      </c>
      <c r="D316" s="10"/>
      <c r="E316" s="2" t="n">
        <f>1726</f>
        <v>1726.0</v>
      </c>
      <c r="F316" s="10"/>
      <c r="G316" s="2" t="n">
        <f>6216705200</f>
        <v>6.2167052E9</v>
      </c>
      <c r="H316" s="10"/>
      <c r="I316" s="2" t="n">
        <f>60</f>
        <v>60.0</v>
      </c>
      <c r="J316" s="10"/>
      <c r="K316" s="2" t="n">
        <f>3268</f>
        <v>3268.0</v>
      </c>
    </row>
    <row r="317">
      <c r="A317" s="8" t="s">
        <v>30</v>
      </c>
      <c r="B317" s="9" t="s">
        <v>69</v>
      </c>
      <c r="C317" s="9" t="s">
        <v>70</v>
      </c>
      <c r="D317" s="10"/>
      <c r="E317" s="2" t="n">
        <f>752</f>
        <v>752.0</v>
      </c>
      <c r="F317" s="10"/>
      <c r="G317" s="2" t="n">
        <f>2701071900</f>
        <v>2.7010719E9</v>
      </c>
      <c r="H317" s="10"/>
      <c r="I317" s="2" t="str">
        <f>"－"</f>
        <v>－</v>
      </c>
      <c r="J317" s="10"/>
      <c r="K317" s="2" t="n">
        <f>3099</f>
        <v>3099.0</v>
      </c>
    </row>
    <row r="318">
      <c r="A318" s="8" t="s">
        <v>31</v>
      </c>
      <c r="B318" s="9" t="s">
        <v>69</v>
      </c>
      <c r="C318" s="9" t="s">
        <v>70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32</v>
      </c>
      <c r="B319" s="9" t="s">
        <v>69</v>
      </c>
      <c r="C319" s="9" t="s">
        <v>70</v>
      </c>
      <c r="D319" s="10"/>
      <c r="E319" s="2"/>
      <c r="F319" s="10"/>
      <c r="G319" s="2"/>
      <c r="H319" s="10"/>
      <c r="I319" s="2"/>
      <c r="J319" s="10"/>
      <c r="K319" s="2"/>
    </row>
    <row r="320">
      <c r="A320" s="8" t="s">
        <v>33</v>
      </c>
      <c r="B320" s="9" t="s">
        <v>69</v>
      </c>
      <c r="C320" s="9" t="s">
        <v>70</v>
      </c>
      <c r="D320" s="10"/>
      <c r="E320" s="2" t="n">
        <f>585</f>
        <v>585.0</v>
      </c>
      <c r="F320" s="10"/>
      <c r="G320" s="2" t="n">
        <f>2103258000</f>
        <v>2.103258E9</v>
      </c>
      <c r="H320" s="10"/>
      <c r="I320" s="2" t="str">
        <f>"－"</f>
        <v>－</v>
      </c>
      <c r="J320" s="10"/>
      <c r="K320" s="2" t="n">
        <f>3069</f>
        <v>3069.0</v>
      </c>
    </row>
    <row r="321">
      <c r="A321" s="8" t="s">
        <v>34</v>
      </c>
      <c r="B321" s="9" t="s">
        <v>69</v>
      </c>
      <c r="C321" s="9" t="s">
        <v>70</v>
      </c>
      <c r="D321" s="10"/>
      <c r="E321" s="2" t="n">
        <f>521</f>
        <v>521.0</v>
      </c>
      <c r="F321" s="10"/>
      <c r="G321" s="2" t="n">
        <f>1879092200</f>
        <v>1.8790922E9</v>
      </c>
      <c r="H321" s="10"/>
      <c r="I321" s="2" t="str">
        <f>"－"</f>
        <v>－</v>
      </c>
      <c r="J321" s="10"/>
      <c r="K321" s="2" t="n">
        <f>3096</f>
        <v>3096.0</v>
      </c>
    </row>
    <row r="322">
      <c r="A322" s="8" t="s">
        <v>35</v>
      </c>
      <c r="B322" s="9" t="s">
        <v>69</v>
      </c>
      <c r="C322" s="9" t="s">
        <v>70</v>
      </c>
      <c r="D322" s="10"/>
      <c r="E322" s="2" t="n">
        <f>1296</f>
        <v>1296.0</v>
      </c>
      <c r="F322" s="10"/>
      <c r="G322" s="2" t="n">
        <f>4678453700</f>
        <v>4.6784537E9</v>
      </c>
      <c r="H322" s="10"/>
      <c r="I322" s="2" t="n">
        <f>749</f>
        <v>749.0</v>
      </c>
      <c r="J322" s="10"/>
      <c r="K322" s="2" t="n">
        <f>3025</f>
        <v>3025.0</v>
      </c>
    </row>
    <row r="323">
      <c r="A323" s="8" t="s">
        <v>36</v>
      </c>
      <c r="B323" s="9" t="s">
        <v>69</v>
      </c>
      <c r="C323" s="9" t="s">
        <v>70</v>
      </c>
      <c r="D323" s="10"/>
      <c r="E323" s="2" t="n">
        <f>815</f>
        <v>815.0</v>
      </c>
      <c r="F323" s="10"/>
      <c r="G323" s="2" t="n">
        <f>2926713400</f>
        <v>2.9267134E9</v>
      </c>
      <c r="H323" s="10"/>
      <c r="I323" s="2" t="str">
        <f>"－"</f>
        <v>－</v>
      </c>
      <c r="J323" s="10"/>
      <c r="K323" s="2" t="n">
        <f>2907</f>
        <v>2907.0</v>
      </c>
    </row>
    <row r="324">
      <c r="A324" s="8" t="s">
        <v>37</v>
      </c>
      <c r="B324" s="9" t="s">
        <v>69</v>
      </c>
      <c r="C324" s="9" t="s">
        <v>70</v>
      </c>
      <c r="D324" s="10" t="s">
        <v>48</v>
      </c>
      <c r="E324" s="2" t="n">
        <f>3022</f>
        <v>3022.0</v>
      </c>
      <c r="F324" s="10" t="s">
        <v>48</v>
      </c>
      <c r="G324" s="2" t="n">
        <f>10830628800</f>
        <v>1.08306288E10</v>
      </c>
      <c r="H324" s="10" t="s">
        <v>48</v>
      </c>
      <c r="I324" s="2" t="n">
        <f>766</f>
        <v>766.0</v>
      </c>
      <c r="J324" s="10"/>
      <c r="K324" s="2" t="n">
        <f>3176</f>
        <v>3176.0</v>
      </c>
    </row>
    <row r="325">
      <c r="A325" s="8" t="s">
        <v>38</v>
      </c>
      <c r="B325" s="9" t="s">
        <v>69</v>
      </c>
      <c r="C325" s="9" t="s">
        <v>70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39</v>
      </c>
      <c r="B326" s="9" t="s">
        <v>69</v>
      </c>
      <c r="C326" s="9" t="s">
        <v>70</v>
      </c>
      <c r="D326" s="10"/>
      <c r="E326" s="2"/>
      <c r="F326" s="10"/>
      <c r="G326" s="2"/>
      <c r="H326" s="10"/>
      <c r="I326" s="2"/>
      <c r="J326" s="10"/>
      <c r="K326" s="2"/>
    </row>
    <row r="327">
      <c r="A327" s="8" t="s">
        <v>40</v>
      </c>
      <c r="B327" s="9" t="s">
        <v>69</v>
      </c>
      <c r="C327" s="9" t="s">
        <v>70</v>
      </c>
      <c r="D327" s="10"/>
      <c r="E327" s="2" t="n">
        <f>2425</f>
        <v>2425.0</v>
      </c>
      <c r="F327" s="10"/>
      <c r="G327" s="2" t="n">
        <f>8638954600</f>
        <v>8.6389546E9</v>
      </c>
      <c r="H327" s="10"/>
      <c r="I327" s="2" t="n">
        <f>418</f>
        <v>418.0</v>
      </c>
      <c r="J327" s="10"/>
      <c r="K327" s="2" t="n">
        <f>3120</f>
        <v>3120.0</v>
      </c>
    </row>
    <row r="328">
      <c r="A328" s="8" t="s">
        <v>41</v>
      </c>
      <c r="B328" s="9" t="s">
        <v>69</v>
      </c>
      <c r="C328" s="9" t="s">
        <v>70</v>
      </c>
      <c r="D328" s="10"/>
      <c r="E328" s="2"/>
      <c r="F328" s="10"/>
      <c r="G328" s="2"/>
      <c r="H328" s="10"/>
      <c r="I328" s="2"/>
      <c r="J328" s="10"/>
      <c r="K328" s="2"/>
    </row>
    <row r="329">
      <c r="A329" s="8" t="s">
        <v>42</v>
      </c>
      <c r="B329" s="9" t="s">
        <v>69</v>
      </c>
      <c r="C329" s="9" t="s">
        <v>70</v>
      </c>
      <c r="D329" s="10"/>
      <c r="E329" s="2" t="n">
        <f>1715</f>
        <v>1715.0</v>
      </c>
      <c r="F329" s="10"/>
      <c r="G329" s="2" t="n">
        <f>6127054700</f>
        <v>6.1270547E9</v>
      </c>
      <c r="H329" s="10"/>
      <c r="I329" s="2" t="n">
        <f>61</f>
        <v>61.0</v>
      </c>
      <c r="J329" s="10"/>
      <c r="K329" s="2" t="n">
        <f>3113</f>
        <v>3113.0</v>
      </c>
    </row>
    <row r="330">
      <c r="A330" s="8" t="s">
        <v>43</v>
      </c>
      <c r="B330" s="9" t="s">
        <v>69</v>
      </c>
      <c r="C330" s="9" t="s">
        <v>70</v>
      </c>
      <c r="D330" s="10"/>
      <c r="E330" s="2" t="n">
        <f>908</f>
        <v>908.0</v>
      </c>
      <c r="F330" s="10"/>
      <c r="G330" s="2" t="n">
        <f>3240122100</f>
        <v>3.2401221E9</v>
      </c>
      <c r="H330" s="10"/>
      <c r="I330" s="2" t="n">
        <f>53</f>
        <v>53.0</v>
      </c>
      <c r="J330" s="10"/>
      <c r="K330" s="2" t="n">
        <f>3110</f>
        <v>3110.0</v>
      </c>
    </row>
    <row r="331">
      <c r="A331" s="8" t="s">
        <v>44</v>
      </c>
      <c r="B331" s="9" t="s">
        <v>69</v>
      </c>
      <c r="C331" s="9" t="s">
        <v>70</v>
      </c>
      <c r="D331" s="10"/>
      <c r="E331" s="2" t="n">
        <f>2314</f>
        <v>2314.0</v>
      </c>
      <c r="F331" s="10"/>
      <c r="G331" s="2" t="n">
        <f>8214125200</f>
        <v>8.2141252E9</v>
      </c>
      <c r="H331" s="10"/>
      <c r="I331" s="2" t="n">
        <f>696</f>
        <v>696.0</v>
      </c>
      <c r="J331" s="10" t="s">
        <v>48</v>
      </c>
      <c r="K331" s="2" t="n">
        <f>3751</f>
        <v>3751.0</v>
      </c>
    </row>
    <row r="332">
      <c r="A332" s="8" t="s">
        <v>45</v>
      </c>
      <c r="B332" s="9" t="s">
        <v>69</v>
      </c>
      <c r="C332" s="9" t="s">
        <v>70</v>
      </c>
      <c r="D332" s="10"/>
      <c r="E332" s="2"/>
      <c r="F332" s="10"/>
      <c r="G332" s="2"/>
      <c r="H332" s="10"/>
      <c r="I332" s="2"/>
      <c r="J332" s="10"/>
      <c r="K332" s="2"/>
    </row>
    <row r="333">
      <c r="A333" s="8" t="s">
        <v>46</v>
      </c>
      <c r="B333" s="9" t="s">
        <v>69</v>
      </c>
      <c r="C333" s="9" t="s">
        <v>70</v>
      </c>
      <c r="D333" s="10"/>
      <c r="E333" s="2"/>
      <c r="F333" s="10"/>
      <c r="G333" s="2"/>
      <c r="H333" s="10"/>
      <c r="I333" s="2"/>
      <c r="J333" s="10"/>
      <c r="K333" s="2"/>
    </row>
    <row r="334">
      <c r="A334" s="8" t="s">
        <v>47</v>
      </c>
      <c r="B334" s="9" t="s">
        <v>69</v>
      </c>
      <c r="C334" s="9" t="s">
        <v>70</v>
      </c>
      <c r="D334" s="10"/>
      <c r="E334" s="2" t="n">
        <f>2329</f>
        <v>2329.0</v>
      </c>
      <c r="F334" s="10"/>
      <c r="G334" s="2" t="n">
        <f>8131901000</f>
        <v>8.131901E9</v>
      </c>
      <c r="H334" s="10"/>
      <c r="I334" s="2" t="n">
        <f>426</f>
        <v>426.0</v>
      </c>
      <c r="J334" s="10"/>
      <c r="K334" s="2" t="n">
        <f>3720</f>
        <v>3720.0</v>
      </c>
    </row>
    <row r="335">
      <c r="A335" s="8" t="s">
        <v>49</v>
      </c>
      <c r="B335" s="9" t="s">
        <v>69</v>
      </c>
      <c r="C335" s="9" t="s">
        <v>70</v>
      </c>
      <c r="D335" s="10"/>
      <c r="E335" s="2" t="n">
        <f>1442</f>
        <v>1442.0</v>
      </c>
      <c r="F335" s="10"/>
      <c r="G335" s="2" t="n">
        <f>5034963400</f>
        <v>5.0349634E9</v>
      </c>
      <c r="H335" s="10"/>
      <c r="I335" s="2" t="n">
        <f>259</f>
        <v>259.0</v>
      </c>
      <c r="J335" s="10"/>
      <c r="K335" s="2" t="n">
        <f>3736</f>
        <v>3736.0</v>
      </c>
    </row>
    <row r="336">
      <c r="A336" s="8" t="s">
        <v>16</v>
      </c>
      <c r="B336" s="9" t="s">
        <v>71</v>
      </c>
      <c r="C336" s="9" t="s">
        <v>72</v>
      </c>
      <c r="D336" s="10" t="s">
        <v>60</v>
      </c>
      <c r="E336" s="2" t="str">
        <f>"－"</f>
        <v>－</v>
      </c>
      <c r="F336" s="10" t="s">
        <v>60</v>
      </c>
      <c r="G336" s="2" t="str">
        <f>"－"</f>
        <v>－</v>
      </c>
      <c r="H336" s="10" t="s">
        <v>60</v>
      </c>
      <c r="I336" s="2" t="str">
        <f>"－"</f>
        <v>－</v>
      </c>
      <c r="J336" s="10" t="s">
        <v>60</v>
      </c>
      <c r="K336" s="2" t="str">
        <f>"－"</f>
        <v>－</v>
      </c>
    </row>
    <row r="337">
      <c r="A337" s="8" t="s">
        <v>20</v>
      </c>
      <c r="B337" s="9" t="s">
        <v>71</v>
      </c>
      <c r="C337" s="9" t="s">
        <v>72</v>
      </c>
      <c r="D337" s="10"/>
      <c r="E337" s="2" t="str">
        <f>"－"</f>
        <v>－</v>
      </c>
      <c r="F337" s="10"/>
      <c r="G337" s="2" t="str">
        <f>"－"</f>
        <v>－</v>
      </c>
      <c r="H337" s="10"/>
      <c r="I337" s="2" t="str">
        <f>"－"</f>
        <v>－</v>
      </c>
      <c r="J337" s="10"/>
      <c r="K337" s="2" t="str">
        <f>"－"</f>
        <v>－</v>
      </c>
    </row>
    <row r="338">
      <c r="A338" s="8" t="s">
        <v>21</v>
      </c>
      <c r="B338" s="9" t="s">
        <v>71</v>
      </c>
      <c r="C338" s="9" t="s">
        <v>72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22</v>
      </c>
      <c r="B339" s="9" t="s">
        <v>71</v>
      </c>
      <c r="C339" s="9" t="s">
        <v>72</v>
      </c>
      <c r="D339" s="10"/>
      <c r="E339" s="2" t="str">
        <f>"－"</f>
        <v>－</v>
      </c>
      <c r="F339" s="10"/>
      <c r="G339" s="2" t="str">
        <f>"－"</f>
        <v>－</v>
      </c>
      <c r="H339" s="10"/>
      <c r="I339" s="2" t="str">
        <f>"－"</f>
        <v>－</v>
      </c>
      <c r="J339" s="10"/>
      <c r="K339" s="2" t="str">
        <f>"－"</f>
        <v>－</v>
      </c>
    </row>
    <row r="340">
      <c r="A340" s="8" t="s">
        <v>23</v>
      </c>
      <c r="B340" s="9" t="s">
        <v>71</v>
      </c>
      <c r="C340" s="9" t="s">
        <v>72</v>
      </c>
      <c r="D340" s="10"/>
      <c r="E340" s="2" t="str">
        <f>"－"</f>
        <v>－</v>
      </c>
      <c r="F340" s="10"/>
      <c r="G340" s="2" t="str">
        <f>"－"</f>
        <v>－</v>
      </c>
      <c r="H340" s="10"/>
      <c r="I340" s="2" t="str">
        <f>"－"</f>
        <v>－</v>
      </c>
      <c r="J340" s="10"/>
      <c r="K340" s="2" t="str">
        <f>"－"</f>
        <v>－</v>
      </c>
    </row>
    <row r="341">
      <c r="A341" s="8" t="s">
        <v>24</v>
      </c>
      <c r="B341" s="9" t="s">
        <v>71</v>
      </c>
      <c r="C341" s="9" t="s">
        <v>72</v>
      </c>
      <c r="D341" s="10"/>
      <c r="E341" s="2"/>
      <c r="F341" s="10"/>
      <c r="G341" s="2"/>
      <c r="H341" s="10"/>
      <c r="I341" s="2"/>
      <c r="J341" s="10"/>
      <c r="K341" s="2"/>
    </row>
    <row r="342">
      <c r="A342" s="8" t="s">
        <v>25</v>
      </c>
      <c r="B342" s="9" t="s">
        <v>71</v>
      </c>
      <c r="C342" s="9" t="s">
        <v>72</v>
      </c>
      <c r="D342" s="10"/>
      <c r="E342" s="2"/>
      <c r="F342" s="10"/>
      <c r="G342" s="2"/>
      <c r="H342" s="10"/>
      <c r="I342" s="2"/>
      <c r="J342" s="10"/>
      <c r="K342" s="2"/>
    </row>
    <row r="343">
      <c r="A343" s="8" t="s">
        <v>26</v>
      </c>
      <c r="B343" s="9" t="s">
        <v>71</v>
      </c>
      <c r="C343" s="9" t="s">
        <v>72</v>
      </c>
      <c r="D343" s="10"/>
      <c r="E343" s="2" t="str">
        <f>"－"</f>
        <v>－</v>
      </c>
      <c r="F343" s="10"/>
      <c r="G343" s="2" t="str">
        <f>"－"</f>
        <v>－</v>
      </c>
      <c r="H343" s="10"/>
      <c r="I343" s="2" t="str">
        <f>"－"</f>
        <v>－</v>
      </c>
      <c r="J343" s="10"/>
      <c r="K343" s="2" t="str">
        <f>"－"</f>
        <v>－</v>
      </c>
    </row>
    <row r="344">
      <c r="A344" s="8" t="s">
        <v>27</v>
      </c>
      <c r="B344" s="9" t="s">
        <v>71</v>
      </c>
      <c r="C344" s="9" t="s">
        <v>72</v>
      </c>
      <c r="D344" s="10"/>
      <c r="E344" s="2" t="str">
        <f>"－"</f>
        <v>－</v>
      </c>
      <c r="F344" s="10"/>
      <c r="G344" s="2" t="str">
        <f>"－"</f>
        <v>－</v>
      </c>
      <c r="H344" s="10"/>
      <c r="I344" s="2" t="str">
        <f>"－"</f>
        <v>－</v>
      </c>
      <c r="J344" s="10"/>
      <c r="K344" s="2" t="str">
        <f>"－"</f>
        <v>－</v>
      </c>
    </row>
    <row r="345">
      <c r="A345" s="8" t="s">
        <v>28</v>
      </c>
      <c r="B345" s="9" t="s">
        <v>71</v>
      </c>
      <c r="C345" s="9" t="s">
        <v>72</v>
      </c>
      <c r="D345" s="10"/>
      <c r="E345" s="2" t="str">
        <f>"－"</f>
        <v>－</v>
      </c>
      <c r="F345" s="10"/>
      <c r="G345" s="2" t="str">
        <f>"－"</f>
        <v>－</v>
      </c>
      <c r="H345" s="10"/>
      <c r="I345" s="2" t="str">
        <f>"－"</f>
        <v>－</v>
      </c>
      <c r="J345" s="10"/>
      <c r="K345" s="2" t="str">
        <f>"－"</f>
        <v>－</v>
      </c>
    </row>
    <row r="346">
      <c r="A346" s="8" t="s">
        <v>29</v>
      </c>
      <c r="B346" s="9" t="s">
        <v>71</v>
      </c>
      <c r="C346" s="9" t="s">
        <v>72</v>
      </c>
      <c r="D346" s="10"/>
      <c r="E346" s="2" t="str">
        <f>"－"</f>
        <v>－</v>
      </c>
      <c r="F346" s="10"/>
      <c r="G346" s="2" t="str">
        <f>"－"</f>
        <v>－</v>
      </c>
      <c r="H346" s="10"/>
      <c r="I346" s="2" t="str">
        <f>"－"</f>
        <v>－</v>
      </c>
      <c r="J346" s="10"/>
      <c r="K346" s="2" t="str">
        <f>"－"</f>
        <v>－</v>
      </c>
    </row>
    <row r="347">
      <c r="A347" s="8" t="s">
        <v>30</v>
      </c>
      <c r="B347" s="9" t="s">
        <v>71</v>
      </c>
      <c r="C347" s="9" t="s">
        <v>72</v>
      </c>
      <c r="D347" s="10"/>
      <c r="E347" s="2" t="str">
        <f>"－"</f>
        <v>－</v>
      </c>
      <c r="F347" s="10"/>
      <c r="G347" s="2" t="str">
        <f>"－"</f>
        <v>－</v>
      </c>
      <c r="H347" s="10"/>
      <c r="I347" s="2" t="str">
        <f>"－"</f>
        <v>－</v>
      </c>
      <c r="J347" s="10"/>
      <c r="K347" s="2" t="str">
        <f>"－"</f>
        <v>－</v>
      </c>
    </row>
    <row r="348">
      <c r="A348" s="8" t="s">
        <v>31</v>
      </c>
      <c r="B348" s="9" t="s">
        <v>71</v>
      </c>
      <c r="C348" s="9" t="s">
        <v>72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32</v>
      </c>
      <c r="B349" s="9" t="s">
        <v>71</v>
      </c>
      <c r="C349" s="9" t="s">
        <v>72</v>
      </c>
      <c r="D349" s="10"/>
      <c r="E349" s="2"/>
      <c r="F349" s="10"/>
      <c r="G349" s="2"/>
      <c r="H349" s="10"/>
      <c r="I349" s="2"/>
      <c r="J349" s="10"/>
      <c r="K349" s="2"/>
    </row>
    <row r="350">
      <c r="A350" s="8" t="s">
        <v>33</v>
      </c>
      <c r="B350" s="9" t="s">
        <v>71</v>
      </c>
      <c r="C350" s="9" t="s">
        <v>72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34</v>
      </c>
      <c r="B351" s="9" t="s">
        <v>71</v>
      </c>
      <c r="C351" s="9" t="s">
        <v>72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35</v>
      </c>
      <c r="B352" s="9" t="s">
        <v>71</v>
      </c>
      <c r="C352" s="9" t="s">
        <v>72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36</v>
      </c>
      <c r="B353" s="9" t="s">
        <v>71</v>
      </c>
      <c r="C353" s="9" t="s">
        <v>72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37</v>
      </c>
      <c r="B354" s="9" t="s">
        <v>71</v>
      </c>
      <c r="C354" s="9" t="s">
        <v>72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38</v>
      </c>
      <c r="B355" s="9" t="s">
        <v>71</v>
      </c>
      <c r="C355" s="9" t="s">
        <v>72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39</v>
      </c>
      <c r="B356" s="9" t="s">
        <v>71</v>
      </c>
      <c r="C356" s="9" t="s">
        <v>72</v>
      </c>
      <c r="D356" s="10"/>
      <c r="E356" s="2"/>
      <c r="F356" s="10"/>
      <c r="G356" s="2"/>
      <c r="H356" s="10"/>
      <c r="I356" s="2"/>
      <c r="J356" s="10"/>
      <c r="K356" s="2"/>
    </row>
    <row r="357">
      <c r="A357" s="8" t="s">
        <v>40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41</v>
      </c>
      <c r="B358" s="9" t="s">
        <v>71</v>
      </c>
      <c r="C358" s="9" t="s">
        <v>72</v>
      </c>
      <c r="D358" s="10"/>
      <c r="E358" s="2"/>
      <c r="F358" s="10"/>
      <c r="G358" s="2"/>
      <c r="H358" s="10"/>
      <c r="I358" s="2"/>
      <c r="J358" s="10"/>
      <c r="K358" s="2"/>
    </row>
    <row r="359">
      <c r="A359" s="8" t="s">
        <v>42</v>
      </c>
      <c r="B359" s="9" t="s">
        <v>71</v>
      </c>
      <c r="C359" s="9" t="s">
        <v>72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43</v>
      </c>
      <c r="B360" s="9" t="s">
        <v>71</v>
      </c>
      <c r="C360" s="9" t="s">
        <v>72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44</v>
      </c>
      <c r="B361" s="9" t="s">
        <v>71</v>
      </c>
      <c r="C361" s="9" t="s">
        <v>72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45</v>
      </c>
      <c r="B362" s="9" t="s">
        <v>71</v>
      </c>
      <c r="C362" s="9" t="s">
        <v>72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46</v>
      </c>
      <c r="B363" s="9" t="s">
        <v>71</v>
      </c>
      <c r="C363" s="9" t="s">
        <v>72</v>
      </c>
      <c r="D363" s="10"/>
      <c r="E363" s="2"/>
      <c r="F363" s="10"/>
      <c r="G363" s="2"/>
      <c r="H363" s="10"/>
      <c r="I363" s="2"/>
      <c r="J363" s="10"/>
      <c r="K363" s="2"/>
    </row>
    <row r="364">
      <c r="A364" s="8" t="s">
        <v>47</v>
      </c>
      <c r="B364" s="9" t="s">
        <v>71</v>
      </c>
      <c r="C364" s="9" t="s">
        <v>72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49</v>
      </c>
      <c r="B365" s="9" t="s">
        <v>71</v>
      </c>
      <c r="C365" s="9" t="s">
        <v>72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16</v>
      </c>
      <c r="B366" s="9" t="s">
        <v>73</v>
      </c>
      <c r="C366" s="9" t="s">
        <v>74</v>
      </c>
      <c r="D366" s="10" t="s">
        <v>60</v>
      </c>
      <c r="E366" s="2" t="str">
        <f>"－"</f>
        <v>－</v>
      </c>
      <c r="F366" s="10" t="s">
        <v>60</v>
      </c>
      <c r="G366" s="2" t="str">
        <f>"－"</f>
        <v>－</v>
      </c>
      <c r="H366" s="10" t="s">
        <v>60</v>
      </c>
      <c r="I366" s="2" t="str">
        <f>"－"</f>
        <v>－</v>
      </c>
      <c r="J366" s="10" t="s">
        <v>60</v>
      </c>
      <c r="K366" s="2" t="str">
        <f>"－"</f>
        <v>－</v>
      </c>
    </row>
    <row r="367">
      <c r="A367" s="8" t="s">
        <v>20</v>
      </c>
      <c r="B367" s="9" t="s">
        <v>73</v>
      </c>
      <c r="C367" s="9" t="s">
        <v>74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21</v>
      </c>
      <c r="B368" s="9" t="s">
        <v>73</v>
      </c>
      <c r="C368" s="9" t="s">
        <v>74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22</v>
      </c>
      <c r="B369" s="9" t="s">
        <v>73</v>
      </c>
      <c r="C369" s="9" t="s">
        <v>74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23</v>
      </c>
      <c r="B370" s="9" t="s">
        <v>73</v>
      </c>
      <c r="C370" s="9" t="s">
        <v>74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24</v>
      </c>
      <c r="B371" s="9" t="s">
        <v>73</v>
      </c>
      <c r="C371" s="9" t="s">
        <v>74</v>
      </c>
      <c r="D371" s="10"/>
      <c r="E371" s="2"/>
      <c r="F371" s="10"/>
      <c r="G371" s="2"/>
      <c r="H371" s="10"/>
      <c r="I371" s="2"/>
      <c r="J371" s="10"/>
      <c r="K371" s="2"/>
    </row>
    <row r="372">
      <c r="A372" s="8" t="s">
        <v>25</v>
      </c>
      <c r="B372" s="9" t="s">
        <v>73</v>
      </c>
      <c r="C372" s="9" t="s">
        <v>74</v>
      </c>
      <c r="D372" s="10"/>
      <c r="E372" s="2"/>
      <c r="F372" s="10"/>
      <c r="G372" s="2"/>
      <c r="H372" s="10"/>
      <c r="I372" s="2"/>
      <c r="J372" s="10"/>
      <c r="K372" s="2"/>
    </row>
    <row r="373">
      <c r="A373" s="8" t="s">
        <v>26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27</v>
      </c>
      <c r="B374" s="9" t="s">
        <v>73</v>
      </c>
      <c r="C374" s="9" t="s">
        <v>74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28</v>
      </c>
      <c r="B375" s="9" t="s">
        <v>73</v>
      </c>
      <c r="C375" s="9" t="s">
        <v>74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29</v>
      </c>
      <c r="B376" s="9" t="s">
        <v>73</v>
      </c>
      <c r="C376" s="9" t="s">
        <v>74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30</v>
      </c>
      <c r="B377" s="9" t="s">
        <v>73</v>
      </c>
      <c r="C377" s="9" t="s">
        <v>74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31</v>
      </c>
      <c r="B378" s="9" t="s">
        <v>73</v>
      </c>
      <c r="C378" s="9" t="s">
        <v>74</v>
      </c>
      <c r="D378" s="10"/>
      <c r="E378" s="2"/>
      <c r="F378" s="10"/>
      <c r="G378" s="2"/>
      <c r="H378" s="10"/>
      <c r="I378" s="2"/>
      <c r="J378" s="10"/>
      <c r="K378" s="2"/>
    </row>
    <row r="379">
      <c r="A379" s="8" t="s">
        <v>32</v>
      </c>
      <c r="B379" s="9" t="s">
        <v>73</v>
      </c>
      <c r="C379" s="9" t="s">
        <v>74</v>
      </c>
      <c r="D379" s="10"/>
      <c r="E379" s="2"/>
      <c r="F379" s="10"/>
      <c r="G379" s="2"/>
      <c r="H379" s="10"/>
      <c r="I379" s="2"/>
      <c r="J379" s="10"/>
      <c r="K379" s="2"/>
    </row>
    <row r="380">
      <c r="A380" s="8" t="s">
        <v>33</v>
      </c>
      <c r="B380" s="9" t="s">
        <v>73</v>
      </c>
      <c r="C380" s="9" t="s">
        <v>74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34</v>
      </c>
      <c r="B381" s="9" t="s">
        <v>73</v>
      </c>
      <c r="C381" s="9" t="s">
        <v>74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35</v>
      </c>
      <c r="B382" s="9" t="s">
        <v>73</v>
      </c>
      <c r="C382" s="9" t="s">
        <v>74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36</v>
      </c>
      <c r="B383" s="9" t="s">
        <v>73</v>
      </c>
      <c r="C383" s="9" t="s">
        <v>74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37</v>
      </c>
      <c r="B384" s="9" t="s">
        <v>73</v>
      </c>
      <c r="C384" s="9" t="s">
        <v>74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38</v>
      </c>
      <c r="B385" s="9" t="s">
        <v>73</v>
      </c>
      <c r="C385" s="9" t="s">
        <v>74</v>
      </c>
      <c r="D385" s="10"/>
      <c r="E385" s="2"/>
      <c r="F385" s="10"/>
      <c r="G385" s="2"/>
      <c r="H385" s="10"/>
      <c r="I385" s="2"/>
      <c r="J385" s="10"/>
      <c r="K385" s="2"/>
    </row>
    <row r="386">
      <c r="A386" s="8" t="s">
        <v>39</v>
      </c>
      <c r="B386" s="9" t="s">
        <v>73</v>
      </c>
      <c r="C386" s="9" t="s">
        <v>74</v>
      </c>
      <c r="D386" s="10"/>
      <c r="E386" s="2"/>
      <c r="F386" s="10"/>
      <c r="G386" s="2"/>
      <c r="H386" s="10"/>
      <c r="I386" s="2"/>
      <c r="J386" s="10"/>
      <c r="K386" s="2"/>
    </row>
    <row r="387">
      <c r="A387" s="8" t="s">
        <v>40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41</v>
      </c>
      <c r="B388" s="9" t="s">
        <v>73</v>
      </c>
      <c r="C388" s="9" t="s">
        <v>74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42</v>
      </c>
      <c r="B389" s="9" t="s">
        <v>73</v>
      </c>
      <c r="C389" s="9" t="s">
        <v>74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43</v>
      </c>
      <c r="B390" s="9" t="s">
        <v>73</v>
      </c>
      <c r="C390" s="9" t="s">
        <v>74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44</v>
      </c>
      <c r="B391" s="9" t="s">
        <v>73</v>
      </c>
      <c r="C391" s="9" t="s">
        <v>74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45</v>
      </c>
      <c r="B392" s="9" t="s">
        <v>73</v>
      </c>
      <c r="C392" s="9" t="s">
        <v>74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46</v>
      </c>
      <c r="B393" s="9" t="s">
        <v>73</v>
      </c>
      <c r="C393" s="9" t="s">
        <v>74</v>
      </c>
      <c r="D393" s="10"/>
      <c r="E393" s="2"/>
      <c r="F393" s="10"/>
      <c r="G393" s="2"/>
      <c r="H393" s="10"/>
      <c r="I393" s="2"/>
      <c r="J393" s="10"/>
      <c r="K393" s="2"/>
    </row>
    <row r="394">
      <c r="A394" s="8" t="s">
        <v>47</v>
      </c>
      <c r="B394" s="9" t="s">
        <v>73</v>
      </c>
      <c r="C394" s="9" t="s">
        <v>74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49</v>
      </c>
      <c r="B395" s="9" t="s">
        <v>73</v>
      </c>
      <c r="C395" s="9" t="s">
        <v>74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19</v>
      </c>
      <c r="E396" s="2" t="str">
        <f>"－"</f>
        <v>－</v>
      </c>
      <c r="F396" s="10" t="s">
        <v>19</v>
      </c>
      <c r="G396" s="2" t="str">
        <f>"－"</f>
        <v>－</v>
      </c>
      <c r="H396" s="10" t="s">
        <v>60</v>
      </c>
      <c r="I396" s="2" t="str">
        <f>"－"</f>
        <v>－</v>
      </c>
      <c r="J396" s="10" t="s">
        <v>48</v>
      </c>
      <c r="K396" s="2" t="n">
        <f>35536</f>
        <v>35536.0</v>
      </c>
    </row>
    <row r="397">
      <c r="A397" s="8" t="s">
        <v>20</v>
      </c>
      <c r="B397" s="9" t="s">
        <v>75</v>
      </c>
      <c r="C397" s="9" t="s">
        <v>76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n">
        <f>35536</f>
        <v>35536.0</v>
      </c>
    </row>
    <row r="398">
      <c r="A398" s="8" t="s">
        <v>21</v>
      </c>
      <c r="B398" s="9" t="s">
        <v>75</v>
      </c>
      <c r="C398" s="9" t="s">
        <v>76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22</v>
      </c>
      <c r="B399" s="9" t="s">
        <v>75</v>
      </c>
      <c r="C399" s="9" t="s">
        <v>76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n">
        <f>35536</f>
        <v>35536.0</v>
      </c>
    </row>
    <row r="400">
      <c r="A400" s="8" t="s">
        <v>23</v>
      </c>
      <c r="B400" s="9" t="s">
        <v>75</v>
      </c>
      <c r="C400" s="9" t="s">
        <v>76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n">
        <f>35536</f>
        <v>35536.0</v>
      </c>
    </row>
    <row r="401">
      <c r="A401" s="8" t="s">
        <v>24</v>
      </c>
      <c r="B401" s="9" t="s">
        <v>75</v>
      </c>
      <c r="C401" s="9" t="s">
        <v>76</v>
      </c>
      <c r="D401" s="10"/>
      <c r="E401" s="2"/>
      <c r="F401" s="10"/>
      <c r="G401" s="2"/>
      <c r="H401" s="10"/>
      <c r="I401" s="2"/>
      <c r="J401" s="10"/>
      <c r="K401" s="2"/>
    </row>
    <row r="402">
      <c r="A402" s="8" t="s">
        <v>25</v>
      </c>
      <c r="B402" s="9" t="s">
        <v>75</v>
      </c>
      <c r="C402" s="9" t="s">
        <v>76</v>
      </c>
      <c r="D402" s="10"/>
      <c r="E402" s="2"/>
      <c r="F402" s="10"/>
      <c r="G402" s="2"/>
      <c r="H402" s="10"/>
      <c r="I402" s="2"/>
      <c r="J402" s="10"/>
      <c r="K402" s="2"/>
    </row>
    <row r="403">
      <c r="A403" s="8" t="s">
        <v>26</v>
      </c>
      <c r="B403" s="9" t="s">
        <v>75</v>
      </c>
      <c r="C403" s="9" t="s">
        <v>76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n">
        <f>35536</f>
        <v>35536.0</v>
      </c>
    </row>
    <row r="404">
      <c r="A404" s="8" t="s">
        <v>27</v>
      </c>
      <c r="B404" s="9" t="s">
        <v>75</v>
      </c>
      <c r="C404" s="9" t="s">
        <v>76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n">
        <f>35536</f>
        <v>35536.0</v>
      </c>
    </row>
    <row r="405">
      <c r="A405" s="8" t="s">
        <v>28</v>
      </c>
      <c r="B405" s="9" t="s">
        <v>75</v>
      </c>
      <c r="C405" s="9" t="s">
        <v>76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n">
        <f>35536</f>
        <v>35536.0</v>
      </c>
    </row>
    <row r="406">
      <c r="A406" s="8" t="s">
        <v>29</v>
      </c>
      <c r="B406" s="9" t="s">
        <v>75</v>
      </c>
      <c r="C406" s="9" t="s">
        <v>76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n">
        <f>35536</f>
        <v>35536.0</v>
      </c>
    </row>
    <row r="407">
      <c r="A407" s="8" t="s">
        <v>30</v>
      </c>
      <c r="B407" s="9" t="s">
        <v>75</v>
      </c>
      <c r="C407" s="9" t="s">
        <v>76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n">
        <f>35536</f>
        <v>35536.0</v>
      </c>
    </row>
    <row r="408">
      <c r="A408" s="8" t="s">
        <v>31</v>
      </c>
      <c r="B408" s="9" t="s">
        <v>75</v>
      </c>
      <c r="C408" s="9" t="s">
        <v>76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32</v>
      </c>
      <c r="B409" s="9" t="s">
        <v>75</v>
      </c>
      <c r="C409" s="9" t="s">
        <v>76</v>
      </c>
      <c r="D409" s="10"/>
      <c r="E409" s="2"/>
      <c r="F409" s="10"/>
      <c r="G409" s="2"/>
      <c r="H409" s="10"/>
      <c r="I409" s="2"/>
      <c r="J409" s="10"/>
      <c r="K409" s="2"/>
    </row>
    <row r="410">
      <c r="A410" s="8" t="s">
        <v>33</v>
      </c>
      <c r="B410" s="9" t="s">
        <v>75</v>
      </c>
      <c r="C410" s="9" t="s">
        <v>76</v>
      </c>
      <c r="D410" s="10" t="s">
        <v>48</v>
      </c>
      <c r="E410" s="2" t="n">
        <f>15</f>
        <v>15.0</v>
      </c>
      <c r="F410" s="10" t="s">
        <v>48</v>
      </c>
      <c r="G410" s="2" t="n">
        <f>8640000</f>
        <v>8640000.0</v>
      </c>
      <c r="H410" s="10"/>
      <c r="I410" s="2" t="str">
        <f>"－"</f>
        <v>－</v>
      </c>
      <c r="J410" s="10" t="s">
        <v>19</v>
      </c>
      <c r="K410" s="2" t="n">
        <f>35521</f>
        <v>35521.0</v>
      </c>
    </row>
    <row r="411">
      <c r="A411" s="8" t="s">
        <v>34</v>
      </c>
      <c r="B411" s="9" t="s">
        <v>75</v>
      </c>
      <c r="C411" s="9" t="s">
        <v>76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35521</f>
        <v>35521.0</v>
      </c>
    </row>
    <row r="412">
      <c r="A412" s="8" t="s">
        <v>35</v>
      </c>
      <c r="B412" s="9" t="s">
        <v>75</v>
      </c>
      <c r="C412" s="9" t="s">
        <v>76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35521</f>
        <v>35521.0</v>
      </c>
    </row>
    <row r="413">
      <c r="A413" s="8" t="s">
        <v>36</v>
      </c>
      <c r="B413" s="9" t="s">
        <v>75</v>
      </c>
      <c r="C413" s="9" t="s">
        <v>76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35521</f>
        <v>35521.0</v>
      </c>
    </row>
    <row r="414">
      <c r="A414" s="8" t="s">
        <v>37</v>
      </c>
      <c r="B414" s="9" t="s">
        <v>75</v>
      </c>
      <c r="C414" s="9" t="s">
        <v>76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35521</f>
        <v>35521.0</v>
      </c>
    </row>
    <row r="415">
      <c r="A415" s="8" t="s">
        <v>38</v>
      </c>
      <c r="B415" s="9" t="s">
        <v>75</v>
      </c>
      <c r="C415" s="9" t="s">
        <v>76</v>
      </c>
      <c r="D415" s="10"/>
      <c r="E415" s="2"/>
      <c r="F415" s="10"/>
      <c r="G415" s="2"/>
      <c r="H415" s="10"/>
      <c r="I415" s="2"/>
      <c r="J415" s="10"/>
      <c r="K415" s="2"/>
    </row>
    <row r="416">
      <c r="A416" s="8" t="s">
        <v>39</v>
      </c>
      <c r="B416" s="9" t="s">
        <v>75</v>
      </c>
      <c r="C416" s="9" t="s">
        <v>76</v>
      </c>
      <c r="D416" s="10"/>
      <c r="E416" s="2"/>
      <c r="F416" s="10"/>
      <c r="G416" s="2"/>
      <c r="H416" s="10"/>
      <c r="I416" s="2"/>
      <c r="J416" s="10"/>
      <c r="K416" s="2"/>
    </row>
    <row r="417">
      <c r="A417" s="8" t="s">
        <v>40</v>
      </c>
      <c r="B417" s="9" t="s">
        <v>75</v>
      </c>
      <c r="C417" s="9" t="s">
        <v>76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35521</f>
        <v>35521.0</v>
      </c>
    </row>
    <row r="418">
      <c r="A418" s="8" t="s">
        <v>41</v>
      </c>
      <c r="B418" s="9" t="s">
        <v>75</v>
      </c>
      <c r="C418" s="9" t="s">
        <v>76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42</v>
      </c>
      <c r="B419" s="9" t="s">
        <v>75</v>
      </c>
      <c r="C419" s="9" t="s">
        <v>76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35521</f>
        <v>35521.0</v>
      </c>
    </row>
    <row r="420">
      <c r="A420" s="8" t="s">
        <v>43</v>
      </c>
      <c r="B420" s="9" t="s">
        <v>75</v>
      </c>
      <c r="C420" s="9" t="s">
        <v>76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35521</f>
        <v>35521.0</v>
      </c>
    </row>
    <row r="421">
      <c r="A421" s="8" t="s">
        <v>44</v>
      </c>
      <c r="B421" s="9" t="s">
        <v>75</v>
      </c>
      <c r="C421" s="9" t="s">
        <v>76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35521</f>
        <v>35521.0</v>
      </c>
    </row>
    <row r="422">
      <c r="A422" s="8" t="s">
        <v>45</v>
      </c>
      <c r="B422" s="9" t="s">
        <v>75</v>
      </c>
      <c r="C422" s="9" t="s">
        <v>76</v>
      </c>
      <c r="D422" s="10"/>
      <c r="E422" s="2"/>
      <c r="F422" s="10"/>
      <c r="G422" s="2"/>
      <c r="H422" s="10"/>
      <c r="I422" s="2"/>
      <c r="J422" s="10"/>
      <c r="K422" s="2"/>
    </row>
    <row r="423">
      <c r="A423" s="8" t="s">
        <v>46</v>
      </c>
      <c r="B423" s="9" t="s">
        <v>75</v>
      </c>
      <c r="C423" s="9" t="s">
        <v>76</v>
      </c>
      <c r="D423" s="10"/>
      <c r="E423" s="2"/>
      <c r="F423" s="10"/>
      <c r="G423" s="2"/>
      <c r="H423" s="10"/>
      <c r="I423" s="2"/>
      <c r="J423" s="10"/>
      <c r="K423" s="2"/>
    </row>
    <row r="424">
      <c r="A424" s="8" t="s">
        <v>47</v>
      </c>
      <c r="B424" s="9" t="s">
        <v>75</v>
      </c>
      <c r="C424" s="9" t="s">
        <v>76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35521</f>
        <v>35521.0</v>
      </c>
    </row>
    <row r="425">
      <c r="A425" s="8" t="s">
        <v>49</v>
      </c>
      <c r="B425" s="9" t="s">
        <v>75</v>
      </c>
      <c r="C425" s="9" t="s">
        <v>76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35521</f>
        <v>35521.0</v>
      </c>
    </row>
    <row r="426">
      <c r="A426" s="8" t="s">
        <v>16</v>
      </c>
      <c r="B426" s="9" t="s">
        <v>77</v>
      </c>
      <c r="C426" s="9" t="s">
        <v>78</v>
      </c>
      <c r="D426" s="10"/>
      <c r="E426" s="2" t="n">
        <f>47</f>
        <v>47.0</v>
      </c>
      <c r="F426" s="10"/>
      <c r="G426" s="2" t="n">
        <f>8951500</f>
        <v>8951500.0</v>
      </c>
      <c r="H426" s="10" t="s">
        <v>60</v>
      </c>
      <c r="I426" s="2" t="str">
        <f>"－"</f>
        <v>－</v>
      </c>
      <c r="J426" s="10"/>
      <c r="K426" s="2" t="n">
        <f>363</f>
        <v>363.0</v>
      </c>
    </row>
    <row r="427">
      <c r="A427" s="8" t="s">
        <v>20</v>
      </c>
      <c r="B427" s="9" t="s">
        <v>77</v>
      </c>
      <c r="C427" s="9" t="s">
        <v>78</v>
      </c>
      <c r="D427" s="10"/>
      <c r="E427" s="2" t="n">
        <f>123</f>
        <v>123.0</v>
      </c>
      <c r="F427" s="10"/>
      <c r="G427" s="2" t="n">
        <f>25287000</f>
        <v>2.5287E7</v>
      </c>
      <c r="H427" s="10"/>
      <c r="I427" s="2" t="str">
        <f>"－"</f>
        <v>－</v>
      </c>
      <c r="J427" s="10"/>
      <c r="K427" s="2" t="n">
        <f>365</f>
        <v>365.0</v>
      </c>
    </row>
    <row r="428">
      <c r="A428" s="8" t="s">
        <v>21</v>
      </c>
      <c r="B428" s="9" t="s">
        <v>77</v>
      </c>
      <c r="C428" s="9" t="s">
        <v>78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22</v>
      </c>
      <c r="B429" s="9" t="s">
        <v>77</v>
      </c>
      <c r="C429" s="9" t="s">
        <v>78</v>
      </c>
      <c r="D429" s="10"/>
      <c r="E429" s="2" t="n">
        <f>83</f>
        <v>83.0</v>
      </c>
      <c r="F429" s="10"/>
      <c r="G429" s="2" t="n">
        <f>16369500</f>
        <v>1.63695E7</v>
      </c>
      <c r="H429" s="10"/>
      <c r="I429" s="2" t="str">
        <f>"－"</f>
        <v>－</v>
      </c>
      <c r="J429" s="10"/>
      <c r="K429" s="2" t="n">
        <f>435</f>
        <v>435.0</v>
      </c>
    </row>
    <row r="430">
      <c r="A430" s="8" t="s">
        <v>23</v>
      </c>
      <c r="B430" s="9" t="s">
        <v>77</v>
      </c>
      <c r="C430" s="9" t="s">
        <v>78</v>
      </c>
      <c r="D430" s="10" t="s">
        <v>19</v>
      </c>
      <c r="E430" s="2" t="n">
        <f>9</f>
        <v>9.0</v>
      </c>
      <c r="F430" s="10" t="s">
        <v>19</v>
      </c>
      <c r="G430" s="2" t="n">
        <f>1780500</f>
        <v>1780500.0</v>
      </c>
      <c r="H430" s="10"/>
      <c r="I430" s="2" t="str">
        <f>"－"</f>
        <v>－</v>
      </c>
      <c r="J430" s="10"/>
      <c r="K430" s="2" t="n">
        <f>434</f>
        <v>434.0</v>
      </c>
    </row>
    <row r="431">
      <c r="A431" s="8" t="s">
        <v>24</v>
      </c>
      <c r="B431" s="9" t="s">
        <v>77</v>
      </c>
      <c r="C431" s="9" t="s">
        <v>78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25</v>
      </c>
      <c r="B432" s="9" t="s">
        <v>77</v>
      </c>
      <c r="C432" s="9" t="s">
        <v>78</v>
      </c>
      <c r="D432" s="10"/>
      <c r="E432" s="2"/>
      <c r="F432" s="10"/>
      <c r="G432" s="2"/>
      <c r="H432" s="10"/>
      <c r="I432" s="2"/>
      <c r="J432" s="10"/>
      <c r="K432" s="2"/>
    </row>
    <row r="433">
      <c r="A433" s="8" t="s">
        <v>26</v>
      </c>
      <c r="B433" s="9" t="s">
        <v>77</v>
      </c>
      <c r="C433" s="9" t="s">
        <v>78</v>
      </c>
      <c r="D433" s="10"/>
      <c r="E433" s="2" t="n">
        <f>133</f>
        <v>133.0</v>
      </c>
      <c r="F433" s="10"/>
      <c r="G433" s="2" t="n">
        <f>26299500</f>
        <v>2.62995E7</v>
      </c>
      <c r="H433" s="10"/>
      <c r="I433" s="2" t="str">
        <f>"－"</f>
        <v>－</v>
      </c>
      <c r="J433" s="10"/>
      <c r="K433" s="2" t="n">
        <f>465</f>
        <v>465.0</v>
      </c>
    </row>
    <row r="434">
      <c r="A434" s="8" t="s">
        <v>27</v>
      </c>
      <c r="B434" s="9" t="s">
        <v>77</v>
      </c>
      <c r="C434" s="9" t="s">
        <v>78</v>
      </c>
      <c r="D434" s="10"/>
      <c r="E434" s="2" t="n">
        <f>122</f>
        <v>122.0</v>
      </c>
      <c r="F434" s="10"/>
      <c r="G434" s="2" t="n">
        <f>24062500</f>
        <v>2.40625E7</v>
      </c>
      <c r="H434" s="10"/>
      <c r="I434" s="2" t="str">
        <f>"－"</f>
        <v>－</v>
      </c>
      <c r="J434" s="10"/>
      <c r="K434" s="2" t="n">
        <f>488</f>
        <v>488.0</v>
      </c>
    </row>
    <row r="435">
      <c r="A435" s="8" t="s">
        <v>28</v>
      </c>
      <c r="B435" s="9" t="s">
        <v>77</v>
      </c>
      <c r="C435" s="9" t="s">
        <v>78</v>
      </c>
      <c r="D435" s="10"/>
      <c r="E435" s="2" t="n">
        <f>166</f>
        <v>166.0</v>
      </c>
      <c r="F435" s="10"/>
      <c r="G435" s="2" t="n">
        <f>34175000</f>
        <v>3.4175E7</v>
      </c>
      <c r="H435" s="10"/>
      <c r="I435" s="2" t="str">
        <f>"－"</f>
        <v>－</v>
      </c>
      <c r="J435" s="10"/>
      <c r="K435" s="2" t="n">
        <f>441</f>
        <v>441.0</v>
      </c>
    </row>
    <row r="436">
      <c r="A436" s="8" t="s">
        <v>29</v>
      </c>
      <c r="B436" s="9" t="s">
        <v>77</v>
      </c>
      <c r="C436" s="9" t="s">
        <v>78</v>
      </c>
      <c r="D436" s="10"/>
      <c r="E436" s="2" t="n">
        <f>49</f>
        <v>49.0</v>
      </c>
      <c r="F436" s="10"/>
      <c r="G436" s="2" t="n">
        <f>10343000</f>
        <v>1.0343E7</v>
      </c>
      <c r="H436" s="10"/>
      <c r="I436" s="2" t="str">
        <f>"－"</f>
        <v>－</v>
      </c>
      <c r="J436" s="10" t="s">
        <v>19</v>
      </c>
      <c r="K436" s="2" t="n">
        <f>167</f>
        <v>167.0</v>
      </c>
    </row>
    <row r="437">
      <c r="A437" s="8" t="s">
        <v>30</v>
      </c>
      <c r="B437" s="9" t="s">
        <v>77</v>
      </c>
      <c r="C437" s="9" t="s">
        <v>78</v>
      </c>
      <c r="D437" s="10"/>
      <c r="E437" s="2" t="n">
        <f>198</f>
        <v>198.0</v>
      </c>
      <c r="F437" s="10"/>
      <c r="G437" s="2" t="n">
        <f>41255000</f>
        <v>4.1255E7</v>
      </c>
      <c r="H437" s="10"/>
      <c r="I437" s="2" t="str">
        <f>"－"</f>
        <v>－</v>
      </c>
      <c r="J437" s="10"/>
      <c r="K437" s="2" t="n">
        <f>320</f>
        <v>320.0</v>
      </c>
    </row>
    <row r="438">
      <c r="A438" s="8" t="s">
        <v>31</v>
      </c>
      <c r="B438" s="9" t="s">
        <v>77</v>
      </c>
      <c r="C438" s="9" t="s">
        <v>78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32</v>
      </c>
      <c r="B439" s="9" t="s">
        <v>77</v>
      </c>
      <c r="C439" s="9" t="s">
        <v>78</v>
      </c>
      <c r="D439" s="10"/>
      <c r="E439" s="2"/>
      <c r="F439" s="10"/>
      <c r="G439" s="2"/>
      <c r="H439" s="10"/>
      <c r="I439" s="2"/>
      <c r="J439" s="10"/>
      <c r="K439" s="2"/>
    </row>
    <row r="440">
      <c r="A440" s="8" t="s">
        <v>33</v>
      </c>
      <c r="B440" s="9" t="s">
        <v>77</v>
      </c>
      <c r="C440" s="9" t="s">
        <v>78</v>
      </c>
      <c r="D440" s="10"/>
      <c r="E440" s="2" t="n">
        <f>127</f>
        <v>127.0</v>
      </c>
      <c r="F440" s="10"/>
      <c r="G440" s="2" t="n">
        <f>24336000</f>
        <v>2.4336E7</v>
      </c>
      <c r="H440" s="10"/>
      <c r="I440" s="2" t="str">
        <f>"－"</f>
        <v>－</v>
      </c>
      <c r="J440" s="10"/>
      <c r="K440" s="2" t="n">
        <f>429</f>
        <v>429.0</v>
      </c>
    </row>
    <row r="441">
      <c r="A441" s="8" t="s">
        <v>34</v>
      </c>
      <c r="B441" s="9" t="s">
        <v>77</v>
      </c>
      <c r="C441" s="9" t="s">
        <v>78</v>
      </c>
      <c r="D441" s="10"/>
      <c r="E441" s="2" t="n">
        <f>260</f>
        <v>260.0</v>
      </c>
      <c r="F441" s="10"/>
      <c r="G441" s="2" t="n">
        <f>52507500</f>
        <v>5.25075E7</v>
      </c>
      <c r="H441" s="10"/>
      <c r="I441" s="2" t="str">
        <f>"－"</f>
        <v>－</v>
      </c>
      <c r="J441" s="10"/>
      <c r="K441" s="2" t="n">
        <f>655</f>
        <v>655.0</v>
      </c>
    </row>
    <row r="442">
      <c r="A442" s="8" t="s">
        <v>35</v>
      </c>
      <c r="B442" s="9" t="s">
        <v>77</v>
      </c>
      <c r="C442" s="9" t="s">
        <v>78</v>
      </c>
      <c r="D442" s="10"/>
      <c r="E442" s="2" t="n">
        <f>258</f>
        <v>258.0</v>
      </c>
      <c r="F442" s="10"/>
      <c r="G442" s="2" t="n">
        <f>48333000</f>
        <v>4.8333E7</v>
      </c>
      <c r="H442" s="10"/>
      <c r="I442" s="2" t="str">
        <f>"－"</f>
        <v>－</v>
      </c>
      <c r="J442" s="10"/>
      <c r="K442" s="2" t="n">
        <f>780</f>
        <v>780.0</v>
      </c>
    </row>
    <row r="443">
      <c r="A443" s="8" t="s">
        <v>36</v>
      </c>
      <c r="B443" s="9" t="s">
        <v>77</v>
      </c>
      <c r="C443" s="9" t="s">
        <v>78</v>
      </c>
      <c r="D443" s="10" t="s">
        <v>48</v>
      </c>
      <c r="E443" s="2" t="n">
        <f>402</f>
        <v>402.0</v>
      </c>
      <c r="F443" s="10" t="s">
        <v>48</v>
      </c>
      <c r="G443" s="2" t="n">
        <f>80498000</f>
        <v>8.0498E7</v>
      </c>
      <c r="H443" s="10"/>
      <c r="I443" s="2" t="str">
        <f>"－"</f>
        <v>－</v>
      </c>
      <c r="J443" s="10"/>
      <c r="K443" s="2" t="n">
        <f>1178</f>
        <v>1178.0</v>
      </c>
    </row>
    <row r="444">
      <c r="A444" s="8" t="s">
        <v>37</v>
      </c>
      <c r="B444" s="9" t="s">
        <v>77</v>
      </c>
      <c r="C444" s="9" t="s">
        <v>78</v>
      </c>
      <c r="D444" s="10"/>
      <c r="E444" s="2" t="n">
        <f>67</f>
        <v>67.0</v>
      </c>
      <c r="F444" s="10"/>
      <c r="G444" s="2" t="n">
        <f>12976500</f>
        <v>1.29765E7</v>
      </c>
      <c r="H444" s="10"/>
      <c r="I444" s="2" t="str">
        <f>"－"</f>
        <v>－</v>
      </c>
      <c r="J444" s="10"/>
      <c r="K444" s="2" t="n">
        <f>1241</f>
        <v>1241.0</v>
      </c>
    </row>
    <row r="445">
      <c r="A445" s="8" t="s">
        <v>38</v>
      </c>
      <c r="B445" s="9" t="s">
        <v>77</v>
      </c>
      <c r="C445" s="9" t="s">
        <v>78</v>
      </c>
      <c r="D445" s="10"/>
      <c r="E445" s="2"/>
      <c r="F445" s="10"/>
      <c r="G445" s="2"/>
      <c r="H445" s="10"/>
      <c r="I445" s="2"/>
      <c r="J445" s="10"/>
      <c r="K445" s="2"/>
    </row>
    <row r="446">
      <c r="A446" s="8" t="s">
        <v>39</v>
      </c>
      <c r="B446" s="9" t="s">
        <v>77</v>
      </c>
      <c r="C446" s="9" t="s">
        <v>78</v>
      </c>
      <c r="D446" s="10"/>
      <c r="E446" s="2"/>
      <c r="F446" s="10"/>
      <c r="G446" s="2"/>
      <c r="H446" s="10"/>
      <c r="I446" s="2"/>
      <c r="J446" s="10"/>
      <c r="K446" s="2"/>
    </row>
    <row r="447">
      <c r="A447" s="8" t="s">
        <v>40</v>
      </c>
      <c r="B447" s="9" t="s">
        <v>77</v>
      </c>
      <c r="C447" s="9" t="s">
        <v>78</v>
      </c>
      <c r="D447" s="10"/>
      <c r="E447" s="2" t="n">
        <f>154</f>
        <v>154.0</v>
      </c>
      <c r="F447" s="10"/>
      <c r="G447" s="2" t="n">
        <f>31554000</f>
        <v>3.1554E7</v>
      </c>
      <c r="H447" s="10"/>
      <c r="I447" s="2" t="str">
        <f>"－"</f>
        <v>－</v>
      </c>
      <c r="J447" s="10"/>
      <c r="K447" s="2" t="n">
        <f>1384</f>
        <v>1384.0</v>
      </c>
    </row>
    <row r="448">
      <c r="A448" s="8" t="s">
        <v>41</v>
      </c>
      <c r="B448" s="9" t="s">
        <v>77</v>
      </c>
      <c r="C448" s="9" t="s">
        <v>78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42</v>
      </c>
      <c r="B449" s="9" t="s">
        <v>77</v>
      </c>
      <c r="C449" s="9" t="s">
        <v>78</v>
      </c>
      <c r="D449" s="10"/>
      <c r="E449" s="2" t="n">
        <f>201</f>
        <v>201.0</v>
      </c>
      <c r="F449" s="10"/>
      <c r="G449" s="2" t="n">
        <f>40352500</f>
        <v>4.03525E7</v>
      </c>
      <c r="H449" s="10"/>
      <c r="I449" s="2" t="str">
        <f>"－"</f>
        <v>－</v>
      </c>
      <c r="J449" s="10"/>
      <c r="K449" s="2" t="n">
        <f>1563</f>
        <v>1563.0</v>
      </c>
    </row>
    <row r="450">
      <c r="A450" s="8" t="s">
        <v>43</v>
      </c>
      <c r="B450" s="9" t="s">
        <v>77</v>
      </c>
      <c r="C450" s="9" t="s">
        <v>78</v>
      </c>
      <c r="D450" s="10"/>
      <c r="E450" s="2" t="n">
        <f>32</f>
        <v>32.0</v>
      </c>
      <c r="F450" s="10"/>
      <c r="G450" s="2" t="n">
        <f>6240500</f>
        <v>6240500.0</v>
      </c>
      <c r="H450" s="10"/>
      <c r="I450" s="2" t="str">
        <f>"－"</f>
        <v>－</v>
      </c>
      <c r="J450" s="10"/>
      <c r="K450" s="2" t="n">
        <f>1573</f>
        <v>1573.0</v>
      </c>
    </row>
    <row r="451">
      <c r="A451" s="8" t="s">
        <v>44</v>
      </c>
      <c r="B451" s="9" t="s">
        <v>77</v>
      </c>
      <c r="C451" s="9" t="s">
        <v>78</v>
      </c>
      <c r="D451" s="10"/>
      <c r="E451" s="2" t="n">
        <f>155</f>
        <v>155.0</v>
      </c>
      <c r="F451" s="10"/>
      <c r="G451" s="2" t="n">
        <f>29815500</f>
        <v>2.98155E7</v>
      </c>
      <c r="H451" s="10"/>
      <c r="I451" s="2" t="str">
        <f>"－"</f>
        <v>－</v>
      </c>
      <c r="J451" s="10"/>
      <c r="K451" s="2" t="n">
        <f>1642</f>
        <v>1642.0</v>
      </c>
    </row>
    <row r="452">
      <c r="A452" s="8" t="s">
        <v>45</v>
      </c>
      <c r="B452" s="9" t="s">
        <v>77</v>
      </c>
      <c r="C452" s="9" t="s">
        <v>78</v>
      </c>
      <c r="D452" s="10"/>
      <c r="E452" s="2"/>
      <c r="F452" s="10"/>
      <c r="G452" s="2"/>
      <c r="H452" s="10"/>
      <c r="I452" s="2"/>
      <c r="J452" s="10"/>
      <c r="K452" s="2"/>
    </row>
    <row r="453">
      <c r="A453" s="8" t="s">
        <v>46</v>
      </c>
      <c r="B453" s="9" t="s">
        <v>77</v>
      </c>
      <c r="C453" s="9" t="s">
        <v>78</v>
      </c>
      <c r="D453" s="10"/>
      <c r="E453" s="2"/>
      <c r="F453" s="10"/>
      <c r="G453" s="2"/>
      <c r="H453" s="10"/>
      <c r="I453" s="2"/>
      <c r="J453" s="10"/>
      <c r="K453" s="2"/>
    </row>
    <row r="454">
      <c r="A454" s="8" t="s">
        <v>47</v>
      </c>
      <c r="B454" s="9" t="s">
        <v>77</v>
      </c>
      <c r="C454" s="9" t="s">
        <v>78</v>
      </c>
      <c r="D454" s="10"/>
      <c r="E454" s="2" t="n">
        <f>288</f>
        <v>288.0</v>
      </c>
      <c r="F454" s="10"/>
      <c r="G454" s="2" t="n">
        <f>63325500</f>
        <v>6.33255E7</v>
      </c>
      <c r="H454" s="10"/>
      <c r="I454" s="2" t="str">
        <f>"－"</f>
        <v>－</v>
      </c>
      <c r="J454" s="10" t="s">
        <v>48</v>
      </c>
      <c r="K454" s="2" t="n">
        <f>1664</f>
        <v>1664.0</v>
      </c>
    </row>
    <row r="455">
      <c r="A455" s="8" t="s">
        <v>49</v>
      </c>
      <c r="B455" s="9" t="s">
        <v>77</v>
      </c>
      <c r="C455" s="9" t="s">
        <v>78</v>
      </c>
      <c r="D455" s="10"/>
      <c r="E455" s="2" t="n">
        <f>145</f>
        <v>145.0</v>
      </c>
      <c r="F455" s="10"/>
      <c r="G455" s="2" t="n">
        <f>32620000</f>
        <v>3.262E7</v>
      </c>
      <c r="H455" s="10"/>
      <c r="I455" s="2" t="str">
        <f>"－"</f>
        <v>－</v>
      </c>
      <c r="J455" s="10"/>
      <c r="K455" s="2" t="n">
        <f>1618</f>
        <v>1618.0</v>
      </c>
    </row>
    <row r="456">
      <c r="A456" s="8" t="s">
        <v>16</v>
      </c>
      <c r="B456" s="9" t="s">
        <v>79</v>
      </c>
      <c r="C456" s="9" t="s">
        <v>80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20</v>
      </c>
      <c r="B457" s="9" t="s">
        <v>79</v>
      </c>
      <c r="C457" s="9" t="s">
        <v>80</v>
      </c>
      <c r="D457" s="10"/>
      <c r="E457" s="2"/>
      <c r="F457" s="10"/>
      <c r="G457" s="2"/>
      <c r="H457" s="10"/>
      <c r="I457" s="2"/>
      <c r="J457" s="10"/>
      <c r="K457" s="2"/>
    </row>
    <row r="458">
      <c r="A458" s="8" t="s">
        <v>21</v>
      </c>
      <c r="B458" s="9" t="s">
        <v>79</v>
      </c>
      <c r="C458" s="9" t="s">
        <v>80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22</v>
      </c>
      <c r="B459" s="9" t="s">
        <v>79</v>
      </c>
      <c r="C459" s="9" t="s">
        <v>80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23</v>
      </c>
      <c r="B460" s="9" t="s">
        <v>79</v>
      </c>
      <c r="C460" s="9" t="s">
        <v>80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24</v>
      </c>
      <c r="B461" s="9" t="s">
        <v>79</v>
      </c>
      <c r="C461" s="9" t="s">
        <v>80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25</v>
      </c>
      <c r="B462" s="9" t="s">
        <v>79</v>
      </c>
      <c r="C462" s="9" t="s">
        <v>80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26</v>
      </c>
      <c r="B463" s="9" t="s">
        <v>79</v>
      </c>
      <c r="C463" s="9" t="s">
        <v>80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27</v>
      </c>
      <c r="B464" s="9" t="s">
        <v>79</v>
      </c>
      <c r="C464" s="9" t="s">
        <v>80</v>
      </c>
      <c r="D464" s="10"/>
      <c r="E464" s="2"/>
      <c r="F464" s="10"/>
      <c r="G464" s="2"/>
      <c r="H464" s="10"/>
      <c r="I464" s="2"/>
      <c r="J464" s="10"/>
      <c r="K464" s="2"/>
    </row>
    <row r="465">
      <c r="A465" s="8" t="s">
        <v>28</v>
      </c>
      <c r="B465" s="9" t="s">
        <v>79</v>
      </c>
      <c r="C465" s="9" t="s">
        <v>80</v>
      </c>
      <c r="D465" s="10"/>
      <c r="E465" s="2"/>
      <c r="F465" s="10"/>
      <c r="G465" s="2"/>
      <c r="H465" s="10"/>
      <c r="I465" s="2"/>
      <c r="J465" s="10"/>
      <c r="K465" s="2"/>
    </row>
    <row r="466">
      <c r="A466" s="8" t="s">
        <v>29</v>
      </c>
      <c r="B466" s="9" t="s">
        <v>79</v>
      </c>
      <c r="C466" s="9" t="s">
        <v>80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30</v>
      </c>
      <c r="B467" s="9" t="s">
        <v>79</v>
      </c>
      <c r="C467" s="9" t="s">
        <v>80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31</v>
      </c>
      <c r="B468" s="9" t="s">
        <v>79</v>
      </c>
      <c r="C468" s="9" t="s">
        <v>80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32</v>
      </c>
      <c r="B469" s="9" t="s">
        <v>79</v>
      </c>
      <c r="C469" s="9" t="s">
        <v>80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33</v>
      </c>
      <c r="B470" s="9" t="s">
        <v>79</v>
      </c>
      <c r="C470" s="9" t="s">
        <v>80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34</v>
      </c>
      <c r="B471" s="9" t="s">
        <v>79</v>
      </c>
      <c r="C471" s="9" t="s">
        <v>80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35</v>
      </c>
      <c r="B472" s="9" t="s">
        <v>79</v>
      </c>
      <c r="C472" s="9" t="s">
        <v>80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36</v>
      </c>
      <c r="B473" s="9" t="s">
        <v>79</v>
      </c>
      <c r="C473" s="9" t="s">
        <v>80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37</v>
      </c>
      <c r="B474" s="9" t="s">
        <v>79</v>
      </c>
      <c r="C474" s="9" t="s">
        <v>80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38</v>
      </c>
      <c r="B475" s="9" t="s">
        <v>79</v>
      </c>
      <c r="C475" s="9" t="s">
        <v>80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39</v>
      </c>
      <c r="B476" s="9" t="s">
        <v>79</v>
      </c>
      <c r="C476" s="9" t="s">
        <v>80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40</v>
      </c>
      <c r="B477" s="9" t="s">
        <v>79</v>
      </c>
      <c r="C477" s="9" t="s">
        <v>80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41</v>
      </c>
      <c r="B478" s="9" t="s">
        <v>79</v>
      </c>
      <c r="C478" s="9" t="s">
        <v>80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42</v>
      </c>
      <c r="B479" s="9" t="s">
        <v>79</v>
      </c>
      <c r="C479" s="9" t="s">
        <v>80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43</v>
      </c>
      <c r="B480" s="9" t="s">
        <v>79</v>
      </c>
      <c r="C480" s="9" t="s">
        <v>80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44</v>
      </c>
      <c r="B481" s="9" t="s">
        <v>79</v>
      </c>
      <c r="C481" s="9" t="s">
        <v>80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45</v>
      </c>
      <c r="B482" s="9" t="s">
        <v>79</v>
      </c>
      <c r="C482" s="9" t="s">
        <v>80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46</v>
      </c>
      <c r="B483" s="9" t="s">
        <v>79</v>
      </c>
      <c r="C483" s="9" t="s">
        <v>80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47</v>
      </c>
      <c r="B484" s="9" t="s">
        <v>79</v>
      </c>
      <c r="C484" s="9" t="s">
        <v>80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49</v>
      </c>
      <c r="B485" s="9" t="s">
        <v>79</v>
      </c>
      <c r="C485" s="9" t="s">
        <v>80</v>
      </c>
      <c r="D485" s="10"/>
      <c r="E485" s="2"/>
      <c r="F485" s="10"/>
      <c r="G485" s="2"/>
      <c r="H485" s="10"/>
      <c r="I485" s="2"/>
      <c r="J485" s="10"/>
      <c r="K485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