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<sst xmlns="http://schemas.openxmlformats.org/spreadsheetml/2006/main" count="680" uniqueCount="71">
  <si>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</si>
  <si>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</si>
  <si>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</si>
  <si>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</si>
  <si>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</si>
  <si>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</si>
  <si>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</si>
  <si>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</si>
  <si>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</si>
  <si>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</si>
  <si>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</si>
  <si>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</si>
  <si>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</si>
  <si>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</si>
  <si>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</si>
  <si>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</si>
  <si>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</si>
  <si>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</si>
  <si>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</si>
  <si>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</si>
  <si>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</si>
  <si>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</si>
  <si>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</si>
  <si>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</si>
  <si>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</si>
  <si>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</si>
  <si>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</si>
  <si>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日経225オプション</t>
  </si>
  <si>
    <t>Nikkei 225 Options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</si>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</sst>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79855</f>
        <v>79855.0</v>
      </c>
      <c r="F10" s="23"/>
      <c r="G10" s="25" t="n">
        <f>56961</f>
        <v>56961.0</v>
      </c>
      <c r="H10" s="23"/>
      <c r="I10" s="26" t="n">
        <f>136816</f>
        <v>136816.0</v>
      </c>
      <c r="J10" s="24"/>
      <c r="K10" s="25" t="n">
        <f>10794913774</f>
        <v>1.0794913774E10</v>
      </c>
      <c r="L10" s="23"/>
      <c r="M10" s="25" t="n">
        <f>8697213720</f>
        <v>8.69721372E9</v>
      </c>
      <c r="N10" s="23"/>
      <c r="O10" s="26" t="n">
        <f>19492127494</f>
        <v>1.9492127494E10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10180</f>
        <v>10180.0</v>
      </c>
      <c r="U10" s="23"/>
      <c r="V10" s="25" t="n">
        <f>6278</f>
        <v>6278.0</v>
      </c>
      <c r="W10" s="23"/>
      <c r="X10" s="26" t="n">
        <f>16458</f>
        <v>16458.0</v>
      </c>
      <c r="Y10" s="24"/>
      <c r="Z10" s="25" t="n">
        <f>951898</f>
        <v>951898.0</v>
      </c>
      <c r="AA10" s="23"/>
      <c r="AB10" s="25" t="n">
        <f>580346</f>
        <v>580346.0</v>
      </c>
      <c r="AC10" s="23"/>
      <c r="AD10" s="26" t="n">
        <f>1532244</f>
        <v>1532244.0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60824</f>
        <v>60824.0</v>
      </c>
      <c r="F11" s="23"/>
      <c r="G11" s="25" t="n">
        <f>30984</f>
        <v>30984.0</v>
      </c>
      <c r="H11" s="23"/>
      <c r="I11" s="26" t="n">
        <f>91808</f>
        <v>91808.0</v>
      </c>
      <c r="J11" s="24"/>
      <c r="K11" s="25" t="n">
        <f>20432841930</f>
        <v>2.043284193E10</v>
      </c>
      <c r="L11" s="23"/>
      <c r="M11" s="25" t="n">
        <f>5808854980</f>
        <v>5.80885498E9</v>
      </c>
      <c r="N11" s="23"/>
      <c r="O11" s="26" t="n">
        <f>26241696910</f>
        <v>2.624169691E10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8517</f>
        <v>8517.0</v>
      </c>
      <c r="U11" s="23"/>
      <c r="V11" s="25" t="n">
        <f>5183</f>
        <v>5183.0</v>
      </c>
      <c r="W11" s="23"/>
      <c r="X11" s="26" t="n">
        <f>13700</f>
        <v>13700.0</v>
      </c>
      <c r="Y11" s="24"/>
      <c r="Z11" s="25" t="n">
        <f>967275</f>
        <v>967275.0</v>
      </c>
      <c r="AA11" s="23"/>
      <c r="AB11" s="25" t="n">
        <f>583847</f>
        <v>583847.0</v>
      </c>
      <c r="AC11" s="23"/>
      <c r="AD11" s="26" t="n">
        <f>1551122</f>
        <v>1551122.0</v>
      </c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61282</f>
        <v>61282.0</v>
      </c>
      <c r="F13" s="23"/>
      <c r="G13" s="25" t="n">
        <f>39633</f>
        <v>39633.0</v>
      </c>
      <c r="H13" s="23"/>
      <c r="I13" s="26" t="n">
        <f>100915</f>
        <v>100915.0</v>
      </c>
      <c r="J13" s="24"/>
      <c r="K13" s="25" t="n">
        <f>11805368280</f>
        <v>1.180536828E10</v>
      </c>
      <c r="L13" s="23"/>
      <c r="M13" s="25" t="n">
        <f>7968427500</f>
        <v>7.9684275E9</v>
      </c>
      <c r="N13" s="23"/>
      <c r="O13" s="26" t="n">
        <f>19773795780</f>
        <v>1.977379578E10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8846</f>
        <v>8846.0</v>
      </c>
      <c r="U13" s="23"/>
      <c r="V13" s="25" t="n">
        <f>4876</f>
        <v>4876.0</v>
      </c>
      <c r="W13" s="23"/>
      <c r="X13" s="26" t="n">
        <f>13722</f>
        <v>13722.0</v>
      </c>
      <c r="Y13" s="24"/>
      <c r="Z13" s="25" t="n">
        <f>975060</f>
        <v>975060.0</v>
      </c>
      <c r="AA13" s="23"/>
      <c r="AB13" s="25" t="n">
        <f>587800</f>
        <v>587800.0</v>
      </c>
      <c r="AC13" s="23"/>
      <c r="AD13" s="26" t="n">
        <f>1562860</f>
        <v>1562860.0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63300</f>
        <v>63300.0</v>
      </c>
      <c r="F14" s="23"/>
      <c r="G14" s="25" t="n">
        <f>34948</f>
        <v>34948.0</v>
      </c>
      <c r="H14" s="23"/>
      <c r="I14" s="26" t="n">
        <f>98248</f>
        <v>98248.0</v>
      </c>
      <c r="J14" s="24"/>
      <c r="K14" s="25" t="n">
        <f>13071766604</f>
        <v>1.3071766604E10</v>
      </c>
      <c r="L14" s="23"/>
      <c r="M14" s="25" t="n">
        <f>7630036760</f>
        <v>7.63003676E9</v>
      </c>
      <c r="N14" s="23"/>
      <c r="O14" s="26" t="n">
        <f>20701803364</f>
        <v>2.0701803364E10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12418</f>
        <v>12418.0</v>
      </c>
      <c r="U14" s="23"/>
      <c r="V14" s="25" t="n">
        <f>8684</f>
        <v>8684.0</v>
      </c>
      <c r="W14" s="23"/>
      <c r="X14" s="26" t="n">
        <f>21102</f>
        <v>21102.0</v>
      </c>
      <c r="Y14" s="24"/>
      <c r="Z14" s="25" t="n">
        <f>982582</f>
        <v>982582.0</v>
      </c>
      <c r="AA14" s="23"/>
      <c r="AB14" s="25" t="n">
        <f>594865</f>
        <v>594865.0</v>
      </c>
      <c r="AC14" s="23"/>
      <c r="AD14" s="26" t="n">
        <f>1577447</f>
        <v>1577447.0</v>
      </c>
    </row>
    <row r="15">
      <c r="A15" s="30" t="s">
        <v>33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34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35</v>
      </c>
      <c r="B17" s="22" t="s">
        <v>27</v>
      </c>
      <c r="C17" s="22" t="s">
        <v>28</v>
      </c>
      <c r="D17" s="24"/>
      <c r="E17" s="25" t="n">
        <f>53373</f>
        <v>53373.0</v>
      </c>
      <c r="F17" s="23"/>
      <c r="G17" s="25" t="n">
        <f>45143</f>
        <v>45143.0</v>
      </c>
      <c r="H17" s="23"/>
      <c r="I17" s="26" t="n">
        <f>98516</f>
        <v>98516.0</v>
      </c>
      <c r="J17" s="24"/>
      <c r="K17" s="25" t="n">
        <f>6890451270</f>
        <v>6.89045127E9</v>
      </c>
      <c r="L17" s="23"/>
      <c r="M17" s="25" t="n">
        <f>8256758970</f>
        <v>8.25675897E9</v>
      </c>
      <c r="N17" s="23"/>
      <c r="O17" s="26" t="n">
        <f>15147210240</f>
        <v>1.514721024E10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9036</f>
        <v>9036.0</v>
      </c>
      <c r="U17" s="23" t="s">
        <v>36</v>
      </c>
      <c r="V17" s="25" t="n">
        <f>13213</f>
        <v>13213.0</v>
      </c>
      <c r="W17" s="23"/>
      <c r="X17" s="26" t="n">
        <f>22249</f>
        <v>22249.0</v>
      </c>
      <c r="Y17" s="24"/>
      <c r="Z17" s="25" t="n">
        <f>988789</f>
        <v>988789.0</v>
      </c>
      <c r="AA17" s="23"/>
      <c r="AB17" s="25" t="n">
        <f>604304</f>
        <v>604304.0</v>
      </c>
      <c r="AC17" s="23"/>
      <c r="AD17" s="26" t="n">
        <f>1593093</f>
        <v>1593093.0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69076</f>
        <v>69076.0</v>
      </c>
      <c r="F18" s="23"/>
      <c r="G18" s="25" t="n">
        <f>41976</f>
        <v>41976.0</v>
      </c>
      <c r="H18" s="23"/>
      <c r="I18" s="26" t="n">
        <f>111052</f>
        <v>111052.0</v>
      </c>
      <c r="J18" s="24"/>
      <c r="K18" s="25" t="n">
        <f>8881365510</f>
        <v>8.88136551E9</v>
      </c>
      <c r="L18" s="23"/>
      <c r="M18" s="25" t="n">
        <f>6358967780</f>
        <v>6.35896778E9</v>
      </c>
      <c r="N18" s="23"/>
      <c r="O18" s="26" t="n">
        <f>15240333290</f>
        <v>1.524033329E10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10537</f>
        <v>10537.0</v>
      </c>
      <c r="U18" s="23"/>
      <c r="V18" s="25" t="n">
        <f>7414</f>
        <v>7414.0</v>
      </c>
      <c r="W18" s="23"/>
      <c r="X18" s="26" t="n">
        <f>17951</f>
        <v>17951.0</v>
      </c>
      <c r="Y18" s="24"/>
      <c r="Z18" s="25" t="n">
        <f>999820</f>
        <v>999820.0</v>
      </c>
      <c r="AA18" s="23"/>
      <c r="AB18" s="25" t="n">
        <f>608297</f>
        <v>608297.0</v>
      </c>
      <c r="AC18" s="23"/>
      <c r="AD18" s="26" t="n">
        <f>1608117</f>
        <v>1608117.0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57050</f>
        <v>57050.0</v>
      </c>
      <c r="F19" s="23"/>
      <c r="G19" s="25" t="n">
        <f>34728</f>
        <v>34728.0</v>
      </c>
      <c r="H19" s="23"/>
      <c r="I19" s="26" t="n">
        <f>91778</f>
        <v>91778.0</v>
      </c>
      <c r="J19" s="24"/>
      <c r="K19" s="25" t="n">
        <f>8229632074</f>
        <v>8.229632074E9</v>
      </c>
      <c r="L19" s="23"/>
      <c r="M19" s="25" t="n">
        <f>4519975970</f>
        <v>4.51997597E9</v>
      </c>
      <c r="N19" s="23"/>
      <c r="O19" s="26" t="n">
        <f>12749608044</f>
        <v>1.2749608044E10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9617</f>
        <v>9617.0</v>
      </c>
      <c r="U19" s="23"/>
      <c r="V19" s="25" t="n">
        <f>5332</f>
        <v>5332.0</v>
      </c>
      <c r="W19" s="23"/>
      <c r="X19" s="26" t="n">
        <f>14949</f>
        <v>14949.0</v>
      </c>
      <c r="Y19" s="24"/>
      <c r="Z19" s="25" t="n">
        <f>1011087</f>
        <v>1011087.0</v>
      </c>
      <c r="AA19" s="23"/>
      <c r="AB19" s="25" t="n">
        <f>613236</f>
        <v>613236.0</v>
      </c>
      <c r="AC19" s="23"/>
      <c r="AD19" s="26" t="n">
        <f>1624323</f>
        <v>1624323.0</v>
      </c>
    </row>
    <row r="20">
      <c r="A20" s="30" t="s">
        <v>39</v>
      </c>
      <c r="B20" s="22" t="s">
        <v>27</v>
      </c>
      <c r="C20" s="22" t="s">
        <v>28</v>
      </c>
      <c r="D20" s="24"/>
      <c r="E20" s="25" t="n">
        <f>71653</f>
        <v>71653.0</v>
      </c>
      <c r="F20" s="23"/>
      <c r="G20" s="25" t="n">
        <f>42943</f>
        <v>42943.0</v>
      </c>
      <c r="H20" s="23"/>
      <c r="I20" s="26" t="n">
        <f>114596</f>
        <v>114596.0</v>
      </c>
      <c r="J20" s="24"/>
      <c r="K20" s="25" t="n">
        <f>11786301400</f>
        <v>1.17863014E10</v>
      </c>
      <c r="L20" s="23"/>
      <c r="M20" s="25" t="n">
        <f>4645943222</f>
        <v>4.645943222E9</v>
      </c>
      <c r="N20" s="23"/>
      <c r="O20" s="26" t="n">
        <f>16432244622</f>
        <v>1.6432244622E10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17544</f>
        <v>17544.0</v>
      </c>
      <c r="U20" s="23"/>
      <c r="V20" s="25" t="n">
        <f>7451</f>
        <v>7451.0</v>
      </c>
      <c r="W20" s="23"/>
      <c r="X20" s="26" t="n">
        <f>24995</f>
        <v>24995.0</v>
      </c>
      <c r="Y20" s="24" t="s">
        <v>36</v>
      </c>
      <c r="Z20" s="25" t="n">
        <f>1026167</f>
        <v>1026167.0</v>
      </c>
      <c r="AA20" s="23" t="s">
        <v>36</v>
      </c>
      <c r="AB20" s="25" t="n">
        <f>619463</f>
        <v>619463.0</v>
      </c>
      <c r="AC20" s="23" t="s">
        <v>36</v>
      </c>
      <c r="AD20" s="26" t="n">
        <f>1645630</f>
        <v>1645630.0</v>
      </c>
    </row>
    <row r="21">
      <c r="A21" s="30" t="s">
        <v>40</v>
      </c>
      <c r="B21" s="22" t="s">
        <v>27</v>
      </c>
      <c r="C21" s="22" t="s">
        <v>28</v>
      </c>
      <c r="D21" s="24"/>
      <c r="E21" s="25" t="n">
        <f>37314</f>
        <v>37314.0</v>
      </c>
      <c r="F21" s="23"/>
      <c r="G21" s="25" t="n">
        <f>30682</f>
        <v>30682.0</v>
      </c>
      <c r="H21" s="23"/>
      <c r="I21" s="26" t="n">
        <f>67996</f>
        <v>67996.0</v>
      </c>
      <c r="J21" s="24"/>
      <c r="K21" s="25" t="n">
        <f>7560461462</f>
        <v>7.560461462E9</v>
      </c>
      <c r="L21" s="23"/>
      <c r="M21" s="25" t="n">
        <f>7376450900</f>
        <v>7.3764509E9</v>
      </c>
      <c r="N21" s="23"/>
      <c r="O21" s="26" t="n">
        <f>14936912362</f>
        <v>1.4936912362E10</v>
      </c>
      <c r="P21" s="27" t="n">
        <f>12226</f>
        <v>12226.0</v>
      </c>
      <c r="Q21" s="28" t="n">
        <f>25586</f>
        <v>25586.0</v>
      </c>
      <c r="R21" s="29" t="n">
        <f>37812</f>
        <v>37812.0</v>
      </c>
      <c r="S21" s="24" t="s">
        <v>41</v>
      </c>
      <c r="T21" s="25" t="n">
        <f>4360</f>
        <v>4360.0</v>
      </c>
      <c r="U21" s="23"/>
      <c r="V21" s="25" t="n">
        <f>4077</f>
        <v>4077.0</v>
      </c>
      <c r="W21" s="23"/>
      <c r="X21" s="26" t="n">
        <f>8437</f>
        <v>8437.0</v>
      </c>
      <c r="Y21" s="24" t="s">
        <v>41</v>
      </c>
      <c r="Z21" s="25" t="n">
        <f>883939</f>
        <v>883939.0</v>
      </c>
      <c r="AA21" s="23" t="s">
        <v>41</v>
      </c>
      <c r="AB21" s="25" t="n">
        <f>517322</f>
        <v>517322.0</v>
      </c>
      <c r="AC21" s="23" t="s">
        <v>41</v>
      </c>
      <c r="AD21" s="26" t="n">
        <f>1401261</f>
        <v>1401261.0</v>
      </c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 t="n">
        <f>39761</f>
        <v>39761.0</v>
      </c>
      <c r="F24" s="23"/>
      <c r="G24" s="25" t="n">
        <f>22908</f>
        <v>22908.0</v>
      </c>
      <c r="H24" s="23"/>
      <c r="I24" s="26" t="n">
        <f>62669</f>
        <v>62669.0</v>
      </c>
      <c r="J24" s="24"/>
      <c r="K24" s="25" t="n">
        <f>6176332800</f>
        <v>6.1763328E9</v>
      </c>
      <c r="L24" s="23"/>
      <c r="M24" s="25" t="n">
        <f>3638717160</f>
        <v>3.63871716E9</v>
      </c>
      <c r="N24" s="23"/>
      <c r="O24" s="26" t="n">
        <f>9815049960</f>
        <v>9.81504996E9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8216</f>
        <v>8216.0</v>
      </c>
      <c r="U24" s="23"/>
      <c r="V24" s="25" t="n">
        <f>5898</f>
        <v>5898.0</v>
      </c>
      <c r="W24" s="23"/>
      <c r="X24" s="26" t="n">
        <f>14114</f>
        <v>14114.0</v>
      </c>
      <c r="Y24" s="24"/>
      <c r="Z24" s="25" t="n">
        <f>893602</f>
        <v>893602.0</v>
      </c>
      <c r="AA24" s="23"/>
      <c r="AB24" s="25" t="n">
        <f>524698</f>
        <v>524698.0</v>
      </c>
      <c r="AC24" s="23"/>
      <c r="AD24" s="26" t="n">
        <f>1418300</f>
        <v>1418300.0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37569</f>
        <v>37569.0</v>
      </c>
      <c r="F25" s="23" t="s">
        <v>41</v>
      </c>
      <c r="G25" s="25" t="n">
        <f>20013</f>
        <v>20013.0</v>
      </c>
      <c r="H25" s="23"/>
      <c r="I25" s="26" t="n">
        <f>57582</f>
        <v>57582.0</v>
      </c>
      <c r="J25" s="24"/>
      <c r="K25" s="25" t="n">
        <f>7218572420</f>
        <v>7.21857242E9</v>
      </c>
      <c r="L25" s="23" t="s">
        <v>41</v>
      </c>
      <c r="M25" s="25" t="n">
        <f>2988612840</f>
        <v>2.98861284E9</v>
      </c>
      <c r="N25" s="23"/>
      <c r="O25" s="26" t="n">
        <f>10207185260</f>
        <v>1.020718526E10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5995</f>
        <v>5995.0</v>
      </c>
      <c r="U25" s="23"/>
      <c r="V25" s="25" t="n">
        <f>3727</f>
        <v>3727.0</v>
      </c>
      <c r="W25" s="23"/>
      <c r="X25" s="26" t="n">
        <f>9722</f>
        <v>9722.0</v>
      </c>
      <c r="Y25" s="24"/>
      <c r="Z25" s="25" t="n">
        <f>905237</f>
        <v>905237.0</v>
      </c>
      <c r="AA25" s="23"/>
      <c r="AB25" s="25" t="n">
        <f>528983</f>
        <v>528983.0</v>
      </c>
      <c r="AC25" s="23"/>
      <c r="AD25" s="26" t="n">
        <f>1434220</f>
        <v>1434220.0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28088</f>
        <v>28088.0</v>
      </c>
      <c r="F26" s="23"/>
      <c r="G26" s="25" t="n">
        <f>20528</f>
        <v>20528.0</v>
      </c>
      <c r="H26" s="23" t="s">
        <v>41</v>
      </c>
      <c r="I26" s="26" t="n">
        <f>48616</f>
        <v>48616.0</v>
      </c>
      <c r="J26" s="24"/>
      <c r="K26" s="25" t="n">
        <f>5809419670</f>
        <v>5.80941967E9</v>
      </c>
      <c r="L26" s="23"/>
      <c r="M26" s="25" t="n">
        <f>5299851180</f>
        <v>5.29985118E9</v>
      </c>
      <c r="N26" s="23"/>
      <c r="O26" s="26" t="n">
        <f>11109270850</f>
        <v>1.110927085E10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4506</f>
        <v>4506.0</v>
      </c>
      <c r="U26" s="23"/>
      <c r="V26" s="25" t="n">
        <f>4243</f>
        <v>4243.0</v>
      </c>
      <c r="W26" s="23"/>
      <c r="X26" s="26" t="n">
        <f>8749</f>
        <v>8749.0</v>
      </c>
      <c r="Y26" s="24"/>
      <c r="Z26" s="25" t="n">
        <f>908041</f>
        <v>908041.0</v>
      </c>
      <c r="AA26" s="23"/>
      <c r="AB26" s="25" t="n">
        <f>532472</f>
        <v>532472.0</v>
      </c>
      <c r="AC26" s="23"/>
      <c r="AD26" s="26" t="n">
        <f>1440513</f>
        <v>1440513.0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41538</f>
        <v>41538.0</v>
      </c>
      <c r="F27" s="23"/>
      <c r="G27" s="25" t="n">
        <f>32355</f>
        <v>32355.0</v>
      </c>
      <c r="H27" s="23"/>
      <c r="I27" s="26" t="n">
        <f>73893</f>
        <v>73893.0</v>
      </c>
      <c r="J27" s="24"/>
      <c r="K27" s="25" t="n">
        <f>9153412618</f>
        <v>9.153412618E9</v>
      </c>
      <c r="L27" s="23"/>
      <c r="M27" s="25" t="n">
        <f>7654884106</f>
        <v>7.654884106E9</v>
      </c>
      <c r="N27" s="23"/>
      <c r="O27" s="26" t="n">
        <f>16808296724</f>
        <v>1.6808296724E10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11448</f>
        <v>11448.0</v>
      </c>
      <c r="U27" s="23"/>
      <c r="V27" s="25" t="n">
        <f>8865</f>
        <v>8865.0</v>
      </c>
      <c r="W27" s="23"/>
      <c r="X27" s="26" t="n">
        <f>20313</f>
        <v>20313.0</v>
      </c>
      <c r="Y27" s="24"/>
      <c r="Z27" s="25" t="n">
        <f>920029</f>
        <v>920029.0</v>
      </c>
      <c r="AA27" s="23"/>
      <c r="AB27" s="25" t="n">
        <f>538060</f>
        <v>538060.0</v>
      </c>
      <c r="AC27" s="23"/>
      <c r="AD27" s="26" t="n">
        <f>1458089</f>
        <v>1458089.0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39459</f>
        <v>39459.0</v>
      </c>
      <c r="F28" s="23"/>
      <c r="G28" s="25" t="n">
        <f>25179</f>
        <v>25179.0</v>
      </c>
      <c r="H28" s="23"/>
      <c r="I28" s="26" t="n">
        <f>64638</f>
        <v>64638.0</v>
      </c>
      <c r="J28" s="24"/>
      <c r="K28" s="25" t="n">
        <f>7577712280</f>
        <v>7.57771228E9</v>
      </c>
      <c r="L28" s="23"/>
      <c r="M28" s="25" t="n">
        <f>5740194060</f>
        <v>5.74019406E9</v>
      </c>
      <c r="N28" s="23"/>
      <c r="O28" s="26" t="n">
        <f>13317906340</f>
        <v>1.331790634E10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4376</f>
        <v>4376.0</v>
      </c>
      <c r="U28" s="23" t="s">
        <v>41</v>
      </c>
      <c r="V28" s="25" t="n">
        <f>1498</f>
        <v>1498.0</v>
      </c>
      <c r="W28" s="23" t="s">
        <v>41</v>
      </c>
      <c r="X28" s="26" t="n">
        <f>5874</f>
        <v>5874.0</v>
      </c>
      <c r="Y28" s="24"/>
      <c r="Z28" s="25" t="n">
        <f>929012</f>
        <v>929012.0</v>
      </c>
      <c r="AA28" s="23"/>
      <c r="AB28" s="25" t="n">
        <f>543153</f>
        <v>543153.0</v>
      </c>
      <c r="AC28" s="23"/>
      <c r="AD28" s="26" t="n">
        <f>1472165</f>
        <v>1472165.0</v>
      </c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 t="s">
        <v>41</v>
      </c>
      <c r="E31" s="25" t="n">
        <f>27192</f>
        <v>27192.0</v>
      </c>
      <c r="F31" s="23"/>
      <c r="G31" s="25" t="n">
        <f>26279</f>
        <v>26279.0</v>
      </c>
      <c r="H31" s="23"/>
      <c r="I31" s="26" t="n">
        <f>53471</f>
        <v>53471.0</v>
      </c>
      <c r="J31" s="24" t="s">
        <v>41</v>
      </c>
      <c r="K31" s="25" t="n">
        <f>4524859600</f>
        <v>4.5248596E9</v>
      </c>
      <c r="L31" s="23"/>
      <c r="M31" s="25" t="n">
        <f>4979722660</f>
        <v>4.97972266E9</v>
      </c>
      <c r="N31" s="23" t="s">
        <v>41</v>
      </c>
      <c r="O31" s="26" t="n">
        <f>9504582260</f>
        <v>9.50458226E9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4414</f>
        <v>4414.0</v>
      </c>
      <c r="U31" s="23"/>
      <c r="V31" s="25" t="n">
        <f>6344</f>
        <v>6344.0</v>
      </c>
      <c r="W31" s="23"/>
      <c r="X31" s="26" t="n">
        <f>10758</f>
        <v>10758.0</v>
      </c>
      <c r="Y31" s="24"/>
      <c r="Z31" s="25" t="n">
        <f>930727</f>
        <v>930727.0</v>
      </c>
      <c r="AA31" s="23"/>
      <c r="AB31" s="25" t="n">
        <f>550065</f>
        <v>550065.0</v>
      </c>
      <c r="AC31" s="23"/>
      <c r="AD31" s="26" t="n">
        <f>1480792</f>
        <v>1480792.0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49303</f>
        <v>49303.0</v>
      </c>
      <c r="F33" s="23"/>
      <c r="G33" s="25" t="n">
        <f>35204</f>
        <v>35204.0</v>
      </c>
      <c r="H33" s="23"/>
      <c r="I33" s="26" t="n">
        <f>84507</f>
        <v>84507.0</v>
      </c>
      <c r="J33" s="24"/>
      <c r="K33" s="25" t="n">
        <f>11024356840</f>
        <v>1.102435684E10</v>
      </c>
      <c r="L33" s="23"/>
      <c r="M33" s="25" t="n">
        <f>8753196920</f>
        <v>8.75319692E9</v>
      </c>
      <c r="N33" s="23"/>
      <c r="O33" s="26" t="n">
        <f>19777553760</f>
        <v>1.977755376E10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7474</f>
        <v>7474.0</v>
      </c>
      <c r="U33" s="23"/>
      <c r="V33" s="25" t="n">
        <f>4996</f>
        <v>4996.0</v>
      </c>
      <c r="W33" s="23"/>
      <c r="X33" s="26" t="n">
        <f>12470</f>
        <v>12470.0</v>
      </c>
      <c r="Y33" s="24"/>
      <c r="Z33" s="25" t="n">
        <f>938972</f>
        <v>938972.0</v>
      </c>
      <c r="AA33" s="23"/>
      <c r="AB33" s="25" t="n">
        <f>553788</f>
        <v>553788.0</v>
      </c>
      <c r="AC33" s="23"/>
      <c r="AD33" s="26" t="n">
        <f>1492760</f>
        <v>1492760.0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41575</f>
        <v>41575.0</v>
      </c>
      <c r="F34" s="23"/>
      <c r="G34" s="25" t="n">
        <f>27726</f>
        <v>27726.0</v>
      </c>
      <c r="H34" s="23"/>
      <c r="I34" s="26" t="n">
        <f>69301</f>
        <v>69301.0</v>
      </c>
      <c r="J34" s="24"/>
      <c r="K34" s="25" t="n">
        <f>11359413968</f>
        <v>1.1359413968E10</v>
      </c>
      <c r="L34" s="23"/>
      <c r="M34" s="25" t="n">
        <f>8321109520</f>
        <v>8.32110952E9</v>
      </c>
      <c r="N34" s="23"/>
      <c r="O34" s="26" t="n">
        <f>19680523488</f>
        <v>1.9680523488E10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6155</f>
        <v>6155.0</v>
      </c>
      <c r="U34" s="23"/>
      <c r="V34" s="25" t="n">
        <f>6297</f>
        <v>6297.0</v>
      </c>
      <c r="W34" s="23"/>
      <c r="X34" s="26" t="n">
        <f>12452</f>
        <v>12452.0</v>
      </c>
      <c r="Y34" s="24"/>
      <c r="Z34" s="25" t="n">
        <f>947381</f>
        <v>947381.0</v>
      </c>
      <c r="AA34" s="23"/>
      <c r="AB34" s="25" t="n">
        <f>558315</f>
        <v>558315.0</v>
      </c>
      <c r="AC34" s="23"/>
      <c r="AD34" s="26" t="n">
        <f>1505696</f>
        <v>1505696.0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78163</f>
        <v>78163.0</v>
      </c>
      <c r="F35" s="23" t="s">
        <v>36</v>
      </c>
      <c r="G35" s="25" t="n">
        <f>68150</f>
        <v>68150.0</v>
      </c>
      <c r="H35" s="23"/>
      <c r="I35" s="26" t="n">
        <f>146313</f>
        <v>146313.0</v>
      </c>
      <c r="J35" s="24"/>
      <c r="K35" s="25" t="n">
        <f>15197905526</f>
        <v>1.5197905526E10</v>
      </c>
      <c r="L35" s="23"/>
      <c r="M35" s="25" t="n">
        <f>9768529390</f>
        <v>9.76852939E9</v>
      </c>
      <c r="N35" s="23"/>
      <c r="O35" s="26" t="n">
        <f>24966434916</f>
        <v>2.4966434916E10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7074</f>
        <v>7074.0</v>
      </c>
      <c r="U35" s="23"/>
      <c r="V35" s="25" t="n">
        <f>7259</f>
        <v>7259.0</v>
      </c>
      <c r="W35" s="23"/>
      <c r="X35" s="26" t="n">
        <f>14333</f>
        <v>14333.0</v>
      </c>
      <c r="Y35" s="24"/>
      <c r="Z35" s="25" t="n">
        <f>953040</f>
        <v>953040.0</v>
      </c>
      <c r="AA35" s="23"/>
      <c r="AB35" s="25" t="n">
        <f>559155</f>
        <v>559155.0</v>
      </c>
      <c r="AC35" s="23"/>
      <c r="AD35" s="26" t="n">
        <f>1512195</f>
        <v>1512195.0</v>
      </c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 t="s">
        <v>36</v>
      </c>
      <c r="E38" s="25" t="n">
        <f>146127</f>
        <v>146127.0</v>
      </c>
      <c r="F38" s="23"/>
      <c r="G38" s="25" t="n">
        <f>64879</f>
        <v>64879.0</v>
      </c>
      <c r="H38" s="23" t="s">
        <v>36</v>
      </c>
      <c r="I38" s="26" t="n">
        <f>211006</f>
        <v>211006.0</v>
      </c>
      <c r="J38" s="24" t="s">
        <v>36</v>
      </c>
      <c r="K38" s="25" t="n">
        <f>32478788240</f>
        <v>3.247878824E10</v>
      </c>
      <c r="L38" s="23" t="s">
        <v>36</v>
      </c>
      <c r="M38" s="25" t="n">
        <f>13401977130</f>
        <v>1.340197713E10</v>
      </c>
      <c r="N38" s="23" t="s">
        <v>36</v>
      </c>
      <c r="O38" s="26" t="n">
        <f>45880765370</f>
        <v>4.588076537E10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24547</f>
        <v>24547.0</v>
      </c>
      <c r="U38" s="23"/>
      <c r="V38" s="25" t="n">
        <f>8546</f>
        <v>8546.0</v>
      </c>
      <c r="W38" s="23"/>
      <c r="X38" s="26" t="n">
        <f>33093</f>
        <v>33093.0</v>
      </c>
      <c r="Y38" s="24"/>
      <c r="Z38" s="25" t="n">
        <f>967505</f>
        <v>967505.0</v>
      </c>
      <c r="AA38" s="23"/>
      <c r="AB38" s="25" t="n">
        <f>566549</f>
        <v>566549.0</v>
      </c>
      <c r="AC38" s="23"/>
      <c r="AD38" s="26" t="n">
        <f>1534054</f>
        <v>1534054.0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92580</f>
        <v>92580.0</v>
      </c>
      <c r="F39" s="23"/>
      <c r="G39" s="25" t="n">
        <f>55294</f>
        <v>55294.0</v>
      </c>
      <c r="H39" s="23"/>
      <c r="I39" s="26" t="n">
        <f>147874</f>
        <v>147874.0</v>
      </c>
      <c r="J39" s="24"/>
      <c r="K39" s="25" t="n">
        <f>22639329976</f>
        <v>2.2639329976E10</v>
      </c>
      <c r="L39" s="23"/>
      <c r="M39" s="25" t="n">
        <f>10274658736</f>
        <v>1.0274658736E10</v>
      </c>
      <c r="N39" s="23"/>
      <c r="O39" s="26" t="n">
        <f>32913988712</f>
        <v>3.2913988712E10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 t="s">
        <v>36</v>
      </c>
      <c r="T39" s="25" t="n">
        <f>32471</f>
        <v>32471.0</v>
      </c>
      <c r="U39" s="23"/>
      <c r="V39" s="25" t="n">
        <f>4624</f>
        <v>4624.0</v>
      </c>
      <c r="W39" s="23" t="s">
        <v>36</v>
      </c>
      <c r="X39" s="26" t="n">
        <f>37095</f>
        <v>37095.0</v>
      </c>
      <c r="Y39" s="24"/>
      <c r="Z39" s="25" t="n">
        <f>974403</f>
        <v>974403.0</v>
      </c>
      <c r="AA39" s="23"/>
      <c r="AB39" s="25" t="n">
        <f>571250</f>
        <v>571250.0</v>
      </c>
      <c r="AC39" s="23"/>
      <c r="AD39" s="26" t="n">
        <f>1545653</f>
        <v>1545653.0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2461</f>
        <v>2461.0</v>
      </c>
      <c r="F40" s="23"/>
      <c r="G40" s="25" t="n">
        <f>1645</f>
        <v>1645.0</v>
      </c>
      <c r="H40" s="23"/>
      <c r="I40" s="26" t="n">
        <f>4106</f>
        <v>4106.0</v>
      </c>
      <c r="J40" s="24"/>
      <c r="K40" s="25" t="n">
        <f>147136000</f>
        <v>1.47136E8</v>
      </c>
      <c r="L40" s="23"/>
      <c r="M40" s="25" t="n">
        <f>178098000</f>
        <v>1.78098E8</v>
      </c>
      <c r="N40" s="23"/>
      <c r="O40" s="26" t="n">
        <f>325234000</f>
        <v>3.25234E8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276</f>
        <v>276.0</v>
      </c>
      <c r="U40" s="23"/>
      <c r="V40" s="25" t="n">
        <f>82</f>
        <v>82.0</v>
      </c>
      <c r="W40" s="23"/>
      <c r="X40" s="26" t="n">
        <f>358</f>
        <v>358.0</v>
      </c>
      <c r="Y40" s="24"/>
      <c r="Z40" s="25" t="n">
        <f>2731</f>
        <v>2731.0</v>
      </c>
      <c r="AA40" s="23"/>
      <c r="AB40" s="25" t="n">
        <f>5175</f>
        <v>5175.0</v>
      </c>
      <c r="AC40" s="23"/>
      <c r="AD40" s="26" t="n">
        <f>7906</f>
        <v>7906.0</v>
      </c>
    </row>
    <row r="41">
      <c r="A41" s="30" t="s">
        <v>29</v>
      </c>
      <c r="B41" s="22" t="s">
        <v>60</v>
      </c>
      <c r="C41" s="22" t="s">
        <v>61</v>
      </c>
      <c r="D41" s="24"/>
      <c r="E41" s="25" t="n">
        <f>1218</f>
        <v>1218.0</v>
      </c>
      <c r="F41" s="23"/>
      <c r="G41" s="25" t="n">
        <f>1144</f>
        <v>1144.0</v>
      </c>
      <c r="H41" s="23"/>
      <c r="I41" s="26" t="n">
        <f>2362</f>
        <v>2362.0</v>
      </c>
      <c r="J41" s="24"/>
      <c r="K41" s="25" t="n">
        <f>45860000</f>
        <v>4.586E7</v>
      </c>
      <c r="L41" s="23"/>
      <c r="M41" s="25" t="n">
        <f>90919000</f>
        <v>9.0919E7</v>
      </c>
      <c r="N41" s="23"/>
      <c r="O41" s="26" t="n">
        <f>136779000</f>
        <v>1.36779E8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130</f>
        <v>130.0</v>
      </c>
      <c r="U41" s="23"/>
      <c r="V41" s="25" t="n">
        <f>88</f>
        <v>88.0</v>
      </c>
      <c r="W41" s="23"/>
      <c r="X41" s="26" t="n">
        <f>218</f>
        <v>218.0</v>
      </c>
      <c r="Y41" s="24"/>
      <c r="Z41" s="25" t="n">
        <f>2893</f>
        <v>2893.0</v>
      </c>
      <c r="AA41" s="23"/>
      <c r="AB41" s="25" t="n">
        <f>5229</f>
        <v>5229.0</v>
      </c>
      <c r="AC41" s="23"/>
      <c r="AD41" s="26" t="n">
        <f>8122</f>
        <v>8122.0</v>
      </c>
    </row>
    <row r="42">
      <c r="A42" s="30" t="s">
        <v>30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31</v>
      </c>
      <c r="B43" s="22" t="s">
        <v>60</v>
      </c>
      <c r="C43" s="22" t="s">
        <v>61</v>
      </c>
      <c r="D43" s="24"/>
      <c r="E43" s="25" t="n">
        <f>2428</f>
        <v>2428.0</v>
      </c>
      <c r="F43" s="23"/>
      <c r="G43" s="25" t="n">
        <f>1960</f>
        <v>1960.0</v>
      </c>
      <c r="H43" s="23"/>
      <c r="I43" s="26" t="n">
        <f>4388</f>
        <v>4388.0</v>
      </c>
      <c r="J43" s="24"/>
      <c r="K43" s="25" t="n">
        <f>38290000</f>
        <v>3.829E7</v>
      </c>
      <c r="L43" s="23"/>
      <c r="M43" s="25" t="n">
        <f>109179000</f>
        <v>1.09179E8</v>
      </c>
      <c r="N43" s="23"/>
      <c r="O43" s="26" t="n">
        <f>147469000</f>
        <v>1.47469E8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304</f>
        <v>304.0</v>
      </c>
      <c r="U43" s="23"/>
      <c r="V43" s="25" t="n">
        <f>189</f>
        <v>189.0</v>
      </c>
      <c r="W43" s="23"/>
      <c r="X43" s="26" t="n">
        <f>493</f>
        <v>493.0</v>
      </c>
      <c r="Y43" s="24"/>
      <c r="Z43" s="25" t="n">
        <f>3429</f>
        <v>3429.0</v>
      </c>
      <c r="AA43" s="23"/>
      <c r="AB43" s="25" t="n">
        <f>5693</f>
        <v>5693.0</v>
      </c>
      <c r="AC43" s="23"/>
      <c r="AD43" s="26" t="n">
        <f>9122</f>
        <v>9122.0</v>
      </c>
    </row>
    <row r="44">
      <c r="A44" s="30" t="s">
        <v>32</v>
      </c>
      <c r="B44" s="22" t="s">
        <v>60</v>
      </c>
      <c r="C44" s="22" t="s">
        <v>61</v>
      </c>
      <c r="D44" s="24"/>
      <c r="E44" s="25" t="n">
        <f>158</f>
        <v>158.0</v>
      </c>
      <c r="F44" s="23"/>
      <c r="G44" s="25" t="n">
        <f>579</f>
        <v>579.0</v>
      </c>
      <c r="H44" s="23"/>
      <c r="I44" s="26" t="n">
        <f>737</f>
        <v>737.0</v>
      </c>
      <c r="J44" s="24"/>
      <c r="K44" s="25" t="n">
        <f>22089000</f>
        <v>2.2089E7</v>
      </c>
      <c r="L44" s="23"/>
      <c r="M44" s="25" t="n">
        <f>119632000</f>
        <v>1.19632E8</v>
      </c>
      <c r="N44" s="23"/>
      <c r="O44" s="26" t="n">
        <f>141721000</f>
        <v>1.41721E8</v>
      </c>
      <c r="P44" s="27" t="n">
        <f>23</f>
        <v>23.0</v>
      </c>
      <c r="Q44" s="28" t="n">
        <f>3513</f>
        <v>3513.0</v>
      </c>
      <c r="R44" s="29" t="n">
        <f>3536</f>
        <v>3536.0</v>
      </c>
      <c r="S44" s="24"/>
      <c r="T44" s="25" t="n">
        <f>4</f>
        <v>4.0</v>
      </c>
      <c r="U44" s="23"/>
      <c r="V44" s="25" t="n">
        <f>290</f>
        <v>290.0</v>
      </c>
      <c r="W44" s="23"/>
      <c r="X44" s="26" t="n">
        <f>294</f>
        <v>294.0</v>
      </c>
      <c r="Y44" s="24" t="s">
        <v>41</v>
      </c>
      <c r="Z44" s="25" t="n">
        <f>195</f>
        <v>195.0</v>
      </c>
      <c r="AA44" s="23" t="s">
        <v>41</v>
      </c>
      <c r="AB44" s="25" t="n">
        <f>1406</f>
        <v>1406.0</v>
      </c>
      <c r="AC44" s="23" t="s">
        <v>41</v>
      </c>
      <c r="AD44" s="26" t="n">
        <f>1601</f>
        <v>1601.0</v>
      </c>
    </row>
    <row r="45">
      <c r="A45" s="30" t="s">
        <v>33</v>
      </c>
      <c r="B45" s="22" t="s">
        <v>60</v>
      </c>
      <c r="C45" s="22" t="s">
        <v>61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34</v>
      </c>
      <c r="B46" s="22" t="s">
        <v>60</v>
      </c>
      <c r="C46" s="22" t="s">
        <v>61</v>
      </c>
      <c r="D46" s="24"/>
      <c r="E46" s="25"/>
      <c r="F46" s="23"/>
      <c r="G46" s="25"/>
      <c r="H46" s="23"/>
      <c r="I46" s="26"/>
      <c r="J46" s="24"/>
      <c r="K46" s="25"/>
      <c r="L46" s="23"/>
      <c r="M46" s="25"/>
      <c r="N46" s="23"/>
      <c r="O46" s="26"/>
      <c r="P46" s="27"/>
      <c r="Q46" s="28"/>
      <c r="R46" s="29"/>
      <c r="S46" s="24"/>
      <c r="T46" s="25"/>
      <c r="U46" s="23"/>
      <c r="V46" s="25"/>
      <c r="W46" s="23"/>
      <c r="X46" s="26"/>
      <c r="Y46" s="24"/>
      <c r="Z46" s="25"/>
      <c r="AA46" s="23"/>
      <c r="AB46" s="25"/>
      <c r="AC46" s="23"/>
      <c r="AD46" s="26"/>
    </row>
    <row r="47">
      <c r="A47" s="30" t="s">
        <v>35</v>
      </c>
      <c r="B47" s="22" t="s">
        <v>60</v>
      </c>
      <c r="C47" s="22" t="s">
        <v>61</v>
      </c>
      <c r="D47" s="24" t="s">
        <v>41</v>
      </c>
      <c r="E47" s="25" t="n">
        <f>53</f>
        <v>53.0</v>
      </c>
      <c r="F47" s="23" t="s">
        <v>41</v>
      </c>
      <c r="G47" s="25" t="n">
        <f>105</f>
        <v>105.0</v>
      </c>
      <c r="H47" s="23" t="s">
        <v>41</v>
      </c>
      <c r="I47" s="26" t="n">
        <f>158</f>
        <v>158.0</v>
      </c>
      <c r="J47" s="24" t="s">
        <v>41</v>
      </c>
      <c r="K47" s="25" t="n">
        <f>2909000</f>
        <v>2909000.0</v>
      </c>
      <c r="L47" s="23"/>
      <c r="M47" s="25" t="n">
        <f>12324000</f>
        <v>1.2324E7</v>
      </c>
      <c r="N47" s="23" t="s">
        <v>41</v>
      </c>
      <c r="O47" s="26" t="n">
        <f>15233000</f>
        <v>1.5233E7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 t="s">
        <v>41</v>
      </c>
      <c r="T47" s="25" t="n">
        <f>2</f>
        <v>2.0</v>
      </c>
      <c r="U47" s="23" t="s">
        <v>41</v>
      </c>
      <c r="V47" s="25" t="n">
        <f>2</f>
        <v>2.0</v>
      </c>
      <c r="W47" s="23" t="s">
        <v>41</v>
      </c>
      <c r="X47" s="26" t="n">
        <f>4</f>
        <v>4.0</v>
      </c>
      <c r="Y47" s="24"/>
      <c r="Z47" s="25" t="n">
        <f>217</f>
        <v>217.0</v>
      </c>
      <c r="AA47" s="23"/>
      <c r="AB47" s="25" t="n">
        <f>1508</f>
        <v>1508.0</v>
      </c>
      <c r="AC47" s="23"/>
      <c r="AD47" s="26" t="n">
        <f>1725</f>
        <v>1725.0</v>
      </c>
    </row>
    <row r="48">
      <c r="A48" s="30" t="s">
        <v>37</v>
      </c>
      <c r="B48" s="22" t="s">
        <v>60</v>
      </c>
      <c r="C48" s="22" t="s">
        <v>61</v>
      </c>
      <c r="D48" s="24"/>
      <c r="E48" s="25" t="n">
        <f>113</f>
        <v>113.0</v>
      </c>
      <c r="F48" s="23"/>
      <c r="G48" s="25" t="n">
        <f>588</f>
        <v>588.0</v>
      </c>
      <c r="H48" s="23"/>
      <c r="I48" s="26" t="n">
        <f>701</f>
        <v>701.0</v>
      </c>
      <c r="J48" s="24"/>
      <c r="K48" s="25" t="n">
        <f>12700000</f>
        <v>1.27E7</v>
      </c>
      <c r="L48" s="23"/>
      <c r="M48" s="25" t="n">
        <f>142837000</f>
        <v>1.42837E8</v>
      </c>
      <c r="N48" s="23"/>
      <c r="O48" s="26" t="n">
        <f>155537000</f>
        <v>1.55537E8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6</f>
        <v>6.0</v>
      </c>
      <c r="U48" s="23"/>
      <c r="V48" s="25" t="n">
        <f>6</f>
        <v>6.0</v>
      </c>
      <c r="W48" s="23"/>
      <c r="X48" s="26" t="n">
        <f>12</f>
        <v>12.0</v>
      </c>
      <c r="Y48" s="24"/>
      <c r="Z48" s="25" t="n">
        <f>282</f>
        <v>282.0</v>
      </c>
      <c r="AA48" s="23"/>
      <c r="AB48" s="25" t="n">
        <f>2043</f>
        <v>2043.0</v>
      </c>
      <c r="AC48" s="23"/>
      <c r="AD48" s="26" t="n">
        <f>2325</f>
        <v>2325.0</v>
      </c>
    </row>
    <row r="49">
      <c r="A49" s="30" t="s">
        <v>38</v>
      </c>
      <c r="B49" s="22" t="s">
        <v>60</v>
      </c>
      <c r="C49" s="22" t="s">
        <v>61</v>
      </c>
      <c r="D49" s="24"/>
      <c r="E49" s="25" t="n">
        <f>263</f>
        <v>263.0</v>
      </c>
      <c r="F49" s="23"/>
      <c r="G49" s="25" t="n">
        <f>393</f>
        <v>393.0</v>
      </c>
      <c r="H49" s="23"/>
      <c r="I49" s="26" t="n">
        <f>656</f>
        <v>656.0</v>
      </c>
      <c r="J49" s="24"/>
      <c r="K49" s="25" t="n">
        <f>42904000</f>
        <v>4.2904E7</v>
      </c>
      <c r="L49" s="23"/>
      <c r="M49" s="25" t="n">
        <f>88966000</f>
        <v>8.8966E7</v>
      </c>
      <c r="N49" s="23"/>
      <c r="O49" s="26" t="n">
        <f>131870000</f>
        <v>1.3187E8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3</f>
        <v>3.0</v>
      </c>
      <c r="U49" s="23"/>
      <c r="V49" s="25" t="n">
        <f>4</f>
        <v>4.0</v>
      </c>
      <c r="W49" s="23"/>
      <c r="X49" s="26" t="n">
        <f>7</f>
        <v>7.0</v>
      </c>
      <c r="Y49" s="24"/>
      <c r="Z49" s="25" t="n">
        <f>506</f>
        <v>506.0</v>
      </c>
      <c r="AA49" s="23"/>
      <c r="AB49" s="25" t="n">
        <f>2410</f>
        <v>2410.0</v>
      </c>
      <c r="AC49" s="23"/>
      <c r="AD49" s="26" t="n">
        <f>2916</f>
        <v>2916.0</v>
      </c>
    </row>
    <row r="50">
      <c r="A50" s="30" t="s">
        <v>39</v>
      </c>
      <c r="B50" s="22" t="s">
        <v>60</v>
      </c>
      <c r="C50" s="22" t="s">
        <v>61</v>
      </c>
      <c r="D50" s="24"/>
      <c r="E50" s="25" t="n">
        <f>483</f>
        <v>483.0</v>
      </c>
      <c r="F50" s="23"/>
      <c r="G50" s="25" t="n">
        <f>216</f>
        <v>216.0</v>
      </c>
      <c r="H50" s="23"/>
      <c r="I50" s="26" t="n">
        <f>699</f>
        <v>699.0</v>
      </c>
      <c r="J50" s="24"/>
      <c r="K50" s="25" t="n">
        <f>66718000</f>
        <v>6.6718E7</v>
      </c>
      <c r="L50" s="23" t="s">
        <v>41</v>
      </c>
      <c r="M50" s="25" t="n">
        <f>7077000</f>
        <v>7077000.0</v>
      </c>
      <c r="N50" s="23"/>
      <c r="O50" s="26" t="n">
        <f>73795000</f>
        <v>7.3795E7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39</f>
        <v>39.0</v>
      </c>
      <c r="U50" s="23"/>
      <c r="V50" s="25" t="n">
        <f>11</f>
        <v>11.0</v>
      </c>
      <c r="W50" s="23"/>
      <c r="X50" s="26" t="n">
        <f>50</f>
        <v>50.0</v>
      </c>
      <c r="Y50" s="24"/>
      <c r="Z50" s="25" t="n">
        <f>869</f>
        <v>869.0</v>
      </c>
      <c r="AA50" s="23"/>
      <c r="AB50" s="25" t="n">
        <f>2584</f>
        <v>2584.0</v>
      </c>
      <c r="AC50" s="23"/>
      <c r="AD50" s="26" t="n">
        <f>3453</f>
        <v>3453.0</v>
      </c>
    </row>
    <row r="51">
      <c r="A51" s="30" t="s">
        <v>40</v>
      </c>
      <c r="B51" s="22" t="s">
        <v>60</v>
      </c>
      <c r="C51" s="22" t="s">
        <v>61</v>
      </c>
      <c r="D51" s="24"/>
      <c r="E51" s="25" t="n">
        <f>737</f>
        <v>737.0</v>
      </c>
      <c r="F51" s="23"/>
      <c r="G51" s="25" t="n">
        <f>1552</f>
        <v>1552.0</v>
      </c>
      <c r="H51" s="23"/>
      <c r="I51" s="26" t="n">
        <f>2289</f>
        <v>2289.0</v>
      </c>
      <c r="J51" s="24"/>
      <c r="K51" s="25" t="n">
        <f>59192000</f>
        <v>5.9192E7</v>
      </c>
      <c r="L51" s="23"/>
      <c r="M51" s="25" t="n">
        <f>148126000</f>
        <v>1.48126E8</v>
      </c>
      <c r="N51" s="23"/>
      <c r="O51" s="26" t="n">
        <f>207318000</f>
        <v>2.07318E8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62</f>
        <v>62.0</v>
      </c>
      <c r="U51" s="23"/>
      <c r="V51" s="25" t="n">
        <f>23</f>
        <v>23.0</v>
      </c>
      <c r="W51" s="23"/>
      <c r="X51" s="26" t="n">
        <f>85</f>
        <v>85.0</v>
      </c>
      <c r="Y51" s="24"/>
      <c r="Z51" s="25" t="n">
        <f>1345</f>
        <v>1345.0</v>
      </c>
      <c r="AA51" s="23"/>
      <c r="AB51" s="25" t="n">
        <f>3592</f>
        <v>3592.0</v>
      </c>
      <c r="AC51" s="23"/>
      <c r="AD51" s="26" t="n">
        <f>4937</f>
        <v>4937.0</v>
      </c>
    </row>
    <row r="52">
      <c r="A52" s="30" t="s">
        <v>42</v>
      </c>
      <c r="B52" s="22" t="s">
        <v>60</v>
      </c>
      <c r="C52" s="22" t="s">
        <v>61</v>
      </c>
      <c r="D52" s="24"/>
      <c r="E52" s="25"/>
      <c r="F52" s="23"/>
      <c r="G52" s="25"/>
      <c r="H52" s="23"/>
      <c r="I52" s="26"/>
      <c r="J52" s="24"/>
      <c r="K52" s="25"/>
      <c r="L52" s="23"/>
      <c r="M52" s="25"/>
      <c r="N52" s="23"/>
      <c r="O52" s="26"/>
      <c r="P52" s="27"/>
      <c r="Q52" s="28"/>
      <c r="R52" s="29"/>
      <c r="S52" s="24"/>
      <c r="T52" s="25"/>
      <c r="U52" s="23"/>
      <c r="V52" s="25"/>
      <c r="W52" s="23"/>
      <c r="X52" s="26"/>
      <c r="Y52" s="24"/>
      <c r="Z52" s="25"/>
      <c r="AA52" s="23"/>
      <c r="AB52" s="25"/>
      <c r="AC52" s="23"/>
      <c r="AD52" s="26"/>
    </row>
    <row r="53">
      <c r="A53" s="30" t="s">
        <v>43</v>
      </c>
      <c r="B53" s="22" t="s">
        <v>60</v>
      </c>
      <c r="C53" s="22" t="s">
        <v>61</v>
      </c>
      <c r="D53" s="24"/>
      <c r="E53" s="25"/>
      <c r="F53" s="23"/>
      <c r="G53" s="25"/>
      <c r="H53" s="23"/>
      <c r="I53" s="26"/>
      <c r="J53" s="24"/>
      <c r="K53" s="25"/>
      <c r="L53" s="23"/>
      <c r="M53" s="25"/>
      <c r="N53" s="23"/>
      <c r="O53" s="26"/>
      <c r="P53" s="27"/>
      <c r="Q53" s="28"/>
      <c r="R53" s="29"/>
      <c r="S53" s="24"/>
      <c r="T53" s="25"/>
      <c r="U53" s="23"/>
      <c r="V53" s="25"/>
      <c r="W53" s="23"/>
      <c r="X53" s="26"/>
      <c r="Y53" s="24"/>
      <c r="Z53" s="25"/>
      <c r="AA53" s="23"/>
      <c r="AB53" s="25"/>
      <c r="AC53" s="23"/>
      <c r="AD53" s="26"/>
    </row>
    <row r="54">
      <c r="A54" s="30" t="s">
        <v>44</v>
      </c>
      <c r="B54" s="22" t="s">
        <v>60</v>
      </c>
      <c r="C54" s="22" t="s">
        <v>61</v>
      </c>
      <c r="D54" s="24"/>
      <c r="E54" s="25" t="n">
        <f>2403</f>
        <v>2403.0</v>
      </c>
      <c r="F54" s="23"/>
      <c r="G54" s="25" t="n">
        <f>1411</f>
        <v>1411.0</v>
      </c>
      <c r="H54" s="23"/>
      <c r="I54" s="26" t="n">
        <f>3814</f>
        <v>3814.0</v>
      </c>
      <c r="J54" s="24"/>
      <c r="K54" s="25" t="n">
        <f>98154000</f>
        <v>9.8154E7</v>
      </c>
      <c r="L54" s="23"/>
      <c r="M54" s="25" t="n">
        <f>99990000</f>
        <v>9.999E7</v>
      </c>
      <c r="N54" s="23"/>
      <c r="O54" s="26" t="n">
        <f>198144000</f>
        <v>1.98144E8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193</f>
        <v>193.0</v>
      </c>
      <c r="U54" s="23"/>
      <c r="V54" s="25" t="n">
        <f>85</f>
        <v>85.0</v>
      </c>
      <c r="W54" s="23"/>
      <c r="X54" s="26" t="n">
        <f>278</f>
        <v>278.0</v>
      </c>
      <c r="Y54" s="24"/>
      <c r="Z54" s="25" t="n">
        <f>2865</f>
        <v>2865.0</v>
      </c>
      <c r="AA54" s="23"/>
      <c r="AB54" s="25" t="n">
        <f>4418</f>
        <v>4418.0</v>
      </c>
      <c r="AC54" s="23"/>
      <c r="AD54" s="26" t="n">
        <f>7283</f>
        <v>7283.0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1889</f>
        <v>1889.0</v>
      </c>
      <c r="F55" s="23"/>
      <c r="G55" s="25" t="n">
        <f>2328</f>
        <v>2328.0</v>
      </c>
      <c r="H55" s="23"/>
      <c r="I55" s="26" t="n">
        <f>4217</f>
        <v>4217.0</v>
      </c>
      <c r="J55" s="24"/>
      <c r="K55" s="25" t="n">
        <f>55919000</f>
        <v>5.5919E7</v>
      </c>
      <c r="L55" s="23"/>
      <c r="M55" s="25" t="n">
        <f>208159000</f>
        <v>2.08159E8</v>
      </c>
      <c r="N55" s="23"/>
      <c r="O55" s="26" t="n">
        <f>264078000</f>
        <v>2.64078E8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226</f>
        <v>226.0</v>
      </c>
      <c r="U55" s="23"/>
      <c r="V55" s="25" t="n">
        <f>210</f>
        <v>210.0</v>
      </c>
      <c r="W55" s="23"/>
      <c r="X55" s="26" t="n">
        <f>436</f>
        <v>436.0</v>
      </c>
      <c r="Y55" s="24"/>
      <c r="Z55" s="25" t="n">
        <f>3631</f>
        <v>3631.0</v>
      </c>
      <c r="AA55" s="23"/>
      <c r="AB55" s="25" t="n">
        <f>5555</f>
        <v>5555.0</v>
      </c>
      <c r="AC55" s="23"/>
      <c r="AD55" s="26" t="n">
        <f>9186</f>
        <v>9186.0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1992</f>
        <v>1992.0</v>
      </c>
      <c r="F56" s="23"/>
      <c r="G56" s="25" t="n">
        <f>2484</f>
        <v>2484.0</v>
      </c>
      <c r="H56" s="23"/>
      <c r="I56" s="26" t="n">
        <f>4476</f>
        <v>4476.0</v>
      </c>
      <c r="J56" s="24"/>
      <c r="K56" s="25" t="n">
        <f>63598000</f>
        <v>6.3598E7</v>
      </c>
      <c r="L56" s="23"/>
      <c r="M56" s="25" t="n">
        <f>130832000</f>
        <v>1.30832E8</v>
      </c>
      <c r="N56" s="23"/>
      <c r="O56" s="26" t="n">
        <f>194430000</f>
        <v>1.9443E8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154</f>
        <v>154.0</v>
      </c>
      <c r="U56" s="23"/>
      <c r="V56" s="25" t="n">
        <f>303</f>
        <v>303.0</v>
      </c>
      <c r="W56" s="23"/>
      <c r="X56" s="26" t="n">
        <f>457</f>
        <v>457.0</v>
      </c>
      <c r="Y56" s="24"/>
      <c r="Z56" s="25" t="n">
        <f>4322</f>
        <v>4322.0</v>
      </c>
      <c r="AA56" s="23"/>
      <c r="AB56" s="25" t="n">
        <f>6307</f>
        <v>6307.0</v>
      </c>
      <c r="AC56" s="23"/>
      <c r="AD56" s="26" t="n">
        <f>10629</f>
        <v>10629.0</v>
      </c>
    </row>
    <row r="57">
      <c r="A57" s="30" t="s">
        <v>47</v>
      </c>
      <c r="B57" s="22" t="s">
        <v>60</v>
      </c>
      <c r="C57" s="22" t="s">
        <v>61</v>
      </c>
      <c r="D57" s="24" t="s">
        <v>36</v>
      </c>
      <c r="E57" s="25" t="n">
        <f>4123</f>
        <v>4123.0</v>
      </c>
      <c r="F57" s="23" t="s">
        <v>36</v>
      </c>
      <c r="G57" s="25" t="n">
        <f>5572</f>
        <v>5572.0</v>
      </c>
      <c r="H57" s="23" t="s">
        <v>36</v>
      </c>
      <c r="I57" s="26" t="n">
        <f>9695</f>
        <v>9695.0</v>
      </c>
      <c r="J57" s="24"/>
      <c r="K57" s="25" t="n">
        <f>104162000</f>
        <v>1.04162E8</v>
      </c>
      <c r="L57" s="23"/>
      <c r="M57" s="25" t="n">
        <f>158507000</f>
        <v>1.58507E8</v>
      </c>
      <c r="N57" s="23"/>
      <c r="O57" s="26" t="n">
        <f>262669000</f>
        <v>2.62669E8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 t="s">
        <v>36</v>
      </c>
      <c r="T57" s="25" t="n">
        <f>624</f>
        <v>624.0</v>
      </c>
      <c r="U57" s="23"/>
      <c r="V57" s="25" t="n">
        <f>307</f>
        <v>307.0</v>
      </c>
      <c r="W57" s="23"/>
      <c r="X57" s="26" t="n">
        <f>931</f>
        <v>931.0</v>
      </c>
      <c r="Y57" s="24"/>
      <c r="Z57" s="25" t="n">
        <f>5448</f>
        <v>5448.0</v>
      </c>
      <c r="AA57" s="23"/>
      <c r="AB57" s="25" t="n">
        <f>7588</f>
        <v>7588.0</v>
      </c>
      <c r="AC57" s="23"/>
      <c r="AD57" s="26" t="n">
        <f>13036</f>
        <v>13036.0</v>
      </c>
    </row>
    <row r="58">
      <c r="A58" s="30" t="s">
        <v>48</v>
      </c>
      <c r="B58" s="22" t="s">
        <v>60</v>
      </c>
      <c r="C58" s="22" t="s">
        <v>61</v>
      </c>
      <c r="D58" s="24"/>
      <c r="E58" s="25" t="n">
        <f>1003</f>
        <v>1003.0</v>
      </c>
      <c r="F58" s="23"/>
      <c r="G58" s="25" t="n">
        <f>2814</f>
        <v>2814.0</v>
      </c>
      <c r="H58" s="23"/>
      <c r="I58" s="26" t="n">
        <f>3817</f>
        <v>3817.0</v>
      </c>
      <c r="J58" s="24"/>
      <c r="K58" s="25" t="n">
        <f>70426000</f>
        <v>7.0426E7</v>
      </c>
      <c r="L58" s="23"/>
      <c r="M58" s="25" t="n">
        <f>222532000</f>
        <v>2.22532E8</v>
      </c>
      <c r="N58" s="23"/>
      <c r="O58" s="26" t="n">
        <f>292958000</f>
        <v>2.92958E8</v>
      </c>
      <c r="P58" s="27" t="n">
        <f>59</f>
        <v>59.0</v>
      </c>
      <c r="Q58" s="28" t="n">
        <f>570</f>
        <v>570.0</v>
      </c>
      <c r="R58" s="29" t="n">
        <f>629</f>
        <v>629.0</v>
      </c>
      <c r="S58" s="24"/>
      <c r="T58" s="25" t="n">
        <f>52</f>
        <v>52.0</v>
      </c>
      <c r="U58" s="23"/>
      <c r="V58" s="25" t="n">
        <f>336</f>
        <v>336.0</v>
      </c>
      <c r="W58" s="23"/>
      <c r="X58" s="26" t="n">
        <f>388</f>
        <v>388.0</v>
      </c>
      <c r="Y58" s="24"/>
      <c r="Z58" s="25" t="n">
        <f>2372</f>
        <v>2372.0</v>
      </c>
      <c r="AA58" s="23"/>
      <c r="AB58" s="25" t="n">
        <f>5668</f>
        <v>5668.0</v>
      </c>
      <c r="AC58" s="23"/>
      <c r="AD58" s="26" t="n">
        <f>8040</f>
        <v>8040.0</v>
      </c>
    </row>
    <row r="59">
      <c r="A59" s="30" t="s">
        <v>49</v>
      </c>
      <c r="B59" s="22" t="s">
        <v>60</v>
      </c>
      <c r="C59" s="22" t="s">
        <v>61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50</v>
      </c>
      <c r="B60" s="22" t="s">
        <v>60</v>
      </c>
      <c r="C60" s="22" t="s">
        <v>61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51</v>
      </c>
      <c r="B61" s="22" t="s">
        <v>60</v>
      </c>
      <c r="C61" s="22" t="s">
        <v>61</v>
      </c>
      <c r="D61" s="24"/>
      <c r="E61" s="25" t="n">
        <f>2005</f>
        <v>2005.0</v>
      </c>
      <c r="F61" s="23"/>
      <c r="G61" s="25" t="n">
        <f>1846</f>
        <v>1846.0</v>
      </c>
      <c r="H61" s="23"/>
      <c r="I61" s="26" t="n">
        <f>3851</f>
        <v>3851.0</v>
      </c>
      <c r="J61" s="24"/>
      <c r="K61" s="25" t="n">
        <f>81015000</f>
        <v>8.1015E7</v>
      </c>
      <c r="L61" s="23"/>
      <c r="M61" s="25" t="n">
        <f>59229000</f>
        <v>5.9229E7</v>
      </c>
      <c r="N61" s="23"/>
      <c r="O61" s="26" t="n">
        <f>140244000</f>
        <v>1.40244E8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125</f>
        <v>125.0</v>
      </c>
      <c r="U61" s="23"/>
      <c r="V61" s="25" t="n">
        <f>90</f>
        <v>90.0</v>
      </c>
      <c r="W61" s="23"/>
      <c r="X61" s="26" t="n">
        <f>215</f>
        <v>215.0</v>
      </c>
      <c r="Y61" s="24"/>
      <c r="Z61" s="25" t="n">
        <f>3254</f>
        <v>3254.0</v>
      </c>
      <c r="AA61" s="23"/>
      <c r="AB61" s="25" t="n">
        <f>6664</f>
        <v>6664.0</v>
      </c>
      <c r="AC61" s="23"/>
      <c r="AD61" s="26" t="n">
        <f>9918</f>
        <v>9918.0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/>
      <c r="E63" s="25" t="n">
        <f>3283</f>
        <v>3283.0</v>
      </c>
      <c r="F63" s="23"/>
      <c r="G63" s="25" t="n">
        <f>3585</f>
        <v>3585.0</v>
      </c>
      <c r="H63" s="23"/>
      <c r="I63" s="26" t="n">
        <f>6868</f>
        <v>6868.0</v>
      </c>
      <c r="J63" s="24"/>
      <c r="K63" s="25" t="n">
        <f>115282000</f>
        <v>1.15282E8</v>
      </c>
      <c r="L63" s="23" t="s">
        <v>36</v>
      </c>
      <c r="M63" s="25" t="n">
        <f>250035000</f>
        <v>2.50035E8</v>
      </c>
      <c r="N63" s="23"/>
      <c r="O63" s="26" t="n">
        <f>365317000</f>
        <v>3.65317E8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355</f>
        <v>355.0</v>
      </c>
      <c r="U63" s="23" t="s">
        <v>36</v>
      </c>
      <c r="V63" s="25" t="n">
        <f>945</f>
        <v>945.0</v>
      </c>
      <c r="W63" s="23" t="s">
        <v>36</v>
      </c>
      <c r="X63" s="26" t="n">
        <f>1300</f>
        <v>1300.0</v>
      </c>
      <c r="Y63" s="24"/>
      <c r="Z63" s="25" t="n">
        <f>4455</f>
        <v>4455.0</v>
      </c>
      <c r="AA63" s="23"/>
      <c r="AB63" s="25" t="n">
        <f>7097</f>
        <v>7097.0</v>
      </c>
      <c r="AC63" s="23"/>
      <c r="AD63" s="26" t="n">
        <f>11552</f>
        <v>11552.0</v>
      </c>
    </row>
    <row r="64">
      <c r="A64" s="30" t="s">
        <v>54</v>
      </c>
      <c r="B64" s="22" t="s">
        <v>60</v>
      </c>
      <c r="C64" s="22" t="s">
        <v>61</v>
      </c>
      <c r="D64" s="24"/>
      <c r="E64" s="25" t="n">
        <f>3505</f>
        <v>3505.0</v>
      </c>
      <c r="F64" s="23"/>
      <c r="G64" s="25" t="n">
        <f>2859</f>
        <v>2859.0</v>
      </c>
      <c r="H64" s="23"/>
      <c r="I64" s="26" t="n">
        <f>6364</f>
        <v>6364.0</v>
      </c>
      <c r="J64" s="24"/>
      <c r="K64" s="25" t="n">
        <f>160954000</f>
        <v>1.60954E8</v>
      </c>
      <c r="L64" s="23"/>
      <c r="M64" s="25" t="n">
        <f>120168000</f>
        <v>1.20168E8</v>
      </c>
      <c r="N64" s="23"/>
      <c r="O64" s="26" t="n">
        <f>281122000</f>
        <v>2.81122E8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268</f>
        <v>268.0</v>
      </c>
      <c r="U64" s="23"/>
      <c r="V64" s="25" t="n">
        <f>179</f>
        <v>179.0</v>
      </c>
      <c r="W64" s="23"/>
      <c r="X64" s="26" t="n">
        <f>447</f>
        <v>447.0</v>
      </c>
      <c r="Y64" s="24" t="s">
        <v>36</v>
      </c>
      <c r="Z64" s="25" t="n">
        <f>5637</f>
        <v>5637.0</v>
      </c>
      <c r="AA64" s="23" t="s">
        <v>36</v>
      </c>
      <c r="AB64" s="25" t="n">
        <f>8153</f>
        <v>8153.0</v>
      </c>
      <c r="AC64" s="23" t="s">
        <v>36</v>
      </c>
      <c r="AD64" s="26" t="n">
        <f>13790</f>
        <v>13790.0</v>
      </c>
    </row>
    <row r="65">
      <c r="A65" s="30" t="s">
        <v>55</v>
      </c>
      <c r="B65" s="22" t="s">
        <v>60</v>
      </c>
      <c r="C65" s="22" t="s">
        <v>61</v>
      </c>
      <c r="D65" s="24"/>
      <c r="E65" s="25" t="n">
        <f>1545</f>
        <v>1545.0</v>
      </c>
      <c r="F65" s="23"/>
      <c r="G65" s="25" t="n">
        <f>1196</f>
        <v>1196.0</v>
      </c>
      <c r="H65" s="23"/>
      <c r="I65" s="26" t="n">
        <f>2741</f>
        <v>2741.0</v>
      </c>
      <c r="J65" s="24"/>
      <c r="K65" s="25" t="n">
        <f>232032000</f>
        <v>2.32032E8</v>
      </c>
      <c r="L65" s="23"/>
      <c r="M65" s="25" t="n">
        <f>76569000</f>
        <v>7.6569E7</v>
      </c>
      <c r="N65" s="23"/>
      <c r="O65" s="26" t="n">
        <f>308601000</f>
        <v>3.08601E8</v>
      </c>
      <c r="P65" s="27" t="n">
        <f>168</f>
        <v>168.0</v>
      </c>
      <c r="Q65" s="28" t="n">
        <f>10</f>
        <v>10.0</v>
      </c>
      <c r="R65" s="29" t="n">
        <f>178</f>
        <v>178.0</v>
      </c>
      <c r="S65" s="24"/>
      <c r="T65" s="25" t="n">
        <f>111</f>
        <v>111.0</v>
      </c>
      <c r="U65" s="23"/>
      <c r="V65" s="25" t="n">
        <f>126</f>
        <v>126.0</v>
      </c>
      <c r="W65" s="23"/>
      <c r="X65" s="26" t="n">
        <f>237</f>
        <v>237.0</v>
      </c>
      <c r="Y65" s="24"/>
      <c r="Z65" s="25" t="n">
        <f>1866</f>
        <v>1866.0</v>
      </c>
      <c r="AA65" s="23"/>
      <c r="AB65" s="25" t="n">
        <f>3217</f>
        <v>3217.0</v>
      </c>
      <c r="AC65" s="23"/>
      <c r="AD65" s="26" t="n">
        <f>5083</f>
        <v>5083.0</v>
      </c>
    </row>
    <row r="66">
      <c r="A66" s="30" t="s">
        <v>56</v>
      </c>
      <c r="B66" s="22" t="s">
        <v>60</v>
      </c>
      <c r="C66" s="22" t="s">
        <v>61</v>
      </c>
      <c r="D66" s="24"/>
      <c r="E66" s="25"/>
      <c r="F66" s="23"/>
      <c r="G66" s="25"/>
      <c r="H66" s="23"/>
      <c r="I66" s="26"/>
      <c r="J66" s="24"/>
      <c r="K66" s="25"/>
      <c r="L66" s="23"/>
      <c r="M66" s="25"/>
      <c r="N66" s="23"/>
      <c r="O66" s="26"/>
      <c r="P66" s="27"/>
      <c r="Q66" s="28"/>
      <c r="R66" s="29"/>
      <c r="S66" s="24"/>
      <c r="T66" s="25"/>
      <c r="U66" s="23"/>
      <c r="V66" s="25"/>
      <c r="W66" s="23"/>
      <c r="X66" s="26"/>
      <c r="Y66" s="24"/>
      <c r="Z66" s="25"/>
      <c r="AA66" s="23"/>
      <c r="AB66" s="25"/>
      <c r="AC66" s="23"/>
      <c r="AD66" s="26"/>
    </row>
    <row r="67">
      <c r="A67" s="30" t="s">
        <v>57</v>
      </c>
      <c r="B67" s="22" t="s">
        <v>60</v>
      </c>
      <c r="C67" s="22" t="s">
        <v>61</v>
      </c>
      <c r="D67" s="24"/>
      <c r="E67" s="25"/>
      <c r="F67" s="23"/>
      <c r="G67" s="25"/>
      <c r="H67" s="23"/>
      <c r="I67" s="26"/>
      <c r="J67" s="24"/>
      <c r="K67" s="25"/>
      <c r="L67" s="23"/>
      <c r="M67" s="25"/>
      <c r="N67" s="23"/>
      <c r="O67" s="26"/>
      <c r="P67" s="27"/>
      <c r="Q67" s="28"/>
      <c r="R67" s="29"/>
      <c r="S67" s="24"/>
      <c r="T67" s="25"/>
      <c r="U67" s="23"/>
      <c r="V67" s="25"/>
      <c r="W67" s="23"/>
      <c r="X67" s="26"/>
      <c r="Y67" s="24"/>
      <c r="Z67" s="25"/>
      <c r="AA67" s="23"/>
      <c r="AB67" s="25"/>
      <c r="AC67" s="23"/>
      <c r="AD67" s="26"/>
    </row>
    <row r="68">
      <c r="A68" s="30" t="s">
        <v>58</v>
      </c>
      <c r="B68" s="22" t="s">
        <v>60</v>
      </c>
      <c r="C68" s="22" t="s">
        <v>61</v>
      </c>
      <c r="D68" s="24"/>
      <c r="E68" s="25" t="n">
        <f>1772</f>
        <v>1772.0</v>
      </c>
      <c r="F68" s="23"/>
      <c r="G68" s="25" t="n">
        <f>2610</f>
        <v>2610.0</v>
      </c>
      <c r="H68" s="23"/>
      <c r="I68" s="26" t="n">
        <f>4382</f>
        <v>4382.0</v>
      </c>
      <c r="J68" s="24" t="s">
        <v>36</v>
      </c>
      <c r="K68" s="25" t="n">
        <f>264847000</f>
        <v>2.64847E8</v>
      </c>
      <c r="L68" s="23"/>
      <c r="M68" s="25" t="n">
        <f>153469000</f>
        <v>1.53469E8</v>
      </c>
      <c r="N68" s="23" t="s">
        <v>36</v>
      </c>
      <c r="O68" s="26" t="n">
        <f>418316000</f>
        <v>4.18316E8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145</f>
        <v>145.0</v>
      </c>
      <c r="U68" s="23"/>
      <c r="V68" s="25" t="n">
        <f>278</f>
        <v>278.0</v>
      </c>
      <c r="W68" s="23"/>
      <c r="X68" s="26" t="n">
        <f>423</f>
        <v>423.0</v>
      </c>
      <c r="Y68" s="24"/>
      <c r="Z68" s="25" t="n">
        <f>2051</f>
        <v>2051.0</v>
      </c>
      <c r="AA68" s="23"/>
      <c r="AB68" s="25" t="n">
        <f>4133</f>
        <v>4133.0</v>
      </c>
      <c r="AC68" s="23"/>
      <c r="AD68" s="26" t="n">
        <f>6184</f>
        <v>6184.0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1482</f>
        <v>1482.0</v>
      </c>
      <c r="F69" s="23"/>
      <c r="G69" s="25" t="n">
        <f>2081</f>
        <v>2081.0</v>
      </c>
      <c r="H69" s="23"/>
      <c r="I69" s="26" t="n">
        <f>3563</f>
        <v>3563.0</v>
      </c>
      <c r="J69" s="24"/>
      <c r="K69" s="25" t="n">
        <f>124847000</f>
        <v>1.24847E8</v>
      </c>
      <c r="L69" s="23"/>
      <c r="M69" s="25" t="n">
        <f>117050000</f>
        <v>1.1705E8</v>
      </c>
      <c r="N69" s="23"/>
      <c r="O69" s="26" t="n">
        <f>241897000</f>
        <v>2.41897E8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110</f>
        <v>110.0</v>
      </c>
      <c r="U69" s="23"/>
      <c r="V69" s="25" t="n">
        <f>137</f>
        <v>137.0</v>
      </c>
      <c r="W69" s="23"/>
      <c r="X69" s="26" t="n">
        <f>247</f>
        <v>247.0</v>
      </c>
      <c r="Y69" s="24"/>
      <c r="Z69" s="25" t="n">
        <f>2339</f>
        <v>2339.0</v>
      </c>
      <c r="AA69" s="23"/>
      <c r="AB69" s="25" t="n">
        <f>4702</f>
        <v>4702.0</v>
      </c>
      <c r="AC69" s="23"/>
      <c r="AD69" s="26" t="n">
        <f>7041</f>
        <v>7041.0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2207</f>
        <v>2207.0</v>
      </c>
      <c r="F70" s="23"/>
      <c r="G70" s="25" t="n">
        <f>2150</f>
        <v>2150.0</v>
      </c>
      <c r="H70" s="23"/>
      <c r="I70" s="26" t="n">
        <f>4357</f>
        <v>4357.0</v>
      </c>
      <c r="J70" s="24"/>
      <c r="K70" s="25" t="n">
        <f>210075000</f>
        <v>2.10075E8</v>
      </c>
      <c r="L70" s="23" t="s">
        <v>36</v>
      </c>
      <c r="M70" s="25" t="n">
        <f>287400000</f>
        <v>2.874E8</v>
      </c>
      <c r="N70" s="23"/>
      <c r="O70" s="26" t="n">
        <f>497475000</f>
        <v>4.97475E8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2057</f>
        <v>2057.0</v>
      </c>
      <c r="U70" s="23"/>
      <c r="V70" s="25" t="n">
        <f>2000</f>
        <v>2000.0</v>
      </c>
      <c r="W70" s="23"/>
      <c r="X70" s="26" t="n">
        <f>4057</f>
        <v>4057.0</v>
      </c>
      <c r="Y70" s="24"/>
      <c r="Z70" s="25" t="n">
        <f>96497</f>
        <v>96497.0</v>
      </c>
      <c r="AA70" s="23"/>
      <c r="AB70" s="25" t="n">
        <f>29106</f>
        <v>29106.0</v>
      </c>
      <c r="AC70" s="23"/>
      <c r="AD70" s="26" t="n">
        <f>125603</f>
        <v>125603.0</v>
      </c>
    </row>
    <row r="71">
      <c r="A71" s="30" t="s">
        <v>29</v>
      </c>
      <c r="B71" s="22" t="s">
        <v>62</v>
      </c>
      <c r="C71" s="22" t="s">
        <v>63</v>
      </c>
      <c r="D71" s="24"/>
      <c r="E71" s="25" t="n">
        <f>300</f>
        <v>300.0</v>
      </c>
      <c r="F71" s="23"/>
      <c r="G71" s="25" t="n">
        <f>900</f>
        <v>900.0</v>
      </c>
      <c r="H71" s="23"/>
      <c r="I71" s="26" t="n">
        <f>1200</f>
        <v>1200.0</v>
      </c>
      <c r="J71" s="24"/>
      <c r="K71" s="25" t="n">
        <f>9150000</f>
        <v>9150000.0</v>
      </c>
      <c r="L71" s="23"/>
      <c r="M71" s="25" t="n">
        <f>286500000</f>
        <v>2.865E8</v>
      </c>
      <c r="N71" s="23"/>
      <c r="O71" s="26" t="n">
        <f>295650000</f>
        <v>2.9565E8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 t="s">
        <v>41</v>
      </c>
      <c r="T71" s="25" t="str">
        <f>"－"</f>
        <v>－</v>
      </c>
      <c r="U71" s="23"/>
      <c r="V71" s="25" t="n">
        <f>600</f>
        <v>600.0</v>
      </c>
      <c r="W71" s="23"/>
      <c r="X71" s="26" t="n">
        <f>600</f>
        <v>600.0</v>
      </c>
      <c r="Y71" s="24"/>
      <c r="Z71" s="25" t="n">
        <f>96797</f>
        <v>96797.0</v>
      </c>
      <c r="AA71" s="23"/>
      <c r="AB71" s="25" t="n">
        <f>29406</f>
        <v>29406.0</v>
      </c>
      <c r="AC71" s="23"/>
      <c r="AD71" s="26" t="n">
        <f>126203</f>
        <v>126203.0</v>
      </c>
    </row>
    <row r="72">
      <c r="A72" s="30" t="s">
        <v>30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31</v>
      </c>
      <c r="B73" s="22" t="s">
        <v>62</v>
      </c>
      <c r="C73" s="22" t="s">
        <v>63</v>
      </c>
      <c r="D73" s="24"/>
      <c r="E73" s="25" t="n">
        <f>2656</f>
        <v>2656.0</v>
      </c>
      <c r="F73" s="23" t="s">
        <v>41</v>
      </c>
      <c r="G73" s="25" t="str">
        <f>"－"</f>
        <v>－</v>
      </c>
      <c r="H73" s="23"/>
      <c r="I73" s="26" t="n">
        <f>2656</f>
        <v>2656.0</v>
      </c>
      <c r="J73" s="24"/>
      <c r="K73" s="25" t="n">
        <f>1232475776</f>
        <v>1.232475776E9</v>
      </c>
      <c r="L73" s="23" t="s">
        <v>41</v>
      </c>
      <c r="M73" s="25" t="str">
        <f>"－"</f>
        <v>－</v>
      </c>
      <c r="N73" s="23"/>
      <c r="O73" s="26" t="n">
        <f>1232475776</f>
        <v>1.232475776E9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n">
        <f>2656</f>
        <v>2656.0</v>
      </c>
      <c r="U73" s="23" t="s">
        <v>41</v>
      </c>
      <c r="V73" s="25" t="str">
        <f>"－"</f>
        <v>－</v>
      </c>
      <c r="W73" s="23"/>
      <c r="X73" s="26" t="n">
        <f>2656</f>
        <v>2656.0</v>
      </c>
      <c r="Y73" s="24"/>
      <c r="Z73" s="25" t="n">
        <f>94643</f>
        <v>94643.0</v>
      </c>
      <c r="AA73" s="23"/>
      <c r="AB73" s="25" t="n">
        <f>29406</f>
        <v>29406.0</v>
      </c>
      <c r="AC73" s="23"/>
      <c r="AD73" s="26" t="n">
        <f>124049</f>
        <v>124049.0</v>
      </c>
    </row>
    <row r="74">
      <c r="A74" s="30" t="s">
        <v>32</v>
      </c>
      <c r="B74" s="22" t="s">
        <v>62</v>
      </c>
      <c r="C74" s="22" t="s">
        <v>63</v>
      </c>
      <c r="D74" s="24"/>
      <c r="E74" s="25" t="n">
        <f>2779</f>
        <v>2779.0</v>
      </c>
      <c r="F74" s="23"/>
      <c r="G74" s="25" t="n">
        <f>1390</f>
        <v>1390.0</v>
      </c>
      <c r="H74" s="23"/>
      <c r="I74" s="26" t="n">
        <f>4169</f>
        <v>4169.0</v>
      </c>
      <c r="J74" s="24"/>
      <c r="K74" s="25" t="n">
        <f>1293930390</f>
        <v>1.29393039E9</v>
      </c>
      <c r="L74" s="23"/>
      <c r="M74" s="25" t="n">
        <f>69500000</f>
        <v>6.95E7</v>
      </c>
      <c r="N74" s="23"/>
      <c r="O74" s="26" t="n">
        <f>1363430390</f>
        <v>1.36343039E9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2779</f>
        <v>2779.0</v>
      </c>
      <c r="U74" s="23"/>
      <c r="V74" s="25" t="n">
        <f>1390</f>
        <v>1390.0</v>
      </c>
      <c r="W74" s="23"/>
      <c r="X74" s="26" t="n">
        <f>4169</f>
        <v>4169.0</v>
      </c>
      <c r="Y74" s="24"/>
      <c r="Z74" s="25" t="n">
        <f>97422</f>
        <v>97422.0</v>
      </c>
      <c r="AA74" s="23"/>
      <c r="AB74" s="25" t="n">
        <f>30796</f>
        <v>30796.0</v>
      </c>
      <c r="AC74" s="23"/>
      <c r="AD74" s="26" t="n">
        <f>128218</f>
        <v>128218.0</v>
      </c>
    </row>
    <row r="75">
      <c r="A75" s="30" t="s">
        <v>33</v>
      </c>
      <c r="B75" s="22" t="s">
        <v>62</v>
      </c>
      <c r="C75" s="22" t="s">
        <v>63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34</v>
      </c>
      <c r="B76" s="22" t="s">
        <v>62</v>
      </c>
      <c r="C76" s="22" t="s">
        <v>63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35</v>
      </c>
      <c r="B77" s="22" t="s">
        <v>62</v>
      </c>
      <c r="C77" s="22" t="s">
        <v>63</v>
      </c>
      <c r="D77" s="24" t="s">
        <v>41</v>
      </c>
      <c r="E77" s="25" t="str">
        <f>"－"</f>
        <v>－</v>
      </c>
      <c r="F77" s="23"/>
      <c r="G77" s="25" t="n">
        <f>500</f>
        <v>500.0</v>
      </c>
      <c r="H77" s="23"/>
      <c r="I77" s="26" t="n">
        <f>500</f>
        <v>500.0</v>
      </c>
      <c r="J77" s="24" t="s">
        <v>41</v>
      </c>
      <c r="K77" s="25" t="str">
        <f>"－"</f>
        <v>－</v>
      </c>
      <c r="L77" s="23"/>
      <c r="M77" s="25" t="n">
        <f>75450000</f>
        <v>7.545E7</v>
      </c>
      <c r="N77" s="23"/>
      <c r="O77" s="26" t="n">
        <f>75450000</f>
        <v>7.545E7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n">
        <f>300</f>
        <v>300.0</v>
      </c>
      <c r="W77" s="23"/>
      <c r="X77" s="26" t="n">
        <f>300</f>
        <v>300.0</v>
      </c>
      <c r="Y77" s="24"/>
      <c r="Z77" s="25" t="n">
        <f>97422</f>
        <v>97422.0</v>
      </c>
      <c r="AA77" s="23"/>
      <c r="AB77" s="25" t="n">
        <f>31096</f>
        <v>31096.0</v>
      </c>
      <c r="AC77" s="23"/>
      <c r="AD77" s="26" t="n">
        <f>128518</f>
        <v>128518.0</v>
      </c>
    </row>
    <row r="78">
      <c r="A78" s="30" t="s">
        <v>37</v>
      </c>
      <c r="B78" s="22" t="s">
        <v>62</v>
      </c>
      <c r="C78" s="22" t="s">
        <v>63</v>
      </c>
      <c r="D78" s="24"/>
      <c r="E78" s="25" t="n">
        <f>1117</f>
        <v>1117.0</v>
      </c>
      <c r="F78" s="23" t="s">
        <v>36</v>
      </c>
      <c r="G78" s="25" t="n">
        <f>3667</f>
        <v>3667.0</v>
      </c>
      <c r="H78" s="23"/>
      <c r="I78" s="26" t="n">
        <f>4784</f>
        <v>4784.0</v>
      </c>
      <c r="J78" s="24"/>
      <c r="K78" s="25" t="n">
        <f>160959700</f>
        <v>1.609597E8</v>
      </c>
      <c r="L78" s="23"/>
      <c r="M78" s="25" t="n">
        <f>281908700</f>
        <v>2.819087E8</v>
      </c>
      <c r="N78" s="23"/>
      <c r="O78" s="26" t="n">
        <f>442868400</f>
        <v>4.428684E8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1117</f>
        <v>1117.0</v>
      </c>
      <c r="U78" s="23" t="s">
        <v>36</v>
      </c>
      <c r="V78" s="25" t="n">
        <f>3367</f>
        <v>3367.0</v>
      </c>
      <c r="W78" s="23"/>
      <c r="X78" s="26" t="n">
        <f>4484</f>
        <v>4484.0</v>
      </c>
      <c r="Y78" s="24"/>
      <c r="Z78" s="25" t="n">
        <f>98539</f>
        <v>98539.0</v>
      </c>
      <c r="AA78" s="23"/>
      <c r="AB78" s="25" t="n">
        <f>32650</f>
        <v>32650.0</v>
      </c>
      <c r="AC78" s="23"/>
      <c r="AD78" s="26" t="n">
        <f>131189</f>
        <v>131189.0</v>
      </c>
    </row>
    <row r="79">
      <c r="A79" s="30" t="s">
        <v>38</v>
      </c>
      <c r="B79" s="22" t="s">
        <v>62</v>
      </c>
      <c r="C79" s="22" t="s">
        <v>63</v>
      </c>
      <c r="D79" s="24"/>
      <c r="E79" s="25" t="n">
        <f>1539</f>
        <v>1539.0</v>
      </c>
      <c r="F79" s="23"/>
      <c r="G79" s="25" t="n">
        <f>562</f>
        <v>562.0</v>
      </c>
      <c r="H79" s="23"/>
      <c r="I79" s="26" t="n">
        <f>2101</f>
        <v>2101.0</v>
      </c>
      <c r="J79" s="24"/>
      <c r="K79" s="25" t="n">
        <f>936293602</f>
        <v>9.36293602E8</v>
      </c>
      <c r="L79" s="23"/>
      <c r="M79" s="25" t="n">
        <f>33814978</f>
        <v>3.3814978E7</v>
      </c>
      <c r="N79" s="23"/>
      <c r="O79" s="26" t="n">
        <f>970108580</f>
        <v>9.7010858E8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1539</f>
        <v>1539.0</v>
      </c>
      <c r="U79" s="23"/>
      <c r="V79" s="25" t="n">
        <f>562</f>
        <v>562.0</v>
      </c>
      <c r="W79" s="23"/>
      <c r="X79" s="26" t="n">
        <f>2101</f>
        <v>2101.0</v>
      </c>
      <c r="Y79" s="24"/>
      <c r="Z79" s="25" t="n">
        <f>100078</f>
        <v>100078.0</v>
      </c>
      <c r="AA79" s="23"/>
      <c r="AB79" s="25" t="n">
        <f>33212</f>
        <v>33212.0</v>
      </c>
      <c r="AC79" s="23"/>
      <c r="AD79" s="26" t="n">
        <f>133290</f>
        <v>133290.0</v>
      </c>
    </row>
    <row r="80">
      <c r="A80" s="30" t="s">
        <v>39</v>
      </c>
      <c r="B80" s="22" t="s">
        <v>62</v>
      </c>
      <c r="C80" s="22" t="s">
        <v>63</v>
      </c>
      <c r="D80" s="24"/>
      <c r="E80" s="25" t="n">
        <f>1816</f>
        <v>1816.0</v>
      </c>
      <c r="F80" s="23"/>
      <c r="G80" s="25" t="n">
        <f>2366</f>
        <v>2366.0</v>
      </c>
      <c r="H80" s="23"/>
      <c r="I80" s="26" t="n">
        <f>4182</f>
        <v>4182.0</v>
      </c>
      <c r="J80" s="24"/>
      <c r="K80" s="25" t="n">
        <f>142742500</f>
        <v>1.427425E8</v>
      </c>
      <c r="L80" s="23"/>
      <c r="M80" s="25" t="n">
        <f>87928750</f>
        <v>8.792875E7</v>
      </c>
      <c r="N80" s="23"/>
      <c r="O80" s="26" t="n">
        <f>230671250</f>
        <v>2.3067125E8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str">
        <f>"－"</f>
        <v>－</v>
      </c>
      <c r="U80" s="23"/>
      <c r="V80" s="25" t="n">
        <f>550</f>
        <v>550.0</v>
      </c>
      <c r="W80" s="23"/>
      <c r="X80" s="26" t="n">
        <f>550</f>
        <v>550.0</v>
      </c>
      <c r="Y80" s="24" t="s">
        <v>36</v>
      </c>
      <c r="Z80" s="25" t="n">
        <f>101894</f>
        <v>101894.0</v>
      </c>
      <c r="AA80" s="23" t="s">
        <v>36</v>
      </c>
      <c r="AB80" s="25" t="n">
        <f>34753</f>
        <v>34753.0</v>
      </c>
      <c r="AC80" s="23" t="s">
        <v>36</v>
      </c>
      <c r="AD80" s="26" t="n">
        <f>136647</f>
        <v>136647.0</v>
      </c>
    </row>
    <row r="81">
      <c r="A81" s="30" t="s">
        <v>40</v>
      </c>
      <c r="B81" s="22" t="s">
        <v>62</v>
      </c>
      <c r="C81" s="22" t="s">
        <v>63</v>
      </c>
      <c r="D81" s="24"/>
      <c r="E81" s="25" t="n">
        <f>1600</f>
        <v>1600.0</v>
      </c>
      <c r="F81" s="23"/>
      <c r="G81" s="25" t="n">
        <f>1600</f>
        <v>1600.0</v>
      </c>
      <c r="H81" s="23"/>
      <c r="I81" s="26" t="n">
        <f>3200</f>
        <v>3200.0</v>
      </c>
      <c r="J81" s="24"/>
      <c r="K81" s="25" t="n">
        <f>172250000</f>
        <v>1.7225E8</v>
      </c>
      <c r="L81" s="23"/>
      <c r="M81" s="25" t="n">
        <f>53344000</f>
        <v>5.3344E7</v>
      </c>
      <c r="N81" s="23"/>
      <c r="O81" s="26" t="n">
        <f>225594000</f>
        <v>2.25594E8</v>
      </c>
      <c r="P81" s="27" t="n">
        <f>791</f>
        <v>791.0</v>
      </c>
      <c r="Q81" s="28" t="n">
        <f>2525</f>
        <v>2525.0</v>
      </c>
      <c r="R81" s="29" t="n">
        <f>3316</f>
        <v>3316.0</v>
      </c>
      <c r="S81" s="24"/>
      <c r="T81" s="25" t="n">
        <f>1400</f>
        <v>1400.0</v>
      </c>
      <c r="U81" s="23"/>
      <c r="V81" s="25" t="n">
        <f>1600</f>
        <v>1600.0</v>
      </c>
      <c r="W81" s="23"/>
      <c r="X81" s="26" t="n">
        <f>3000</f>
        <v>3000.0</v>
      </c>
      <c r="Y81" s="24" t="s">
        <v>41</v>
      </c>
      <c r="Z81" s="25" t="n">
        <f>91314</f>
        <v>91314.0</v>
      </c>
      <c r="AA81" s="23" t="s">
        <v>41</v>
      </c>
      <c r="AB81" s="25" t="n">
        <f>23979</f>
        <v>23979.0</v>
      </c>
      <c r="AC81" s="23" t="s">
        <v>41</v>
      </c>
      <c r="AD81" s="26" t="n">
        <f>115293</f>
        <v>115293.0</v>
      </c>
    </row>
    <row r="82">
      <c r="A82" s="30" t="s">
        <v>42</v>
      </c>
      <c r="B82" s="22" t="s">
        <v>62</v>
      </c>
      <c r="C82" s="22" t="s">
        <v>63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43</v>
      </c>
      <c r="B83" s="22" t="s">
        <v>62</v>
      </c>
      <c r="C83" s="22" t="s">
        <v>63</v>
      </c>
      <c r="D83" s="24"/>
      <c r="E83" s="25"/>
      <c r="F83" s="23"/>
      <c r="G83" s="25"/>
      <c r="H83" s="23"/>
      <c r="I83" s="26"/>
      <c r="J83" s="24"/>
      <c r="K83" s="25"/>
      <c r="L83" s="23"/>
      <c r="M83" s="25"/>
      <c r="N83" s="23"/>
      <c r="O83" s="26"/>
      <c r="P83" s="27"/>
      <c r="Q83" s="28"/>
      <c r="R83" s="29"/>
      <c r="S83" s="24"/>
      <c r="T83" s="25"/>
      <c r="U83" s="23"/>
      <c r="V83" s="25"/>
      <c r="W83" s="23"/>
      <c r="X83" s="26"/>
      <c r="Y83" s="24"/>
      <c r="Z83" s="25"/>
      <c r="AA83" s="23"/>
      <c r="AB83" s="25"/>
      <c r="AC83" s="23"/>
      <c r="AD83" s="26"/>
    </row>
    <row r="84">
      <c r="A84" s="30" t="s">
        <v>44</v>
      </c>
      <c r="B84" s="22" t="s">
        <v>62</v>
      </c>
      <c r="C84" s="22" t="s">
        <v>63</v>
      </c>
      <c r="D84" s="24"/>
      <c r="E84" s="25" t="str">
        <f>"－"</f>
        <v>－</v>
      </c>
      <c r="F84" s="23"/>
      <c r="G84" s="25" t="str">
        <f>"－"</f>
        <v>－</v>
      </c>
      <c r="H84" s="23" t="s">
        <v>41</v>
      </c>
      <c r="I84" s="26" t="str">
        <f>"－"</f>
        <v>－</v>
      </c>
      <c r="J84" s="24"/>
      <c r="K84" s="25" t="str">
        <f>"－"</f>
        <v>－</v>
      </c>
      <c r="L84" s="23"/>
      <c r="M84" s="25" t="str">
        <f>"－"</f>
        <v>－</v>
      </c>
      <c r="N84" s="23" t="s">
        <v>41</v>
      </c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 t="s">
        <v>41</v>
      </c>
      <c r="X84" s="26" t="str">
        <f>"－"</f>
        <v>－</v>
      </c>
      <c r="Y84" s="24"/>
      <c r="Z84" s="25" t="n">
        <f>91314</f>
        <v>91314.0</v>
      </c>
      <c r="AA84" s="23"/>
      <c r="AB84" s="25" t="n">
        <f>23979</f>
        <v>23979.0</v>
      </c>
      <c r="AC84" s="23"/>
      <c r="AD84" s="26" t="n">
        <f>115293</f>
        <v>115293.0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1953</f>
        <v>1953.0</v>
      </c>
      <c r="F85" s="23"/>
      <c r="G85" s="25" t="str">
        <f>"－"</f>
        <v>－</v>
      </c>
      <c r="H85" s="23"/>
      <c r="I85" s="26" t="n">
        <f>1953</f>
        <v>1953.0</v>
      </c>
      <c r="J85" s="24" t="s">
        <v>36</v>
      </c>
      <c r="K85" s="25" t="n">
        <f>1546385400</f>
        <v>1.5463854E9</v>
      </c>
      <c r="L85" s="23"/>
      <c r="M85" s="25" t="str">
        <f>"－"</f>
        <v>－</v>
      </c>
      <c r="N85" s="23" t="s">
        <v>36</v>
      </c>
      <c r="O85" s="26" t="n">
        <f>1546385400</f>
        <v>1.5463854E9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1953</f>
        <v>1953.0</v>
      </c>
      <c r="U85" s="23"/>
      <c r="V85" s="25" t="str">
        <f>"－"</f>
        <v>－</v>
      </c>
      <c r="W85" s="23"/>
      <c r="X85" s="26" t="n">
        <f>1953</f>
        <v>1953.0</v>
      </c>
      <c r="Y85" s="24"/>
      <c r="Z85" s="25" t="n">
        <f>93267</f>
        <v>93267.0</v>
      </c>
      <c r="AA85" s="23"/>
      <c r="AB85" s="25" t="n">
        <f>23979</f>
        <v>23979.0</v>
      </c>
      <c r="AC85" s="23"/>
      <c r="AD85" s="26" t="n">
        <f>117246</f>
        <v>117246.0</v>
      </c>
    </row>
    <row r="86">
      <c r="A86" s="30" t="s">
        <v>46</v>
      </c>
      <c r="B86" s="22" t="s">
        <v>62</v>
      </c>
      <c r="C86" s="22" t="s">
        <v>63</v>
      </c>
      <c r="D86" s="24"/>
      <c r="E86" s="25" t="str">
        <f>"－"</f>
        <v>－</v>
      </c>
      <c r="F86" s="23"/>
      <c r="G86" s="25" t="str">
        <f>"－"</f>
        <v>－</v>
      </c>
      <c r="H86" s="23"/>
      <c r="I86" s="26" t="str">
        <f>"－"</f>
        <v>－</v>
      </c>
      <c r="J86" s="24"/>
      <c r="K86" s="25" t="str">
        <f>"－"</f>
        <v>－</v>
      </c>
      <c r="L86" s="23"/>
      <c r="M86" s="25" t="str">
        <f>"－"</f>
        <v>－</v>
      </c>
      <c r="N86" s="23"/>
      <c r="O86" s="26" t="str">
        <f>"－"</f>
        <v>－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93267</f>
        <v>93267.0</v>
      </c>
      <c r="AA86" s="23"/>
      <c r="AB86" s="25" t="n">
        <f>23979</f>
        <v>23979.0</v>
      </c>
      <c r="AC86" s="23"/>
      <c r="AD86" s="26" t="n">
        <f>117246</f>
        <v>117246.0</v>
      </c>
    </row>
    <row r="87">
      <c r="A87" s="30" t="s">
        <v>47</v>
      </c>
      <c r="B87" s="22" t="s">
        <v>62</v>
      </c>
      <c r="C87" s="22" t="s">
        <v>63</v>
      </c>
      <c r="D87" s="24"/>
      <c r="E87" s="25" t="n">
        <f>2885</f>
        <v>2885.0</v>
      </c>
      <c r="F87" s="23"/>
      <c r="G87" s="25" t="n">
        <f>75</f>
        <v>75.0</v>
      </c>
      <c r="H87" s="23"/>
      <c r="I87" s="26" t="n">
        <f>2960</f>
        <v>2960.0</v>
      </c>
      <c r="J87" s="24"/>
      <c r="K87" s="25" t="n">
        <f>770529100</f>
        <v>7.705291E8</v>
      </c>
      <c r="L87" s="23"/>
      <c r="M87" s="25" t="n">
        <f>67500000</f>
        <v>6.75E7</v>
      </c>
      <c r="N87" s="23"/>
      <c r="O87" s="26" t="n">
        <f>838029100</f>
        <v>8.380291E8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n">
        <f>2310</f>
        <v>2310.0</v>
      </c>
      <c r="U87" s="23"/>
      <c r="V87" s="25" t="str">
        <f>"－"</f>
        <v>－</v>
      </c>
      <c r="W87" s="23"/>
      <c r="X87" s="26" t="n">
        <f>2310</f>
        <v>2310.0</v>
      </c>
      <c r="Y87" s="24"/>
      <c r="Z87" s="25" t="n">
        <f>95869</f>
        <v>95869.0</v>
      </c>
      <c r="AA87" s="23"/>
      <c r="AB87" s="25" t="n">
        <f>24054</f>
        <v>24054.0</v>
      </c>
      <c r="AC87" s="23"/>
      <c r="AD87" s="26" t="n">
        <f>119923</f>
        <v>119923.0</v>
      </c>
    </row>
    <row r="88">
      <c r="A88" s="30" t="s">
        <v>48</v>
      </c>
      <c r="B88" s="22" t="s">
        <v>62</v>
      </c>
      <c r="C88" s="22" t="s">
        <v>63</v>
      </c>
      <c r="D88" s="24"/>
      <c r="E88" s="25" t="str">
        <f>"－"</f>
        <v>－</v>
      </c>
      <c r="F88" s="23"/>
      <c r="G88" s="25" t="n">
        <f>100</f>
        <v>100.0</v>
      </c>
      <c r="H88" s="23"/>
      <c r="I88" s="26" t="n">
        <f>100</f>
        <v>100.0</v>
      </c>
      <c r="J88" s="24"/>
      <c r="K88" s="25" t="str">
        <f>"－"</f>
        <v>－</v>
      </c>
      <c r="L88" s="23"/>
      <c r="M88" s="25" t="n">
        <f>4100000</f>
        <v>4100000.0</v>
      </c>
      <c r="N88" s="23"/>
      <c r="O88" s="26" t="n">
        <f>4100000</f>
        <v>4100000.0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n">
        <f>100</f>
        <v>100.0</v>
      </c>
      <c r="W88" s="23"/>
      <c r="X88" s="26" t="n">
        <f>100</f>
        <v>100.0</v>
      </c>
      <c r="Y88" s="24"/>
      <c r="Z88" s="25" t="n">
        <f>95869</f>
        <v>95869.0</v>
      </c>
      <c r="AA88" s="23"/>
      <c r="AB88" s="25" t="n">
        <f>24054</f>
        <v>24054.0</v>
      </c>
      <c r="AC88" s="23"/>
      <c r="AD88" s="26" t="n">
        <f>119923</f>
        <v>119923.0</v>
      </c>
    </row>
    <row r="89">
      <c r="A89" s="30" t="s">
        <v>49</v>
      </c>
      <c r="B89" s="22" t="s">
        <v>62</v>
      </c>
      <c r="C89" s="22" t="s">
        <v>63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50</v>
      </c>
      <c r="B90" s="22" t="s">
        <v>62</v>
      </c>
      <c r="C90" s="22" t="s">
        <v>63</v>
      </c>
      <c r="D90" s="24"/>
      <c r="E90" s="25"/>
      <c r="F90" s="23"/>
      <c r="G90" s="25"/>
      <c r="H90" s="23"/>
      <c r="I90" s="26"/>
      <c r="J90" s="24"/>
      <c r="K90" s="25"/>
      <c r="L90" s="23"/>
      <c r="M90" s="25"/>
      <c r="N90" s="23"/>
      <c r="O90" s="26"/>
      <c r="P90" s="27"/>
      <c r="Q90" s="28"/>
      <c r="R90" s="29"/>
      <c r="S90" s="24"/>
      <c r="T90" s="25"/>
      <c r="U90" s="23"/>
      <c r="V90" s="25"/>
      <c r="W90" s="23"/>
      <c r="X90" s="26"/>
      <c r="Y90" s="24"/>
      <c r="Z90" s="25"/>
      <c r="AA90" s="23"/>
      <c r="AB90" s="25"/>
      <c r="AC90" s="23"/>
      <c r="AD90" s="26"/>
    </row>
    <row r="91">
      <c r="A91" s="30" t="s">
        <v>51</v>
      </c>
      <c r="B91" s="22" t="s">
        <v>62</v>
      </c>
      <c r="C91" s="22" t="s">
        <v>63</v>
      </c>
      <c r="D91" s="24"/>
      <c r="E91" s="25" t="n">
        <f>150</f>
        <v>150.0</v>
      </c>
      <c r="F91" s="23"/>
      <c r="G91" s="25" t="n">
        <f>150</f>
        <v>150.0</v>
      </c>
      <c r="H91" s="23"/>
      <c r="I91" s="26" t="n">
        <f>300</f>
        <v>300.0</v>
      </c>
      <c r="J91" s="24"/>
      <c r="K91" s="25" t="n">
        <f>3570000</f>
        <v>3570000.0</v>
      </c>
      <c r="L91" s="23"/>
      <c r="M91" s="25" t="n">
        <f>219585000</f>
        <v>2.19585E8</v>
      </c>
      <c r="N91" s="23"/>
      <c r="O91" s="26" t="n">
        <f>223155000</f>
        <v>2.23155E8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150</f>
        <v>150.0</v>
      </c>
      <c r="U91" s="23"/>
      <c r="V91" s="25" t="n">
        <f>150</f>
        <v>150.0</v>
      </c>
      <c r="W91" s="23"/>
      <c r="X91" s="26" t="n">
        <f>300</f>
        <v>300.0</v>
      </c>
      <c r="Y91" s="24"/>
      <c r="Z91" s="25" t="n">
        <f>95869</f>
        <v>95869.0</v>
      </c>
      <c r="AA91" s="23"/>
      <c r="AB91" s="25" t="n">
        <f>24054</f>
        <v>24054.0</v>
      </c>
      <c r="AC91" s="23"/>
      <c r="AD91" s="26" t="n">
        <f>119923</f>
        <v>119923.0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 t="str">
        <f>"－"</f>
        <v>－</v>
      </c>
      <c r="F93" s="23"/>
      <c r="G93" s="25" t="str">
        <f>"－"</f>
        <v>－</v>
      </c>
      <c r="H93" s="23"/>
      <c r="I93" s="26" t="str">
        <f>"－"</f>
        <v>－</v>
      </c>
      <c r="J93" s="24"/>
      <c r="K93" s="25" t="str">
        <f>"－"</f>
        <v>－</v>
      </c>
      <c r="L93" s="23"/>
      <c r="M93" s="25" t="str">
        <f>"－"</f>
        <v>－</v>
      </c>
      <c r="N93" s="23"/>
      <c r="O93" s="26" t="str">
        <f>"－"</f>
        <v>－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/>
      <c r="X93" s="26" t="str">
        <f>"－"</f>
        <v>－</v>
      </c>
      <c r="Y93" s="24"/>
      <c r="Z93" s="25" t="n">
        <f>95869</f>
        <v>95869.0</v>
      </c>
      <c r="AA93" s="23"/>
      <c r="AB93" s="25" t="n">
        <f>24054</f>
        <v>24054.0</v>
      </c>
      <c r="AC93" s="23"/>
      <c r="AD93" s="26" t="n">
        <f>119923</f>
        <v>119923.0</v>
      </c>
    </row>
    <row r="94">
      <c r="A94" s="30" t="s">
        <v>54</v>
      </c>
      <c r="B94" s="22" t="s">
        <v>62</v>
      </c>
      <c r="C94" s="22" t="s">
        <v>63</v>
      </c>
      <c r="D94" s="24"/>
      <c r="E94" s="25" t="n">
        <f>5854</f>
        <v>5854.0</v>
      </c>
      <c r="F94" s="23"/>
      <c r="G94" s="25" t="n">
        <f>907</f>
        <v>907.0</v>
      </c>
      <c r="H94" s="23" t="s">
        <v>36</v>
      </c>
      <c r="I94" s="26" t="n">
        <f>6761</f>
        <v>6761.0</v>
      </c>
      <c r="J94" s="24"/>
      <c r="K94" s="25" t="n">
        <f>345852440</f>
        <v>3.4585244E8</v>
      </c>
      <c r="L94" s="23"/>
      <c r="M94" s="25" t="n">
        <f>6080528</f>
        <v>6080528.0</v>
      </c>
      <c r="N94" s="23"/>
      <c r="O94" s="26" t="n">
        <f>351932968</f>
        <v>3.51932968E8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n">
        <f>5554</f>
        <v>5554.0</v>
      </c>
      <c r="U94" s="23"/>
      <c r="V94" s="25" t="n">
        <f>907</f>
        <v>907.0</v>
      </c>
      <c r="W94" s="23"/>
      <c r="X94" s="26" t="n">
        <f>6461</f>
        <v>6461.0</v>
      </c>
      <c r="Y94" s="24"/>
      <c r="Z94" s="25" t="n">
        <f>96410</f>
        <v>96410.0</v>
      </c>
      <c r="AA94" s="23"/>
      <c r="AB94" s="25" t="n">
        <f>24054</f>
        <v>24054.0</v>
      </c>
      <c r="AC94" s="23"/>
      <c r="AD94" s="26" t="n">
        <f>120464</f>
        <v>120464.0</v>
      </c>
    </row>
    <row r="95">
      <c r="A95" s="30" t="s">
        <v>55</v>
      </c>
      <c r="B95" s="22" t="s">
        <v>62</v>
      </c>
      <c r="C95" s="22" t="s">
        <v>63</v>
      </c>
      <c r="D95" s="24"/>
      <c r="E95" s="25" t="n">
        <f>753</f>
        <v>753.0</v>
      </c>
      <c r="F95" s="23"/>
      <c r="G95" s="25" t="n">
        <f>562</f>
        <v>562.0</v>
      </c>
      <c r="H95" s="23"/>
      <c r="I95" s="26" t="n">
        <f>1315</f>
        <v>1315.0</v>
      </c>
      <c r="J95" s="24"/>
      <c r="K95" s="25" t="n">
        <f>93051222</f>
        <v>9.3051222E7</v>
      </c>
      <c r="L95" s="23"/>
      <c r="M95" s="25" t="n">
        <f>9129700</f>
        <v>9129700.0</v>
      </c>
      <c r="N95" s="23"/>
      <c r="O95" s="26" t="n">
        <f>102180922</f>
        <v>1.02180922E8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753</f>
        <v>753.0</v>
      </c>
      <c r="U95" s="23"/>
      <c r="V95" s="25" t="n">
        <f>562</f>
        <v>562.0</v>
      </c>
      <c r="W95" s="23"/>
      <c r="X95" s="26" t="n">
        <f>1315</f>
        <v>1315.0</v>
      </c>
      <c r="Y95" s="24"/>
      <c r="Z95" s="25" t="n">
        <f>97013</f>
        <v>97013.0</v>
      </c>
      <c r="AA95" s="23"/>
      <c r="AB95" s="25" t="n">
        <f>24054</f>
        <v>24054.0</v>
      </c>
      <c r="AC95" s="23"/>
      <c r="AD95" s="26" t="n">
        <f>121067</f>
        <v>121067.0</v>
      </c>
    </row>
    <row r="96">
      <c r="A96" s="30" t="s">
        <v>56</v>
      </c>
      <c r="B96" s="22" t="s">
        <v>62</v>
      </c>
      <c r="C96" s="22" t="s">
        <v>63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57</v>
      </c>
      <c r="B97" s="22" t="s">
        <v>62</v>
      </c>
      <c r="C97" s="22" t="s">
        <v>63</v>
      </c>
      <c r="D97" s="24"/>
      <c r="E97" s="25"/>
      <c r="F97" s="23"/>
      <c r="G97" s="25"/>
      <c r="H97" s="23"/>
      <c r="I97" s="26"/>
      <c r="J97" s="24"/>
      <c r="K97" s="25"/>
      <c r="L97" s="23"/>
      <c r="M97" s="25"/>
      <c r="N97" s="23"/>
      <c r="O97" s="26"/>
      <c r="P97" s="27"/>
      <c r="Q97" s="28"/>
      <c r="R97" s="29"/>
      <c r="S97" s="24"/>
      <c r="T97" s="25"/>
      <c r="U97" s="23"/>
      <c r="V97" s="25"/>
      <c r="W97" s="23"/>
      <c r="X97" s="26"/>
      <c r="Y97" s="24"/>
      <c r="Z97" s="25"/>
      <c r="AA97" s="23"/>
      <c r="AB97" s="25"/>
      <c r="AC97" s="23"/>
      <c r="AD97" s="26"/>
    </row>
    <row r="98">
      <c r="A98" s="30" t="s">
        <v>58</v>
      </c>
      <c r="B98" s="22" t="s">
        <v>62</v>
      </c>
      <c r="C98" s="22" t="s">
        <v>63</v>
      </c>
      <c r="D98" s="24" t="s">
        <v>36</v>
      </c>
      <c r="E98" s="25" t="n">
        <f>6479</f>
        <v>6479.0</v>
      </c>
      <c r="F98" s="23"/>
      <c r="G98" s="25" t="str">
        <f>"－"</f>
        <v>－</v>
      </c>
      <c r="H98" s="23"/>
      <c r="I98" s="26" t="n">
        <f>6479</f>
        <v>6479.0</v>
      </c>
      <c r="J98" s="24"/>
      <c r="K98" s="25" t="n">
        <f>815573172</f>
        <v>8.15573172E8</v>
      </c>
      <c r="L98" s="23"/>
      <c r="M98" s="25" t="str">
        <f>"－"</f>
        <v>－</v>
      </c>
      <c r="N98" s="23"/>
      <c r="O98" s="26" t="n">
        <f>815573172</f>
        <v>8.15573172E8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 t="s">
        <v>36</v>
      </c>
      <c r="T98" s="25" t="n">
        <f>6479</f>
        <v>6479.0</v>
      </c>
      <c r="U98" s="23"/>
      <c r="V98" s="25" t="str">
        <f>"－"</f>
        <v>－</v>
      </c>
      <c r="W98" s="23" t="s">
        <v>36</v>
      </c>
      <c r="X98" s="26" t="n">
        <f>6479</f>
        <v>6479.0</v>
      </c>
      <c r="Y98" s="24"/>
      <c r="Z98" s="25" t="n">
        <f>95884</f>
        <v>95884.0</v>
      </c>
      <c r="AA98" s="23"/>
      <c r="AB98" s="25" t="n">
        <f>24054</f>
        <v>24054.0</v>
      </c>
      <c r="AC98" s="23"/>
      <c r="AD98" s="26" t="n">
        <f>119938</f>
        <v>119938.0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1403</f>
        <v>1403.0</v>
      </c>
      <c r="F99" s="23"/>
      <c r="G99" s="25" t="n">
        <f>200</f>
        <v>200.0</v>
      </c>
      <c r="H99" s="23"/>
      <c r="I99" s="26" t="n">
        <f>1603</f>
        <v>1603.0</v>
      </c>
      <c r="J99" s="24"/>
      <c r="K99" s="25" t="n">
        <f>355797500</f>
        <v>3.557975E8</v>
      </c>
      <c r="L99" s="23"/>
      <c r="M99" s="25" t="n">
        <f>48160000</f>
        <v>4.816E7</v>
      </c>
      <c r="N99" s="23"/>
      <c r="O99" s="26" t="n">
        <f>403957500</f>
        <v>4.039575E8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1053</f>
        <v>1053.0</v>
      </c>
      <c r="U99" s="23"/>
      <c r="V99" s="25" t="n">
        <f>200</f>
        <v>200.0</v>
      </c>
      <c r="W99" s="23"/>
      <c r="X99" s="26" t="n">
        <f>1253</f>
        <v>1253.0</v>
      </c>
      <c r="Y99" s="24"/>
      <c r="Z99" s="25" t="n">
        <f>96534</f>
        <v>96534.0</v>
      </c>
      <c r="AA99" s="23"/>
      <c r="AB99" s="25" t="n">
        <f>24254</f>
        <v>24254.0</v>
      </c>
      <c r="AC99" s="23"/>
      <c r="AD99" s="26" t="n">
        <f>120788</f>
        <v>120788.0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30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31</v>
      </c>
      <c r="B103" s="22" t="s">
        <v>64</v>
      </c>
      <c r="C103" s="22" t="s">
        <v>65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32</v>
      </c>
      <c r="B104" s="22" t="s">
        <v>64</v>
      </c>
      <c r="C104" s="22" t="s">
        <v>65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33</v>
      </c>
      <c r="B105" s="22" t="s">
        <v>64</v>
      </c>
      <c r="C105" s="22" t="s">
        <v>65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34</v>
      </c>
      <c r="B106" s="22" t="s">
        <v>64</v>
      </c>
      <c r="C106" s="22" t="s">
        <v>65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35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37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38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39</v>
      </c>
      <c r="B110" s="22" t="s">
        <v>64</v>
      </c>
      <c r="C110" s="22" t="s">
        <v>65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40</v>
      </c>
      <c r="B111" s="22" t="s">
        <v>64</v>
      </c>
      <c r="C111" s="22" t="s">
        <v>65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42</v>
      </c>
      <c r="B112" s="22" t="s">
        <v>64</v>
      </c>
      <c r="C112" s="22" t="s">
        <v>65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43</v>
      </c>
      <c r="B113" s="22" t="s">
        <v>64</v>
      </c>
      <c r="C113" s="22" t="s">
        <v>65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48</v>
      </c>
      <c r="B118" s="22" t="s">
        <v>64</v>
      </c>
      <c r="C118" s="22" t="s">
        <v>65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49</v>
      </c>
      <c r="B119" s="22" t="s">
        <v>64</v>
      </c>
      <c r="C119" s="22" t="s">
        <v>65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50</v>
      </c>
      <c r="B120" s="22" t="s">
        <v>64</v>
      </c>
      <c r="C120" s="22" t="s">
        <v>65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55</v>
      </c>
      <c r="B125" s="22" t="s">
        <v>64</v>
      </c>
      <c r="C125" s="22" t="s">
        <v>65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56</v>
      </c>
      <c r="B126" s="22" t="s">
        <v>64</v>
      </c>
      <c r="C126" s="22" t="s">
        <v>65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57</v>
      </c>
      <c r="B127" s="22" t="s">
        <v>64</v>
      </c>
      <c r="C127" s="22" t="s">
        <v>65</v>
      </c>
      <c r="D127" s="24"/>
      <c r="E127" s="25"/>
      <c r="F127" s="23"/>
      <c r="G127" s="25"/>
      <c r="H127" s="23"/>
      <c r="I127" s="26"/>
      <c r="J127" s="24"/>
      <c r="K127" s="25"/>
      <c r="L127" s="23"/>
      <c r="M127" s="25"/>
      <c r="N127" s="23"/>
      <c r="O127" s="26"/>
      <c r="P127" s="27"/>
      <c r="Q127" s="28"/>
      <c r="R127" s="29"/>
      <c r="S127" s="24"/>
      <c r="T127" s="25"/>
      <c r="U127" s="23"/>
      <c r="V127" s="25"/>
      <c r="W127" s="23"/>
      <c r="X127" s="26"/>
      <c r="Y127" s="24"/>
      <c r="Z127" s="25"/>
      <c r="AA127" s="23"/>
      <c r="AB127" s="25"/>
      <c r="AC127" s="23"/>
      <c r="AD127" s="26"/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29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30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31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32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33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34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35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37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38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39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40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29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30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31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32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33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34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35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37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38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39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40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