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<sst xmlns="http://schemas.openxmlformats.org/spreadsheetml/2006/main" count="2407" uniqueCount="98">
  <si>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</si>
  <si>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</si>
  <si>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</si>
  <si>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</si>
  <si>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</si>
  <si>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</si>
  <si>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</si>
  <si>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</si>
  <si>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</si>
  <si>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</si>
  <si>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</si>
  <si>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</si>
  <si>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</si>
  <si>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</si>
  <si>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</si>
  <si>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</si>
  <si>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1.1</t>
  </si>
  <si>
    <t>金標準先物</t>
  </si>
  <si>
    <t>Gold Standard Futures</t>
  </si>
  <si>
    <t>2</t>
  </si>
  <si>
    <t>3</t>
  </si>
  <si>
    <t>4</t>
  </si>
  <si>
    <t>◎●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</si>
  <si>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</si>
  <si>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</si>
  <si>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</si>
  <si>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</si>
  <si>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</si>
  <si>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</si>
  <si>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</si>
  <si>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</si>
  <si>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</si>
  <si>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</si>
  <si>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</si>
  <si>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</si>
  <si>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</si>
  <si>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</si>
  <si>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●</t>
  </si>
  <si>
    <t>19</t>
  </si>
  <si>
    <t>20</t>
  </si>
  <si>
    <t>◎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</si>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</sst>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49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/>
      <c r="F6" s="10"/>
      <c r="G6" s="11"/>
      <c r="H6" s="10"/>
      <c r="I6" s="11"/>
      <c r="J6" s="10"/>
      <c r="K6" s="11"/>
    </row>
    <row r="7">
      <c r="A7" s="8" t="s">
        <v>19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20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21</v>
      </c>
      <c r="B9" s="9" t="s">
        <v>17</v>
      </c>
      <c r="C9" s="9" t="s">
        <v>18</v>
      </c>
      <c r="D9" s="10"/>
      <c r="E9" s="11" t="n">
        <f>20114</f>
        <v>20114.0</v>
      </c>
      <c r="F9" s="10"/>
      <c r="G9" s="11" t="n">
        <f>134417739000</f>
        <v>1.34417739E11</v>
      </c>
      <c r="H9" s="10" t="s">
        <v>22</v>
      </c>
      <c r="I9" s="11" t="str">
        <f>"－"</f>
        <v>－</v>
      </c>
      <c r="J9" s="10"/>
      <c r="K9" s="11" t="n">
        <f>44674</f>
        <v>44674.0</v>
      </c>
    </row>
    <row r="10">
      <c r="A10" s="8" t="s">
        <v>23</v>
      </c>
      <c r="B10" s="9" t="s">
        <v>17</v>
      </c>
      <c r="C10" s="9" t="s">
        <v>18</v>
      </c>
      <c r="D10" s="10"/>
      <c r="E10" s="11" t="n">
        <f>25212</f>
        <v>25212.0</v>
      </c>
      <c r="F10" s="10"/>
      <c r="G10" s="11" t="n">
        <f>169921877000</f>
        <v>1.69921877E11</v>
      </c>
      <c r="H10" s="10"/>
      <c r="I10" s="11" t="str">
        <f>"－"</f>
        <v>－</v>
      </c>
      <c r="J10" s="10"/>
      <c r="K10" s="11" t="n">
        <f>44611</f>
        <v>44611.0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28108</f>
        <v>28108.0</v>
      </c>
      <c r="F11" s="10"/>
      <c r="G11" s="11" t="n">
        <f>189535518000</f>
        <v>1.89535518E11</v>
      </c>
      <c r="H11" s="10"/>
      <c r="I11" s="11" t="str">
        <f>"－"</f>
        <v>－</v>
      </c>
      <c r="J11" s="10"/>
      <c r="K11" s="11" t="n">
        <f>43900</f>
        <v>43900.0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31118</f>
        <v>31118.0</v>
      </c>
      <c r="F12" s="10"/>
      <c r="G12" s="11" t="n">
        <f>207391055000</f>
        <v>2.07391055E11</v>
      </c>
      <c r="H12" s="10"/>
      <c r="I12" s="11" t="str">
        <f>"－"</f>
        <v>－</v>
      </c>
      <c r="J12" s="10"/>
      <c r="K12" s="11" t="n">
        <f>43606</f>
        <v>43606.0</v>
      </c>
    </row>
    <row r="13">
      <c r="A13" s="8" t="s">
        <v>26</v>
      </c>
      <c r="B13" s="9" t="s">
        <v>17</v>
      </c>
      <c r="C13" s="9" t="s">
        <v>18</v>
      </c>
      <c r="D13" s="10"/>
      <c r="E13" s="11"/>
      <c r="F13" s="10"/>
      <c r="G13" s="11"/>
      <c r="H13" s="10"/>
      <c r="I13" s="11"/>
      <c r="J13" s="10"/>
      <c r="K13" s="11"/>
    </row>
    <row r="14">
      <c r="A14" s="8" t="s">
        <v>27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28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29</v>
      </c>
      <c r="B16" s="9" t="s">
        <v>17</v>
      </c>
      <c r="C16" s="9" t="s">
        <v>18</v>
      </c>
      <c r="D16" s="10"/>
      <c r="E16" s="11" t="n">
        <f>18305</f>
        <v>18305.0</v>
      </c>
      <c r="F16" s="10"/>
      <c r="G16" s="11" t="n">
        <f>121934925000</f>
        <v>1.21934925E11</v>
      </c>
      <c r="H16" s="10"/>
      <c r="I16" s="11" t="str">
        <f>"－"</f>
        <v>－</v>
      </c>
      <c r="J16" s="10"/>
      <c r="K16" s="11" t="n">
        <f>43964</f>
        <v>43964.0</v>
      </c>
    </row>
    <row r="17">
      <c r="A17" s="8" t="s">
        <v>30</v>
      </c>
      <c r="B17" s="9" t="s">
        <v>17</v>
      </c>
      <c r="C17" s="9" t="s">
        <v>18</v>
      </c>
      <c r="D17" s="10"/>
      <c r="E17" s="11" t="n">
        <f>20144</f>
        <v>20144.0</v>
      </c>
      <c r="F17" s="10"/>
      <c r="G17" s="11" t="n">
        <f>135293470000</f>
        <v>1.3529347E11</v>
      </c>
      <c r="H17" s="10"/>
      <c r="I17" s="11" t="str">
        <f>"－"</f>
        <v>－</v>
      </c>
      <c r="J17" s="10"/>
      <c r="K17" s="11" t="n">
        <f>43826</f>
        <v>43826.0</v>
      </c>
    </row>
    <row r="18">
      <c r="A18" s="8" t="s">
        <v>31</v>
      </c>
      <c r="B18" s="9" t="s">
        <v>17</v>
      </c>
      <c r="C18" s="9" t="s">
        <v>18</v>
      </c>
      <c r="D18" s="10"/>
      <c r="E18" s="11" t="n">
        <f>15104</f>
        <v>15104.0</v>
      </c>
      <c r="F18" s="10"/>
      <c r="G18" s="11" t="n">
        <f>101483149000</f>
        <v>1.01483149E11</v>
      </c>
      <c r="H18" s="10"/>
      <c r="I18" s="11" t="str">
        <f>"－"</f>
        <v>－</v>
      </c>
      <c r="J18" s="10"/>
      <c r="K18" s="11" t="n">
        <f>44441</f>
        <v>44441.0</v>
      </c>
    </row>
    <row r="19">
      <c r="A19" s="8" t="s">
        <v>32</v>
      </c>
      <c r="B19" s="9" t="s">
        <v>17</v>
      </c>
      <c r="C19" s="9" t="s">
        <v>18</v>
      </c>
      <c r="D19" s="10"/>
      <c r="E19" s="11" t="n">
        <f>20348</f>
        <v>20348.0</v>
      </c>
      <c r="F19" s="10"/>
      <c r="G19" s="11" t="n">
        <f>135710119000</f>
        <v>1.35710119E11</v>
      </c>
      <c r="H19" s="10"/>
      <c r="I19" s="11" t="str">
        <f>"－"</f>
        <v>－</v>
      </c>
      <c r="J19" s="10"/>
      <c r="K19" s="11" t="n">
        <f>44224</f>
        <v>44224.0</v>
      </c>
    </row>
    <row r="20">
      <c r="A20" s="8" t="s">
        <v>33</v>
      </c>
      <c r="B20" s="9" t="s">
        <v>17</v>
      </c>
      <c r="C20" s="9" t="s">
        <v>18</v>
      </c>
      <c r="D20" s="10"/>
      <c r="E20" s="11"/>
      <c r="F20" s="10"/>
      <c r="G20" s="11"/>
      <c r="H20" s="10"/>
      <c r="I20" s="11"/>
      <c r="J20" s="10"/>
      <c r="K20" s="11"/>
    </row>
    <row r="21">
      <c r="A21" s="8" t="s">
        <v>34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35</v>
      </c>
      <c r="B22" s="9" t="s">
        <v>17</v>
      </c>
      <c r="C22" s="9" t="s">
        <v>18</v>
      </c>
      <c r="D22" s="10"/>
      <c r="E22" s="11" t="n">
        <f>14813</f>
        <v>14813.0</v>
      </c>
      <c r="F22" s="10"/>
      <c r="G22" s="11" t="n">
        <f>98690783000</f>
        <v>9.8690783E10</v>
      </c>
      <c r="H22" s="10"/>
      <c r="I22" s="11" t="str">
        <f>"－"</f>
        <v>－</v>
      </c>
      <c r="J22" s="10"/>
      <c r="K22" s="11" t="n">
        <f>44580</f>
        <v>44580.0</v>
      </c>
    </row>
    <row r="23">
      <c r="A23" s="8" t="s">
        <v>36</v>
      </c>
      <c r="B23" s="9" t="s">
        <v>17</v>
      </c>
      <c r="C23" s="9" t="s">
        <v>18</v>
      </c>
      <c r="D23" s="10" t="s">
        <v>37</v>
      </c>
      <c r="E23" s="11" t="n">
        <f>13555</f>
        <v>13555.0</v>
      </c>
      <c r="F23" s="10" t="s">
        <v>37</v>
      </c>
      <c r="G23" s="11" t="n">
        <f>90738413000</f>
        <v>9.0738413E10</v>
      </c>
      <c r="H23" s="10"/>
      <c r="I23" s="11" t="str">
        <f>"－"</f>
        <v>－</v>
      </c>
      <c r="J23" s="10"/>
      <c r="K23" s="11" t="n">
        <f>43968</f>
        <v>43968.0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23355</f>
        <v>23355.0</v>
      </c>
      <c r="F24" s="10"/>
      <c r="G24" s="11" t="n">
        <f>155747396000</f>
        <v>1.55747396E11</v>
      </c>
      <c r="H24" s="10"/>
      <c r="I24" s="11" t="str">
        <f>"－"</f>
        <v>－</v>
      </c>
      <c r="J24" s="10"/>
      <c r="K24" s="11" t="n">
        <f>43834</f>
        <v>43834.0</v>
      </c>
    </row>
    <row r="25">
      <c r="A25" s="8" t="s">
        <v>39</v>
      </c>
      <c r="B25" s="9" t="s">
        <v>17</v>
      </c>
      <c r="C25" s="9" t="s">
        <v>18</v>
      </c>
      <c r="D25" s="10" t="s">
        <v>40</v>
      </c>
      <c r="E25" s="11" t="n">
        <f>31556</f>
        <v>31556.0</v>
      </c>
      <c r="F25" s="10" t="s">
        <v>40</v>
      </c>
      <c r="G25" s="11" t="n">
        <f>212164279000</f>
        <v>2.12164279E11</v>
      </c>
      <c r="H25" s="10"/>
      <c r="I25" s="11" t="str">
        <f>"－"</f>
        <v>－</v>
      </c>
      <c r="J25" s="10"/>
      <c r="K25" s="11" t="n">
        <f>43563</f>
        <v>43563.0</v>
      </c>
    </row>
    <row r="26">
      <c r="A26" s="8" t="s">
        <v>41</v>
      </c>
      <c r="B26" s="9" t="s">
        <v>17</v>
      </c>
      <c r="C26" s="9" t="s">
        <v>18</v>
      </c>
      <c r="D26" s="10"/>
      <c r="E26" s="11" t="n">
        <f>21787</f>
        <v>21787.0</v>
      </c>
      <c r="F26" s="10"/>
      <c r="G26" s="11" t="n">
        <f>146788782000</f>
        <v>1.46788782E11</v>
      </c>
      <c r="H26" s="10"/>
      <c r="I26" s="11" t="str">
        <f>"－"</f>
        <v>－</v>
      </c>
      <c r="J26" s="10" t="s">
        <v>37</v>
      </c>
      <c r="K26" s="11" t="n">
        <f>43158</f>
        <v>43158.0</v>
      </c>
    </row>
    <row r="27">
      <c r="A27" s="8" t="s">
        <v>42</v>
      </c>
      <c r="B27" s="9" t="s">
        <v>17</v>
      </c>
      <c r="C27" s="9" t="s">
        <v>18</v>
      </c>
      <c r="D27" s="10"/>
      <c r="E27" s="11"/>
      <c r="F27" s="10"/>
      <c r="G27" s="11"/>
      <c r="H27" s="10"/>
      <c r="I27" s="11"/>
      <c r="J27" s="10"/>
      <c r="K27" s="11"/>
    </row>
    <row r="28">
      <c r="A28" s="8" t="s">
        <v>43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44</v>
      </c>
      <c r="B29" s="9" t="s">
        <v>17</v>
      </c>
      <c r="C29" s="9" t="s">
        <v>18</v>
      </c>
      <c r="D29" s="10"/>
      <c r="E29" s="11" t="n">
        <f>21919</f>
        <v>21919.0</v>
      </c>
      <c r="F29" s="10"/>
      <c r="G29" s="11" t="n">
        <f>146995941000</f>
        <v>1.46995941E11</v>
      </c>
      <c r="H29" s="10"/>
      <c r="I29" s="11" t="str">
        <f>"－"</f>
        <v>－</v>
      </c>
      <c r="J29" s="10"/>
      <c r="K29" s="11" t="n">
        <f>43325</f>
        <v>43325.0</v>
      </c>
    </row>
    <row r="30">
      <c r="A30" s="8" t="s">
        <v>45</v>
      </c>
      <c r="B30" s="9" t="s">
        <v>17</v>
      </c>
      <c r="C30" s="9" t="s">
        <v>18</v>
      </c>
      <c r="D30" s="10"/>
      <c r="E30" s="11" t="n">
        <f>20190</f>
        <v>20190.0</v>
      </c>
      <c r="F30" s="10"/>
      <c r="G30" s="11" t="n">
        <f>135725027000</f>
        <v>1.35725027E11</v>
      </c>
      <c r="H30" s="10"/>
      <c r="I30" s="11" t="str">
        <f>"－"</f>
        <v>－</v>
      </c>
      <c r="J30" s="10"/>
      <c r="K30" s="11" t="n">
        <f>43543</f>
        <v>43543.0</v>
      </c>
    </row>
    <row r="31">
      <c r="A31" s="8" t="s">
        <v>46</v>
      </c>
      <c r="B31" s="9" t="s">
        <v>17</v>
      </c>
      <c r="C31" s="9" t="s">
        <v>18</v>
      </c>
      <c r="D31" s="10"/>
      <c r="E31" s="11" t="n">
        <f>21620</f>
        <v>21620.0</v>
      </c>
      <c r="F31" s="10"/>
      <c r="G31" s="11" t="n">
        <f>145903870000</f>
        <v>1.4590387E11</v>
      </c>
      <c r="H31" s="10"/>
      <c r="I31" s="11" t="str">
        <f>"－"</f>
        <v>－</v>
      </c>
      <c r="J31" s="10"/>
      <c r="K31" s="11" t="n">
        <f>43178</f>
        <v>43178.0</v>
      </c>
    </row>
    <row r="32">
      <c r="A32" s="8" t="s">
        <v>47</v>
      </c>
      <c r="B32" s="9" t="s">
        <v>17</v>
      </c>
      <c r="C32" s="9" t="s">
        <v>18</v>
      </c>
      <c r="D32" s="10"/>
      <c r="E32" s="11" t="n">
        <f>31395</f>
        <v>31395.0</v>
      </c>
      <c r="F32" s="10"/>
      <c r="G32" s="11" t="n">
        <f>210824302000</f>
        <v>2.10824302E11</v>
      </c>
      <c r="H32" s="10"/>
      <c r="I32" s="11" t="str">
        <f>"－"</f>
        <v>－</v>
      </c>
      <c r="J32" s="10"/>
      <c r="K32" s="11" t="n">
        <f>43904</f>
        <v>43904.0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29556</f>
        <v>29556.0</v>
      </c>
      <c r="F33" s="10"/>
      <c r="G33" s="11" t="n">
        <f>197228759000</f>
        <v>1.97228759E11</v>
      </c>
      <c r="H33" s="10"/>
      <c r="I33" s="11" t="str">
        <f>"－"</f>
        <v>－</v>
      </c>
      <c r="J33" s="10"/>
      <c r="K33" s="11" t="n">
        <f>44537</f>
        <v>44537.0</v>
      </c>
    </row>
    <row r="34">
      <c r="A34" s="8" t="s">
        <v>49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50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51</v>
      </c>
      <c r="B36" s="9" t="s">
        <v>17</v>
      </c>
      <c r="C36" s="9" t="s">
        <v>18</v>
      </c>
      <c r="D36" s="10"/>
      <c r="E36" s="11" t="n">
        <f>29428</f>
        <v>29428.0</v>
      </c>
      <c r="F36" s="10"/>
      <c r="G36" s="11" t="n">
        <f>195209158000</f>
        <v>1.95209158E11</v>
      </c>
      <c r="H36" s="10"/>
      <c r="I36" s="11" t="str">
        <f>"－"</f>
        <v>－</v>
      </c>
      <c r="J36" s="10" t="s">
        <v>40</v>
      </c>
      <c r="K36" s="11" t="n">
        <f>45813</f>
        <v>45813.0</v>
      </c>
    </row>
    <row r="37">
      <c r="A37" s="8" t="s">
        <v>16</v>
      </c>
      <c r="B37" s="9" t="s">
        <v>52</v>
      </c>
      <c r="C37" s="9" t="s">
        <v>53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19</v>
      </c>
      <c r="B38" s="9" t="s">
        <v>52</v>
      </c>
      <c r="C38" s="9" t="s">
        <v>53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20</v>
      </c>
      <c r="B39" s="9" t="s">
        <v>52</v>
      </c>
      <c r="C39" s="9" t="s">
        <v>53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21</v>
      </c>
      <c r="B40" s="9" t="s">
        <v>52</v>
      </c>
      <c r="C40" s="9" t="s">
        <v>53</v>
      </c>
      <c r="D40" s="10"/>
      <c r="E40" s="11" t="n">
        <f>4996</f>
        <v>4996.0</v>
      </c>
      <c r="F40" s="10"/>
      <c r="G40" s="11" t="n">
        <f>3338292100</f>
        <v>3.3382921E9</v>
      </c>
      <c r="H40" s="10" t="s">
        <v>22</v>
      </c>
      <c r="I40" s="11" t="str">
        <f>"－"</f>
        <v>－</v>
      </c>
      <c r="J40" s="10"/>
      <c r="K40" s="11" t="n">
        <f>12939</f>
        <v>12939.0</v>
      </c>
    </row>
    <row r="41">
      <c r="A41" s="8" t="s">
        <v>23</v>
      </c>
      <c r="B41" s="9" t="s">
        <v>52</v>
      </c>
      <c r="C41" s="9" t="s">
        <v>53</v>
      </c>
      <c r="D41" s="10"/>
      <c r="E41" s="11" t="n">
        <f>5208</f>
        <v>5208.0</v>
      </c>
      <c r="F41" s="10"/>
      <c r="G41" s="11" t="n">
        <f>3508736700</f>
        <v>3.5087367E9</v>
      </c>
      <c r="H41" s="10"/>
      <c r="I41" s="11" t="str">
        <f>"－"</f>
        <v>－</v>
      </c>
      <c r="J41" s="10"/>
      <c r="K41" s="11" t="n">
        <f>12792</f>
        <v>12792.0</v>
      </c>
    </row>
    <row r="42">
      <c r="A42" s="8" t="s">
        <v>24</v>
      </c>
      <c r="B42" s="9" t="s">
        <v>52</v>
      </c>
      <c r="C42" s="9" t="s">
        <v>53</v>
      </c>
      <c r="D42" s="10"/>
      <c r="E42" s="11" t="n">
        <f>5570</f>
        <v>5570.0</v>
      </c>
      <c r="F42" s="10"/>
      <c r="G42" s="11" t="n">
        <f>3755721500</f>
        <v>3.7557215E9</v>
      </c>
      <c r="H42" s="10"/>
      <c r="I42" s="11" t="str">
        <f>"－"</f>
        <v>－</v>
      </c>
      <c r="J42" s="10"/>
      <c r="K42" s="11" t="n">
        <f>12838</f>
        <v>12838.0</v>
      </c>
    </row>
    <row r="43">
      <c r="A43" s="8" t="s">
        <v>25</v>
      </c>
      <c r="B43" s="9" t="s">
        <v>52</v>
      </c>
      <c r="C43" s="9" t="s">
        <v>53</v>
      </c>
      <c r="D43" s="10"/>
      <c r="E43" s="11" t="n">
        <f>8094</f>
        <v>8094.0</v>
      </c>
      <c r="F43" s="10"/>
      <c r="G43" s="11" t="n">
        <f>5394988800</f>
        <v>5.3949888E9</v>
      </c>
      <c r="H43" s="10"/>
      <c r="I43" s="11" t="str">
        <f>"－"</f>
        <v>－</v>
      </c>
      <c r="J43" s="10"/>
      <c r="K43" s="11" t="n">
        <f>12906</f>
        <v>12906.0</v>
      </c>
    </row>
    <row r="44">
      <c r="A44" s="8" t="s">
        <v>26</v>
      </c>
      <c r="B44" s="9" t="s">
        <v>52</v>
      </c>
      <c r="C44" s="9" t="s">
        <v>53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27</v>
      </c>
      <c r="B45" s="9" t="s">
        <v>52</v>
      </c>
      <c r="C45" s="9" t="s">
        <v>53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28</v>
      </c>
      <c r="B46" s="9" t="s">
        <v>52</v>
      </c>
      <c r="C46" s="9" t="s">
        <v>53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29</v>
      </c>
      <c r="B47" s="9" t="s">
        <v>52</v>
      </c>
      <c r="C47" s="9" t="s">
        <v>53</v>
      </c>
      <c r="D47" s="10"/>
      <c r="E47" s="11" t="n">
        <f>5175</f>
        <v>5175.0</v>
      </c>
      <c r="F47" s="10"/>
      <c r="G47" s="11" t="n">
        <f>3446834500</f>
        <v>3.4468345E9</v>
      </c>
      <c r="H47" s="10"/>
      <c r="I47" s="11" t="str">
        <f>"－"</f>
        <v>－</v>
      </c>
      <c r="J47" s="10"/>
      <c r="K47" s="11" t="n">
        <f>12907</f>
        <v>12907.0</v>
      </c>
    </row>
    <row r="48">
      <c r="A48" s="8" t="s">
        <v>30</v>
      </c>
      <c r="B48" s="9" t="s">
        <v>52</v>
      </c>
      <c r="C48" s="9" t="s">
        <v>53</v>
      </c>
      <c r="D48" s="10"/>
      <c r="E48" s="11" t="n">
        <f>5046</f>
        <v>5046.0</v>
      </c>
      <c r="F48" s="10"/>
      <c r="G48" s="11" t="n">
        <f>3389162300</f>
        <v>3.3891623E9</v>
      </c>
      <c r="H48" s="10"/>
      <c r="I48" s="11" t="str">
        <f>"－"</f>
        <v>－</v>
      </c>
      <c r="J48" s="10"/>
      <c r="K48" s="11" t="n">
        <f>12799</f>
        <v>12799.0</v>
      </c>
    </row>
    <row r="49">
      <c r="A49" s="8" t="s">
        <v>31</v>
      </c>
      <c r="B49" s="9" t="s">
        <v>52</v>
      </c>
      <c r="C49" s="9" t="s">
        <v>53</v>
      </c>
      <c r="D49" s="10"/>
      <c r="E49" s="11" t="n">
        <f>4336</f>
        <v>4336.0</v>
      </c>
      <c r="F49" s="10"/>
      <c r="G49" s="11" t="n">
        <f>2913947400</f>
        <v>2.9139474E9</v>
      </c>
      <c r="H49" s="10"/>
      <c r="I49" s="11" t="str">
        <f>"－"</f>
        <v>－</v>
      </c>
      <c r="J49" s="10"/>
      <c r="K49" s="11" t="n">
        <f>12894</f>
        <v>12894.0</v>
      </c>
    </row>
    <row r="50">
      <c r="A50" s="8" t="s">
        <v>32</v>
      </c>
      <c r="B50" s="9" t="s">
        <v>52</v>
      </c>
      <c r="C50" s="9" t="s">
        <v>53</v>
      </c>
      <c r="D50" s="10"/>
      <c r="E50" s="11" t="n">
        <f>5425</f>
        <v>5425.0</v>
      </c>
      <c r="F50" s="10"/>
      <c r="G50" s="11" t="n">
        <f>3619965800</f>
        <v>3.6199658E9</v>
      </c>
      <c r="H50" s="10"/>
      <c r="I50" s="11" t="str">
        <f>"－"</f>
        <v>－</v>
      </c>
      <c r="J50" s="10"/>
      <c r="K50" s="11" t="n">
        <f>12994</f>
        <v>12994.0</v>
      </c>
    </row>
    <row r="51">
      <c r="A51" s="8" t="s">
        <v>33</v>
      </c>
      <c r="B51" s="9" t="s">
        <v>52</v>
      </c>
      <c r="C51" s="9" t="s">
        <v>53</v>
      </c>
      <c r="D51" s="10"/>
      <c r="E51" s="11"/>
      <c r="F51" s="10"/>
      <c r="G51" s="11"/>
      <c r="H51" s="10"/>
      <c r="I51" s="11"/>
      <c r="J51" s="10"/>
      <c r="K51" s="11"/>
    </row>
    <row r="52">
      <c r="A52" s="8" t="s">
        <v>34</v>
      </c>
      <c r="B52" s="9" t="s">
        <v>52</v>
      </c>
      <c r="C52" s="9" t="s">
        <v>53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35</v>
      </c>
      <c r="B53" s="9" t="s">
        <v>52</v>
      </c>
      <c r="C53" s="9" t="s">
        <v>53</v>
      </c>
      <c r="D53" s="10"/>
      <c r="E53" s="11" t="n">
        <f>4419</f>
        <v>4419.0</v>
      </c>
      <c r="F53" s="10"/>
      <c r="G53" s="11" t="n">
        <f>2944042900</f>
        <v>2.9440429E9</v>
      </c>
      <c r="H53" s="10"/>
      <c r="I53" s="11" t="str">
        <f>"－"</f>
        <v>－</v>
      </c>
      <c r="J53" s="10" t="s">
        <v>40</v>
      </c>
      <c r="K53" s="11" t="n">
        <f>13083</f>
        <v>13083.0</v>
      </c>
    </row>
    <row r="54">
      <c r="A54" s="8" t="s">
        <v>36</v>
      </c>
      <c r="B54" s="9" t="s">
        <v>52</v>
      </c>
      <c r="C54" s="9" t="s">
        <v>53</v>
      </c>
      <c r="D54" s="10" t="s">
        <v>37</v>
      </c>
      <c r="E54" s="11" t="n">
        <f>3351</f>
        <v>3351.0</v>
      </c>
      <c r="F54" s="10" t="s">
        <v>37</v>
      </c>
      <c r="G54" s="11" t="n">
        <f>2243073600</f>
        <v>2.2430736E9</v>
      </c>
      <c r="H54" s="10"/>
      <c r="I54" s="11" t="str">
        <f>"－"</f>
        <v>－</v>
      </c>
      <c r="J54" s="10"/>
      <c r="K54" s="11" t="n">
        <f>12980</f>
        <v>12980.0</v>
      </c>
    </row>
    <row r="55">
      <c r="A55" s="8" t="s">
        <v>38</v>
      </c>
      <c r="B55" s="9" t="s">
        <v>52</v>
      </c>
      <c r="C55" s="9" t="s">
        <v>53</v>
      </c>
      <c r="D55" s="10"/>
      <c r="E55" s="11" t="n">
        <f>7053</f>
        <v>7053.0</v>
      </c>
      <c r="F55" s="10"/>
      <c r="G55" s="11" t="n">
        <f>4702970600</f>
        <v>4.7029706E9</v>
      </c>
      <c r="H55" s="10"/>
      <c r="I55" s="11" t="str">
        <f>"－"</f>
        <v>－</v>
      </c>
      <c r="J55" s="10"/>
      <c r="K55" s="11" t="n">
        <f>12900</f>
        <v>12900.0</v>
      </c>
    </row>
    <row r="56">
      <c r="A56" s="8" t="s">
        <v>39</v>
      </c>
      <c r="B56" s="9" t="s">
        <v>52</v>
      </c>
      <c r="C56" s="9" t="s">
        <v>53</v>
      </c>
      <c r="D56" s="10"/>
      <c r="E56" s="11" t="n">
        <f>8182</f>
        <v>8182.0</v>
      </c>
      <c r="F56" s="10"/>
      <c r="G56" s="11" t="n">
        <f>5500305400</f>
        <v>5.5003054E9</v>
      </c>
      <c r="H56" s="10"/>
      <c r="I56" s="11" t="str">
        <f>"－"</f>
        <v>－</v>
      </c>
      <c r="J56" s="10"/>
      <c r="K56" s="11" t="n">
        <f>12764</f>
        <v>12764.0</v>
      </c>
    </row>
    <row r="57">
      <c r="A57" s="8" t="s">
        <v>41</v>
      </c>
      <c r="B57" s="9" t="s">
        <v>52</v>
      </c>
      <c r="C57" s="9" t="s">
        <v>53</v>
      </c>
      <c r="D57" s="10"/>
      <c r="E57" s="11" t="n">
        <f>7162</f>
        <v>7162.0</v>
      </c>
      <c r="F57" s="10"/>
      <c r="G57" s="11" t="n">
        <f>4824534900</f>
        <v>4.8245349E9</v>
      </c>
      <c r="H57" s="10"/>
      <c r="I57" s="11" t="str">
        <f>"－"</f>
        <v>－</v>
      </c>
      <c r="J57" s="10" t="s">
        <v>37</v>
      </c>
      <c r="K57" s="11" t="n">
        <f>12472</f>
        <v>12472.0</v>
      </c>
    </row>
    <row r="58">
      <c r="A58" s="8" t="s">
        <v>42</v>
      </c>
      <c r="B58" s="9" t="s">
        <v>52</v>
      </c>
      <c r="C58" s="9" t="s">
        <v>53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43</v>
      </c>
      <c r="B59" s="9" t="s">
        <v>52</v>
      </c>
      <c r="C59" s="9" t="s">
        <v>53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44</v>
      </c>
      <c r="B60" s="9" t="s">
        <v>52</v>
      </c>
      <c r="C60" s="9" t="s">
        <v>53</v>
      </c>
      <c r="D60" s="10"/>
      <c r="E60" s="11" t="n">
        <f>6068</f>
        <v>6068.0</v>
      </c>
      <c r="F60" s="10"/>
      <c r="G60" s="11" t="n">
        <f>4069223700</f>
        <v>4.0692237E9</v>
      </c>
      <c r="H60" s="10"/>
      <c r="I60" s="11" t="str">
        <f>"－"</f>
        <v>－</v>
      </c>
      <c r="J60" s="10"/>
      <c r="K60" s="11" t="n">
        <f>12486</f>
        <v>12486.0</v>
      </c>
    </row>
    <row r="61">
      <c r="A61" s="8" t="s">
        <v>45</v>
      </c>
      <c r="B61" s="9" t="s">
        <v>52</v>
      </c>
      <c r="C61" s="9" t="s">
        <v>53</v>
      </c>
      <c r="D61" s="10"/>
      <c r="E61" s="11" t="n">
        <f>6022</f>
        <v>6022.0</v>
      </c>
      <c r="F61" s="10"/>
      <c r="G61" s="11" t="n">
        <f>4048298900</f>
        <v>4.0482989E9</v>
      </c>
      <c r="H61" s="10"/>
      <c r="I61" s="11" t="str">
        <f>"－"</f>
        <v>－</v>
      </c>
      <c r="J61" s="10"/>
      <c r="K61" s="11" t="n">
        <f>12646</f>
        <v>12646.0</v>
      </c>
    </row>
    <row r="62">
      <c r="A62" s="8" t="s">
        <v>46</v>
      </c>
      <c r="B62" s="9" t="s">
        <v>52</v>
      </c>
      <c r="C62" s="9" t="s">
        <v>53</v>
      </c>
      <c r="D62" s="10"/>
      <c r="E62" s="11" t="n">
        <f>6426</f>
        <v>6426.0</v>
      </c>
      <c r="F62" s="10"/>
      <c r="G62" s="11" t="n">
        <f>4335831100</f>
        <v>4.3358311E9</v>
      </c>
      <c r="H62" s="10"/>
      <c r="I62" s="11" t="str">
        <f>"－"</f>
        <v>－</v>
      </c>
      <c r="J62" s="10"/>
      <c r="K62" s="11" t="n">
        <f>12500</f>
        <v>12500.0</v>
      </c>
    </row>
    <row r="63">
      <c r="A63" s="8" t="s">
        <v>47</v>
      </c>
      <c r="B63" s="9" t="s">
        <v>52</v>
      </c>
      <c r="C63" s="9" t="s">
        <v>53</v>
      </c>
      <c r="D63" s="10" t="s">
        <v>40</v>
      </c>
      <c r="E63" s="11" t="n">
        <f>9532</f>
        <v>9532.0</v>
      </c>
      <c r="F63" s="10" t="s">
        <v>40</v>
      </c>
      <c r="G63" s="11" t="n">
        <f>6404552000</f>
        <v>6.404552E9</v>
      </c>
      <c r="H63" s="10"/>
      <c r="I63" s="11" t="str">
        <f>"－"</f>
        <v>－</v>
      </c>
      <c r="J63" s="10"/>
      <c r="K63" s="11" t="n">
        <f>12639</f>
        <v>12639.0</v>
      </c>
    </row>
    <row r="64">
      <c r="A64" s="8" t="s">
        <v>48</v>
      </c>
      <c r="B64" s="9" t="s">
        <v>52</v>
      </c>
      <c r="C64" s="9" t="s">
        <v>53</v>
      </c>
      <c r="D64" s="10"/>
      <c r="E64" s="11" t="n">
        <f>7860</f>
        <v>7860.0</v>
      </c>
      <c r="F64" s="10"/>
      <c r="G64" s="11" t="n">
        <f>5247968000</f>
        <v>5.247968E9</v>
      </c>
      <c r="H64" s="10"/>
      <c r="I64" s="11" t="str">
        <f>"－"</f>
        <v>－</v>
      </c>
      <c r="J64" s="10"/>
      <c r="K64" s="11" t="n">
        <f>12849</f>
        <v>12849.0</v>
      </c>
    </row>
    <row r="65">
      <c r="A65" s="8" t="s">
        <v>49</v>
      </c>
      <c r="B65" s="9" t="s">
        <v>52</v>
      </c>
      <c r="C65" s="9" t="s">
        <v>53</v>
      </c>
      <c r="D65" s="10"/>
      <c r="E65" s="11"/>
      <c r="F65" s="10"/>
      <c r="G65" s="11"/>
      <c r="H65" s="10"/>
      <c r="I65" s="11"/>
      <c r="J65" s="10"/>
      <c r="K65" s="11"/>
    </row>
    <row r="66">
      <c r="A66" s="8" t="s">
        <v>50</v>
      </c>
      <c r="B66" s="9" t="s">
        <v>52</v>
      </c>
      <c r="C66" s="9" t="s">
        <v>53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51</v>
      </c>
      <c r="B67" s="9" t="s">
        <v>52</v>
      </c>
      <c r="C67" s="9" t="s">
        <v>53</v>
      </c>
      <c r="D67" s="10"/>
      <c r="E67" s="11" t="n">
        <f>8264</f>
        <v>8264.0</v>
      </c>
      <c r="F67" s="10"/>
      <c r="G67" s="11" t="n">
        <f>5479960600</f>
        <v>5.4799606E9</v>
      </c>
      <c r="H67" s="10"/>
      <c r="I67" s="11" t="str">
        <f>"－"</f>
        <v>－</v>
      </c>
      <c r="J67" s="10"/>
      <c r="K67" s="11" t="n">
        <f>13014</f>
        <v>13014.0</v>
      </c>
    </row>
    <row r="68">
      <c r="A68" s="8" t="s">
        <v>16</v>
      </c>
      <c r="B68" s="9" t="s">
        <v>54</v>
      </c>
      <c r="C68" s="9" t="s">
        <v>55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19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20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21</v>
      </c>
      <c r="B71" s="9" t="s">
        <v>54</v>
      </c>
      <c r="C71" s="9" t="s">
        <v>55</v>
      </c>
      <c r="D71" s="10"/>
      <c r="E71" s="11" t="n">
        <f>2773</f>
        <v>2773.0</v>
      </c>
      <c r="F71" s="10"/>
      <c r="G71" s="11" t="n">
        <f>1860147200</f>
        <v>1.8601472E9</v>
      </c>
      <c r="H71" s="10" t="s">
        <v>22</v>
      </c>
      <c r="I71" s="11" t="str">
        <f>"－"</f>
        <v>－</v>
      </c>
      <c r="J71" s="10"/>
      <c r="K71" s="11" t="n">
        <f>50246</f>
        <v>50246.0</v>
      </c>
    </row>
    <row r="72">
      <c r="A72" s="8" t="s">
        <v>23</v>
      </c>
      <c r="B72" s="9" t="s">
        <v>54</v>
      </c>
      <c r="C72" s="9" t="s">
        <v>55</v>
      </c>
      <c r="D72" s="10"/>
      <c r="E72" s="11" t="n">
        <f>3938</f>
        <v>3938.0</v>
      </c>
      <c r="F72" s="10"/>
      <c r="G72" s="11" t="n">
        <f>2661553200</f>
        <v>2.6615532E9</v>
      </c>
      <c r="H72" s="10"/>
      <c r="I72" s="11" t="str">
        <f>"－"</f>
        <v>－</v>
      </c>
      <c r="J72" s="10"/>
      <c r="K72" s="11" t="n">
        <f>50708</f>
        <v>50708.0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3628</f>
        <v>3628.0</v>
      </c>
      <c r="F73" s="10"/>
      <c r="G73" s="11" t="n">
        <f>2451314700</f>
        <v>2.4513147E9</v>
      </c>
      <c r="H73" s="10"/>
      <c r="I73" s="11" t="str">
        <f>"－"</f>
        <v>－</v>
      </c>
      <c r="J73" s="10"/>
      <c r="K73" s="11" t="n">
        <f>50452</f>
        <v>50452.0</v>
      </c>
    </row>
    <row r="74">
      <c r="A74" s="8" t="s">
        <v>25</v>
      </c>
      <c r="B74" s="9" t="s">
        <v>54</v>
      </c>
      <c r="C74" s="9" t="s">
        <v>55</v>
      </c>
      <c r="D74" s="10"/>
      <c r="E74" s="11" t="n">
        <f>5015</f>
        <v>5015.0</v>
      </c>
      <c r="F74" s="10"/>
      <c r="G74" s="11" t="n">
        <f>3356242300</f>
        <v>3.3562423E9</v>
      </c>
      <c r="H74" s="10"/>
      <c r="I74" s="11" t="str">
        <f>"－"</f>
        <v>－</v>
      </c>
      <c r="J74" s="10"/>
      <c r="K74" s="11" t="n">
        <f>50854</f>
        <v>50854.0</v>
      </c>
    </row>
    <row r="75">
      <c r="A75" s="8" t="s">
        <v>26</v>
      </c>
      <c r="B75" s="9" t="s">
        <v>54</v>
      </c>
      <c r="C75" s="9" t="s">
        <v>55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27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28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29</v>
      </c>
      <c r="B78" s="9" t="s">
        <v>54</v>
      </c>
      <c r="C78" s="9" t="s">
        <v>55</v>
      </c>
      <c r="D78" s="10"/>
      <c r="E78" s="11" t="n">
        <f>3364</f>
        <v>3364.0</v>
      </c>
      <c r="F78" s="10"/>
      <c r="G78" s="11" t="n">
        <f>2251319500</f>
        <v>2.2513195E9</v>
      </c>
      <c r="H78" s="10"/>
      <c r="I78" s="11" t="str">
        <f>"－"</f>
        <v>－</v>
      </c>
      <c r="J78" s="10"/>
      <c r="K78" s="11" t="n">
        <f>50537</f>
        <v>50537.0</v>
      </c>
    </row>
    <row r="79">
      <c r="A79" s="8" t="s">
        <v>30</v>
      </c>
      <c r="B79" s="9" t="s">
        <v>54</v>
      </c>
      <c r="C79" s="9" t="s">
        <v>55</v>
      </c>
      <c r="D79" s="10"/>
      <c r="E79" s="11" t="n">
        <f>4339</f>
        <v>4339.0</v>
      </c>
      <c r="F79" s="10"/>
      <c r="G79" s="11" t="n">
        <f>2925527000</f>
        <v>2.925527E9</v>
      </c>
      <c r="H79" s="10"/>
      <c r="I79" s="11" t="str">
        <f>"－"</f>
        <v>－</v>
      </c>
      <c r="J79" s="10"/>
      <c r="K79" s="11" t="n">
        <f>50408</f>
        <v>50408.0</v>
      </c>
    </row>
    <row r="80">
      <c r="A80" s="8" t="s">
        <v>31</v>
      </c>
      <c r="B80" s="9" t="s">
        <v>54</v>
      </c>
      <c r="C80" s="9" t="s">
        <v>55</v>
      </c>
      <c r="D80" s="10" t="s">
        <v>37</v>
      </c>
      <c r="E80" s="11" t="n">
        <f>1564</f>
        <v>1564.0</v>
      </c>
      <c r="F80" s="10" t="s">
        <v>37</v>
      </c>
      <c r="G80" s="11" t="n">
        <f>1054696700</f>
        <v>1.0546967E9</v>
      </c>
      <c r="H80" s="10"/>
      <c r="I80" s="11" t="str">
        <f>"－"</f>
        <v>－</v>
      </c>
      <c r="J80" s="10"/>
      <c r="K80" s="11" t="n">
        <f>50404</f>
        <v>50404.0</v>
      </c>
    </row>
    <row r="81">
      <c r="A81" s="8" t="s">
        <v>32</v>
      </c>
      <c r="B81" s="9" t="s">
        <v>54</v>
      </c>
      <c r="C81" s="9" t="s">
        <v>55</v>
      </c>
      <c r="D81" s="10"/>
      <c r="E81" s="11" t="n">
        <f>4170</f>
        <v>4170.0</v>
      </c>
      <c r="F81" s="10"/>
      <c r="G81" s="11" t="n">
        <f>2794874300</f>
        <v>2.7948743E9</v>
      </c>
      <c r="H81" s="10"/>
      <c r="I81" s="11" t="str">
        <f>"－"</f>
        <v>－</v>
      </c>
      <c r="J81" s="10"/>
      <c r="K81" s="11" t="n">
        <f>50695</f>
        <v>50695.0</v>
      </c>
    </row>
    <row r="82">
      <c r="A82" s="8" t="s">
        <v>33</v>
      </c>
      <c r="B82" s="9" t="s">
        <v>54</v>
      </c>
      <c r="C82" s="9" t="s">
        <v>55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34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35</v>
      </c>
      <c r="B84" s="9" t="s">
        <v>54</v>
      </c>
      <c r="C84" s="9" t="s">
        <v>55</v>
      </c>
      <c r="D84" s="10"/>
      <c r="E84" s="11" t="n">
        <f>2306</f>
        <v>2306.0</v>
      </c>
      <c r="F84" s="10"/>
      <c r="G84" s="11" t="n">
        <f>1545536000</f>
        <v>1.545536E9</v>
      </c>
      <c r="H84" s="10"/>
      <c r="I84" s="11" t="str">
        <f>"－"</f>
        <v>－</v>
      </c>
      <c r="J84" s="10"/>
      <c r="K84" s="11" t="n">
        <f>50433</f>
        <v>50433.0</v>
      </c>
    </row>
    <row r="85">
      <c r="A85" s="8" t="s">
        <v>36</v>
      </c>
      <c r="B85" s="9" t="s">
        <v>54</v>
      </c>
      <c r="C85" s="9" t="s">
        <v>55</v>
      </c>
      <c r="D85" s="10"/>
      <c r="E85" s="11" t="n">
        <f>1891</f>
        <v>1891.0</v>
      </c>
      <c r="F85" s="10"/>
      <c r="G85" s="11" t="n">
        <f>1272083500</f>
        <v>1.2720835E9</v>
      </c>
      <c r="H85" s="10"/>
      <c r="I85" s="11" t="str">
        <f>"－"</f>
        <v>－</v>
      </c>
      <c r="J85" s="10" t="s">
        <v>37</v>
      </c>
      <c r="K85" s="11" t="n">
        <f>50236</f>
        <v>50236.0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3136</f>
        <v>3136.0</v>
      </c>
      <c r="F86" s="10"/>
      <c r="G86" s="11" t="n">
        <f>2101100100</f>
        <v>2.1011001E9</v>
      </c>
      <c r="H86" s="10"/>
      <c r="I86" s="11" t="str">
        <f>"－"</f>
        <v>－</v>
      </c>
      <c r="J86" s="10"/>
      <c r="K86" s="11" t="n">
        <f>50551</f>
        <v>50551.0</v>
      </c>
    </row>
    <row r="87">
      <c r="A87" s="8" t="s">
        <v>39</v>
      </c>
      <c r="B87" s="9" t="s">
        <v>54</v>
      </c>
      <c r="C87" s="9" t="s">
        <v>55</v>
      </c>
      <c r="D87" s="10" t="s">
        <v>40</v>
      </c>
      <c r="E87" s="11" t="n">
        <f>6968</f>
        <v>6968.0</v>
      </c>
      <c r="F87" s="10" t="s">
        <v>40</v>
      </c>
      <c r="G87" s="11" t="n">
        <f>4702020600</f>
        <v>4.7020206E9</v>
      </c>
      <c r="H87" s="10"/>
      <c r="I87" s="11" t="str">
        <f>"－"</f>
        <v>－</v>
      </c>
      <c r="J87" s="10"/>
      <c r="K87" s="11" t="n">
        <f>50645</f>
        <v>50645.0</v>
      </c>
    </row>
    <row r="88">
      <c r="A88" s="8" t="s">
        <v>41</v>
      </c>
      <c r="B88" s="9" t="s">
        <v>54</v>
      </c>
      <c r="C88" s="9" t="s">
        <v>55</v>
      </c>
      <c r="D88" s="10"/>
      <c r="E88" s="11" t="n">
        <f>2752</f>
        <v>2752.0</v>
      </c>
      <c r="F88" s="10"/>
      <c r="G88" s="11" t="n">
        <f>1859171000</f>
        <v>1.859171E9</v>
      </c>
      <c r="H88" s="10"/>
      <c r="I88" s="11" t="str">
        <f>"－"</f>
        <v>－</v>
      </c>
      <c r="J88" s="10"/>
      <c r="K88" s="11" t="n">
        <f>51111</f>
        <v>51111.0</v>
      </c>
    </row>
    <row r="89">
      <c r="A89" s="8" t="s">
        <v>42</v>
      </c>
      <c r="B89" s="9" t="s">
        <v>54</v>
      </c>
      <c r="C89" s="9" t="s">
        <v>55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43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44</v>
      </c>
      <c r="B91" s="9" t="s">
        <v>54</v>
      </c>
      <c r="C91" s="9" t="s">
        <v>55</v>
      </c>
      <c r="D91" s="10"/>
      <c r="E91" s="11" t="n">
        <f>4410</f>
        <v>4410.0</v>
      </c>
      <c r="F91" s="10"/>
      <c r="G91" s="11" t="n">
        <f>2967505000</f>
        <v>2.967505E9</v>
      </c>
      <c r="H91" s="10"/>
      <c r="I91" s="11" t="str">
        <f>"－"</f>
        <v>－</v>
      </c>
      <c r="J91" s="10"/>
      <c r="K91" s="11" t="n">
        <f>50856</f>
        <v>50856.0</v>
      </c>
    </row>
    <row r="92">
      <c r="A92" s="8" t="s">
        <v>45</v>
      </c>
      <c r="B92" s="9" t="s">
        <v>54</v>
      </c>
      <c r="C92" s="9" t="s">
        <v>55</v>
      </c>
      <c r="D92" s="10"/>
      <c r="E92" s="11" t="n">
        <f>2385</f>
        <v>2385.0</v>
      </c>
      <c r="F92" s="10"/>
      <c r="G92" s="11" t="n">
        <f>1609333200</f>
        <v>1.6093332E9</v>
      </c>
      <c r="H92" s="10"/>
      <c r="I92" s="11" t="str">
        <f>"－"</f>
        <v>－</v>
      </c>
      <c r="J92" s="10"/>
      <c r="K92" s="11" t="n">
        <f>50914</f>
        <v>50914.0</v>
      </c>
    </row>
    <row r="93">
      <c r="A93" s="8" t="s">
        <v>46</v>
      </c>
      <c r="B93" s="9" t="s">
        <v>54</v>
      </c>
      <c r="C93" s="9" t="s">
        <v>55</v>
      </c>
      <c r="D93" s="10"/>
      <c r="E93" s="11" t="n">
        <f>2814</f>
        <v>2814.0</v>
      </c>
      <c r="F93" s="10"/>
      <c r="G93" s="11" t="n">
        <f>1906162900</f>
        <v>1.9061629E9</v>
      </c>
      <c r="H93" s="10"/>
      <c r="I93" s="11" t="str">
        <f>"－"</f>
        <v>－</v>
      </c>
      <c r="J93" s="10"/>
      <c r="K93" s="11" t="n">
        <f>50972</f>
        <v>50972.0</v>
      </c>
    </row>
    <row r="94">
      <c r="A94" s="8" t="s">
        <v>47</v>
      </c>
      <c r="B94" s="9" t="s">
        <v>54</v>
      </c>
      <c r="C94" s="9" t="s">
        <v>55</v>
      </c>
      <c r="D94" s="10"/>
      <c r="E94" s="11" t="n">
        <f>4953</f>
        <v>4953.0</v>
      </c>
      <c r="F94" s="10"/>
      <c r="G94" s="11" t="n">
        <f>3335175800</f>
        <v>3.3351758E9</v>
      </c>
      <c r="H94" s="10"/>
      <c r="I94" s="11" t="str">
        <f>"－"</f>
        <v>－</v>
      </c>
      <c r="J94" s="10"/>
      <c r="K94" s="11" t="n">
        <f>51114</f>
        <v>51114.0</v>
      </c>
    </row>
    <row r="95">
      <c r="A95" s="8" t="s">
        <v>48</v>
      </c>
      <c r="B95" s="9" t="s">
        <v>54</v>
      </c>
      <c r="C95" s="9" t="s">
        <v>55</v>
      </c>
      <c r="D95" s="10"/>
      <c r="E95" s="11" t="n">
        <f>4643</f>
        <v>4643.0</v>
      </c>
      <c r="F95" s="10"/>
      <c r="G95" s="11" t="n">
        <f>3115602100</f>
        <v>3.1156021E9</v>
      </c>
      <c r="H95" s="10"/>
      <c r="I95" s="11" t="str">
        <f>"－"</f>
        <v>－</v>
      </c>
      <c r="J95" s="10"/>
      <c r="K95" s="11" t="n">
        <f>51403</f>
        <v>51403.0</v>
      </c>
    </row>
    <row r="96">
      <c r="A96" s="8" t="s">
        <v>49</v>
      </c>
      <c r="B96" s="9" t="s">
        <v>54</v>
      </c>
      <c r="C96" s="9" t="s">
        <v>55</v>
      </c>
      <c r="D96" s="10"/>
      <c r="E96" s="11"/>
      <c r="F96" s="10"/>
      <c r="G96" s="11"/>
      <c r="H96" s="10"/>
      <c r="I96" s="11"/>
      <c r="J96" s="10"/>
      <c r="K96" s="11"/>
    </row>
    <row r="97">
      <c r="A97" s="8" t="s">
        <v>50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51</v>
      </c>
      <c r="B98" s="9" t="s">
        <v>54</v>
      </c>
      <c r="C98" s="9" t="s">
        <v>55</v>
      </c>
      <c r="D98" s="10"/>
      <c r="E98" s="11" t="n">
        <f>3754</f>
        <v>3754.0</v>
      </c>
      <c r="F98" s="10"/>
      <c r="G98" s="11" t="n">
        <f>2502224200</f>
        <v>2.5022242E9</v>
      </c>
      <c r="H98" s="10"/>
      <c r="I98" s="11" t="str">
        <f>"－"</f>
        <v>－</v>
      </c>
      <c r="J98" s="10" t="s">
        <v>40</v>
      </c>
      <c r="K98" s="11" t="n">
        <f>51636</f>
        <v>51636.0</v>
      </c>
    </row>
    <row r="99">
      <c r="A99" s="8" t="s">
        <v>16</v>
      </c>
      <c r="B99" s="9" t="s">
        <v>56</v>
      </c>
      <c r="C99" s="9" t="s">
        <v>57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19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20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21</v>
      </c>
      <c r="B102" s="9" t="s">
        <v>56</v>
      </c>
      <c r="C102" s="9" t="s">
        <v>57</v>
      </c>
      <c r="D102" s="10"/>
      <c r="E102" s="11" t="n">
        <f>266</f>
        <v>266.0</v>
      </c>
      <c r="F102" s="10"/>
      <c r="G102" s="11" t="n">
        <f>226438000</f>
        <v>2.26438E8</v>
      </c>
      <c r="H102" s="10" t="s">
        <v>22</v>
      </c>
      <c r="I102" s="11" t="str">
        <f>"－"</f>
        <v>－</v>
      </c>
      <c r="J102" s="10" t="s">
        <v>40</v>
      </c>
      <c r="K102" s="11" t="n">
        <f>1888</f>
        <v>1888.0</v>
      </c>
    </row>
    <row r="103">
      <c r="A103" s="8" t="s">
        <v>23</v>
      </c>
      <c r="B103" s="9" t="s">
        <v>56</v>
      </c>
      <c r="C103" s="9" t="s">
        <v>57</v>
      </c>
      <c r="D103" s="10"/>
      <c r="E103" s="11" t="n">
        <f>192</f>
        <v>192.0</v>
      </c>
      <c r="F103" s="10"/>
      <c r="G103" s="11" t="n">
        <f>164517000</f>
        <v>1.64517E8</v>
      </c>
      <c r="H103" s="10"/>
      <c r="I103" s="11" t="str">
        <f>"－"</f>
        <v>－</v>
      </c>
      <c r="J103" s="10"/>
      <c r="K103" s="11" t="n">
        <f>1878</f>
        <v>1878.0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197</f>
        <v>197.0</v>
      </c>
      <c r="F104" s="10"/>
      <c r="G104" s="11" t="n">
        <f>167026000</f>
        <v>1.67026E8</v>
      </c>
      <c r="H104" s="10"/>
      <c r="I104" s="11" t="str">
        <f>"－"</f>
        <v>－</v>
      </c>
      <c r="J104" s="10"/>
      <c r="K104" s="11" t="n">
        <f>1858</f>
        <v>1858.0</v>
      </c>
    </row>
    <row r="105">
      <c r="A105" s="8" t="s">
        <v>25</v>
      </c>
      <c r="B105" s="9" t="s">
        <v>56</v>
      </c>
      <c r="C105" s="9" t="s">
        <v>57</v>
      </c>
      <c r="D105" s="10"/>
      <c r="E105" s="11" t="n">
        <f>238</f>
        <v>238.0</v>
      </c>
      <c r="F105" s="10"/>
      <c r="G105" s="11" t="n">
        <f>197844000</f>
        <v>1.97844E8</v>
      </c>
      <c r="H105" s="10"/>
      <c r="I105" s="11" t="str">
        <f>"－"</f>
        <v>－</v>
      </c>
      <c r="J105" s="10"/>
      <c r="K105" s="11" t="n">
        <f>1868</f>
        <v>1868.0</v>
      </c>
    </row>
    <row r="106">
      <c r="A106" s="8" t="s">
        <v>26</v>
      </c>
      <c r="B106" s="9" t="s">
        <v>56</v>
      </c>
      <c r="C106" s="9" t="s">
        <v>57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27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28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29</v>
      </c>
      <c r="B109" s="9" t="s">
        <v>56</v>
      </c>
      <c r="C109" s="9" t="s">
        <v>57</v>
      </c>
      <c r="D109" s="10"/>
      <c r="E109" s="11" t="n">
        <f>118</f>
        <v>118.0</v>
      </c>
      <c r="F109" s="10"/>
      <c r="G109" s="11" t="n">
        <f>97921000</f>
        <v>9.7921E7</v>
      </c>
      <c r="H109" s="10"/>
      <c r="I109" s="11" t="str">
        <f>"－"</f>
        <v>－</v>
      </c>
      <c r="J109" s="10"/>
      <c r="K109" s="11" t="n">
        <f>1833</f>
        <v>1833.0</v>
      </c>
    </row>
    <row r="110">
      <c r="A110" s="8" t="s">
        <v>30</v>
      </c>
      <c r="B110" s="9" t="s">
        <v>56</v>
      </c>
      <c r="C110" s="9" t="s">
        <v>57</v>
      </c>
      <c r="D110" s="10"/>
      <c r="E110" s="11" t="n">
        <f>237</f>
        <v>237.0</v>
      </c>
      <c r="F110" s="10"/>
      <c r="G110" s="11" t="n">
        <f>199762000</f>
        <v>1.99762E8</v>
      </c>
      <c r="H110" s="10"/>
      <c r="I110" s="11" t="str">
        <f>"－"</f>
        <v>－</v>
      </c>
      <c r="J110" s="10"/>
      <c r="K110" s="11" t="n">
        <f>1833</f>
        <v>1833.0</v>
      </c>
    </row>
    <row r="111">
      <c r="A111" s="8" t="s">
        <v>31</v>
      </c>
      <c r="B111" s="9" t="s">
        <v>56</v>
      </c>
      <c r="C111" s="9" t="s">
        <v>57</v>
      </c>
      <c r="D111" s="10"/>
      <c r="E111" s="11" t="n">
        <f>99</f>
        <v>99.0</v>
      </c>
      <c r="F111" s="10"/>
      <c r="G111" s="11" t="n">
        <f>83818000</f>
        <v>8.3818E7</v>
      </c>
      <c r="H111" s="10"/>
      <c r="I111" s="11" t="str">
        <f>"－"</f>
        <v>－</v>
      </c>
      <c r="J111" s="10"/>
      <c r="K111" s="11" t="n">
        <f>1813</f>
        <v>1813.0</v>
      </c>
    </row>
    <row r="112">
      <c r="A112" s="8" t="s">
        <v>32</v>
      </c>
      <c r="B112" s="9" t="s">
        <v>56</v>
      </c>
      <c r="C112" s="9" t="s">
        <v>57</v>
      </c>
      <c r="D112" s="10"/>
      <c r="E112" s="11" t="n">
        <f>104</f>
        <v>104.0</v>
      </c>
      <c r="F112" s="10"/>
      <c r="G112" s="11" t="n">
        <f>87772000</f>
        <v>8.7772E7</v>
      </c>
      <c r="H112" s="10"/>
      <c r="I112" s="11" t="str">
        <f>"－"</f>
        <v>－</v>
      </c>
      <c r="J112" s="10"/>
      <c r="K112" s="11" t="n">
        <f>1799</f>
        <v>1799.0</v>
      </c>
    </row>
    <row r="113">
      <c r="A113" s="8" t="s">
        <v>33</v>
      </c>
      <c r="B113" s="9" t="s">
        <v>56</v>
      </c>
      <c r="C113" s="9" t="s">
        <v>57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34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35</v>
      </c>
      <c r="B115" s="9" t="s">
        <v>56</v>
      </c>
      <c r="C115" s="9" t="s">
        <v>57</v>
      </c>
      <c r="D115" s="10" t="s">
        <v>37</v>
      </c>
      <c r="E115" s="11" t="n">
        <f>59</f>
        <v>59.0</v>
      </c>
      <c r="F115" s="10" t="s">
        <v>37</v>
      </c>
      <c r="G115" s="11" t="n">
        <f>49637000</f>
        <v>4.9637E7</v>
      </c>
      <c r="H115" s="10"/>
      <c r="I115" s="11" t="str">
        <f>"－"</f>
        <v>－</v>
      </c>
      <c r="J115" s="10"/>
      <c r="K115" s="11" t="n">
        <f>1803</f>
        <v>1803.0</v>
      </c>
    </row>
    <row r="116">
      <c r="A116" s="8" t="s">
        <v>36</v>
      </c>
      <c r="B116" s="9" t="s">
        <v>56</v>
      </c>
      <c r="C116" s="9" t="s">
        <v>57</v>
      </c>
      <c r="D116" s="10"/>
      <c r="E116" s="11" t="n">
        <f>182</f>
        <v>182.0</v>
      </c>
      <c r="F116" s="10"/>
      <c r="G116" s="11" t="n">
        <f>153929000</f>
        <v>1.53929E8</v>
      </c>
      <c r="H116" s="10"/>
      <c r="I116" s="11" t="str">
        <f>"－"</f>
        <v>－</v>
      </c>
      <c r="J116" s="10"/>
      <c r="K116" s="11" t="n">
        <f>1779</f>
        <v>1779.0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252</f>
        <v>252.0</v>
      </c>
      <c r="F117" s="10"/>
      <c r="G117" s="11" t="n">
        <f>215981000</f>
        <v>2.15981E8</v>
      </c>
      <c r="H117" s="10"/>
      <c r="I117" s="11" t="str">
        <f>"－"</f>
        <v>－</v>
      </c>
      <c r="J117" s="10"/>
      <c r="K117" s="11" t="n">
        <f>1721</f>
        <v>1721.0</v>
      </c>
    </row>
    <row r="118">
      <c r="A118" s="8" t="s">
        <v>39</v>
      </c>
      <c r="B118" s="9" t="s">
        <v>56</v>
      </c>
      <c r="C118" s="9" t="s">
        <v>57</v>
      </c>
      <c r="D118" s="10" t="s">
        <v>40</v>
      </c>
      <c r="E118" s="11" t="n">
        <f>636</f>
        <v>636.0</v>
      </c>
      <c r="F118" s="10" t="s">
        <v>40</v>
      </c>
      <c r="G118" s="11" t="n">
        <f>557672000</f>
        <v>5.57672E8</v>
      </c>
      <c r="H118" s="10"/>
      <c r="I118" s="11" t="str">
        <f>"－"</f>
        <v>－</v>
      </c>
      <c r="J118" s="10"/>
      <c r="K118" s="11" t="n">
        <f>1594</f>
        <v>1594.0</v>
      </c>
    </row>
    <row r="119">
      <c r="A119" s="8" t="s">
        <v>41</v>
      </c>
      <c r="B119" s="9" t="s">
        <v>56</v>
      </c>
      <c r="C119" s="9" t="s">
        <v>57</v>
      </c>
      <c r="D119" s="10"/>
      <c r="E119" s="11" t="n">
        <f>226</f>
        <v>226.0</v>
      </c>
      <c r="F119" s="10"/>
      <c r="G119" s="11" t="n">
        <f>200376000</f>
        <v>2.00376E8</v>
      </c>
      <c r="H119" s="10"/>
      <c r="I119" s="11" t="str">
        <f>"－"</f>
        <v>－</v>
      </c>
      <c r="J119" s="10"/>
      <c r="K119" s="11" t="n">
        <f>1572</f>
        <v>1572.0</v>
      </c>
    </row>
    <row r="120">
      <c r="A120" s="8" t="s">
        <v>42</v>
      </c>
      <c r="B120" s="9" t="s">
        <v>56</v>
      </c>
      <c r="C120" s="9" t="s">
        <v>57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43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44</v>
      </c>
      <c r="B122" s="9" t="s">
        <v>56</v>
      </c>
      <c r="C122" s="9" t="s">
        <v>57</v>
      </c>
      <c r="D122" s="10"/>
      <c r="E122" s="11" t="n">
        <f>263</f>
        <v>263.0</v>
      </c>
      <c r="F122" s="10"/>
      <c r="G122" s="11" t="n">
        <f>231801000</f>
        <v>2.31801E8</v>
      </c>
      <c r="H122" s="10"/>
      <c r="I122" s="11" t="str">
        <f>"－"</f>
        <v>－</v>
      </c>
      <c r="J122" s="10" t="s">
        <v>37</v>
      </c>
      <c r="K122" s="11" t="n">
        <f>1533</f>
        <v>1533.0</v>
      </c>
    </row>
    <row r="123">
      <c r="A123" s="8" t="s">
        <v>45</v>
      </c>
      <c r="B123" s="9" t="s">
        <v>56</v>
      </c>
      <c r="C123" s="9" t="s">
        <v>57</v>
      </c>
      <c r="D123" s="10"/>
      <c r="E123" s="11" t="n">
        <f>234</f>
        <v>234.0</v>
      </c>
      <c r="F123" s="10"/>
      <c r="G123" s="11" t="n">
        <f>203540000</f>
        <v>2.0354E8</v>
      </c>
      <c r="H123" s="10"/>
      <c r="I123" s="11" t="str">
        <f>"－"</f>
        <v>－</v>
      </c>
      <c r="J123" s="10"/>
      <c r="K123" s="11" t="n">
        <f>1567</f>
        <v>1567.0</v>
      </c>
    </row>
    <row r="124">
      <c r="A124" s="8" t="s">
        <v>46</v>
      </c>
      <c r="B124" s="9" t="s">
        <v>56</v>
      </c>
      <c r="C124" s="9" t="s">
        <v>57</v>
      </c>
      <c r="D124" s="10"/>
      <c r="E124" s="11" t="n">
        <f>279</f>
        <v>279.0</v>
      </c>
      <c r="F124" s="10"/>
      <c r="G124" s="11" t="n">
        <f>243030000</f>
        <v>2.4303E8</v>
      </c>
      <c r="H124" s="10"/>
      <c r="I124" s="11" t="str">
        <f>"－"</f>
        <v>－</v>
      </c>
      <c r="J124" s="10"/>
      <c r="K124" s="11" t="n">
        <f>1667</f>
        <v>1667.0</v>
      </c>
    </row>
    <row r="125">
      <c r="A125" s="8" t="s">
        <v>47</v>
      </c>
      <c r="B125" s="9" t="s">
        <v>56</v>
      </c>
      <c r="C125" s="9" t="s">
        <v>57</v>
      </c>
      <c r="D125" s="10"/>
      <c r="E125" s="11" t="n">
        <f>160</f>
        <v>160.0</v>
      </c>
      <c r="F125" s="10"/>
      <c r="G125" s="11" t="n">
        <f>138480000</f>
        <v>1.3848E8</v>
      </c>
      <c r="H125" s="10"/>
      <c r="I125" s="11" t="str">
        <f>"－"</f>
        <v>－</v>
      </c>
      <c r="J125" s="10"/>
      <c r="K125" s="11" t="n">
        <f>1663</f>
        <v>1663.0</v>
      </c>
    </row>
    <row r="126">
      <c r="A126" s="8" t="s">
        <v>48</v>
      </c>
      <c r="B126" s="9" t="s">
        <v>56</v>
      </c>
      <c r="C126" s="9" t="s">
        <v>57</v>
      </c>
      <c r="D126" s="10"/>
      <c r="E126" s="11" t="n">
        <f>164</f>
        <v>164.0</v>
      </c>
      <c r="F126" s="10"/>
      <c r="G126" s="11" t="n">
        <f>139022000</f>
        <v>1.39022E8</v>
      </c>
      <c r="H126" s="10"/>
      <c r="I126" s="11" t="str">
        <f>"－"</f>
        <v>－</v>
      </c>
      <c r="J126" s="10"/>
      <c r="K126" s="11" t="n">
        <f>1683</f>
        <v>1683.0</v>
      </c>
    </row>
    <row r="127">
      <c r="A127" s="8" t="s">
        <v>49</v>
      </c>
      <c r="B127" s="9" t="s">
        <v>56</v>
      </c>
      <c r="C127" s="9" t="s">
        <v>57</v>
      </c>
      <c r="D127" s="10"/>
      <c r="E127" s="11"/>
      <c r="F127" s="10"/>
      <c r="G127" s="11"/>
      <c r="H127" s="10"/>
      <c r="I127" s="11"/>
      <c r="J127" s="10"/>
      <c r="K127" s="11"/>
    </row>
    <row r="128">
      <c r="A128" s="8" t="s">
        <v>50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51</v>
      </c>
      <c r="B129" s="9" t="s">
        <v>56</v>
      </c>
      <c r="C129" s="9" t="s">
        <v>57</v>
      </c>
      <c r="D129" s="10"/>
      <c r="E129" s="11" t="n">
        <f>164</f>
        <v>164.0</v>
      </c>
      <c r="F129" s="10"/>
      <c r="G129" s="11" t="n">
        <f>136724000</f>
        <v>1.36724E8</v>
      </c>
      <c r="H129" s="10"/>
      <c r="I129" s="11" t="str">
        <f>"－"</f>
        <v>－</v>
      </c>
      <c r="J129" s="10"/>
      <c r="K129" s="11" t="n">
        <f>1721</f>
        <v>1721.0</v>
      </c>
    </row>
    <row r="130">
      <c r="A130" s="8" t="s">
        <v>16</v>
      </c>
      <c r="B130" s="9" t="s">
        <v>58</v>
      </c>
      <c r="C130" s="9" t="s">
        <v>59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19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20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21</v>
      </c>
      <c r="B133" s="9" t="s">
        <v>58</v>
      </c>
      <c r="C133" s="9" t="s">
        <v>59</v>
      </c>
      <c r="D133" s="10"/>
      <c r="E133" s="11" t="n">
        <f>6211</f>
        <v>6211.0</v>
      </c>
      <c r="F133" s="10"/>
      <c r="G133" s="11" t="n">
        <f>11052535000</f>
        <v>1.1052535E10</v>
      </c>
      <c r="H133" s="10" t="s">
        <v>37</v>
      </c>
      <c r="I133" s="11" t="str">
        <f>"－"</f>
        <v>－</v>
      </c>
      <c r="J133" s="10"/>
      <c r="K133" s="11" t="n">
        <f>37008</f>
        <v>37008.0</v>
      </c>
    </row>
    <row r="134">
      <c r="A134" s="8" t="s">
        <v>23</v>
      </c>
      <c r="B134" s="9" t="s">
        <v>58</v>
      </c>
      <c r="C134" s="9" t="s">
        <v>59</v>
      </c>
      <c r="D134" s="10"/>
      <c r="E134" s="11" t="n">
        <f>8208</f>
        <v>8208.0</v>
      </c>
      <c r="F134" s="10"/>
      <c r="G134" s="11" t="n">
        <f>14832976500</f>
        <v>1.48329765E10</v>
      </c>
      <c r="H134" s="10"/>
      <c r="I134" s="11" t="str">
        <f>"－"</f>
        <v>－</v>
      </c>
      <c r="J134" s="10"/>
      <c r="K134" s="11" t="n">
        <f>36808</f>
        <v>36808.0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12938</f>
        <v>12938.0</v>
      </c>
      <c r="F135" s="10"/>
      <c r="G135" s="11" t="n">
        <f>23644920500</f>
        <v>2.36449205E10</v>
      </c>
      <c r="H135" s="10"/>
      <c r="I135" s="11" t="str">
        <f>"－"</f>
        <v>－</v>
      </c>
      <c r="J135" s="10"/>
      <c r="K135" s="11" t="n">
        <f>35406</f>
        <v>35406.0</v>
      </c>
    </row>
    <row r="136">
      <c r="A136" s="8" t="s">
        <v>25</v>
      </c>
      <c r="B136" s="9" t="s">
        <v>58</v>
      </c>
      <c r="C136" s="9" t="s">
        <v>59</v>
      </c>
      <c r="D136" s="10"/>
      <c r="E136" s="11" t="n">
        <f>9800</f>
        <v>9800.0</v>
      </c>
      <c r="F136" s="10"/>
      <c r="G136" s="11" t="n">
        <f>17579474500</f>
        <v>1.75794745E10</v>
      </c>
      <c r="H136" s="10"/>
      <c r="I136" s="11" t="str">
        <f>"－"</f>
        <v>－</v>
      </c>
      <c r="J136" s="10"/>
      <c r="K136" s="11" t="n">
        <f>35786</f>
        <v>35786.0</v>
      </c>
    </row>
    <row r="137">
      <c r="A137" s="8" t="s">
        <v>26</v>
      </c>
      <c r="B137" s="9" t="s">
        <v>58</v>
      </c>
      <c r="C137" s="9" t="s">
        <v>59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27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28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29</v>
      </c>
      <c r="B140" s="9" t="s">
        <v>58</v>
      </c>
      <c r="C140" s="9" t="s">
        <v>59</v>
      </c>
      <c r="D140" s="10"/>
      <c r="E140" s="11" t="n">
        <f>10540</f>
        <v>10540.0</v>
      </c>
      <c r="F140" s="10"/>
      <c r="G140" s="11" t="n">
        <f>18649851000</f>
        <v>1.8649851E10</v>
      </c>
      <c r="H140" s="10"/>
      <c r="I140" s="11" t="str">
        <f>"－"</f>
        <v>－</v>
      </c>
      <c r="J140" s="10"/>
      <c r="K140" s="11" t="n">
        <f>36977</f>
        <v>36977.0</v>
      </c>
    </row>
    <row r="141">
      <c r="A141" s="8" t="s">
        <v>30</v>
      </c>
      <c r="B141" s="9" t="s">
        <v>58</v>
      </c>
      <c r="C141" s="9" t="s">
        <v>59</v>
      </c>
      <c r="D141" s="10"/>
      <c r="E141" s="11" t="n">
        <f>8102</f>
        <v>8102.0</v>
      </c>
      <c r="F141" s="10"/>
      <c r="G141" s="11" t="n">
        <f>14372347500</f>
        <v>1.43723475E10</v>
      </c>
      <c r="H141" s="10"/>
      <c r="I141" s="11" t="str">
        <f>"－"</f>
        <v>－</v>
      </c>
      <c r="J141" s="10"/>
      <c r="K141" s="11" t="n">
        <f>37080</f>
        <v>37080.0</v>
      </c>
    </row>
    <row r="142">
      <c r="A142" s="8" t="s">
        <v>31</v>
      </c>
      <c r="B142" s="9" t="s">
        <v>58</v>
      </c>
      <c r="C142" s="9" t="s">
        <v>59</v>
      </c>
      <c r="D142" s="10"/>
      <c r="E142" s="11" t="n">
        <f>5227</f>
        <v>5227.0</v>
      </c>
      <c r="F142" s="10"/>
      <c r="G142" s="11" t="n">
        <f>9383680500</f>
        <v>9.3836805E9</v>
      </c>
      <c r="H142" s="10" t="s">
        <v>40</v>
      </c>
      <c r="I142" s="11" t="n">
        <f>1</f>
        <v>1.0</v>
      </c>
      <c r="J142" s="10"/>
      <c r="K142" s="11" t="n">
        <f>36717</f>
        <v>36717.0</v>
      </c>
    </row>
    <row r="143">
      <c r="A143" s="8" t="s">
        <v>32</v>
      </c>
      <c r="B143" s="9" t="s">
        <v>58</v>
      </c>
      <c r="C143" s="9" t="s">
        <v>59</v>
      </c>
      <c r="D143" s="10"/>
      <c r="E143" s="11" t="n">
        <f>6246</f>
        <v>6246.0</v>
      </c>
      <c r="F143" s="10"/>
      <c r="G143" s="11" t="n">
        <f>11105032500</f>
        <v>1.11050325E10</v>
      </c>
      <c r="H143" s="10"/>
      <c r="I143" s="11" t="str">
        <f>"－"</f>
        <v>－</v>
      </c>
      <c r="J143" s="10"/>
      <c r="K143" s="11" t="n">
        <f>37220</f>
        <v>37220.0</v>
      </c>
    </row>
    <row r="144">
      <c r="A144" s="8" t="s">
        <v>33</v>
      </c>
      <c r="B144" s="9" t="s">
        <v>58</v>
      </c>
      <c r="C144" s="9" t="s">
        <v>59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34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35</v>
      </c>
      <c r="B146" s="9" t="s">
        <v>58</v>
      </c>
      <c r="C146" s="9" t="s">
        <v>59</v>
      </c>
      <c r="D146" s="10"/>
      <c r="E146" s="11" t="n">
        <f>4995</f>
        <v>4995.0</v>
      </c>
      <c r="F146" s="10"/>
      <c r="G146" s="11" t="n">
        <f>8895120500</f>
        <v>8.8951205E9</v>
      </c>
      <c r="H146" s="10"/>
      <c r="I146" s="11" t="str">
        <f>"－"</f>
        <v>－</v>
      </c>
      <c r="J146" s="10" t="s">
        <v>40</v>
      </c>
      <c r="K146" s="11" t="n">
        <f>37262</f>
        <v>37262.0</v>
      </c>
    </row>
    <row r="147">
      <c r="A147" s="8" t="s">
        <v>36</v>
      </c>
      <c r="B147" s="9" t="s">
        <v>58</v>
      </c>
      <c r="C147" s="9" t="s">
        <v>59</v>
      </c>
      <c r="D147" s="10" t="s">
        <v>37</v>
      </c>
      <c r="E147" s="11" t="n">
        <f>4490</f>
        <v>4490.0</v>
      </c>
      <c r="F147" s="10" t="s">
        <v>37</v>
      </c>
      <c r="G147" s="11" t="n">
        <f>8023979500</f>
        <v>8.0239795E9</v>
      </c>
      <c r="H147" s="10"/>
      <c r="I147" s="11" t="str">
        <f>"－"</f>
        <v>－</v>
      </c>
      <c r="J147" s="10"/>
      <c r="K147" s="11" t="n">
        <f>37037</f>
        <v>37037.0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8927</f>
        <v>8927.0</v>
      </c>
      <c r="F148" s="10"/>
      <c r="G148" s="11" t="n">
        <f>15982011500</f>
        <v>1.59820115E10</v>
      </c>
      <c r="H148" s="10"/>
      <c r="I148" s="11" t="str">
        <f>"－"</f>
        <v>－</v>
      </c>
      <c r="J148" s="10"/>
      <c r="K148" s="11" t="n">
        <f>36231</f>
        <v>36231.0</v>
      </c>
    </row>
    <row r="149">
      <c r="A149" s="8" t="s">
        <v>39</v>
      </c>
      <c r="B149" s="9" t="s">
        <v>58</v>
      </c>
      <c r="C149" s="9" t="s">
        <v>59</v>
      </c>
      <c r="D149" s="10" t="s">
        <v>40</v>
      </c>
      <c r="E149" s="11" t="n">
        <f>20079</f>
        <v>20079.0</v>
      </c>
      <c r="F149" s="10" t="s">
        <v>40</v>
      </c>
      <c r="G149" s="11" t="n">
        <f>37180020000</f>
        <v>3.718002E10</v>
      </c>
      <c r="H149" s="10"/>
      <c r="I149" s="11" t="str">
        <f>"－"</f>
        <v>－</v>
      </c>
      <c r="J149" s="10"/>
      <c r="K149" s="11" t="n">
        <f>34442</f>
        <v>34442.0</v>
      </c>
    </row>
    <row r="150">
      <c r="A150" s="8" t="s">
        <v>41</v>
      </c>
      <c r="B150" s="9" t="s">
        <v>58</v>
      </c>
      <c r="C150" s="9" t="s">
        <v>59</v>
      </c>
      <c r="D150" s="10"/>
      <c r="E150" s="11" t="n">
        <f>16342</f>
        <v>16342.0</v>
      </c>
      <c r="F150" s="10"/>
      <c r="G150" s="11" t="n">
        <f>30831054500</f>
        <v>3.08310545E10</v>
      </c>
      <c r="H150" s="10"/>
      <c r="I150" s="11" t="str">
        <f>"－"</f>
        <v>－</v>
      </c>
      <c r="J150" s="10"/>
      <c r="K150" s="11" t="n">
        <f>33892</f>
        <v>33892.0</v>
      </c>
    </row>
    <row r="151">
      <c r="A151" s="8" t="s">
        <v>42</v>
      </c>
      <c r="B151" s="9" t="s">
        <v>58</v>
      </c>
      <c r="C151" s="9" t="s">
        <v>59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43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44</v>
      </c>
      <c r="B153" s="9" t="s">
        <v>58</v>
      </c>
      <c r="C153" s="9" t="s">
        <v>59</v>
      </c>
      <c r="D153" s="10"/>
      <c r="E153" s="11" t="n">
        <f>8431</f>
        <v>8431.0</v>
      </c>
      <c r="F153" s="10"/>
      <c r="G153" s="11" t="n">
        <f>15873597000</f>
        <v>1.5873597E10</v>
      </c>
      <c r="H153" s="10"/>
      <c r="I153" s="11" t="str">
        <f>"－"</f>
        <v>－</v>
      </c>
      <c r="J153" s="10"/>
      <c r="K153" s="11" t="n">
        <f>33756</f>
        <v>33756.0</v>
      </c>
    </row>
    <row r="154">
      <c r="A154" s="8" t="s">
        <v>45</v>
      </c>
      <c r="B154" s="9" t="s">
        <v>58</v>
      </c>
      <c r="C154" s="9" t="s">
        <v>59</v>
      </c>
      <c r="D154" s="10"/>
      <c r="E154" s="11" t="n">
        <f>12094</f>
        <v>12094.0</v>
      </c>
      <c r="F154" s="10"/>
      <c r="G154" s="11" t="n">
        <f>22446893000</f>
        <v>2.2446893E10</v>
      </c>
      <c r="H154" s="10"/>
      <c r="I154" s="11" t="str">
        <f>"－"</f>
        <v>－</v>
      </c>
      <c r="J154" s="10"/>
      <c r="K154" s="11" t="n">
        <f>33672</f>
        <v>33672.0</v>
      </c>
    </row>
    <row r="155">
      <c r="A155" s="8" t="s">
        <v>46</v>
      </c>
      <c r="B155" s="9" t="s">
        <v>58</v>
      </c>
      <c r="C155" s="9" t="s">
        <v>59</v>
      </c>
      <c r="D155" s="10"/>
      <c r="E155" s="11" t="n">
        <f>8820</f>
        <v>8820.0</v>
      </c>
      <c r="F155" s="10"/>
      <c r="G155" s="11" t="n">
        <f>16395758000</f>
        <v>1.6395758E10</v>
      </c>
      <c r="H155" s="10"/>
      <c r="I155" s="11" t="str">
        <f>"－"</f>
        <v>－</v>
      </c>
      <c r="J155" s="10"/>
      <c r="K155" s="11" t="n">
        <f>34043</f>
        <v>34043.0</v>
      </c>
    </row>
    <row r="156">
      <c r="A156" s="8" t="s">
        <v>47</v>
      </c>
      <c r="B156" s="9" t="s">
        <v>58</v>
      </c>
      <c r="C156" s="9" t="s">
        <v>59</v>
      </c>
      <c r="D156" s="10"/>
      <c r="E156" s="11" t="n">
        <f>14247</f>
        <v>14247.0</v>
      </c>
      <c r="F156" s="10"/>
      <c r="G156" s="11" t="n">
        <f>26937913500</f>
        <v>2.69379135E10</v>
      </c>
      <c r="H156" s="10"/>
      <c r="I156" s="11" t="str">
        <f>"－"</f>
        <v>－</v>
      </c>
      <c r="J156" s="10" t="s">
        <v>37</v>
      </c>
      <c r="K156" s="11" t="n">
        <f>33551</f>
        <v>33551.0</v>
      </c>
    </row>
    <row r="157">
      <c r="A157" s="8" t="s">
        <v>48</v>
      </c>
      <c r="B157" s="9" t="s">
        <v>58</v>
      </c>
      <c r="C157" s="9" t="s">
        <v>59</v>
      </c>
      <c r="D157" s="10"/>
      <c r="E157" s="11" t="n">
        <f>9403</f>
        <v>9403.0</v>
      </c>
      <c r="F157" s="10"/>
      <c r="G157" s="11" t="n">
        <f>17666735500</f>
        <v>1.76667355E10</v>
      </c>
      <c r="H157" s="10"/>
      <c r="I157" s="11" t="str">
        <f>"－"</f>
        <v>－</v>
      </c>
      <c r="J157" s="10"/>
      <c r="K157" s="11" t="n">
        <f>33859</f>
        <v>33859.0</v>
      </c>
    </row>
    <row r="158">
      <c r="A158" s="8" t="s">
        <v>49</v>
      </c>
      <c r="B158" s="9" t="s">
        <v>58</v>
      </c>
      <c r="C158" s="9" t="s">
        <v>59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50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51</v>
      </c>
      <c r="B160" s="9" t="s">
        <v>58</v>
      </c>
      <c r="C160" s="9" t="s">
        <v>59</v>
      </c>
      <c r="D160" s="10"/>
      <c r="E160" s="11" t="n">
        <f>11820</f>
        <v>11820.0</v>
      </c>
      <c r="F160" s="10"/>
      <c r="G160" s="11" t="n">
        <f>21934986000</f>
        <v>2.1934986E10</v>
      </c>
      <c r="H160" s="10"/>
      <c r="I160" s="11" t="str">
        <f>"－"</f>
        <v>－</v>
      </c>
      <c r="J160" s="10"/>
      <c r="K160" s="11" t="n">
        <f>34230</f>
        <v>34230.0</v>
      </c>
    </row>
    <row r="161">
      <c r="A161" s="8" t="s">
        <v>16</v>
      </c>
      <c r="B161" s="9" t="s">
        <v>60</v>
      </c>
      <c r="C161" s="9" t="s">
        <v>61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19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20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21</v>
      </c>
      <c r="B164" s="9" t="s">
        <v>60</v>
      </c>
      <c r="C164" s="9" t="s">
        <v>61</v>
      </c>
      <c r="D164" s="10" t="s">
        <v>37</v>
      </c>
      <c r="E164" s="11" t="n">
        <f>883</f>
        <v>883.0</v>
      </c>
      <c r="F164" s="10" t="s">
        <v>37</v>
      </c>
      <c r="G164" s="11" t="n">
        <f>314494300</f>
        <v>3.144943E8</v>
      </c>
      <c r="H164" s="10" t="s">
        <v>22</v>
      </c>
      <c r="I164" s="11" t="str">
        <f>"－"</f>
        <v>－</v>
      </c>
      <c r="J164" s="10"/>
      <c r="K164" s="11" t="n">
        <f>3316</f>
        <v>3316.0</v>
      </c>
    </row>
    <row r="165">
      <c r="A165" s="8" t="s">
        <v>23</v>
      </c>
      <c r="B165" s="9" t="s">
        <v>60</v>
      </c>
      <c r="C165" s="9" t="s">
        <v>61</v>
      </c>
      <c r="D165" s="10"/>
      <c r="E165" s="11" t="n">
        <f>2003</f>
        <v>2003.0</v>
      </c>
      <c r="F165" s="10"/>
      <c r="G165" s="11" t="n">
        <f>724472400</f>
        <v>7.244724E8</v>
      </c>
      <c r="H165" s="10"/>
      <c r="I165" s="11" t="str">
        <f>"－"</f>
        <v>－</v>
      </c>
      <c r="J165" s="10"/>
      <c r="K165" s="11" t="n">
        <f>3594</f>
        <v>3594.0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1780</f>
        <v>1780.0</v>
      </c>
      <c r="F166" s="10"/>
      <c r="G166" s="11" t="n">
        <f>649797700</f>
        <v>6.497977E8</v>
      </c>
      <c r="H166" s="10"/>
      <c r="I166" s="11" t="str">
        <f>"－"</f>
        <v>－</v>
      </c>
      <c r="J166" s="10"/>
      <c r="K166" s="11" t="n">
        <f>3563</f>
        <v>3563.0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1524</f>
        <v>1524.0</v>
      </c>
      <c r="F167" s="10"/>
      <c r="G167" s="11" t="n">
        <f>546160700</f>
        <v>5.461607E8</v>
      </c>
      <c r="H167" s="10"/>
      <c r="I167" s="11" t="str">
        <f>"－"</f>
        <v>－</v>
      </c>
      <c r="J167" s="10"/>
      <c r="K167" s="11" t="n">
        <f>3522</f>
        <v>3522.0</v>
      </c>
    </row>
    <row r="168">
      <c r="A168" s="8" t="s">
        <v>26</v>
      </c>
      <c r="B168" s="9" t="s">
        <v>60</v>
      </c>
      <c r="C168" s="9" t="s">
        <v>61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27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28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29</v>
      </c>
      <c r="B171" s="9" t="s">
        <v>60</v>
      </c>
      <c r="C171" s="9" t="s">
        <v>61</v>
      </c>
      <c r="D171" s="10"/>
      <c r="E171" s="11" t="n">
        <f>2943</f>
        <v>2943.0</v>
      </c>
      <c r="F171" s="10"/>
      <c r="G171" s="11" t="n">
        <f>1041701000</f>
        <v>1.041701E9</v>
      </c>
      <c r="H171" s="10"/>
      <c r="I171" s="11" t="str">
        <f>"－"</f>
        <v>－</v>
      </c>
      <c r="J171" s="10" t="s">
        <v>40</v>
      </c>
      <c r="K171" s="11" t="n">
        <f>3732</f>
        <v>3732.0</v>
      </c>
    </row>
    <row r="172">
      <c r="A172" s="8" t="s">
        <v>30</v>
      </c>
      <c r="B172" s="9" t="s">
        <v>60</v>
      </c>
      <c r="C172" s="9" t="s">
        <v>61</v>
      </c>
      <c r="D172" s="10"/>
      <c r="E172" s="11" t="n">
        <f>1276</f>
        <v>1276.0</v>
      </c>
      <c r="F172" s="10"/>
      <c r="G172" s="11" t="n">
        <f>452301300</f>
        <v>4.523013E8</v>
      </c>
      <c r="H172" s="10"/>
      <c r="I172" s="11" t="str">
        <f>"－"</f>
        <v>－</v>
      </c>
      <c r="J172" s="10"/>
      <c r="K172" s="11" t="n">
        <f>3717</f>
        <v>3717.0</v>
      </c>
    </row>
    <row r="173">
      <c r="A173" s="8" t="s">
        <v>31</v>
      </c>
      <c r="B173" s="9" t="s">
        <v>60</v>
      </c>
      <c r="C173" s="9" t="s">
        <v>61</v>
      </c>
      <c r="D173" s="10"/>
      <c r="E173" s="11" t="n">
        <f>1082</f>
        <v>1082.0</v>
      </c>
      <c r="F173" s="10"/>
      <c r="G173" s="11" t="n">
        <f>388215800</f>
        <v>3.882158E8</v>
      </c>
      <c r="H173" s="10"/>
      <c r="I173" s="11" t="str">
        <f>"－"</f>
        <v>－</v>
      </c>
      <c r="J173" s="10"/>
      <c r="K173" s="11" t="n">
        <f>3715</f>
        <v>3715.0</v>
      </c>
    </row>
    <row r="174">
      <c r="A174" s="8" t="s">
        <v>32</v>
      </c>
      <c r="B174" s="9" t="s">
        <v>60</v>
      </c>
      <c r="C174" s="9" t="s">
        <v>61</v>
      </c>
      <c r="D174" s="10"/>
      <c r="E174" s="11" t="n">
        <f>1541</f>
        <v>1541.0</v>
      </c>
      <c r="F174" s="10"/>
      <c r="G174" s="11" t="n">
        <f>547448100</f>
        <v>5.474481E8</v>
      </c>
      <c r="H174" s="10"/>
      <c r="I174" s="11" t="str">
        <f>"－"</f>
        <v>－</v>
      </c>
      <c r="J174" s="10"/>
      <c r="K174" s="11" t="n">
        <f>3428</f>
        <v>3428.0</v>
      </c>
    </row>
    <row r="175">
      <c r="A175" s="8" t="s">
        <v>33</v>
      </c>
      <c r="B175" s="9" t="s">
        <v>60</v>
      </c>
      <c r="C175" s="9" t="s">
        <v>61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34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35</v>
      </c>
      <c r="B177" s="9" t="s">
        <v>60</v>
      </c>
      <c r="C177" s="9" t="s">
        <v>61</v>
      </c>
      <c r="D177" s="10"/>
      <c r="E177" s="11" t="n">
        <f>1686</f>
        <v>1686.0</v>
      </c>
      <c r="F177" s="10"/>
      <c r="G177" s="11" t="n">
        <f>599976600</f>
        <v>5.999766E8</v>
      </c>
      <c r="H177" s="10"/>
      <c r="I177" s="11" t="str">
        <f>"－"</f>
        <v>－</v>
      </c>
      <c r="J177" s="10"/>
      <c r="K177" s="11" t="n">
        <f>3374</f>
        <v>3374.0</v>
      </c>
    </row>
    <row r="178">
      <c r="A178" s="8" t="s">
        <v>36</v>
      </c>
      <c r="B178" s="9" t="s">
        <v>60</v>
      </c>
      <c r="C178" s="9" t="s">
        <v>61</v>
      </c>
      <c r="D178" s="10"/>
      <c r="E178" s="11" t="n">
        <f>1574</f>
        <v>1574.0</v>
      </c>
      <c r="F178" s="10"/>
      <c r="G178" s="11" t="n">
        <f>562618000</f>
        <v>5.62618E8</v>
      </c>
      <c r="H178" s="10"/>
      <c r="I178" s="11" t="str">
        <f>"－"</f>
        <v>－</v>
      </c>
      <c r="J178" s="10"/>
      <c r="K178" s="11" t="n">
        <f>3580</f>
        <v>3580.0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1698</f>
        <v>1698.0</v>
      </c>
      <c r="F179" s="10"/>
      <c r="G179" s="11" t="n">
        <f>606990700</f>
        <v>6.069907E8</v>
      </c>
      <c r="H179" s="10"/>
      <c r="I179" s="11" t="str">
        <f>"－"</f>
        <v>－</v>
      </c>
      <c r="J179" s="10"/>
      <c r="K179" s="11" t="n">
        <f>3648</f>
        <v>3648.0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3053</f>
        <v>3053.0</v>
      </c>
      <c r="F180" s="10"/>
      <c r="G180" s="11" t="n">
        <f>1127462600</f>
        <v>1.1274626E9</v>
      </c>
      <c r="H180" s="10"/>
      <c r="I180" s="11" t="str">
        <f>"－"</f>
        <v>－</v>
      </c>
      <c r="J180" s="10"/>
      <c r="K180" s="11" t="n">
        <f>3361</f>
        <v>3361.0</v>
      </c>
    </row>
    <row r="181">
      <c r="A181" s="8" t="s">
        <v>41</v>
      </c>
      <c r="B181" s="9" t="s">
        <v>60</v>
      </c>
      <c r="C181" s="9" t="s">
        <v>61</v>
      </c>
      <c r="D181" s="10"/>
      <c r="E181" s="11" t="n">
        <f>2344</f>
        <v>2344.0</v>
      </c>
      <c r="F181" s="10"/>
      <c r="G181" s="11" t="n">
        <f>886921800</f>
        <v>8.869218E8</v>
      </c>
      <c r="H181" s="10"/>
      <c r="I181" s="11" t="str">
        <f>"－"</f>
        <v>－</v>
      </c>
      <c r="J181" s="10"/>
      <c r="K181" s="11" t="n">
        <f>3271</f>
        <v>3271.0</v>
      </c>
    </row>
    <row r="182">
      <c r="A182" s="8" t="s">
        <v>42</v>
      </c>
      <c r="B182" s="9" t="s">
        <v>60</v>
      </c>
      <c r="C182" s="9" t="s">
        <v>61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43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44</v>
      </c>
      <c r="B184" s="9" t="s">
        <v>60</v>
      </c>
      <c r="C184" s="9" t="s">
        <v>61</v>
      </c>
      <c r="D184" s="10"/>
      <c r="E184" s="11" t="n">
        <f>2156</f>
        <v>2156.0</v>
      </c>
      <c r="F184" s="10"/>
      <c r="G184" s="11" t="n">
        <f>810321300</f>
        <v>8.103213E8</v>
      </c>
      <c r="H184" s="10"/>
      <c r="I184" s="11" t="str">
        <f>"－"</f>
        <v>－</v>
      </c>
      <c r="J184" s="10"/>
      <c r="K184" s="11" t="n">
        <f>3206</f>
        <v>3206.0</v>
      </c>
    </row>
    <row r="185">
      <c r="A185" s="8" t="s">
        <v>45</v>
      </c>
      <c r="B185" s="9" t="s">
        <v>60</v>
      </c>
      <c r="C185" s="9" t="s">
        <v>61</v>
      </c>
      <c r="D185" s="10" t="s">
        <v>40</v>
      </c>
      <c r="E185" s="11" t="n">
        <f>4530</f>
        <v>4530.0</v>
      </c>
      <c r="F185" s="10" t="s">
        <v>40</v>
      </c>
      <c r="G185" s="11" t="n">
        <f>1684159700</f>
        <v>1.6841597E9</v>
      </c>
      <c r="H185" s="10"/>
      <c r="I185" s="11" t="str">
        <f>"－"</f>
        <v>－</v>
      </c>
      <c r="J185" s="10"/>
      <c r="K185" s="11" t="n">
        <f>3189</f>
        <v>3189.0</v>
      </c>
    </row>
    <row r="186">
      <c r="A186" s="8" t="s">
        <v>46</v>
      </c>
      <c r="B186" s="9" t="s">
        <v>60</v>
      </c>
      <c r="C186" s="9" t="s">
        <v>61</v>
      </c>
      <c r="D186" s="10"/>
      <c r="E186" s="11" t="n">
        <f>2854</f>
        <v>2854.0</v>
      </c>
      <c r="F186" s="10"/>
      <c r="G186" s="11" t="n">
        <f>1058319800</f>
        <v>1.0583198E9</v>
      </c>
      <c r="H186" s="10"/>
      <c r="I186" s="11" t="str">
        <f>"－"</f>
        <v>－</v>
      </c>
      <c r="J186" s="10"/>
      <c r="K186" s="11" t="n">
        <f>3262</f>
        <v>3262.0</v>
      </c>
    </row>
    <row r="187">
      <c r="A187" s="8" t="s">
        <v>47</v>
      </c>
      <c r="B187" s="9" t="s">
        <v>60</v>
      </c>
      <c r="C187" s="9" t="s">
        <v>61</v>
      </c>
      <c r="D187" s="10"/>
      <c r="E187" s="11" t="n">
        <f>3296</f>
        <v>3296.0</v>
      </c>
      <c r="F187" s="10"/>
      <c r="G187" s="11" t="n">
        <f>1243103800</f>
        <v>1.2431038E9</v>
      </c>
      <c r="H187" s="10"/>
      <c r="I187" s="11" t="str">
        <f>"－"</f>
        <v>－</v>
      </c>
      <c r="J187" s="10"/>
      <c r="K187" s="11" t="n">
        <f>3278</f>
        <v>3278.0</v>
      </c>
    </row>
    <row r="188">
      <c r="A188" s="8" t="s">
        <v>48</v>
      </c>
      <c r="B188" s="9" t="s">
        <v>60</v>
      </c>
      <c r="C188" s="9" t="s">
        <v>61</v>
      </c>
      <c r="D188" s="10"/>
      <c r="E188" s="11" t="n">
        <f>2203</f>
        <v>2203.0</v>
      </c>
      <c r="F188" s="10"/>
      <c r="G188" s="11" t="n">
        <f>827448200</f>
        <v>8.274482E8</v>
      </c>
      <c r="H188" s="10"/>
      <c r="I188" s="11" t="str">
        <f>"－"</f>
        <v>－</v>
      </c>
      <c r="J188" s="10"/>
      <c r="K188" s="11" t="n">
        <f>3188</f>
        <v>3188.0</v>
      </c>
    </row>
    <row r="189">
      <c r="A189" s="8" t="s">
        <v>49</v>
      </c>
      <c r="B189" s="9" t="s">
        <v>60</v>
      </c>
      <c r="C189" s="9" t="s">
        <v>61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50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51</v>
      </c>
      <c r="B191" s="9" t="s">
        <v>60</v>
      </c>
      <c r="C191" s="9" t="s">
        <v>61</v>
      </c>
      <c r="D191" s="10"/>
      <c r="E191" s="11" t="n">
        <f>2784</f>
        <v>2784.0</v>
      </c>
      <c r="F191" s="10"/>
      <c r="G191" s="11" t="n">
        <f>1034199100</f>
        <v>1.0341991E9</v>
      </c>
      <c r="H191" s="10"/>
      <c r="I191" s="11" t="str">
        <f>"－"</f>
        <v>－</v>
      </c>
      <c r="J191" s="10" t="s">
        <v>37</v>
      </c>
      <c r="K191" s="11" t="n">
        <f>3179</f>
        <v>3179.0</v>
      </c>
    </row>
    <row r="192">
      <c r="A192" s="8" t="s">
        <v>16</v>
      </c>
      <c r="B192" s="9" t="s">
        <v>62</v>
      </c>
      <c r="C192" s="9" t="s">
        <v>63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19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20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21</v>
      </c>
      <c r="B195" s="9" t="s">
        <v>62</v>
      </c>
      <c r="C195" s="9" t="s">
        <v>63</v>
      </c>
      <c r="D195" s="10"/>
      <c r="E195" s="11" t="n">
        <f>172</f>
        <v>172.0</v>
      </c>
      <c r="F195" s="10"/>
      <c r="G195" s="11" t="n">
        <f>62524500</f>
        <v>6.25245E7</v>
      </c>
      <c r="H195" s="10" t="s">
        <v>22</v>
      </c>
      <c r="I195" s="11" t="str">
        <f>"－"</f>
        <v>－</v>
      </c>
      <c r="J195" s="10"/>
      <c r="K195" s="11" t="n">
        <f>13566</f>
        <v>13566.0</v>
      </c>
    </row>
    <row r="196">
      <c r="A196" s="8" t="s">
        <v>23</v>
      </c>
      <c r="B196" s="9" t="s">
        <v>62</v>
      </c>
      <c r="C196" s="9" t="s">
        <v>63</v>
      </c>
      <c r="D196" s="10"/>
      <c r="E196" s="11" t="n">
        <f>401</f>
        <v>401.0</v>
      </c>
      <c r="F196" s="10"/>
      <c r="G196" s="11" t="n">
        <f>147971600</f>
        <v>1.479716E8</v>
      </c>
      <c r="H196" s="10"/>
      <c r="I196" s="11" t="str">
        <f>"－"</f>
        <v>－</v>
      </c>
      <c r="J196" s="10"/>
      <c r="K196" s="11" t="n">
        <f>13612</f>
        <v>13612.0</v>
      </c>
    </row>
    <row r="197">
      <c r="A197" s="8" t="s">
        <v>24</v>
      </c>
      <c r="B197" s="9" t="s">
        <v>62</v>
      </c>
      <c r="C197" s="9" t="s">
        <v>63</v>
      </c>
      <c r="D197" s="10"/>
      <c r="E197" s="11" t="n">
        <f>433</f>
        <v>433.0</v>
      </c>
      <c r="F197" s="10"/>
      <c r="G197" s="11" t="n">
        <f>161537600</f>
        <v>1.615376E8</v>
      </c>
      <c r="H197" s="10"/>
      <c r="I197" s="11" t="str">
        <f>"－"</f>
        <v>－</v>
      </c>
      <c r="J197" s="10"/>
      <c r="K197" s="11" t="n">
        <f>13552</f>
        <v>13552.0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332</f>
        <v>332.0</v>
      </c>
      <c r="F198" s="10"/>
      <c r="G198" s="11" t="n">
        <f>121247700</f>
        <v>1.212477E8</v>
      </c>
      <c r="H198" s="10"/>
      <c r="I198" s="11" t="str">
        <f>"－"</f>
        <v>－</v>
      </c>
      <c r="J198" s="10"/>
      <c r="K198" s="11" t="n">
        <f>13569</f>
        <v>13569.0</v>
      </c>
    </row>
    <row r="199">
      <c r="A199" s="8" t="s">
        <v>26</v>
      </c>
      <c r="B199" s="9" t="s">
        <v>62</v>
      </c>
      <c r="C199" s="9" t="s">
        <v>63</v>
      </c>
      <c r="D199" s="10"/>
      <c r="E199" s="11"/>
      <c r="F199" s="10"/>
      <c r="G199" s="11"/>
      <c r="H199" s="10"/>
      <c r="I199" s="11"/>
      <c r="J199" s="10"/>
      <c r="K199" s="11"/>
    </row>
    <row r="200">
      <c r="A200" s="8" t="s">
        <v>27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28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29</v>
      </c>
      <c r="B202" s="9" t="s">
        <v>62</v>
      </c>
      <c r="C202" s="9" t="s">
        <v>63</v>
      </c>
      <c r="D202" s="10"/>
      <c r="E202" s="11" t="n">
        <f>427</f>
        <v>427.0</v>
      </c>
      <c r="F202" s="10"/>
      <c r="G202" s="11" t="n">
        <f>154146300</f>
        <v>1.541463E8</v>
      </c>
      <c r="H202" s="10"/>
      <c r="I202" s="11" t="str">
        <f>"－"</f>
        <v>－</v>
      </c>
      <c r="J202" s="10"/>
      <c r="K202" s="11" t="n">
        <f>13682</f>
        <v>13682.0</v>
      </c>
    </row>
    <row r="203">
      <c r="A203" s="8" t="s">
        <v>30</v>
      </c>
      <c r="B203" s="9" t="s">
        <v>62</v>
      </c>
      <c r="C203" s="9" t="s">
        <v>63</v>
      </c>
      <c r="D203" s="10"/>
      <c r="E203" s="11" t="n">
        <f>223</f>
        <v>223.0</v>
      </c>
      <c r="F203" s="10"/>
      <c r="G203" s="11" t="n">
        <f>80721000</f>
        <v>8.0721E7</v>
      </c>
      <c r="H203" s="10"/>
      <c r="I203" s="11" t="str">
        <f>"－"</f>
        <v>－</v>
      </c>
      <c r="J203" s="10"/>
      <c r="K203" s="11" t="n">
        <f>13656</f>
        <v>13656.0</v>
      </c>
    </row>
    <row r="204">
      <c r="A204" s="8" t="s">
        <v>31</v>
      </c>
      <c r="B204" s="9" t="s">
        <v>62</v>
      </c>
      <c r="C204" s="9" t="s">
        <v>63</v>
      </c>
      <c r="D204" s="10"/>
      <c r="E204" s="11" t="n">
        <f>158</f>
        <v>158.0</v>
      </c>
      <c r="F204" s="10"/>
      <c r="G204" s="11" t="n">
        <f>57801500</f>
        <v>5.78015E7</v>
      </c>
      <c r="H204" s="10"/>
      <c r="I204" s="11" t="str">
        <f>"－"</f>
        <v>－</v>
      </c>
      <c r="J204" s="10"/>
      <c r="K204" s="11" t="n">
        <f>13663</f>
        <v>13663.0</v>
      </c>
    </row>
    <row r="205">
      <c r="A205" s="8" t="s">
        <v>32</v>
      </c>
      <c r="B205" s="9" t="s">
        <v>62</v>
      </c>
      <c r="C205" s="9" t="s">
        <v>63</v>
      </c>
      <c r="D205" s="10"/>
      <c r="E205" s="11" t="n">
        <f>145</f>
        <v>145.0</v>
      </c>
      <c r="F205" s="10"/>
      <c r="G205" s="11" t="n">
        <f>52727100</f>
        <v>5.27271E7</v>
      </c>
      <c r="H205" s="10"/>
      <c r="I205" s="11" t="str">
        <f>"－"</f>
        <v>－</v>
      </c>
      <c r="J205" s="10"/>
      <c r="K205" s="11" t="n">
        <f>13700</f>
        <v>13700.0</v>
      </c>
    </row>
    <row r="206">
      <c r="A206" s="8" t="s">
        <v>33</v>
      </c>
      <c r="B206" s="9" t="s">
        <v>62</v>
      </c>
      <c r="C206" s="9" t="s">
        <v>63</v>
      </c>
      <c r="D206" s="10"/>
      <c r="E206" s="11"/>
      <c r="F206" s="10"/>
      <c r="G206" s="11"/>
      <c r="H206" s="10"/>
      <c r="I206" s="11"/>
      <c r="J206" s="10"/>
      <c r="K206" s="11"/>
    </row>
    <row r="207">
      <c r="A207" s="8" t="s">
        <v>34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35</v>
      </c>
      <c r="B208" s="9" t="s">
        <v>62</v>
      </c>
      <c r="C208" s="9" t="s">
        <v>63</v>
      </c>
      <c r="D208" s="10"/>
      <c r="E208" s="11" t="n">
        <f>202</f>
        <v>202.0</v>
      </c>
      <c r="F208" s="10"/>
      <c r="G208" s="11" t="n">
        <f>73502500</f>
        <v>7.35025E7</v>
      </c>
      <c r="H208" s="10"/>
      <c r="I208" s="11" t="str">
        <f>"－"</f>
        <v>－</v>
      </c>
      <c r="J208" s="10"/>
      <c r="K208" s="11" t="n">
        <f>13686</f>
        <v>13686.0</v>
      </c>
    </row>
    <row r="209">
      <c r="A209" s="8" t="s">
        <v>36</v>
      </c>
      <c r="B209" s="9" t="s">
        <v>62</v>
      </c>
      <c r="C209" s="9" t="s">
        <v>63</v>
      </c>
      <c r="D209" s="10" t="s">
        <v>37</v>
      </c>
      <c r="E209" s="11" t="n">
        <f>112</f>
        <v>112.0</v>
      </c>
      <c r="F209" s="10" t="s">
        <v>37</v>
      </c>
      <c r="G209" s="11" t="n">
        <f>40809100</f>
        <v>4.08091E7</v>
      </c>
      <c r="H209" s="10"/>
      <c r="I209" s="11" t="str">
        <f>"－"</f>
        <v>－</v>
      </c>
      <c r="J209" s="10"/>
      <c r="K209" s="11" t="n">
        <f>13650</f>
        <v>13650.0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294</f>
        <v>294.0</v>
      </c>
      <c r="F210" s="10"/>
      <c r="G210" s="11" t="n">
        <f>107458500</f>
        <v>1.074585E8</v>
      </c>
      <c r="H210" s="10"/>
      <c r="I210" s="11" t="str">
        <f>"－"</f>
        <v>－</v>
      </c>
      <c r="J210" s="10"/>
      <c r="K210" s="11" t="n">
        <f>13628</f>
        <v>13628.0</v>
      </c>
    </row>
    <row r="211">
      <c r="A211" s="8" t="s">
        <v>39</v>
      </c>
      <c r="B211" s="9" t="s">
        <v>62</v>
      </c>
      <c r="C211" s="9" t="s">
        <v>63</v>
      </c>
      <c r="D211" s="10" t="s">
        <v>40</v>
      </c>
      <c r="E211" s="11" t="n">
        <f>1150</f>
        <v>1150.0</v>
      </c>
      <c r="F211" s="10" t="s">
        <v>40</v>
      </c>
      <c r="G211" s="11" t="n">
        <f>432279400</f>
        <v>4.322794E8</v>
      </c>
      <c r="H211" s="10"/>
      <c r="I211" s="11" t="str">
        <f>"－"</f>
        <v>－</v>
      </c>
      <c r="J211" s="10" t="s">
        <v>40</v>
      </c>
      <c r="K211" s="11" t="n">
        <f>13725</f>
        <v>13725.0</v>
      </c>
    </row>
    <row r="212">
      <c r="A212" s="8" t="s">
        <v>41</v>
      </c>
      <c r="B212" s="9" t="s">
        <v>62</v>
      </c>
      <c r="C212" s="9" t="s">
        <v>63</v>
      </c>
      <c r="D212" s="10"/>
      <c r="E212" s="11" t="n">
        <f>687</f>
        <v>687.0</v>
      </c>
      <c r="F212" s="10"/>
      <c r="G212" s="11" t="n">
        <f>263609400</f>
        <v>2.636094E8</v>
      </c>
      <c r="H212" s="10"/>
      <c r="I212" s="11" t="str">
        <f>"－"</f>
        <v>－</v>
      </c>
      <c r="J212" s="10"/>
      <c r="K212" s="11" t="n">
        <f>13634</f>
        <v>13634.0</v>
      </c>
    </row>
    <row r="213">
      <c r="A213" s="8" t="s">
        <v>42</v>
      </c>
      <c r="B213" s="9" t="s">
        <v>62</v>
      </c>
      <c r="C213" s="9" t="s">
        <v>63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43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44</v>
      </c>
      <c r="B215" s="9" t="s">
        <v>62</v>
      </c>
      <c r="C215" s="9" t="s">
        <v>63</v>
      </c>
      <c r="D215" s="10"/>
      <c r="E215" s="11" t="n">
        <f>794</f>
        <v>794.0</v>
      </c>
      <c r="F215" s="10"/>
      <c r="G215" s="11" t="n">
        <f>302871100</f>
        <v>3.028711E8</v>
      </c>
      <c r="H215" s="10"/>
      <c r="I215" s="11" t="str">
        <f>"－"</f>
        <v>－</v>
      </c>
      <c r="J215" s="10" t="s">
        <v>37</v>
      </c>
      <c r="K215" s="11" t="n">
        <f>13297</f>
        <v>13297.0</v>
      </c>
    </row>
    <row r="216">
      <c r="A216" s="8" t="s">
        <v>45</v>
      </c>
      <c r="B216" s="9" t="s">
        <v>62</v>
      </c>
      <c r="C216" s="9" t="s">
        <v>63</v>
      </c>
      <c r="D216" s="10"/>
      <c r="E216" s="11" t="n">
        <f>307</f>
        <v>307.0</v>
      </c>
      <c r="F216" s="10"/>
      <c r="G216" s="11" t="n">
        <f>115825900</f>
        <v>1.158259E8</v>
      </c>
      <c r="H216" s="10"/>
      <c r="I216" s="11" t="str">
        <f>"－"</f>
        <v>－</v>
      </c>
      <c r="J216" s="10"/>
      <c r="K216" s="11" t="n">
        <f>13374</f>
        <v>13374.0</v>
      </c>
    </row>
    <row r="217">
      <c r="A217" s="8" t="s">
        <v>46</v>
      </c>
      <c r="B217" s="9" t="s">
        <v>62</v>
      </c>
      <c r="C217" s="9" t="s">
        <v>63</v>
      </c>
      <c r="D217" s="10"/>
      <c r="E217" s="11" t="n">
        <f>554</f>
        <v>554.0</v>
      </c>
      <c r="F217" s="10"/>
      <c r="G217" s="11" t="n">
        <f>210180900</f>
        <v>2.101809E8</v>
      </c>
      <c r="H217" s="10"/>
      <c r="I217" s="11" t="str">
        <f>"－"</f>
        <v>－</v>
      </c>
      <c r="J217" s="10"/>
      <c r="K217" s="11" t="n">
        <f>13534</f>
        <v>13534.0</v>
      </c>
    </row>
    <row r="218">
      <c r="A218" s="8" t="s">
        <v>47</v>
      </c>
      <c r="B218" s="9" t="s">
        <v>62</v>
      </c>
      <c r="C218" s="9" t="s">
        <v>63</v>
      </c>
      <c r="D218" s="10"/>
      <c r="E218" s="11" t="n">
        <f>605</f>
        <v>605.0</v>
      </c>
      <c r="F218" s="10"/>
      <c r="G218" s="11" t="n">
        <f>232795100</f>
        <v>2.327951E8</v>
      </c>
      <c r="H218" s="10"/>
      <c r="I218" s="11" t="str">
        <f>"－"</f>
        <v>－</v>
      </c>
      <c r="J218" s="10"/>
      <c r="K218" s="11" t="n">
        <f>13505</f>
        <v>13505.0</v>
      </c>
    </row>
    <row r="219">
      <c r="A219" s="8" t="s">
        <v>48</v>
      </c>
      <c r="B219" s="9" t="s">
        <v>62</v>
      </c>
      <c r="C219" s="9" t="s">
        <v>63</v>
      </c>
      <c r="D219" s="10"/>
      <c r="E219" s="11" t="n">
        <f>623</f>
        <v>623.0</v>
      </c>
      <c r="F219" s="10"/>
      <c r="G219" s="11" t="n">
        <f>238700000</f>
        <v>2.387E8</v>
      </c>
      <c r="H219" s="10"/>
      <c r="I219" s="11" t="str">
        <f>"－"</f>
        <v>－</v>
      </c>
      <c r="J219" s="10"/>
      <c r="K219" s="11" t="n">
        <f>13576</f>
        <v>13576.0</v>
      </c>
    </row>
    <row r="220">
      <c r="A220" s="8" t="s">
        <v>49</v>
      </c>
      <c r="B220" s="9" t="s">
        <v>62</v>
      </c>
      <c r="C220" s="9" t="s">
        <v>63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50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51</v>
      </c>
      <c r="B222" s="9" t="s">
        <v>62</v>
      </c>
      <c r="C222" s="9" t="s">
        <v>63</v>
      </c>
      <c r="D222" s="10"/>
      <c r="E222" s="11" t="n">
        <f>541</f>
        <v>541.0</v>
      </c>
      <c r="F222" s="10"/>
      <c r="G222" s="11" t="n">
        <f>204726000</f>
        <v>2.04726E8</v>
      </c>
      <c r="H222" s="10"/>
      <c r="I222" s="11" t="str">
        <f>"－"</f>
        <v>－</v>
      </c>
      <c r="J222" s="10"/>
      <c r="K222" s="11" t="n">
        <f>13616</f>
        <v>13616.0</v>
      </c>
    </row>
    <row r="223">
      <c r="A223" s="8" t="s">
        <v>16</v>
      </c>
      <c r="B223" s="9" t="s">
        <v>64</v>
      </c>
      <c r="C223" s="9" t="s">
        <v>65</v>
      </c>
      <c r="D223" s="10"/>
      <c r="E223" s="11"/>
      <c r="F223" s="10"/>
      <c r="G223" s="11"/>
      <c r="H223" s="10"/>
      <c r="I223" s="11"/>
      <c r="J223" s="10"/>
      <c r="K223" s="11"/>
    </row>
    <row r="224">
      <c r="A224" s="8" t="s">
        <v>19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20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21</v>
      </c>
      <c r="B226" s="9" t="s">
        <v>64</v>
      </c>
      <c r="C226" s="9" t="s">
        <v>65</v>
      </c>
      <c r="D226" s="10" t="s">
        <v>37</v>
      </c>
      <c r="E226" s="11" t="str">
        <f>"－"</f>
        <v>－</v>
      </c>
      <c r="F226" s="10" t="s">
        <v>37</v>
      </c>
      <c r="G226" s="11" t="str">
        <f>"－"</f>
        <v>－</v>
      </c>
      <c r="H226" s="10" t="s">
        <v>22</v>
      </c>
      <c r="I226" s="11" t="str">
        <f>"－"</f>
        <v>－</v>
      </c>
      <c r="J226" s="10"/>
      <c r="K226" s="11" t="n">
        <f>115</f>
        <v>115.0</v>
      </c>
    </row>
    <row r="227">
      <c r="A227" s="8" t="s">
        <v>23</v>
      </c>
      <c r="B227" s="9" t="s">
        <v>64</v>
      </c>
      <c r="C227" s="9" t="s">
        <v>65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115</f>
        <v>115.0</v>
      </c>
    </row>
    <row r="228">
      <c r="A228" s="8" t="s">
        <v>24</v>
      </c>
      <c r="B228" s="9" t="s">
        <v>64</v>
      </c>
      <c r="C228" s="9" t="s">
        <v>65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115</f>
        <v>115.0</v>
      </c>
    </row>
    <row r="229">
      <c r="A229" s="8" t="s">
        <v>25</v>
      </c>
      <c r="B229" s="9" t="s">
        <v>64</v>
      </c>
      <c r="C229" s="9" t="s">
        <v>65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115</f>
        <v>115.0</v>
      </c>
    </row>
    <row r="230">
      <c r="A230" s="8" t="s">
        <v>26</v>
      </c>
      <c r="B230" s="9" t="s">
        <v>64</v>
      </c>
      <c r="C230" s="9" t="s">
        <v>65</v>
      </c>
      <c r="D230" s="10"/>
      <c r="E230" s="11"/>
      <c r="F230" s="10"/>
      <c r="G230" s="11"/>
      <c r="H230" s="10"/>
      <c r="I230" s="11"/>
      <c r="J230" s="10"/>
      <c r="K230" s="11"/>
    </row>
    <row r="231">
      <c r="A231" s="8" t="s">
        <v>27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28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29</v>
      </c>
      <c r="B233" s="9" t="s">
        <v>64</v>
      </c>
      <c r="C233" s="9" t="s">
        <v>65</v>
      </c>
      <c r="D233" s="10"/>
      <c r="E233" s="11" t="n">
        <f>1</f>
        <v>1.0</v>
      </c>
      <c r="F233" s="10"/>
      <c r="G233" s="11" t="n">
        <f>3595000</f>
        <v>3595000.0</v>
      </c>
      <c r="H233" s="10"/>
      <c r="I233" s="11" t="str">
        <f>"－"</f>
        <v>－</v>
      </c>
      <c r="J233" s="10" t="s">
        <v>40</v>
      </c>
      <c r="K233" s="11" t="n">
        <f>116</f>
        <v>116.0</v>
      </c>
    </row>
    <row r="234">
      <c r="A234" s="8" t="s">
        <v>30</v>
      </c>
      <c r="B234" s="9" t="s">
        <v>64</v>
      </c>
      <c r="C234" s="9" t="s">
        <v>65</v>
      </c>
      <c r="D234" s="10"/>
      <c r="E234" s="11" t="n">
        <f>2</f>
        <v>2.0</v>
      </c>
      <c r="F234" s="10"/>
      <c r="G234" s="11" t="n">
        <f>7102500</f>
        <v>7102500.0</v>
      </c>
      <c r="H234" s="10"/>
      <c r="I234" s="11" t="str">
        <f>"－"</f>
        <v>－</v>
      </c>
      <c r="J234" s="10"/>
      <c r="K234" s="11" t="n">
        <f>116</f>
        <v>116.0</v>
      </c>
    </row>
    <row r="235">
      <c r="A235" s="8" t="s">
        <v>31</v>
      </c>
      <c r="B235" s="9" t="s">
        <v>64</v>
      </c>
      <c r="C235" s="9" t="s">
        <v>65</v>
      </c>
      <c r="D235" s="10"/>
      <c r="E235" s="11" t="n">
        <f>7</f>
        <v>7.0</v>
      </c>
      <c r="F235" s="10"/>
      <c r="G235" s="11" t="n">
        <f>24508500</f>
        <v>2.45085E7</v>
      </c>
      <c r="H235" s="10"/>
      <c r="I235" s="11" t="str">
        <f>"－"</f>
        <v>－</v>
      </c>
      <c r="J235" s="10"/>
      <c r="K235" s="11" t="n">
        <f>116</f>
        <v>116.0</v>
      </c>
    </row>
    <row r="236">
      <c r="A236" s="8" t="s">
        <v>32</v>
      </c>
      <c r="B236" s="9" t="s">
        <v>64</v>
      </c>
      <c r="C236" s="9" t="s">
        <v>65</v>
      </c>
      <c r="D236" s="10"/>
      <c r="E236" s="11" t="n">
        <f>9</f>
        <v>9.0</v>
      </c>
      <c r="F236" s="10"/>
      <c r="G236" s="11" t="n">
        <f>31248000</f>
        <v>3.1248E7</v>
      </c>
      <c r="H236" s="10"/>
      <c r="I236" s="11" t="str">
        <f>"－"</f>
        <v>－</v>
      </c>
      <c r="J236" s="10"/>
      <c r="K236" s="11" t="n">
        <f>116</f>
        <v>116.0</v>
      </c>
    </row>
    <row r="237">
      <c r="A237" s="8" t="s">
        <v>33</v>
      </c>
      <c r="B237" s="9" t="s">
        <v>64</v>
      </c>
      <c r="C237" s="9" t="s">
        <v>65</v>
      </c>
      <c r="D237" s="10"/>
      <c r="E237" s="11"/>
      <c r="F237" s="10"/>
      <c r="G237" s="11"/>
      <c r="H237" s="10"/>
      <c r="I237" s="11"/>
      <c r="J237" s="10"/>
      <c r="K237" s="11"/>
    </row>
    <row r="238">
      <c r="A238" s="8" t="s">
        <v>34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35</v>
      </c>
      <c r="B239" s="9" t="s">
        <v>64</v>
      </c>
      <c r="C239" s="9" t="s">
        <v>65</v>
      </c>
      <c r="D239" s="10"/>
      <c r="E239" s="11" t="n">
        <f>6</f>
        <v>6.0</v>
      </c>
      <c r="F239" s="10"/>
      <c r="G239" s="11" t="n">
        <f>19984500</f>
        <v>1.99845E7</v>
      </c>
      <c r="H239" s="10"/>
      <c r="I239" s="11" t="str">
        <f>"－"</f>
        <v>－</v>
      </c>
      <c r="J239" s="10"/>
      <c r="K239" s="11" t="n">
        <f>115</f>
        <v>115.0</v>
      </c>
    </row>
    <row r="240">
      <c r="A240" s="8" t="s">
        <v>36</v>
      </c>
      <c r="B240" s="9" t="s">
        <v>64</v>
      </c>
      <c r="C240" s="9" t="s">
        <v>65</v>
      </c>
      <c r="D240" s="10"/>
      <c r="E240" s="11" t="n">
        <f>2</f>
        <v>2.0</v>
      </c>
      <c r="F240" s="10"/>
      <c r="G240" s="11" t="n">
        <f>6841500</f>
        <v>6841500.0</v>
      </c>
      <c r="H240" s="10"/>
      <c r="I240" s="11" t="str">
        <f>"－"</f>
        <v>－</v>
      </c>
      <c r="J240" s="10"/>
      <c r="K240" s="11" t="n">
        <f>113</f>
        <v>113.0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113</f>
        <v>113.0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7</f>
        <v>7.0</v>
      </c>
      <c r="F242" s="10"/>
      <c r="G242" s="11" t="n">
        <f>25182500</f>
        <v>2.51825E7</v>
      </c>
      <c r="H242" s="10"/>
      <c r="I242" s="11" t="str">
        <f>"－"</f>
        <v>－</v>
      </c>
      <c r="J242" s="10"/>
      <c r="K242" s="11" t="n">
        <f>109</f>
        <v>109.0</v>
      </c>
    </row>
    <row r="243">
      <c r="A243" s="8" t="s">
        <v>41</v>
      </c>
      <c r="B243" s="9" t="s">
        <v>64</v>
      </c>
      <c r="C243" s="9" t="s">
        <v>65</v>
      </c>
      <c r="D243" s="10"/>
      <c r="E243" s="11" t="n">
        <f>2</f>
        <v>2.0</v>
      </c>
      <c r="F243" s="10"/>
      <c r="G243" s="11" t="n">
        <f>7386000</f>
        <v>7386000.0</v>
      </c>
      <c r="H243" s="10"/>
      <c r="I243" s="11" t="str">
        <f>"－"</f>
        <v>－</v>
      </c>
      <c r="J243" s="10"/>
      <c r="K243" s="11" t="n">
        <f>108</f>
        <v>108.0</v>
      </c>
    </row>
    <row r="244">
      <c r="A244" s="8" t="s">
        <v>42</v>
      </c>
      <c r="B244" s="9" t="s">
        <v>64</v>
      </c>
      <c r="C244" s="9" t="s">
        <v>65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43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44</v>
      </c>
      <c r="B246" s="9" t="s">
        <v>64</v>
      </c>
      <c r="C246" s="9" t="s">
        <v>65</v>
      </c>
      <c r="D246" s="10"/>
      <c r="E246" s="11" t="n">
        <f>6</f>
        <v>6.0</v>
      </c>
      <c r="F246" s="10"/>
      <c r="G246" s="11" t="n">
        <f>22531500</f>
        <v>2.25315E7</v>
      </c>
      <c r="H246" s="10"/>
      <c r="I246" s="11" t="str">
        <f>"－"</f>
        <v>－</v>
      </c>
      <c r="J246" s="10"/>
      <c r="K246" s="11" t="n">
        <f>108</f>
        <v>108.0</v>
      </c>
    </row>
    <row r="247">
      <c r="A247" s="8" t="s">
        <v>45</v>
      </c>
      <c r="B247" s="9" t="s">
        <v>64</v>
      </c>
      <c r="C247" s="9" t="s">
        <v>65</v>
      </c>
      <c r="D247" s="10"/>
      <c r="E247" s="11" t="n">
        <f>4</f>
        <v>4.0</v>
      </c>
      <c r="F247" s="10"/>
      <c r="G247" s="11" t="n">
        <f>15351000</f>
        <v>1.5351E7</v>
      </c>
      <c r="H247" s="10"/>
      <c r="I247" s="11" t="str">
        <f>"－"</f>
        <v>－</v>
      </c>
      <c r="J247" s="10"/>
      <c r="K247" s="11" t="n">
        <f>108</f>
        <v>108.0</v>
      </c>
    </row>
    <row r="248">
      <c r="A248" s="8" t="s">
        <v>46</v>
      </c>
      <c r="B248" s="9" t="s">
        <v>64</v>
      </c>
      <c r="C248" s="9" t="s">
        <v>65</v>
      </c>
      <c r="D248" s="10"/>
      <c r="E248" s="11" t="n">
        <f>6</f>
        <v>6.0</v>
      </c>
      <c r="F248" s="10"/>
      <c r="G248" s="11" t="n">
        <f>23615500</f>
        <v>2.36155E7</v>
      </c>
      <c r="H248" s="10"/>
      <c r="I248" s="11" t="str">
        <f>"－"</f>
        <v>－</v>
      </c>
      <c r="J248" s="10"/>
      <c r="K248" s="11" t="n">
        <f>106</f>
        <v>106.0</v>
      </c>
    </row>
    <row r="249">
      <c r="A249" s="8" t="s">
        <v>47</v>
      </c>
      <c r="B249" s="9" t="s">
        <v>64</v>
      </c>
      <c r="C249" s="9" t="s">
        <v>65</v>
      </c>
      <c r="D249" s="10"/>
      <c r="E249" s="11" t="n">
        <f>1</f>
        <v>1.0</v>
      </c>
      <c r="F249" s="10"/>
      <c r="G249" s="11" t="n">
        <f>4005000</f>
        <v>4005000.0</v>
      </c>
      <c r="H249" s="10"/>
      <c r="I249" s="11" t="str">
        <f>"－"</f>
        <v>－</v>
      </c>
      <c r="J249" s="10" t="s">
        <v>37</v>
      </c>
      <c r="K249" s="11" t="n">
        <f>105</f>
        <v>105.0</v>
      </c>
    </row>
    <row r="250">
      <c r="A250" s="8" t="s">
        <v>48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>"－"</f>
        <v>－</v>
      </c>
      <c r="J250" s="10"/>
      <c r="K250" s="11" t="n">
        <f>105</f>
        <v>105.0</v>
      </c>
    </row>
    <row r="251">
      <c r="A251" s="8" t="s">
        <v>49</v>
      </c>
      <c r="B251" s="9" t="s">
        <v>64</v>
      </c>
      <c r="C251" s="9" t="s">
        <v>65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50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51</v>
      </c>
      <c r="B253" s="9" t="s">
        <v>64</v>
      </c>
      <c r="C253" s="9" t="s">
        <v>65</v>
      </c>
      <c r="D253" s="10" t="s">
        <v>40</v>
      </c>
      <c r="E253" s="11" t="n">
        <f>13</f>
        <v>13.0</v>
      </c>
      <c r="F253" s="10" t="s">
        <v>40</v>
      </c>
      <c r="G253" s="11" t="n">
        <f>56225000</f>
        <v>5.6225E7</v>
      </c>
      <c r="H253" s="10"/>
      <c r="I253" s="11" t="str">
        <f>"－"</f>
        <v>－</v>
      </c>
      <c r="J253" s="10"/>
      <c r="K253" s="11" t="n">
        <f>110</f>
        <v>110.0</v>
      </c>
    </row>
    <row r="254">
      <c r="A254" s="8" t="s">
        <v>16</v>
      </c>
      <c r="B254" s="9" t="s">
        <v>66</v>
      </c>
      <c r="C254" s="9" t="s">
        <v>67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19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20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21</v>
      </c>
      <c r="B257" s="9" t="s">
        <v>66</v>
      </c>
      <c r="C257" s="9" t="s">
        <v>67</v>
      </c>
      <c r="D257" s="10"/>
      <c r="E257" s="11" t="n">
        <f>62</f>
        <v>62.0</v>
      </c>
      <c r="F257" s="10"/>
      <c r="G257" s="11" t="n">
        <f>115313500</f>
        <v>1.153135E8</v>
      </c>
      <c r="H257" s="10" t="s">
        <v>22</v>
      </c>
      <c r="I257" s="11" t="str">
        <f>"－"</f>
        <v>－</v>
      </c>
      <c r="J257" s="10" t="s">
        <v>40</v>
      </c>
      <c r="K257" s="11" t="n">
        <f>392</f>
        <v>392.0</v>
      </c>
    </row>
    <row r="258">
      <c r="A258" s="8" t="s">
        <v>23</v>
      </c>
      <c r="B258" s="9" t="s">
        <v>66</v>
      </c>
      <c r="C258" s="9" t="s">
        <v>67</v>
      </c>
      <c r="D258" s="10"/>
      <c r="E258" s="11" t="n">
        <f>28</f>
        <v>28.0</v>
      </c>
      <c r="F258" s="10"/>
      <c r="G258" s="11" t="n">
        <f>52205500</f>
        <v>5.22055E7</v>
      </c>
      <c r="H258" s="10"/>
      <c r="I258" s="11" t="str">
        <f>"－"</f>
        <v>－</v>
      </c>
      <c r="J258" s="10"/>
      <c r="K258" s="11" t="n">
        <f>390</f>
        <v>390.0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n">
        <f>18</f>
        <v>18.0</v>
      </c>
      <c r="F259" s="10"/>
      <c r="G259" s="11" t="n">
        <f>33730000</f>
        <v>3.373E7</v>
      </c>
      <c r="H259" s="10"/>
      <c r="I259" s="11" t="str">
        <f>"－"</f>
        <v>－</v>
      </c>
      <c r="J259" s="10"/>
      <c r="K259" s="11" t="n">
        <f>384</f>
        <v>384.0</v>
      </c>
    </row>
    <row r="260">
      <c r="A260" s="8" t="s">
        <v>25</v>
      </c>
      <c r="B260" s="9" t="s">
        <v>66</v>
      </c>
      <c r="C260" s="9" t="s">
        <v>67</v>
      </c>
      <c r="D260" s="10"/>
      <c r="E260" s="11" t="n">
        <f>135</f>
        <v>135.0</v>
      </c>
      <c r="F260" s="10"/>
      <c r="G260" s="11" t="n">
        <f>258928500</f>
        <v>2.589285E8</v>
      </c>
      <c r="H260" s="10"/>
      <c r="I260" s="11" t="str">
        <f>"－"</f>
        <v>－</v>
      </c>
      <c r="J260" s="10"/>
      <c r="K260" s="11" t="n">
        <f>351</f>
        <v>351.0</v>
      </c>
    </row>
    <row r="261">
      <c r="A261" s="8" t="s">
        <v>26</v>
      </c>
      <c r="B261" s="9" t="s">
        <v>66</v>
      </c>
      <c r="C261" s="9" t="s">
        <v>67</v>
      </c>
      <c r="D261" s="10"/>
      <c r="E261" s="11"/>
      <c r="F261" s="10"/>
      <c r="G261" s="11"/>
      <c r="H261" s="10"/>
      <c r="I261" s="11"/>
      <c r="J261" s="10"/>
      <c r="K261" s="11"/>
    </row>
    <row r="262">
      <c r="A262" s="8" t="s">
        <v>27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28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29</v>
      </c>
      <c r="B264" s="9" t="s">
        <v>66</v>
      </c>
      <c r="C264" s="9" t="s">
        <v>67</v>
      </c>
      <c r="D264" s="10"/>
      <c r="E264" s="11" t="n">
        <f>26</f>
        <v>26.0</v>
      </c>
      <c r="F264" s="10"/>
      <c r="G264" s="11" t="n">
        <f>49832000</f>
        <v>4.9832E7</v>
      </c>
      <c r="H264" s="10"/>
      <c r="I264" s="11" t="str">
        <f>"－"</f>
        <v>－</v>
      </c>
      <c r="J264" s="10"/>
      <c r="K264" s="11" t="n">
        <f>342</f>
        <v>342.0</v>
      </c>
    </row>
    <row r="265">
      <c r="A265" s="8" t="s">
        <v>30</v>
      </c>
      <c r="B265" s="9" t="s">
        <v>66</v>
      </c>
      <c r="C265" s="9" t="s">
        <v>67</v>
      </c>
      <c r="D265" s="10"/>
      <c r="E265" s="11" t="n">
        <f>54</f>
        <v>54.0</v>
      </c>
      <c r="F265" s="10"/>
      <c r="G265" s="11" t="n">
        <f>105253000</f>
        <v>1.05253E8</v>
      </c>
      <c r="H265" s="10"/>
      <c r="I265" s="11" t="str">
        <f>"－"</f>
        <v>－</v>
      </c>
      <c r="J265" s="10"/>
      <c r="K265" s="11" t="n">
        <f>344</f>
        <v>344.0</v>
      </c>
    </row>
    <row r="266">
      <c r="A266" s="8" t="s">
        <v>31</v>
      </c>
      <c r="B266" s="9" t="s">
        <v>66</v>
      </c>
      <c r="C266" s="9" t="s">
        <v>67</v>
      </c>
      <c r="D266" s="10"/>
      <c r="E266" s="11" t="n">
        <f>39</f>
        <v>39.0</v>
      </c>
      <c r="F266" s="10"/>
      <c r="G266" s="11" t="n">
        <f>77343000</f>
        <v>7.7343E7</v>
      </c>
      <c r="H266" s="10"/>
      <c r="I266" s="11" t="str">
        <f>"－"</f>
        <v>－</v>
      </c>
      <c r="J266" s="10"/>
      <c r="K266" s="11" t="n">
        <f>344</f>
        <v>344.0</v>
      </c>
    </row>
    <row r="267">
      <c r="A267" s="8" t="s">
        <v>32</v>
      </c>
      <c r="B267" s="9" t="s">
        <v>66</v>
      </c>
      <c r="C267" s="9" t="s">
        <v>67</v>
      </c>
      <c r="D267" s="10"/>
      <c r="E267" s="11" t="n">
        <f>9</f>
        <v>9.0</v>
      </c>
      <c r="F267" s="10"/>
      <c r="G267" s="11" t="n">
        <f>17499500</f>
        <v>1.74995E7</v>
      </c>
      <c r="H267" s="10"/>
      <c r="I267" s="11" t="str">
        <f>"－"</f>
        <v>－</v>
      </c>
      <c r="J267" s="10"/>
      <c r="K267" s="11" t="n">
        <f>344</f>
        <v>344.0</v>
      </c>
    </row>
    <row r="268">
      <c r="A268" s="8" t="s">
        <v>33</v>
      </c>
      <c r="B268" s="9" t="s">
        <v>66</v>
      </c>
      <c r="C268" s="9" t="s">
        <v>67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34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35</v>
      </c>
      <c r="B270" s="9" t="s">
        <v>66</v>
      </c>
      <c r="C270" s="9" t="s">
        <v>67</v>
      </c>
      <c r="D270" s="10"/>
      <c r="E270" s="11" t="n">
        <f>47</f>
        <v>47.0</v>
      </c>
      <c r="F270" s="10"/>
      <c r="G270" s="11" t="n">
        <f>92901000</f>
        <v>9.2901E7</v>
      </c>
      <c r="H270" s="10"/>
      <c r="I270" s="11" t="str">
        <f>"－"</f>
        <v>－</v>
      </c>
      <c r="J270" s="10"/>
      <c r="K270" s="11" t="n">
        <f>356</f>
        <v>356.0</v>
      </c>
    </row>
    <row r="271">
      <c r="A271" s="8" t="s">
        <v>36</v>
      </c>
      <c r="B271" s="9" t="s">
        <v>66</v>
      </c>
      <c r="C271" s="9" t="s">
        <v>67</v>
      </c>
      <c r="D271" s="10"/>
      <c r="E271" s="11" t="n">
        <f>15</f>
        <v>15.0</v>
      </c>
      <c r="F271" s="10"/>
      <c r="G271" s="11" t="n">
        <f>29772000</f>
        <v>2.9772E7</v>
      </c>
      <c r="H271" s="10"/>
      <c r="I271" s="11" t="str">
        <f>"－"</f>
        <v>－</v>
      </c>
      <c r="J271" s="10"/>
      <c r="K271" s="11" t="n">
        <f>368</f>
        <v>368.0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n">
        <f>42</f>
        <v>42.0</v>
      </c>
      <c r="F272" s="10"/>
      <c r="G272" s="11" t="n">
        <f>85875000</f>
        <v>8.5875E7</v>
      </c>
      <c r="H272" s="10"/>
      <c r="I272" s="11" t="str">
        <f>"－"</f>
        <v>－</v>
      </c>
      <c r="J272" s="10"/>
      <c r="K272" s="11" t="n">
        <f>363</f>
        <v>363.0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n">
        <f>41</f>
        <v>41.0</v>
      </c>
      <c r="F273" s="10"/>
      <c r="G273" s="11" t="n">
        <f>83529000</f>
        <v>8.3529E7</v>
      </c>
      <c r="H273" s="10"/>
      <c r="I273" s="11" t="str">
        <f>"－"</f>
        <v>－</v>
      </c>
      <c r="J273" s="10"/>
      <c r="K273" s="11" t="n">
        <f>374</f>
        <v>374.0</v>
      </c>
    </row>
    <row r="274">
      <c r="A274" s="8" t="s">
        <v>41</v>
      </c>
      <c r="B274" s="9" t="s">
        <v>66</v>
      </c>
      <c r="C274" s="9" t="s">
        <v>67</v>
      </c>
      <c r="D274" s="10"/>
      <c r="E274" s="11" t="n">
        <f>76</f>
        <v>76.0</v>
      </c>
      <c r="F274" s="10"/>
      <c r="G274" s="11" t="n">
        <f>154792000</f>
        <v>1.54792E8</v>
      </c>
      <c r="H274" s="10"/>
      <c r="I274" s="11" t="str">
        <f>"－"</f>
        <v>－</v>
      </c>
      <c r="J274" s="10"/>
      <c r="K274" s="11" t="n">
        <f>373</f>
        <v>373.0</v>
      </c>
    </row>
    <row r="275">
      <c r="A275" s="8" t="s">
        <v>42</v>
      </c>
      <c r="B275" s="9" t="s">
        <v>66</v>
      </c>
      <c r="C275" s="9" t="s">
        <v>67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43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44</v>
      </c>
      <c r="B277" s="9" t="s">
        <v>66</v>
      </c>
      <c r="C277" s="9" t="s">
        <v>67</v>
      </c>
      <c r="D277" s="10"/>
      <c r="E277" s="11" t="n">
        <f>22</f>
        <v>22.0</v>
      </c>
      <c r="F277" s="10"/>
      <c r="G277" s="11" t="n">
        <f>44749500</f>
        <v>4.47495E7</v>
      </c>
      <c r="H277" s="10"/>
      <c r="I277" s="11" t="str">
        <f>"－"</f>
        <v>－</v>
      </c>
      <c r="J277" s="10"/>
      <c r="K277" s="11" t="n">
        <f>382</f>
        <v>382.0</v>
      </c>
    </row>
    <row r="278">
      <c r="A278" s="8" t="s">
        <v>45</v>
      </c>
      <c r="B278" s="9" t="s">
        <v>66</v>
      </c>
      <c r="C278" s="9" t="s">
        <v>67</v>
      </c>
      <c r="D278" s="10"/>
      <c r="E278" s="11" t="n">
        <f>54</f>
        <v>54.0</v>
      </c>
      <c r="F278" s="10"/>
      <c r="G278" s="11" t="n">
        <f>109300000</f>
        <v>1.093E8</v>
      </c>
      <c r="H278" s="10"/>
      <c r="I278" s="11" t="str">
        <f>"－"</f>
        <v>－</v>
      </c>
      <c r="J278" s="10"/>
      <c r="K278" s="11" t="n">
        <f>359</f>
        <v>359.0</v>
      </c>
    </row>
    <row r="279">
      <c r="A279" s="8" t="s">
        <v>46</v>
      </c>
      <c r="B279" s="9" t="s">
        <v>66</v>
      </c>
      <c r="C279" s="9" t="s">
        <v>67</v>
      </c>
      <c r="D279" s="10" t="s">
        <v>37</v>
      </c>
      <c r="E279" s="11" t="n">
        <f>3</f>
        <v>3.0</v>
      </c>
      <c r="F279" s="10" t="s">
        <v>37</v>
      </c>
      <c r="G279" s="11" t="n">
        <f>6029500</f>
        <v>6029500.0</v>
      </c>
      <c r="H279" s="10"/>
      <c r="I279" s="11" t="str">
        <f>"－"</f>
        <v>－</v>
      </c>
      <c r="J279" s="10"/>
      <c r="K279" s="11" t="n">
        <f>358</f>
        <v>358.0</v>
      </c>
    </row>
    <row r="280">
      <c r="A280" s="8" t="s">
        <v>47</v>
      </c>
      <c r="B280" s="9" t="s">
        <v>66</v>
      </c>
      <c r="C280" s="9" t="s">
        <v>67</v>
      </c>
      <c r="D280" s="10" t="s">
        <v>40</v>
      </c>
      <c r="E280" s="11" t="n">
        <f>144</f>
        <v>144.0</v>
      </c>
      <c r="F280" s="10" t="s">
        <v>40</v>
      </c>
      <c r="G280" s="11" t="n">
        <f>297669500</f>
        <v>2.976695E8</v>
      </c>
      <c r="H280" s="10"/>
      <c r="I280" s="11" t="str">
        <f>"－"</f>
        <v>－</v>
      </c>
      <c r="J280" s="10"/>
      <c r="K280" s="11" t="n">
        <f>322</f>
        <v>322.0</v>
      </c>
    </row>
    <row r="281">
      <c r="A281" s="8" t="s">
        <v>48</v>
      </c>
      <c r="B281" s="9" t="s">
        <v>66</v>
      </c>
      <c r="C281" s="9" t="s">
        <v>67</v>
      </c>
      <c r="D281" s="10"/>
      <c r="E281" s="11" t="n">
        <f>25</f>
        <v>25.0</v>
      </c>
      <c r="F281" s="10"/>
      <c r="G281" s="11" t="n">
        <f>52359000</f>
        <v>5.2359E7</v>
      </c>
      <c r="H281" s="10"/>
      <c r="I281" s="11" t="str">
        <f>"－"</f>
        <v>－</v>
      </c>
      <c r="J281" s="10" t="s">
        <v>37</v>
      </c>
      <c r="K281" s="11" t="n">
        <f>315</f>
        <v>315.0</v>
      </c>
    </row>
    <row r="282">
      <c r="A282" s="8" t="s">
        <v>49</v>
      </c>
      <c r="B282" s="9" t="s">
        <v>66</v>
      </c>
      <c r="C282" s="9" t="s">
        <v>67</v>
      </c>
      <c r="D282" s="10"/>
      <c r="E282" s="11"/>
      <c r="F282" s="10"/>
      <c r="G282" s="11"/>
      <c r="H282" s="10"/>
      <c r="I282" s="11"/>
      <c r="J282" s="10"/>
      <c r="K282" s="11"/>
    </row>
    <row r="283">
      <c r="A283" s="8" t="s">
        <v>50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51</v>
      </c>
      <c r="B284" s="9" t="s">
        <v>66</v>
      </c>
      <c r="C284" s="9" t="s">
        <v>67</v>
      </c>
      <c r="D284" s="10"/>
      <c r="E284" s="11" t="n">
        <f>3</f>
        <v>3.0</v>
      </c>
      <c r="F284" s="10"/>
      <c r="G284" s="11" t="n">
        <f>6070000</f>
        <v>6070000.0</v>
      </c>
      <c r="H284" s="10"/>
      <c r="I284" s="11" t="str">
        <f>"－"</f>
        <v>－</v>
      </c>
      <c r="J284" s="10"/>
      <c r="K284" s="11" t="n">
        <f>317</f>
        <v>317.0</v>
      </c>
    </row>
    <row r="285">
      <c r="A285" s="8" t="s">
        <v>16</v>
      </c>
      <c r="B285" s="9" t="s">
        <v>68</v>
      </c>
      <c r="C285" s="9" t="s">
        <v>69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19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20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21</v>
      </c>
      <c r="B288" s="9" t="s">
        <v>68</v>
      </c>
      <c r="C288" s="9" t="s">
        <v>69</v>
      </c>
      <c r="D288" s="10"/>
      <c r="E288" s="11" t="n">
        <f>2239</f>
        <v>2239.0</v>
      </c>
      <c r="F288" s="10"/>
      <c r="G288" s="11" t="n">
        <f>2644863500</f>
        <v>2.6448635E9</v>
      </c>
      <c r="H288" s="10" t="s">
        <v>22</v>
      </c>
      <c r="I288" s="11" t="str">
        <f>"－"</f>
        <v>－</v>
      </c>
      <c r="J288" s="10"/>
      <c r="K288" s="11" t="n">
        <f>8325</f>
        <v>8325.0</v>
      </c>
    </row>
    <row r="289">
      <c r="A289" s="8" t="s">
        <v>23</v>
      </c>
      <c r="B289" s="9" t="s">
        <v>68</v>
      </c>
      <c r="C289" s="9" t="s">
        <v>69</v>
      </c>
      <c r="D289" s="10"/>
      <c r="E289" s="11" t="n">
        <f>2729</f>
        <v>2729.0</v>
      </c>
      <c r="F289" s="10"/>
      <c r="G289" s="11" t="n">
        <f>3269138000</f>
        <v>3.269138E9</v>
      </c>
      <c r="H289" s="10"/>
      <c r="I289" s="11" t="str">
        <f>"－"</f>
        <v>－</v>
      </c>
      <c r="J289" s="10"/>
      <c r="K289" s="11" t="n">
        <f>8743</f>
        <v>8743.0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n">
        <f>1970</f>
        <v>1970.0</v>
      </c>
      <c r="F290" s="10"/>
      <c r="G290" s="11" t="n">
        <f>2337341500</f>
        <v>2.3373415E9</v>
      </c>
      <c r="H290" s="10"/>
      <c r="I290" s="11" t="str">
        <f>"－"</f>
        <v>－</v>
      </c>
      <c r="J290" s="10"/>
      <c r="K290" s="11" t="n">
        <f>8681</f>
        <v>8681.0</v>
      </c>
    </row>
    <row r="291">
      <c r="A291" s="8" t="s">
        <v>25</v>
      </c>
      <c r="B291" s="9" t="s">
        <v>68</v>
      </c>
      <c r="C291" s="9" t="s">
        <v>69</v>
      </c>
      <c r="D291" s="10" t="s">
        <v>37</v>
      </c>
      <c r="E291" s="11" t="n">
        <f>1349</f>
        <v>1349.0</v>
      </c>
      <c r="F291" s="10" t="s">
        <v>37</v>
      </c>
      <c r="G291" s="11" t="n">
        <f>1600097500</f>
        <v>1.6000975E9</v>
      </c>
      <c r="H291" s="10"/>
      <c r="I291" s="11" t="str">
        <f>"－"</f>
        <v>－</v>
      </c>
      <c r="J291" s="10"/>
      <c r="K291" s="11" t="n">
        <f>8730</f>
        <v>8730.0</v>
      </c>
    </row>
    <row r="292">
      <c r="A292" s="8" t="s">
        <v>26</v>
      </c>
      <c r="B292" s="9" t="s">
        <v>68</v>
      </c>
      <c r="C292" s="9" t="s">
        <v>69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27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28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29</v>
      </c>
      <c r="B295" s="9" t="s">
        <v>68</v>
      </c>
      <c r="C295" s="9" t="s">
        <v>69</v>
      </c>
      <c r="D295" s="10"/>
      <c r="E295" s="11" t="n">
        <f>2325</f>
        <v>2325.0</v>
      </c>
      <c r="F295" s="10"/>
      <c r="G295" s="11" t="n">
        <f>2765913500</f>
        <v>2.7659135E9</v>
      </c>
      <c r="H295" s="10"/>
      <c r="I295" s="11" t="str">
        <f>"－"</f>
        <v>－</v>
      </c>
      <c r="J295" s="10"/>
      <c r="K295" s="11" t="n">
        <f>8506</f>
        <v>8506.0</v>
      </c>
    </row>
    <row r="296">
      <c r="A296" s="8" t="s">
        <v>30</v>
      </c>
      <c r="B296" s="9" t="s">
        <v>68</v>
      </c>
      <c r="C296" s="9" t="s">
        <v>69</v>
      </c>
      <c r="D296" s="10"/>
      <c r="E296" s="11" t="n">
        <f>1617</f>
        <v>1617.0</v>
      </c>
      <c r="F296" s="10"/>
      <c r="G296" s="11" t="n">
        <f>1941156000</f>
        <v>1.941156E9</v>
      </c>
      <c r="H296" s="10"/>
      <c r="I296" s="11" t="str">
        <f>"－"</f>
        <v>－</v>
      </c>
      <c r="J296" s="10"/>
      <c r="K296" s="11" t="n">
        <f>8493</f>
        <v>8493.0</v>
      </c>
    </row>
    <row r="297">
      <c r="A297" s="8" t="s">
        <v>31</v>
      </c>
      <c r="B297" s="9" t="s">
        <v>68</v>
      </c>
      <c r="C297" s="9" t="s">
        <v>69</v>
      </c>
      <c r="D297" s="10"/>
      <c r="E297" s="11" t="n">
        <f>2945</f>
        <v>2945.0</v>
      </c>
      <c r="F297" s="10"/>
      <c r="G297" s="11" t="n">
        <f>3572560000</f>
        <v>3.57256E9</v>
      </c>
      <c r="H297" s="10"/>
      <c r="I297" s="11" t="str">
        <f>"－"</f>
        <v>－</v>
      </c>
      <c r="J297" s="10"/>
      <c r="K297" s="11" t="n">
        <f>8305</f>
        <v>8305.0</v>
      </c>
    </row>
    <row r="298">
      <c r="A298" s="8" t="s">
        <v>32</v>
      </c>
      <c r="B298" s="9" t="s">
        <v>68</v>
      </c>
      <c r="C298" s="9" t="s">
        <v>69</v>
      </c>
      <c r="D298" s="10"/>
      <c r="E298" s="11" t="n">
        <f>2376</f>
        <v>2376.0</v>
      </c>
      <c r="F298" s="10"/>
      <c r="G298" s="11" t="n">
        <f>2860759500</f>
        <v>2.8607595E9</v>
      </c>
      <c r="H298" s="10"/>
      <c r="I298" s="11" t="str">
        <f>"－"</f>
        <v>－</v>
      </c>
      <c r="J298" s="10"/>
      <c r="K298" s="11" t="n">
        <f>7927</f>
        <v>7927.0</v>
      </c>
    </row>
    <row r="299">
      <c r="A299" s="8" t="s">
        <v>33</v>
      </c>
      <c r="B299" s="9" t="s">
        <v>68</v>
      </c>
      <c r="C299" s="9" t="s">
        <v>69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34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35</v>
      </c>
      <c r="B301" s="9" t="s">
        <v>68</v>
      </c>
      <c r="C301" s="9" t="s">
        <v>69</v>
      </c>
      <c r="D301" s="10"/>
      <c r="E301" s="11" t="n">
        <f>2043</f>
        <v>2043.0</v>
      </c>
      <c r="F301" s="10"/>
      <c r="G301" s="11" t="n">
        <f>2456532500</f>
        <v>2.4565325E9</v>
      </c>
      <c r="H301" s="10"/>
      <c r="I301" s="11" t="str">
        <f>"－"</f>
        <v>－</v>
      </c>
      <c r="J301" s="10" t="s">
        <v>37</v>
      </c>
      <c r="K301" s="11" t="n">
        <f>7891</f>
        <v>7891.0</v>
      </c>
    </row>
    <row r="302">
      <c r="A302" s="8" t="s">
        <v>36</v>
      </c>
      <c r="B302" s="9" t="s">
        <v>68</v>
      </c>
      <c r="C302" s="9" t="s">
        <v>69</v>
      </c>
      <c r="D302" s="10"/>
      <c r="E302" s="11" t="n">
        <f>1636</f>
        <v>1636.0</v>
      </c>
      <c r="F302" s="10"/>
      <c r="G302" s="11" t="n">
        <f>1977993500</f>
        <v>1.9779935E9</v>
      </c>
      <c r="H302" s="10"/>
      <c r="I302" s="11" t="str">
        <f>"－"</f>
        <v>－</v>
      </c>
      <c r="J302" s="10"/>
      <c r="K302" s="11" t="n">
        <f>8063</f>
        <v>8063.0</v>
      </c>
    </row>
    <row r="303">
      <c r="A303" s="8" t="s">
        <v>38</v>
      </c>
      <c r="B303" s="9" t="s">
        <v>68</v>
      </c>
      <c r="C303" s="9" t="s">
        <v>69</v>
      </c>
      <c r="D303" s="10" t="s">
        <v>40</v>
      </c>
      <c r="E303" s="11" t="n">
        <f>4706</f>
        <v>4706.0</v>
      </c>
      <c r="F303" s="10" t="s">
        <v>40</v>
      </c>
      <c r="G303" s="11" t="n">
        <f>5801417500</f>
        <v>5.8014175E9</v>
      </c>
      <c r="H303" s="10"/>
      <c r="I303" s="11" t="str">
        <f>"－"</f>
        <v>－</v>
      </c>
      <c r="J303" s="10"/>
      <c r="K303" s="11" t="n">
        <f>8712</f>
        <v>8712.0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1982</f>
        <v>1982.0</v>
      </c>
      <c r="F304" s="10"/>
      <c r="G304" s="11" t="n">
        <f>2454659500</f>
        <v>2.4546595E9</v>
      </c>
      <c r="H304" s="10"/>
      <c r="I304" s="11" t="str">
        <f>"－"</f>
        <v>－</v>
      </c>
      <c r="J304" s="10"/>
      <c r="K304" s="11" t="n">
        <f>8923</f>
        <v>8923.0</v>
      </c>
    </row>
    <row r="305">
      <c r="A305" s="8" t="s">
        <v>41</v>
      </c>
      <c r="B305" s="9" t="s">
        <v>68</v>
      </c>
      <c r="C305" s="9" t="s">
        <v>69</v>
      </c>
      <c r="D305" s="10"/>
      <c r="E305" s="11" t="n">
        <f>2344</f>
        <v>2344.0</v>
      </c>
      <c r="F305" s="10"/>
      <c r="G305" s="11" t="n">
        <f>2873231000</f>
        <v>2.873231E9</v>
      </c>
      <c r="H305" s="10"/>
      <c r="I305" s="11" t="str">
        <f>"－"</f>
        <v>－</v>
      </c>
      <c r="J305" s="10"/>
      <c r="K305" s="11" t="n">
        <f>8944</f>
        <v>8944.0</v>
      </c>
    </row>
    <row r="306">
      <c r="A306" s="8" t="s">
        <v>42</v>
      </c>
      <c r="B306" s="9" t="s">
        <v>68</v>
      </c>
      <c r="C306" s="9" t="s">
        <v>69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43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44</v>
      </c>
      <c r="B308" s="9" t="s">
        <v>68</v>
      </c>
      <c r="C308" s="9" t="s">
        <v>69</v>
      </c>
      <c r="D308" s="10"/>
      <c r="E308" s="11" t="n">
        <f>2381</f>
        <v>2381.0</v>
      </c>
      <c r="F308" s="10"/>
      <c r="G308" s="11" t="n">
        <f>2846736000</f>
        <v>2.846736E9</v>
      </c>
      <c r="H308" s="10"/>
      <c r="I308" s="11" t="str">
        <f>"－"</f>
        <v>－</v>
      </c>
      <c r="J308" s="10"/>
      <c r="K308" s="11" t="n">
        <f>8743</f>
        <v>8743.0</v>
      </c>
    </row>
    <row r="309">
      <c r="A309" s="8" t="s">
        <v>45</v>
      </c>
      <c r="B309" s="9" t="s">
        <v>68</v>
      </c>
      <c r="C309" s="9" t="s">
        <v>69</v>
      </c>
      <c r="D309" s="10"/>
      <c r="E309" s="11" t="n">
        <f>2783</f>
        <v>2783.0</v>
      </c>
      <c r="F309" s="10"/>
      <c r="G309" s="11" t="n">
        <f>3262036500</f>
        <v>3.2620365E9</v>
      </c>
      <c r="H309" s="10"/>
      <c r="I309" s="11" t="str">
        <f>"－"</f>
        <v>－</v>
      </c>
      <c r="J309" s="10"/>
      <c r="K309" s="11" t="n">
        <f>8476</f>
        <v>8476.0</v>
      </c>
    </row>
    <row r="310">
      <c r="A310" s="8" t="s">
        <v>46</v>
      </c>
      <c r="B310" s="9" t="s">
        <v>68</v>
      </c>
      <c r="C310" s="9" t="s">
        <v>69</v>
      </c>
      <c r="D310" s="10"/>
      <c r="E310" s="11" t="n">
        <f>2619</f>
        <v>2619.0</v>
      </c>
      <c r="F310" s="10"/>
      <c r="G310" s="11" t="n">
        <f>3076149500</f>
        <v>3.0761495E9</v>
      </c>
      <c r="H310" s="10"/>
      <c r="I310" s="11" t="str">
        <f>"－"</f>
        <v>－</v>
      </c>
      <c r="J310" s="10"/>
      <c r="K310" s="11" t="n">
        <f>8313</f>
        <v>8313.0</v>
      </c>
    </row>
    <row r="311">
      <c r="A311" s="8" t="s">
        <v>47</v>
      </c>
      <c r="B311" s="9" t="s">
        <v>68</v>
      </c>
      <c r="C311" s="9" t="s">
        <v>69</v>
      </c>
      <c r="D311" s="10"/>
      <c r="E311" s="11" t="n">
        <f>3637</f>
        <v>3637.0</v>
      </c>
      <c r="F311" s="10"/>
      <c r="G311" s="11" t="n">
        <f>4250783000</f>
        <v>4.250783E9</v>
      </c>
      <c r="H311" s="10"/>
      <c r="I311" s="11" t="str">
        <f>"－"</f>
        <v>－</v>
      </c>
      <c r="J311" s="10"/>
      <c r="K311" s="11" t="n">
        <f>8277</f>
        <v>8277.0</v>
      </c>
    </row>
    <row r="312">
      <c r="A312" s="8" t="s">
        <v>48</v>
      </c>
      <c r="B312" s="9" t="s">
        <v>68</v>
      </c>
      <c r="C312" s="9" t="s">
        <v>69</v>
      </c>
      <c r="D312" s="10"/>
      <c r="E312" s="11" t="n">
        <f>4517</f>
        <v>4517.0</v>
      </c>
      <c r="F312" s="10"/>
      <c r="G312" s="11" t="n">
        <f>5275780000</f>
        <v>5.27578E9</v>
      </c>
      <c r="H312" s="10"/>
      <c r="I312" s="11" t="str">
        <f>"－"</f>
        <v>－</v>
      </c>
      <c r="J312" s="10"/>
      <c r="K312" s="11" t="n">
        <f>8680</f>
        <v>8680.0</v>
      </c>
    </row>
    <row r="313">
      <c r="A313" s="8" t="s">
        <v>49</v>
      </c>
      <c r="B313" s="9" t="s">
        <v>68</v>
      </c>
      <c r="C313" s="9" t="s">
        <v>69</v>
      </c>
      <c r="D313" s="10"/>
      <c r="E313" s="11"/>
      <c r="F313" s="10"/>
      <c r="G313" s="11"/>
      <c r="H313" s="10"/>
      <c r="I313" s="11"/>
      <c r="J313" s="10"/>
      <c r="K313" s="11"/>
    </row>
    <row r="314">
      <c r="A314" s="8" t="s">
        <v>50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51</v>
      </c>
      <c r="B315" s="9" t="s">
        <v>68</v>
      </c>
      <c r="C315" s="9" t="s">
        <v>69</v>
      </c>
      <c r="D315" s="10"/>
      <c r="E315" s="11" t="n">
        <f>3906</f>
        <v>3906.0</v>
      </c>
      <c r="F315" s="10"/>
      <c r="G315" s="11" t="n">
        <f>4685988500</f>
        <v>4.6859885E9</v>
      </c>
      <c r="H315" s="10"/>
      <c r="I315" s="11" t="str">
        <f>"－"</f>
        <v>－</v>
      </c>
      <c r="J315" s="10" t="s">
        <v>40</v>
      </c>
      <c r="K315" s="11" t="n">
        <f>9104</f>
        <v>9104.0</v>
      </c>
    </row>
    <row r="316">
      <c r="A316" s="8" t="s">
        <v>16</v>
      </c>
      <c r="B316" s="9" t="s">
        <v>70</v>
      </c>
      <c r="C316" s="9" t="s">
        <v>71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19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20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21</v>
      </c>
      <c r="B319" s="9" t="s">
        <v>70</v>
      </c>
      <c r="C319" s="9" t="s">
        <v>71</v>
      </c>
      <c r="D319" s="10"/>
      <c r="E319" s="11" t="n">
        <f>12</f>
        <v>12.0</v>
      </c>
      <c r="F319" s="10"/>
      <c r="G319" s="11" t="n">
        <f>12139500</f>
        <v>1.21395E7</v>
      </c>
      <c r="H319" s="10" t="s">
        <v>22</v>
      </c>
      <c r="I319" s="11" t="str">
        <f>"－"</f>
        <v>－</v>
      </c>
      <c r="J319" s="10" t="s">
        <v>40</v>
      </c>
      <c r="K319" s="11" t="n">
        <f>3</f>
        <v>3.0</v>
      </c>
    </row>
    <row r="320">
      <c r="A320" s="8" t="s">
        <v>23</v>
      </c>
      <c r="B320" s="9" t="s">
        <v>70</v>
      </c>
      <c r="C320" s="9" t="s">
        <v>71</v>
      </c>
      <c r="D320" s="10"/>
      <c r="E320" s="11" t="n">
        <f>6</f>
        <v>6.0</v>
      </c>
      <c r="F320" s="10"/>
      <c r="G320" s="11" t="n">
        <f>6138000</f>
        <v>6138000.0</v>
      </c>
      <c r="H320" s="10"/>
      <c r="I320" s="11" t="str">
        <f>"－"</f>
        <v>－</v>
      </c>
      <c r="J320" s="10" t="s">
        <v>37</v>
      </c>
      <c r="K320" s="11" t="str">
        <f>"－"</f>
        <v>－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n">
        <f>21</f>
        <v>21.0</v>
      </c>
      <c r="F321" s="10"/>
      <c r="G321" s="11" t="n">
        <f>21234000</f>
        <v>2.1234E7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25</v>
      </c>
      <c r="B322" s="9" t="s">
        <v>70</v>
      </c>
      <c r="C322" s="9" t="s">
        <v>71</v>
      </c>
      <c r="D322" s="10" t="s">
        <v>37</v>
      </c>
      <c r="E322" s="11" t="str">
        <f>"－"</f>
        <v>－</v>
      </c>
      <c r="F322" s="10" t="s">
        <v>37</v>
      </c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26</v>
      </c>
      <c r="B323" s="9" t="s">
        <v>70</v>
      </c>
      <c r="C323" s="9" t="s">
        <v>71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27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28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29</v>
      </c>
      <c r="B326" s="9" t="s">
        <v>70</v>
      </c>
      <c r="C326" s="9" t="s">
        <v>71</v>
      </c>
      <c r="D326" s="10"/>
      <c r="E326" s="11" t="n">
        <f>6</f>
        <v>6.0</v>
      </c>
      <c r="F326" s="10"/>
      <c r="G326" s="11" t="n">
        <f>6117000</f>
        <v>6117000.0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30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31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32</v>
      </c>
      <c r="B329" s="9" t="s">
        <v>70</v>
      </c>
      <c r="C329" s="9" t="s">
        <v>71</v>
      </c>
      <c r="D329" s="10"/>
      <c r="E329" s="11" t="n">
        <f>15</f>
        <v>15.0</v>
      </c>
      <c r="F329" s="10"/>
      <c r="G329" s="11" t="n">
        <f>15385500</f>
        <v>1.53855E7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33</v>
      </c>
      <c r="B330" s="9" t="s">
        <v>70</v>
      </c>
      <c r="C330" s="9" t="s">
        <v>71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34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35</v>
      </c>
      <c r="B332" s="9" t="s">
        <v>70</v>
      </c>
      <c r="C332" s="9" t="s">
        <v>71</v>
      </c>
      <c r="D332" s="10"/>
      <c r="E332" s="11" t="n">
        <f>18</f>
        <v>18.0</v>
      </c>
      <c r="F332" s="10"/>
      <c r="G332" s="11" t="n">
        <f>18322500</f>
        <v>1.83225E7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36</v>
      </c>
      <c r="B333" s="9" t="s">
        <v>70</v>
      </c>
      <c r="C333" s="9" t="s">
        <v>71</v>
      </c>
      <c r="D333" s="10"/>
      <c r="E333" s="11" t="n">
        <f>9</f>
        <v>9.0</v>
      </c>
      <c r="F333" s="10"/>
      <c r="G333" s="11" t="n">
        <f>9321000</f>
        <v>9321000.0</v>
      </c>
      <c r="H333" s="10"/>
      <c r="I333" s="11" t="str">
        <f>"－"</f>
        <v>－</v>
      </c>
      <c r="J333" s="10"/>
      <c r="K333" s="11" t="n">
        <f>3</f>
        <v>3.0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15</f>
        <v>15.0</v>
      </c>
      <c r="F334" s="10"/>
      <c r="G334" s="11" t="n">
        <f>15687000</f>
        <v>1.5687E7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n">
        <f>12</f>
        <v>12.0</v>
      </c>
      <c r="F335" s="10"/>
      <c r="G335" s="11" t="n">
        <f>12483000</f>
        <v>1.2483E7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41</v>
      </c>
      <c r="B336" s="9" t="s">
        <v>70</v>
      </c>
      <c r="C336" s="9" t="s">
        <v>71</v>
      </c>
      <c r="D336" s="10" t="s">
        <v>40</v>
      </c>
      <c r="E336" s="11" t="n">
        <f>30</f>
        <v>30.0</v>
      </c>
      <c r="F336" s="10" t="s">
        <v>40</v>
      </c>
      <c r="G336" s="11" t="n">
        <f>30670500</f>
        <v>3.06705E7</v>
      </c>
      <c r="H336" s="10"/>
      <c r="I336" s="11" t="str">
        <f>"－"</f>
        <v>－</v>
      </c>
      <c r="J336" s="10"/>
      <c r="K336" s="11" t="str">
        <f>"－"</f>
        <v>－</v>
      </c>
    </row>
    <row r="337">
      <c r="A337" s="8" t="s">
        <v>42</v>
      </c>
      <c r="B337" s="9" t="s">
        <v>70</v>
      </c>
      <c r="C337" s="9" t="s">
        <v>71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43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44</v>
      </c>
      <c r="B339" s="9" t="s">
        <v>70</v>
      </c>
      <c r="C339" s="9" t="s">
        <v>71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45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46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47</v>
      </c>
      <c r="B342" s="9" t="s">
        <v>70</v>
      </c>
      <c r="C342" s="9" t="s">
        <v>71</v>
      </c>
      <c r="D342" s="10"/>
      <c r="E342" s="11" t="n">
        <f>3</f>
        <v>3.0</v>
      </c>
      <c r="F342" s="10"/>
      <c r="G342" s="11" t="n">
        <f>2998500</f>
        <v>2998500.0</v>
      </c>
      <c r="H342" s="10"/>
      <c r="I342" s="11" t="str">
        <f>"－"</f>
        <v>－</v>
      </c>
      <c r="J342" s="10"/>
      <c r="K342" s="11" t="n">
        <f>3</f>
        <v>3.0</v>
      </c>
    </row>
    <row r="343">
      <c r="A343" s="8" t="s">
        <v>48</v>
      </c>
      <c r="B343" s="9" t="s">
        <v>70</v>
      </c>
      <c r="C343" s="9" t="s">
        <v>71</v>
      </c>
      <c r="D343" s="10"/>
      <c r="E343" s="11" t="n">
        <f>27</f>
        <v>27.0</v>
      </c>
      <c r="F343" s="10"/>
      <c r="G343" s="11" t="n">
        <f>26572500</f>
        <v>2.65725E7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49</v>
      </c>
      <c r="B344" s="9" t="s">
        <v>70</v>
      </c>
      <c r="C344" s="9" t="s">
        <v>71</v>
      </c>
      <c r="D344" s="10"/>
      <c r="E344" s="11"/>
      <c r="F344" s="10"/>
      <c r="G344" s="11"/>
      <c r="H344" s="10"/>
      <c r="I344" s="11"/>
      <c r="J344" s="10"/>
      <c r="K344" s="11"/>
    </row>
    <row r="345">
      <c r="A345" s="8" t="s">
        <v>50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51</v>
      </c>
      <c r="B346" s="9" t="s">
        <v>70</v>
      </c>
      <c r="C346" s="9" t="s">
        <v>71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>"－"</f>
        <v>－</v>
      </c>
      <c r="J346" s="10"/>
      <c r="K346" s="11" t="str">
        <f>"－"</f>
        <v>－</v>
      </c>
    </row>
    <row r="347">
      <c r="A347" s="8" t="s">
        <v>16</v>
      </c>
      <c r="B347" s="9" t="s">
        <v>72</v>
      </c>
      <c r="C347" s="9" t="s">
        <v>73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19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20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21</v>
      </c>
      <c r="B350" s="9" t="s">
        <v>72</v>
      </c>
      <c r="C350" s="9" t="s">
        <v>73</v>
      </c>
      <c r="D350" s="10"/>
      <c r="E350" s="11" t="n">
        <f>187</f>
        <v>187.0</v>
      </c>
      <c r="F350" s="10"/>
      <c r="G350" s="11" t="n">
        <f>371095500</f>
        <v>3.710955E8</v>
      </c>
      <c r="H350" s="10" t="s">
        <v>22</v>
      </c>
      <c r="I350" s="11" t="str">
        <f>"－"</f>
        <v>－</v>
      </c>
      <c r="J350" s="10"/>
      <c r="K350" s="11" t="n">
        <f>1925</f>
        <v>1925.0</v>
      </c>
    </row>
    <row r="351">
      <c r="A351" s="8" t="s">
        <v>23</v>
      </c>
      <c r="B351" s="9" t="s">
        <v>72</v>
      </c>
      <c r="C351" s="9" t="s">
        <v>73</v>
      </c>
      <c r="D351" s="10"/>
      <c r="E351" s="11" t="n">
        <f>226</f>
        <v>226.0</v>
      </c>
      <c r="F351" s="10"/>
      <c r="G351" s="11" t="n">
        <f>458011000</f>
        <v>4.58011E8</v>
      </c>
      <c r="H351" s="10"/>
      <c r="I351" s="11" t="str">
        <f>"－"</f>
        <v>－</v>
      </c>
      <c r="J351" s="10"/>
      <c r="K351" s="11" t="n">
        <f>1927</f>
        <v>1927.0</v>
      </c>
    </row>
    <row r="352">
      <c r="A352" s="8" t="s">
        <v>24</v>
      </c>
      <c r="B352" s="9" t="s">
        <v>72</v>
      </c>
      <c r="C352" s="9" t="s">
        <v>73</v>
      </c>
      <c r="D352" s="10"/>
      <c r="E352" s="11" t="n">
        <f>164</f>
        <v>164.0</v>
      </c>
      <c r="F352" s="10"/>
      <c r="G352" s="11" t="n">
        <f>328341000</f>
        <v>3.28341E8</v>
      </c>
      <c r="H352" s="10"/>
      <c r="I352" s="11" t="str">
        <f>"－"</f>
        <v>－</v>
      </c>
      <c r="J352" s="10"/>
      <c r="K352" s="11" t="n">
        <f>1927</f>
        <v>1927.0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n">
        <f>122</f>
        <v>122.0</v>
      </c>
      <c r="F353" s="10"/>
      <c r="G353" s="11" t="n">
        <f>244312000</f>
        <v>2.44312E8</v>
      </c>
      <c r="H353" s="10"/>
      <c r="I353" s="11" t="str">
        <f>"－"</f>
        <v>－</v>
      </c>
      <c r="J353" s="10"/>
      <c r="K353" s="11" t="n">
        <f>1916</f>
        <v>1916.0</v>
      </c>
    </row>
    <row r="354">
      <c r="A354" s="8" t="s">
        <v>26</v>
      </c>
      <c r="B354" s="9" t="s">
        <v>72</v>
      </c>
      <c r="C354" s="9" t="s">
        <v>73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27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28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29</v>
      </c>
      <c r="B357" s="9" t="s">
        <v>72</v>
      </c>
      <c r="C357" s="9" t="s">
        <v>73</v>
      </c>
      <c r="D357" s="10"/>
      <c r="E357" s="11" t="n">
        <f>141</f>
        <v>141.0</v>
      </c>
      <c r="F357" s="10"/>
      <c r="G357" s="11" t="n">
        <f>280921500</f>
        <v>2.809215E8</v>
      </c>
      <c r="H357" s="10"/>
      <c r="I357" s="11" t="str">
        <f>"－"</f>
        <v>－</v>
      </c>
      <c r="J357" s="10"/>
      <c r="K357" s="11" t="n">
        <f>1932</f>
        <v>1932.0</v>
      </c>
    </row>
    <row r="358">
      <c r="A358" s="8" t="s">
        <v>30</v>
      </c>
      <c r="B358" s="9" t="s">
        <v>72</v>
      </c>
      <c r="C358" s="9" t="s">
        <v>73</v>
      </c>
      <c r="D358" s="10" t="s">
        <v>37</v>
      </c>
      <c r="E358" s="11" t="n">
        <f>76</f>
        <v>76.0</v>
      </c>
      <c r="F358" s="10" t="s">
        <v>37</v>
      </c>
      <c r="G358" s="11" t="n">
        <f>152019500</f>
        <v>1.520195E8</v>
      </c>
      <c r="H358" s="10"/>
      <c r="I358" s="11" t="str">
        <f>"－"</f>
        <v>－</v>
      </c>
      <c r="J358" s="10"/>
      <c r="K358" s="11" t="n">
        <f>1927</f>
        <v>1927.0</v>
      </c>
    </row>
    <row r="359">
      <c r="A359" s="8" t="s">
        <v>31</v>
      </c>
      <c r="B359" s="9" t="s">
        <v>72</v>
      </c>
      <c r="C359" s="9" t="s">
        <v>73</v>
      </c>
      <c r="D359" s="10"/>
      <c r="E359" s="11" t="n">
        <f>81</f>
        <v>81.0</v>
      </c>
      <c r="F359" s="10"/>
      <c r="G359" s="11" t="n">
        <f>162131000</f>
        <v>1.62131E8</v>
      </c>
      <c r="H359" s="10"/>
      <c r="I359" s="11" t="str">
        <f>"－"</f>
        <v>－</v>
      </c>
      <c r="J359" s="10"/>
      <c r="K359" s="11" t="n">
        <f>1925</f>
        <v>1925.0</v>
      </c>
    </row>
    <row r="360">
      <c r="A360" s="8" t="s">
        <v>32</v>
      </c>
      <c r="B360" s="9" t="s">
        <v>72</v>
      </c>
      <c r="C360" s="9" t="s">
        <v>73</v>
      </c>
      <c r="D360" s="10"/>
      <c r="E360" s="11" t="n">
        <f>120</f>
        <v>120.0</v>
      </c>
      <c r="F360" s="10"/>
      <c r="G360" s="11" t="n">
        <f>237785000</f>
        <v>2.37785E8</v>
      </c>
      <c r="H360" s="10"/>
      <c r="I360" s="11" t="str">
        <f>"－"</f>
        <v>－</v>
      </c>
      <c r="J360" s="10"/>
      <c r="K360" s="11" t="n">
        <f>1932</f>
        <v>1932.0</v>
      </c>
    </row>
    <row r="361">
      <c r="A361" s="8" t="s">
        <v>33</v>
      </c>
      <c r="B361" s="9" t="s">
        <v>72</v>
      </c>
      <c r="C361" s="9" t="s">
        <v>73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34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35</v>
      </c>
      <c r="B363" s="9" t="s">
        <v>72</v>
      </c>
      <c r="C363" s="9" t="s">
        <v>73</v>
      </c>
      <c r="D363" s="10"/>
      <c r="E363" s="11" t="n">
        <f>219</f>
        <v>219.0</v>
      </c>
      <c r="F363" s="10"/>
      <c r="G363" s="11" t="n">
        <f>437764500</f>
        <v>4.377645E8</v>
      </c>
      <c r="H363" s="10"/>
      <c r="I363" s="11" t="str">
        <f>"－"</f>
        <v>－</v>
      </c>
      <c r="J363" s="10"/>
      <c r="K363" s="11" t="n">
        <f>1961</f>
        <v>1961.0</v>
      </c>
    </row>
    <row r="364">
      <c r="A364" s="8" t="s">
        <v>36</v>
      </c>
      <c r="B364" s="9" t="s">
        <v>72</v>
      </c>
      <c r="C364" s="9" t="s">
        <v>73</v>
      </c>
      <c r="D364" s="10"/>
      <c r="E364" s="11" t="n">
        <f>120</f>
        <v>120.0</v>
      </c>
      <c r="F364" s="10"/>
      <c r="G364" s="11" t="n">
        <f>241919000</f>
        <v>2.41919E8</v>
      </c>
      <c r="H364" s="10"/>
      <c r="I364" s="11" t="str">
        <f>"－"</f>
        <v>－</v>
      </c>
      <c r="J364" s="10"/>
      <c r="K364" s="11" t="n">
        <f>1981</f>
        <v>1981.0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n">
        <f>140</f>
        <v>140.0</v>
      </c>
      <c r="F365" s="10"/>
      <c r="G365" s="11" t="n">
        <f>282411500</f>
        <v>2.824115E8</v>
      </c>
      <c r="H365" s="10"/>
      <c r="I365" s="11" t="str">
        <f>"－"</f>
        <v>－</v>
      </c>
      <c r="J365" s="10" t="s">
        <v>40</v>
      </c>
      <c r="K365" s="11" t="n">
        <f>1993</f>
        <v>1993.0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n">
        <f>184</f>
        <v>184.0</v>
      </c>
      <c r="F366" s="10"/>
      <c r="G366" s="11" t="n">
        <f>373152500</f>
        <v>3.731525E8</v>
      </c>
      <c r="H366" s="10"/>
      <c r="I366" s="11" t="str">
        <f>"－"</f>
        <v>－</v>
      </c>
      <c r="J366" s="10"/>
      <c r="K366" s="11" t="n">
        <f>1988</f>
        <v>1988.0</v>
      </c>
    </row>
    <row r="367">
      <c r="A367" s="8" t="s">
        <v>41</v>
      </c>
      <c r="B367" s="9" t="s">
        <v>72</v>
      </c>
      <c r="C367" s="9" t="s">
        <v>73</v>
      </c>
      <c r="D367" s="10"/>
      <c r="E367" s="11" t="n">
        <f>100</f>
        <v>100.0</v>
      </c>
      <c r="F367" s="10"/>
      <c r="G367" s="11" t="n">
        <f>201422500</f>
        <v>2.014225E8</v>
      </c>
      <c r="H367" s="10"/>
      <c r="I367" s="11" t="str">
        <f>"－"</f>
        <v>－</v>
      </c>
      <c r="J367" s="10"/>
      <c r="K367" s="11" t="n">
        <f>1990</f>
        <v>1990.0</v>
      </c>
    </row>
    <row r="368">
      <c r="A368" s="8" t="s">
        <v>42</v>
      </c>
      <c r="B368" s="9" t="s">
        <v>72</v>
      </c>
      <c r="C368" s="9" t="s">
        <v>73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43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44</v>
      </c>
      <c r="B370" s="9" t="s">
        <v>72</v>
      </c>
      <c r="C370" s="9" t="s">
        <v>73</v>
      </c>
      <c r="D370" s="10"/>
      <c r="E370" s="11" t="n">
        <f>137</f>
        <v>137.0</v>
      </c>
      <c r="F370" s="10"/>
      <c r="G370" s="11" t="n">
        <f>277166500</f>
        <v>2.771665E8</v>
      </c>
      <c r="H370" s="10"/>
      <c r="I370" s="11" t="str">
        <f>"－"</f>
        <v>－</v>
      </c>
      <c r="J370" s="10"/>
      <c r="K370" s="11" t="n">
        <f>1972</f>
        <v>1972.0</v>
      </c>
    </row>
    <row r="371">
      <c r="A371" s="8" t="s">
        <v>45</v>
      </c>
      <c r="B371" s="9" t="s">
        <v>72</v>
      </c>
      <c r="C371" s="9" t="s">
        <v>73</v>
      </c>
      <c r="D371" s="10"/>
      <c r="E371" s="11" t="n">
        <f>86</f>
        <v>86.0</v>
      </c>
      <c r="F371" s="10"/>
      <c r="G371" s="11" t="n">
        <f>173826500</f>
        <v>1.738265E8</v>
      </c>
      <c r="H371" s="10"/>
      <c r="I371" s="11" t="str">
        <f>"－"</f>
        <v>－</v>
      </c>
      <c r="J371" s="10"/>
      <c r="K371" s="11" t="n">
        <f>1952</f>
        <v>1952.0</v>
      </c>
    </row>
    <row r="372">
      <c r="A372" s="8" t="s">
        <v>46</v>
      </c>
      <c r="B372" s="9" t="s">
        <v>72</v>
      </c>
      <c r="C372" s="9" t="s">
        <v>73</v>
      </c>
      <c r="D372" s="10"/>
      <c r="E372" s="11" t="n">
        <f>116</f>
        <v>116.0</v>
      </c>
      <c r="F372" s="10"/>
      <c r="G372" s="11" t="n">
        <f>234296500</f>
        <v>2.342965E8</v>
      </c>
      <c r="H372" s="10"/>
      <c r="I372" s="11" t="str">
        <f>"－"</f>
        <v>－</v>
      </c>
      <c r="J372" s="10"/>
      <c r="K372" s="11" t="n">
        <f>1918</f>
        <v>1918.0</v>
      </c>
    </row>
    <row r="373">
      <c r="A373" s="8" t="s">
        <v>47</v>
      </c>
      <c r="B373" s="9" t="s">
        <v>72</v>
      </c>
      <c r="C373" s="9" t="s">
        <v>73</v>
      </c>
      <c r="D373" s="10"/>
      <c r="E373" s="11" t="n">
        <f>109</f>
        <v>109.0</v>
      </c>
      <c r="F373" s="10"/>
      <c r="G373" s="11" t="n">
        <f>220764000</f>
        <v>2.20764E8</v>
      </c>
      <c r="H373" s="10"/>
      <c r="I373" s="11" t="str">
        <f>"－"</f>
        <v>－</v>
      </c>
      <c r="J373" s="10"/>
      <c r="K373" s="11" t="n">
        <f>1916</f>
        <v>1916.0</v>
      </c>
    </row>
    <row r="374">
      <c r="A374" s="8" t="s">
        <v>48</v>
      </c>
      <c r="B374" s="9" t="s">
        <v>72</v>
      </c>
      <c r="C374" s="9" t="s">
        <v>73</v>
      </c>
      <c r="D374" s="10"/>
      <c r="E374" s="11" t="n">
        <f>92</f>
        <v>92.0</v>
      </c>
      <c r="F374" s="10"/>
      <c r="G374" s="11" t="n">
        <f>186542000</f>
        <v>1.86542E8</v>
      </c>
      <c r="H374" s="10"/>
      <c r="I374" s="11" t="str">
        <f>"－"</f>
        <v>－</v>
      </c>
      <c r="J374" s="10" t="s">
        <v>37</v>
      </c>
      <c r="K374" s="11" t="n">
        <f>1908</f>
        <v>1908.0</v>
      </c>
    </row>
    <row r="375">
      <c r="A375" s="8" t="s">
        <v>49</v>
      </c>
      <c r="B375" s="9" t="s">
        <v>72</v>
      </c>
      <c r="C375" s="9" t="s">
        <v>73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50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51</v>
      </c>
      <c r="B377" s="9" t="s">
        <v>72</v>
      </c>
      <c r="C377" s="9" t="s">
        <v>73</v>
      </c>
      <c r="D377" s="10" t="s">
        <v>40</v>
      </c>
      <c r="E377" s="11" t="n">
        <f>227</f>
        <v>227.0</v>
      </c>
      <c r="F377" s="10" t="s">
        <v>40</v>
      </c>
      <c r="G377" s="11" t="n">
        <f>466811500</f>
        <v>4.668115E8</v>
      </c>
      <c r="H377" s="10"/>
      <c r="I377" s="11" t="str">
        <f>"－"</f>
        <v>－</v>
      </c>
      <c r="J377" s="10"/>
      <c r="K377" s="11" t="n">
        <f>1921</f>
        <v>1921.0</v>
      </c>
    </row>
    <row r="378">
      <c r="A378" s="8" t="s">
        <v>16</v>
      </c>
      <c r="B378" s="9" t="s">
        <v>74</v>
      </c>
      <c r="C378" s="9" t="s">
        <v>75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19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20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21</v>
      </c>
      <c r="B381" s="9" t="s">
        <v>74</v>
      </c>
      <c r="C381" s="9" t="s">
        <v>75</v>
      </c>
      <c r="D381" s="10" t="s">
        <v>22</v>
      </c>
      <c r="E381" s="11" t="str">
        <f>"－"</f>
        <v>－</v>
      </c>
      <c r="F381" s="10" t="s">
        <v>22</v>
      </c>
      <c r="G381" s="11" t="str">
        <f>"－"</f>
        <v>－</v>
      </c>
      <c r="H381" s="10" t="s">
        <v>22</v>
      </c>
      <c r="I381" s="11" t="str">
        <f>"－"</f>
        <v>－</v>
      </c>
      <c r="J381" s="10" t="s">
        <v>22</v>
      </c>
      <c r="K381" s="11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27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28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29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32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33</v>
      </c>
      <c r="B392" s="9" t="s">
        <v>74</v>
      </c>
      <c r="C392" s="9" t="s">
        <v>75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34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35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36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41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42</v>
      </c>
      <c r="B399" s="9" t="s">
        <v>74</v>
      </c>
      <c r="C399" s="9" t="s">
        <v>75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43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44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45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46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47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48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49</v>
      </c>
      <c r="B406" s="9" t="s">
        <v>74</v>
      </c>
      <c r="C406" s="9" t="s">
        <v>75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50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51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11"/>
      <c r="F409" s="10"/>
      <c r="G409" s="11"/>
      <c r="H409" s="10"/>
      <c r="I409" s="11"/>
      <c r="J409" s="10"/>
      <c r="K409" s="11"/>
    </row>
    <row r="410">
      <c r="A410" s="8" t="s">
        <v>19</v>
      </c>
      <c r="B410" s="9" t="s">
        <v>76</v>
      </c>
      <c r="C410" s="9" t="s">
        <v>77</v>
      </c>
      <c r="D410" s="10"/>
      <c r="E410" s="11"/>
      <c r="F410" s="10"/>
      <c r="G410" s="11"/>
      <c r="H410" s="10"/>
      <c r="I410" s="11"/>
      <c r="J410" s="10"/>
      <c r="K410" s="11"/>
    </row>
    <row r="411">
      <c r="A411" s="8" t="s">
        <v>20</v>
      </c>
      <c r="B411" s="9" t="s">
        <v>76</v>
      </c>
      <c r="C411" s="9" t="s">
        <v>77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21</v>
      </c>
      <c r="B412" s="9" t="s">
        <v>76</v>
      </c>
      <c r="C412" s="9" t="s">
        <v>77</v>
      </c>
      <c r="D412" s="10" t="s">
        <v>22</v>
      </c>
      <c r="E412" s="11" t="str">
        <f>"－"</f>
        <v>－</v>
      </c>
      <c r="F412" s="10" t="s">
        <v>22</v>
      </c>
      <c r="G412" s="11" t="str">
        <f>"－"</f>
        <v>－</v>
      </c>
      <c r="H412" s="10" t="s">
        <v>22</v>
      </c>
      <c r="I412" s="11" t="str">
        <f>"－"</f>
        <v>－</v>
      </c>
      <c r="J412" s="10" t="s">
        <v>22</v>
      </c>
      <c r="K412" s="11" t="str">
        <f>"－"</f>
        <v>－</v>
      </c>
    </row>
    <row r="413">
      <c r="A413" s="8" t="s">
        <v>23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24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25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26</v>
      </c>
      <c r="B416" s="9" t="s">
        <v>76</v>
      </c>
      <c r="C416" s="9" t="s">
        <v>77</v>
      </c>
      <c r="D416" s="10"/>
      <c r="E416" s="11"/>
      <c r="F416" s="10"/>
      <c r="G416" s="11"/>
      <c r="H416" s="10"/>
      <c r="I416" s="11"/>
      <c r="J416" s="10"/>
      <c r="K416" s="11"/>
    </row>
    <row r="417">
      <c r="A417" s="8" t="s">
        <v>27</v>
      </c>
      <c r="B417" s="9" t="s">
        <v>76</v>
      </c>
      <c r="C417" s="9" t="s">
        <v>77</v>
      </c>
      <c r="D417" s="10"/>
      <c r="E417" s="11"/>
      <c r="F417" s="10"/>
      <c r="G417" s="11"/>
      <c r="H417" s="10"/>
      <c r="I417" s="11"/>
      <c r="J417" s="10"/>
      <c r="K417" s="11"/>
    </row>
    <row r="418">
      <c r="A418" s="8" t="s">
        <v>28</v>
      </c>
      <c r="B418" s="9" t="s">
        <v>76</v>
      </c>
      <c r="C418" s="9" t="s">
        <v>77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29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30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31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32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33</v>
      </c>
      <c r="B423" s="9" t="s">
        <v>76</v>
      </c>
      <c r="C423" s="9" t="s">
        <v>77</v>
      </c>
      <c r="D423" s="10"/>
      <c r="E423" s="11"/>
      <c r="F423" s="10"/>
      <c r="G423" s="11"/>
      <c r="H423" s="10"/>
      <c r="I423" s="11"/>
      <c r="J423" s="10"/>
      <c r="K423" s="11"/>
    </row>
    <row r="424">
      <c r="A424" s="8" t="s">
        <v>34</v>
      </c>
      <c r="B424" s="9" t="s">
        <v>76</v>
      </c>
      <c r="C424" s="9" t="s">
        <v>77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35</v>
      </c>
      <c r="B425" s="9" t="s">
        <v>76</v>
      </c>
      <c r="C425" s="9" t="s">
        <v>77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36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>
      <c r="A427" s="8" t="s">
        <v>38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41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42</v>
      </c>
      <c r="B430" s="9" t="s">
        <v>76</v>
      </c>
      <c r="C430" s="9" t="s">
        <v>77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43</v>
      </c>
      <c r="B431" s="9" t="s">
        <v>76</v>
      </c>
      <c r="C431" s="9" t="s">
        <v>77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44</v>
      </c>
      <c r="B432" s="9" t="s">
        <v>76</v>
      </c>
      <c r="C432" s="9" t="s">
        <v>77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>
      <c r="A433" s="8" t="s">
        <v>45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46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47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48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49</v>
      </c>
      <c r="B437" s="9" t="s">
        <v>76</v>
      </c>
      <c r="C437" s="9" t="s">
        <v>77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50</v>
      </c>
      <c r="B438" s="9" t="s">
        <v>76</v>
      </c>
      <c r="C438" s="9" t="s">
        <v>77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51</v>
      </c>
      <c r="B439" s="9" t="s">
        <v>76</v>
      </c>
      <c r="C439" s="9" t="s">
        <v>77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str">
        <f>"－"</f>
        <v>－</v>
      </c>
    </row>
    <row r="440">
      <c r="A440" s="8" t="s">
        <v>16</v>
      </c>
      <c r="B440" s="9" t="s">
        <v>78</v>
      </c>
      <c r="C440" s="9" t="s">
        <v>79</v>
      </c>
      <c r="D440" s="10"/>
      <c r="E440" s="11"/>
      <c r="F440" s="10"/>
      <c r="G440" s="11"/>
      <c r="H440" s="10"/>
      <c r="I440" s="11"/>
      <c r="J440" s="10"/>
      <c r="K440" s="11"/>
    </row>
    <row r="441">
      <c r="A441" s="8" t="s">
        <v>19</v>
      </c>
      <c r="B441" s="9" t="s">
        <v>78</v>
      </c>
      <c r="C441" s="9" t="s">
        <v>79</v>
      </c>
      <c r="D441" s="10"/>
      <c r="E441" s="11"/>
      <c r="F441" s="10"/>
      <c r="G441" s="11"/>
      <c r="H441" s="10"/>
      <c r="I441" s="11"/>
      <c r="J441" s="10"/>
      <c r="K441" s="11"/>
    </row>
    <row r="442">
      <c r="A442" s="8" t="s">
        <v>20</v>
      </c>
      <c r="B442" s="9" t="s">
        <v>78</v>
      </c>
      <c r="C442" s="9" t="s">
        <v>79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21</v>
      </c>
      <c r="B443" s="9" t="s">
        <v>78</v>
      </c>
      <c r="C443" s="9" t="s">
        <v>79</v>
      </c>
      <c r="D443" s="10"/>
      <c r="E443" s="11" t="n">
        <f>33</f>
        <v>33.0</v>
      </c>
      <c r="F443" s="10"/>
      <c r="G443" s="11" t="n">
        <f>116044000</f>
        <v>1.16044E8</v>
      </c>
      <c r="H443" s="10" t="s">
        <v>22</v>
      </c>
      <c r="I443" s="11" t="str">
        <f>"－"</f>
        <v>－</v>
      </c>
      <c r="J443" s="10"/>
      <c r="K443" s="11" t="n">
        <f>594</f>
        <v>594.0</v>
      </c>
    </row>
    <row r="444">
      <c r="A444" s="8" t="s">
        <v>23</v>
      </c>
      <c r="B444" s="9" t="s">
        <v>78</v>
      </c>
      <c r="C444" s="9" t="s">
        <v>79</v>
      </c>
      <c r="D444" s="10"/>
      <c r="E444" s="11" t="n">
        <f>57</f>
        <v>57.0</v>
      </c>
      <c r="F444" s="10"/>
      <c r="G444" s="11" t="n">
        <f>203333000</f>
        <v>2.03333E8</v>
      </c>
      <c r="H444" s="10"/>
      <c r="I444" s="11" t="str">
        <f>"－"</f>
        <v>－</v>
      </c>
      <c r="J444" s="10"/>
      <c r="K444" s="11" t="n">
        <f>596</f>
        <v>596.0</v>
      </c>
    </row>
    <row r="445">
      <c r="A445" s="8" t="s">
        <v>24</v>
      </c>
      <c r="B445" s="9" t="s">
        <v>78</v>
      </c>
      <c r="C445" s="9" t="s">
        <v>79</v>
      </c>
      <c r="D445" s="10"/>
      <c r="E445" s="11" t="n">
        <f>58</f>
        <v>58.0</v>
      </c>
      <c r="F445" s="10"/>
      <c r="G445" s="11" t="n">
        <f>205610500</f>
        <v>2.056105E8</v>
      </c>
      <c r="H445" s="10"/>
      <c r="I445" s="11" t="str">
        <f>"－"</f>
        <v>－</v>
      </c>
      <c r="J445" s="10"/>
      <c r="K445" s="11" t="n">
        <f>601</f>
        <v>601.0</v>
      </c>
    </row>
    <row r="446">
      <c r="A446" s="8" t="s">
        <v>25</v>
      </c>
      <c r="B446" s="9" t="s">
        <v>78</v>
      </c>
      <c r="C446" s="9" t="s">
        <v>79</v>
      </c>
      <c r="D446" s="10"/>
      <c r="E446" s="11" t="n">
        <f>49</f>
        <v>49.0</v>
      </c>
      <c r="F446" s="10"/>
      <c r="G446" s="11" t="n">
        <f>176370500</f>
        <v>1.763705E8</v>
      </c>
      <c r="H446" s="10"/>
      <c r="I446" s="11" t="str">
        <f>"－"</f>
        <v>－</v>
      </c>
      <c r="J446" s="10"/>
      <c r="K446" s="11" t="n">
        <f>596</f>
        <v>596.0</v>
      </c>
    </row>
    <row r="447">
      <c r="A447" s="8" t="s">
        <v>26</v>
      </c>
      <c r="B447" s="9" t="s">
        <v>78</v>
      </c>
      <c r="C447" s="9" t="s">
        <v>79</v>
      </c>
      <c r="D447" s="10"/>
      <c r="E447" s="11"/>
      <c r="F447" s="10"/>
      <c r="G447" s="11"/>
      <c r="H447" s="10"/>
      <c r="I447" s="11"/>
      <c r="J447" s="10"/>
      <c r="K447" s="11"/>
    </row>
    <row r="448">
      <c r="A448" s="8" t="s">
        <v>27</v>
      </c>
      <c r="B448" s="9" t="s">
        <v>78</v>
      </c>
      <c r="C448" s="9" t="s">
        <v>79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28</v>
      </c>
      <c r="B449" s="9" t="s">
        <v>78</v>
      </c>
      <c r="C449" s="9" t="s">
        <v>79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29</v>
      </c>
      <c r="B450" s="9" t="s">
        <v>78</v>
      </c>
      <c r="C450" s="9" t="s">
        <v>79</v>
      </c>
      <c r="D450" s="10"/>
      <c r="E450" s="11" t="n">
        <f>32</f>
        <v>32.0</v>
      </c>
      <c r="F450" s="10"/>
      <c r="G450" s="11" t="n">
        <f>113655500</f>
        <v>1.136555E8</v>
      </c>
      <c r="H450" s="10"/>
      <c r="I450" s="11" t="str">
        <f>"－"</f>
        <v>－</v>
      </c>
      <c r="J450" s="10"/>
      <c r="K450" s="11" t="n">
        <f>600</f>
        <v>600.0</v>
      </c>
    </row>
    <row r="451">
      <c r="A451" s="8" t="s">
        <v>30</v>
      </c>
      <c r="B451" s="9" t="s">
        <v>78</v>
      </c>
      <c r="C451" s="9" t="s">
        <v>79</v>
      </c>
      <c r="D451" s="10"/>
      <c r="E451" s="11" t="n">
        <f>81</f>
        <v>81.0</v>
      </c>
      <c r="F451" s="10"/>
      <c r="G451" s="11" t="n">
        <f>293192000</f>
        <v>2.93192E8</v>
      </c>
      <c r="H451" s="10"/>
      <c r="I451" s="11" t="str">
        <f>"－"</f>
        <v>－</v>
      </c>
      <c r="J451" s="10"/>
      <c r="K451" s="11" t="n">
        <f>604</f>
        <v>604.0</v>
      </c>
    </row>
    <row r="452">
      <c r="A452" s="8" t="s">
        <v>31</v>
      </c>
      <c r="B452" s="9" t="s">
        <v>78</v>
      </c>
      <c r="C452" s="9" t="s">
        <v>79</v>
      </c>
      <c r="D452" s="10"/>
      <c r="E452" s="11" t="n">
        <f>87</f>
        <v>87.0</v>
      </c>
      <c r="F452" s="10"/>
      <c r="G452" s="11" t="n">
        <f>316098000</f>
        <v>3.16098E8</v>
      </c>
      <c r="H452" s="10"/>
      <c r="I452" s="11" t="str">
        <f>"－"</f>
        <v>－</v>
      </c>
      <c r="J452" s="10"/>
      <c r="K452" s="11" t="n">
        <f>636</f>
        <v>636.0</v>
      </c>
    </row>
    <row r="453">
      <c r="A453" s="8" t="s">
        <v>32</v>
      </c>
      <c r="B453" s="9" t="s">
        <v>78</v>
      </c>
      <c r="C453" s="9" t="s">
        <v>79</v>
      </c>
      <c r="D453" s="10"/>
      <c r="E453" s="11" t="n">
        <f>28</f>
        <v>28.0</v>
      </c>
      <c r="F453" s="10"/>
      <c r="G453" s="11" t="n">
        <f>101260500</f>
        <v>1.012605E8</v>
      </c>
      <c r="H453" s="10"/>
      <c r="I453" s="11" t="str">
        <f>"－"</f>
        <v>－</v>
      </c>
      <c r="J453" s="10"/>
      <c r="K453" s="11" t="n">
        <f>638</f>
        <v>638.0</v>
      </c>
    </row>
    <row r="454">
      <c r="A454" s="8" t="s">
        <v>33</v>
      </c>
      <c r="B454" s="9" t="s">
        <v>78</v>
      </c>
      <c r="C454" s="9" t="s">
        <v>79</v>
      </c>
      <c r="D454" s="10"/>
      <c r="E454" s="11"/>
      <c r="F454" s="10"/>
      <c r="G454" s="11"/>
      <c r="H454" s="10"/>
      <c r="I454" s="11"/>
      <c r="J454" s="10"/>
      <c r="K454" s="11"/>
    </row>
    <row r="455">
      <c r="A455" s="8" t="s">
        <v>34</v>
      </c>
      <c r="B455" s="9" t="s">
        <v>78</v>
      </c>
      <c r="C455" s="9" t="s">
        <v>79</v>
      </c>
      <c r="D455" s="10"/>
      <c r="E455" s="11"/>
      <c r="F455" s="10"/>
      <c r="G455" s="11"/>
      <c r="H455" s="10"/>
      <c r="I455" s="11"/>
      <c r="J455" s="10"/>
      <c r="K455" s="11"/>
    </row>
    <row r="456">
      <c r="A456" s="8" t="s">
        <v>35</v>
      </c>
      <c r="B456" s="9" t="s">
        <v>78</v>
      </c>
      <c r="C456" s="9" t="s">
        <v>79</v>
      </c>
      <c r="D456" s="10"/>
      <c r="E456" s="11" t="n">
        <f>42</f>
        <v>42.0</v>
      </c>
      <c r="F456" s="10"/>
      <c r="G456" s="11" t="n">
        <f>154284500</f>
        <v>1.542845E8</v>
      </c>
      <c r="H456" s="10"/>
      <c r="I456" s="11" t="str">
        <f>"－"</f>
        <v>－</v>
      </c>
      <c r="J456" s="10"/>
      <c r="K456" s="11" t="n">
        <f>639</f>
        <v>639.0</v>
      </c>
    </row>
    <row r="457">
      <c r="A457" s="8" t="s">
        <v>36</v>
      </c>
      <c r="B457" s="9" t="s">
        <v>78</v>
      </c>
      <c r="C457" s="9" t="s">
        <v>79</v>
      </c>
      <c r="D457" s="10"/>
      <c r="E457" s="11" t="n">
        <f>78</f>
        <v>78.0</v>
      </c>
      <c r="F457" s="10"/>
      <c r="G457" s="11" t="n">
        <f>290146500</f>
        <v>2.901465E8</v>
      </c>
      <c r="H457" s="10"/>
      <c r="I457" s="11" t="str">
        <f>"－"</f>
        <v>－</v>
      </c>
      <c r="J457" s="10"/>
      <c r="K457" s="11" t="n">
        <f>650</f>
        <v>650.0</v>
      </c>
    </row>
    <row r="458">
      <c r="A458" s="8" t="s">
        <v>38</v>
      </c>
      <c r="B458" s="9" t="s">
        <v>78</v>
      </c>
      <c r="C458" s="9" t="s">
        <v>79</v>
      </c>
      <c r="D458" s="10"/>
      <c r="E458" s="11" t="n">
        <f>58</f>
        <v>58.0</v>
      </c>
      <c r="F458" s="10"/>
      <c r="G458" s="11" t="n">
        <f>216231500</f>
        <v>2.162315E8</v>
      </c>
      <c r="H458" s="10"/>
      <c r="I458" s="11" t="str">
        <f>"－"</f>
        <v>－</v>
      </c>
      <c r="J458" s="10"/>
      <c r="K458" s="11" t="n">
        <f>655</f>
        <v>655.0</v>
      </c>
    </row>
    <row r="459">
      <c r="A459" s="8" t="s">
        <v>39</v>
      </c>
      <c r="B459" s="9" t="s">
        <v>78</v>
      </c>
      <c r="C459" s="9" t="s">
        <v>79</v>
      </c>
      <c r="D459" s="10"/>
      <c r="E459" s="11" t="n">
        <f>33</f>
        <v>33.0</v>
      </c>
      <c r="F459" s="10"/>
      <c r="G459" s="11" t="n">
        <f>122736500</f>
        <v>1.227365E8</v>
      </c>
      <c r="H459" s="10"/>
      <c r="I459" s="11" t="str">
        <f>"－"</f>
        <v>－</v>
      </c>
      <c r="J459" s="10"/>
      <c r="K459" s="11" t="n">
        <f>653</f>
        <v>653.0</v>
      </c>
    </row>
    <row r="460">
      <c r="A460" s="8" t="s">
        <v>41</v>
      </c>
      <c r="B460" s="9" t="s">
        <v>78</v>
      </c>
      <c r="C460" s="9" t="s">
        <v>79</v>
      </c>
      <c r="D460" s="10"/>
      <c r="E460" s="11" t="n">
        <f>46</f>
        <v>46.0</v>
      </c>
      <c r="F460" s="10"/>
      <c r="G460" s="11" t="n">
        <f>168401000</f>
        <v>1.68401E8</v>
      </c>
      <c r="H460" s="10"/>
      <c r="I460" s="11" t="str">
        <f>"－"</f>
        <v>－</v>
      </c>
      <c r="J460" s="10"/>
      <c r="K460" s="11" t="n">
        <f>659</f>
        <v>659.0</v>
      </c>
    </row>
    <row r="461">
      <c r="A461" s="8" t="s">
        <v>42</v>
      </c>
      <c r="B461" s="9" t="s">
        <v>78</v>
      </c>
      <c r="C461" s="9" t="s">
        <v>79</v>
      </c>
      <c r="D461" s="10"/>
      <c r="E461" s="11"/>
      <c r="F461" s="10"/>
      <c r="G461" s="11"/>
      <c r="H461" s="10"/>
      <c r="I461" s="11"/>
      <c r="J461" s="10"/>
      <c r="K461" s="11"/>
    </row>
    <row r="462">
      <c r="A462" s="8" t="s">
        <v>43</v>
      </c>
      <c r="B462" s="9" t="s">
        <v>78</v>
      </c>
      <c r="C462" s="9" t="s">
        <v>79</v>
      </c>
      <c r="D462" s="10"/>
      <c r="E462" s="11"/>
      <c r="F462" s="10"/>
      <c r="G462" s="11"/>
      <c r="H462" s="10"/>
      <c r="I462" s="11"/>
      <c r="J462" s="10"/>
      <c r="K462" s="11"/>
    </row>
    <row r="463">
      <c r="A463" s="8" t="s">
        <v>44</v>
      </c>
      <c r="B463" s="9" t="s">
        <v>78</v>
      </c>
      <c r="C463" s="9" t="s">
        <v>79</v>
      </c>
      <c r="D463" s="10"/>
      <c r="E463" s="11" t="n">
        <f>40</f>
        <v>40.0</v>
      </c>
      <c r="F463" s="10"/>
      <c r="G463" s="11" t="n">
        <f>148189000</f>
        <v>1.48189E8</v>
      </c>
      <c r="H463" s="10"/>
      <c r="I463" s="11" t="str">
        <f>"－"</f>
        <v>－</v>
      </c>
      <c r="J463" s="10"/>
      <c r="K463" s="11" t="n">
        <f>661</f>
        <v>661.0</v>
      </c>
    </row>
    <row r="464">
      <c r="A464" s="8" t="s">
        <v>45</v>
      </c>
      <c r="B464" s="9" t="s">
        <v>78</v>
      </c>
      <c r="C464" s="9" t="s">
        <v>79</v>
      </c>
      <c r="D464" s="10" t="s">
        <v>40</v>
      </c>
      <c r="E464" s="11" t="n">
        <f>160</f>
        <v>160.0</v>
      </c>
      <c r="F464" s="10" t="s">
        <v>40</v>
      </c>
      <c r="G464" s="11" t="n">
        <f>593913000</f>
        <v>5.93913E8</v>
      </c>
      <c r="H464" s="10"/>
      <c r="I464" s="11" t="str">
        <f>"－"</f>
        <v>－</v>
      </c>
      <c r="J464" s="10" t="s">
        <v>40</v>
      </c>
      <c r="K464" s="11" t="n">
        <f>663</f>
        <v>663.0</v>
      </c>
    </row>
    <row r="465">
      <c r="A465" s="8" t="s">
        <v>46</v>
      </c>
      <c r="B465" s="9" t="s">
        <v>78</v>
      </c>
      <c r="C465" s="9" t="s">
        <v>79</v>
      </c>
      <c r="D465" s="10"/>
      <c r="E465" s="11" t="n">
        <f>30</f>
        <v>30.0</v>
      </c>
      <c r="F465" s="10"/>
      <c r="G465" s="11" t="n">
        <f>110002000</f>
        <v>1.10002E8</v>
      </c>
      <c r="H465" s="10"/>
      <c r="I465" s="11" t="str">
        <f>"－"</f>
        <v>－</v>
      </c>
      <c r="J465" s="10" t="s">
        <v>37</v>
      </c>
      <c r="K465" s="11" t="n">
        <f>548</f>
        <v>548.0</v>
      </c>
    </row>
    <row r="466">
      <c r="A466" s="8" t="s">
        <v>47</v>
      </c>
      <c r="B466" s="9" t="s">
        <v>78</v>
      </c>
      <c r="C466" s="9" t="s">
        <v>79</v>
      </c>
      <c r="D466" s="10"/>
      <c r="E466" s="11" t="n">
        <f>38</f>
        <v>38.0</v>
      </c>
      <c r="F466" s="10"/>
      <c r="G466" s="11" t="n">
        <f>141347000</f>
        <v>1.41347E8</v>
      </c>
      <c r="H466" s="10"/>
      <c r="I466" s="11" t="str">
        <f>"－"</f>
        <v>－</v>
      </c>
      <c r="J466" s="10"/>
      <c r="K466" s="11" t="n">
        <f>550</f>
        <v>550.0</v>
      </c>
    </row>
    <row r="467">
      <c r="A467" s="8" t="s">
        <v>48</v>
      </c>
      <c r="B467" s="9" t="s">
        <v>78</v>
      </c>
      <c r="C467" s="9" t="s">
        <v>79</v>
      </c>
      <c r="D467" s="10" t="s">
        <v>37</v>
      </c>
      <c r="E467" s="11" t="n">
        <f>23</f>
        <v>23.0</v>
      </c>
      <c r="F467" s="10" t="s">
        <v>37</v>
      </c>
      <c r="G467" s="11" t="n">
        <f>86157000</f>
        <v>8.6157E7</v>
      </c>
      <c r="H467" s="10"/>
      <c r="I467" s="11" t="str">
        <f>"－"</f>
        <v>－</v>
      </c>
      <c r="J467" s="10"/>
      <c r="K467" s="11" t="n">
        <f>558</f>
        <v>558.0</v>
      </c>
    </row>
    <row r="468">
      <c r="A468" s="8" t="s">
        <v>49</v>
      </c>
      <c r="B468" s="9" t="s">
        <v>78</v>
      </c>
      <c r="C468" s="9" t="s">
        <v>79</v>
      </c>
      <c r="D468" s="10"/>
      <c r="E468" s="11"/>
      <c r="F468" s="10"/>
      <c r="G468" s="11"/>
      <c r="H468" s="10"/>
      <c r="I468" s="11"/>
      <c r="J468" s="10"/>
      <c r="K468" s="11"/>
    </row>
    <row r="469">
      <c r="A469" s="8" t="s">
        <v>50</v>
      </c>
      <c r="B469" s="9" t="s">
        <v>78</v>
      </c>
      <c r="C469" s="9" t="s">
        <v>79</v>
      </c>
      <c r="D469" s="10"/>
      <c r="E469" s="11"/>
      <c r="F469" s="10"/>
      <c r="G469" s="11"/>
      <c r="H469" s="10"/>
      <c r="I469" s="11"/>
      <c r="J469" s="10"/>
      <c r="K469" s="11"/>
    </row>
    <row r="470">
      <c r="A470" s="8" t="s">
        <v>51</v>
      </c>
      <c r="B470" s="9" t="s">
        <v>78</v>
      </c>
      <c r="C470" s="9" t="s">
        <v>79</v>
      </c>
      <c r="D470" s="10"/>
      <c r="E470" s="11" t="n">
        <f>28</f>
        <v>28.0</v>
      </c>
      <c r="F470" s="10"/>
      <c r="G470" s="11" t="n">
        <f>105190000</f>
        <v>1.0519E8</v>
      </c>
      <c r="H470" s="10"/>
      <c r="I470" s="11" t="str">
        <f>"－"</f>
        <v>－</v>
      </c>
      <c r="J470" s="10"/>
      <c r="K470" s="11" t="n">
        <f>558</f>
        <v>558.0</v>
      </c>
    </row>
    <row r="471">
      <c r="A471" s="8" t="s">
        <v>16</v>
      </c>
      <c r="B471" s="9" t="s">
        <v>80</v>
      </c>
      <c r="C471" s="9" t="s">
        <v>81</v>
      </c>
      <c r="D471" s="10"/>
      <c r="E471" s="11"/>
      <c r="F471" s="10"/>
      <c r="G471" s="11"/>
      <c r="H471" s="10"/>
      <c r="I471" s="11"/>
      <c r="J471" s="10"/>
      <c r="K471" s="11"/>
    </row>
    <row r="472">
      <c r="A472" s="8" t="s">
        <v>19</v>
      </c>
      <c r="B472" s="9" t="s">
        <v>80</v>
      </c>
      <c r="C472" s="9" t="s">
        <v>81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20</v>
      </c>
      <c r="B473" s="9" t="s">
        <v>80</v>
      </c>
      <c r="C473" s="9" t="s">
        <v>81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21</v>
      </c>
      <c r="B474" s="9" t="s">
        <v>80</v>
      </c>
      <c r="C474" s="9" t="s">
        <v>81</v>
      </c>
      <c r="D474" s="10"/>
      <c r="E474" s="11" t="n">
        <f>16</f>
        <v>16.0</v>
      </c>
      <c r="F474" s="10"/>
      <c r="G474" s="11" t="n">
        <f>57766500</f>
        <v>5.77665E7</v>
      </c>
      <c r="H474" s="10" t="s">
        <v>22</v>
      </c>
      <c r="I474" s="11" t="str">
        <f>"－"</f>
        <v>－</v>
      </c>
      <c r="J474" s="10"/>
      <c r="K474" s="11" t="n">
        <f>325</f>
        <v>325.0</v>
      </c>
    </row>
    <row r="475">
      <c r="A475" s="8" t="s">
        <v>23</v>
      </c>
      <c r="B475" s="9" t="s">
        <v>80</v>
      </c>
      <c r="C475" s="9" t="s">
        <v>81</v>
      </c>
      <c r="D475" s="10"/>
      <c r="E475" s="11" t="n">
        <f>18</f>
        <v>18.0</v>
      </c>
      <c r="F475" s="10"/>
      <c r="G475" s="11" t="n">
        <f>65896500</f>
        <v>6.58965E7</v>
      </c>
      <c r="H475" s="10"/>
      <c r="I475" s="11" t="str">
        <f>"－"</f>
        <v>－</v>
      </c>
      <c r="J475" s="10"/>
      <c r="K475" s="11" t="n">
        <f>324</f>
        <v>324.0</v>
      </c>
    </row>
    <row r="476">
      <c r="A476" s="8" t="s">
        <v>24</v>
      </c>
      <c r="B476" s="9" t="s">
        <v>80</v>
      </c>
      <c r="C476" s="9" t="s">
        <v>81</v>
      </c>
      <c r="D476" s="10"/>
      <c r="E476" s="11" t="n">
        <f>51</f>
        <v>51.0</v>
      </c>
      <c r="F476" s="10"/>
      <c r="G476" s="11" t="n">
        <f>185960000</f>
        <v>1.8596E8</v>
      </c>
      <c r="H476" s="10"/>
      <c r="I476" s="11" t="str">
        <f>"－"</f>
        <v>－</v>
      </c>
      <c r="J476" s="10"/>
      <c r="K476" s="11" t="n">
        <f>323</f>
        <v>323.0</v>
      </c>
    </row>
    <row r="477">
      <c r="A477" s="8" t="s">
        <v>25</v>
      </c>
      <c r="B477" s="9" t="s">
        <v>80</v>
      </c>
      <c r="C477" s="9" t="s">
        <v>81</v>
      </c>
      <c r="D477" s="10"/>
      <c r="E477" s="11" t="n">
        <f>86</f>
        <v>86.0</v>
      </c>
      <c r="F477" s="10"/>
      <c r="G477" s="11" t="n">
        <f>319274000</f>
        <v>3.19274E8</v>
      </c>
      <c r="H477" s="10"/>
      <c r="I477" s="11" t="str">
        <f>"－"</f>
        <v>－</v>
      </c>
      <c r="J477" s="10"/>
      <c r="K477" s="11" t="n">
        <f>339</f>
        <v>339.0</v>
      </c>
    </row>
    <row r="478">
      <c r="A478" s="8" t="s">
        <v>26</v>
      </c>
      <c r="B478" s="9" t="s">
        <v>80</v>
      </c>
      <c r="C478" s="9" t="s">
        <v>81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27</v>
      </c>
      <c r="B479" s="9" t="s">
        <v>80</v>
      </c>
      <c r="C479" s="9" t="s">
        <v>81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28</v>
      </c>
      <c r="B480" s="9" t="s">
        <v>80</v>
      </c>
      <c r="C480" s="9" t="s">
        <v>81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29</v>
      </c>
      <c r="B481" s="9" t="s">
        <v>80</v>
      </c>
      <c r="C481" s="9" t="s">
        <v>81</v>
      </c>
      <c r="D481" s="10"/>
      <c r="E481" s="11" t="n">
        <f>69</f>
        <v>69.0</v>
      </c>
      <c r="F481" s="10"/>
      <c r="G481" s="11" t="n">
        <f>253921500</f>
        <v>2.539215E8</v>
      </c>
      <c r="H481" s="10"/>
      <c r="I481" s="11" t="str">
        <f>"－"</f>
        <v>－</v>
      </c>
      <c r="J481" s="10"/>
      <c r="K481" s="11" t="n">
        <f>349</f>
        <v>349.0</v>
      </c>
    </row>
    <row r="482">
      <c r="A482" s="8" t="s">
        <v>30</v>
      </c>
      <c r="B482" s="9" t="s">
        <v>80</v>
      </c>
      <c r="C482" s="9" t="s">
        <v>81</v>
      </c>
      <c r="D482" s="10"/>
      <c r="E482" s="11" t="n">
        <f>97</f>
        <v>97.0</v>
      </c>
      <c r="F482" s="10"/>
      <c r="G482" s="11" t="n">
        <f>360433500</f>
        <v>3.604335E8</v>
      </c>
      <c r="H482" s="10"/>
      <c r="I482" s="11" t="str">
        <f>"－"</f>
        <v>－</v>
      </c>
      <c r="J482" s="10"/>
      <c r="K482" s="11" t="n">
        <f>357</f>
        <v>357.0</v>
      </c>
    </row>
    <row r="483">
      <c r="A483" s="8" t="s">
        <v>31</v>
      </c>
      <c r="B483" s="9" t="s">
        <v>80</v>
      </c>
      <c r="C483" s="9" t="s">
        <v>81</v>
      </c>
      <c r="D483" s="10"/>
      <c r="E483" s="11" t="n">
        <f>52</f>
        <v>52.0</v>
      </c>
      <c r="F483" s="10"/>
      <c r="G483" s="11" t="n">
        <f>191040000</f>
        <v>1.9104E8</v>
      </c>
      <c r="H483" s="10"/>
      <c r="I483" s="11" t="str">
        <f>"－"</f>
        <v>－</v>
      </c>
      <c r="J483" s="10"/>
      <c r="K483" s="11" t="n">
        <f>366</f>
        <v>366.0</v>
      </c>
    </row>
    <row r="484">
      <c r="A484" s="8" t="s">
        <v>32</v>
      </c>
      <c r="B484" s="9" t="s">
        <v>80</v>
      </c>
      <c r="C484" s="9" t="s">
        <v>81</v>
      </c>
      <c r="D484" s="10"/>
      <c r="E484" s="11" t="n">
        <f>38</f>
        <v>38.0</v>
      </c>
      <c r="F484" s="10"/>
      <c r="G484" s="11" t="n">
        <f>142763000</f>
        <v>1.42763E8</v>
      </c>
      <c r="H484" s="10"/>
      <c r="I484" s="11" t="str">
        <f>"－"</f>
        <v>－</v>
      </c>
      <c r="J484" s="10"/>
      <c r="K484" s="11" t="n">
        <f>397</f>
        <v>397.0</v>
      </c>
    </row>
    <row r="485">
      <c r="A485" s="8" t="s">
        <v>33</v>
      </c>
      <c r="B485" s="9" t="s">
        <v>80</v>
      </c>
      <c r="C485" s="9" t="s">
        <v>81</v>
      </c>
      <c r="D485" s="10"/>
      <c r="E485" s="11"/>
      <c r="F485" s="10"/>
      <c r="G485" s="11"/>
      <c r="H485" s="10"/>
      <c r="I485" s="11"/>
      <c r="J485" s="10"/>
      <c r="K485" s="11"/>
    </row>
    <row r="486">
      <c r="A486" s="8" t="s">
        <v>34</v>
      </c>
      <c r="B486" s="9" t="s">
        <v>80</v>
      </c>
      <c r="C486" s="9" t="s">
        <v>81</v>
      </c>
      <c r="D486" s="10"/>
      <c r="E486" s="11"/>
      <c r="F486" s="10"/>
      <c r="G486" s="11"/>
      <c r="H486" s="10"/>
      <c r="I486" s="11"/>
      <c r="J486" s="10"/>
      <c r="K486" s="11"/>
    </row>
    <row r="487">
      <c r="A487" s="8" t="s">
        <v>35</v>
      </c>
      <c r="B487" s="9" t="s">
        <v>80</v>
      </c>
      <c r="C487" s="9" t="s">
        <v>81</v>
      </c>
      <c r="D487" s="10"/>
      <c r="E487" s="11" t="n">
        <f>12</f>
        <v>12.0</v>
      </c>
      <c r="F487" s="10"/>
      <c r="G487" s="11" t="n">
        <f>45547500</f>
        <v>4.55475E7</v>
      </c>
      <c r="H487" s="10"/>
      <c r="I487" s="11" t="str">
        <f>"－"</f>
        <v>－</v>
      </c>
      <c r="J487" s="10"/>
      <c r="K487" s="11" t="n">
        <f>397</f>
        <v>397.0</v>
      </c>
    </row>
    <row r="488">
      <c r="A488" s="8" t="s">
        <v>36</v>
      </c>
      <c r="B488" s="9" t="s">
        <v>80</v>
      </c>
      <c r="C488" s="9" t="s">
        <v>81</v>
      </c>
      <c r="D488" s="10"/>
      <c r="E488" s="11" t="n">
        <f>72</f>
        <v>72.0</v>
      </c>
      <c r="F488" s="10"/>
      <c r="G488" s="11" t="n">
        <f>273717000</f>
        <v>2.73717E8</v>
      </c>
      <c r="H488" s="10"/>
      <c r="I488" s="11" t="str">
        <f>"－"</f>
        <v>－</v>
      </c>
      <c r="J488" s="10"/>
      <c r="K488" s="11" t="n">
        <f>419</f>
        <v>419.0</v>
      </c>
    </row>
    <row r="489">
      <c r="A489" s="8" t="s">
        <v>38</v>
      </c>
      <c r="B489" s="9" t="s">
        <v>80</v>
      </c>
      <c r="C489" s="9" t="s">
        <v>81</v>
      </c>
      <c r="D489" s="10"/>
      <c r="E489" s="11" t="n">
        <f>71</f>
        <v>71.0</v>
      </c>
      <c r="F489" s="10"/>
      <c r="G489" s="11" t="n">
        <f>271605500</f>
        <v>2.716055E8</v>
      </c>
      <c r="H489" s="10"/>
      <c r="I489" s="11" t="str">
        <f>"－"</f>
        <v>－</v>
      </c>
      <c r="J489" s="10"/>
      <c r="K489" s="11" t="n">
        <f>441</f>
        <v>441.0</v>
      </c>
    </row>
    <row r="490">
      <c r="A490" s="8" t="s">
        <v>39</v>
      </c>
      <c r="B490" s="9" t="s">
        <v>80</v>
      </c>
      <c r="C490" s="9" t="s">
        <v>81</v>
      </c>
      <c r="D490" s="10"/>
      <c r="E490" s="11" t="n">
        <f>65</f>
        <v>65.0</v>
      </c>
      <c r="F490" s="10"/>
      <c r="G490" s="11" t="n">
        <f>249904500</f>
        <v>2.499045E8</v>
      </c>
      <c r="H490" s="10"/>
      <c r="I490" s="11" t="str">
        <f>"－"</f>
        <v>－</v>
      </c>
      <c r="J490" s="10"/>
      <c r="K490" s="11" t="n">
        <f>456</f>
        <v>456.0</v>
      </c>
    </row>
    <row r="491">
      <c r="A491" s="8" t="s">
        <v>41</v>
      </c>
      <c r="B491" s="9" t="s">
        <v>80</v>
      </c>
      <c r="C491" s="9" t="s">
        <v>81</v>
      </c>
      <c r="D491" s="10"/>
      <c r="E491" s="11" t="n">
        <f>89</f>
        <v>89.0</v>
      </c>
      <c r="F491" s="10"/>
      <c r="G491" s="11" t="n">
        <f>337708000</f>
        <v>3.37708E8</v>
      </c>
      <c r="H491" s="10"/>
      <c r="I491" s="11" t="str">
        <f>"－"</f>
        <v>－</v>
      </c>
      <c r="J491" s="10"/>
      <c r="K491" s="11" t="n">
        <f>484</f>
        <v>484.0</v>
      </c>
    </row>
    <row r="492">
      <c r="A492" s="8" t="s">
        <v>42</v>
      </c>
      <c r="B492" s="9" t="s">
        <v>80</v>
      </c>
      <c r="C492" s="9" t="s">
        <v>81</v>
      </c>
      <c r="D492" s="10"/>
      <c r="E492" s="11"/>
      <c r="F492" s="10"/>
      <c r="G492" s="11"/>
      <c r="H492" s="10"/>
      <c r="I492" s="11"/>
      <c r="J492" s="10"/>
      <c r="K492" s="11"/>
    </row>
    <row r="493">
      <c r="A493" s="8" t="s">
        <v>43</v>
      </c>
      <c r="B493" s="9" t="s">
        <v>80</v>
      </c>
      <c r="C493" s="9" t="s">
        <v>81</v>
      </c>
      <c r="D493" s="10"/>
      <c r="E493" s="11"/>
      <c r="F493" s="10"/>
      <c r="G493" s="11"/>
      <c r="H493" s="10"/>
      <c r="I493" s="11"/>
      <c r="J493" s="10"/>
      <c r="K493" s="11"/>
    </row>
    <row r="494">
      <c r="A494" s="8" t="s">
        <v>44</v>
      </c>
      <c r="B494" s="9" t="s">
        <v>80</v>
      </c>
      <c r="C494" s="9" t="s">
        <v>81</v>
      </c>
      <c r="D494" s="10"/>
      <c r="E494" s="11" t="n">
        <f>71</f>
        <v>71.0</v>
      </c>
      <c r="F494" s="10"/>
      <c r="G494" s="11" t="n">
        <f>272343000</f>
        <v>2.72343E8</v>
      </c>
      <c r="H494" s="10"/>
      <c r="I494" s="11" t="str">
        <f>"－"</f>
        <v>－</v>
      </c>
      <c r="J494" s="10"/>
      <c r="K494" s="11" t="n">
        <f>498</f>
        <v>498.0</v>
      </c>
    </row>
    <row r="495">
      <c r="A495" s="8" t="s">
        <v>45</v>
      </c>
      <c r="B495" s="9" t="s">
        <v>80</v>
      </c>
      <c r="C495" s="9" t="s">
        <v>81</v>
      </c>
      <c r="D495" s="10" t="s">
        <v>40</v>
      </c>
      <c r="E495" s="11" t="n">
        <f>132</f>
        <v>132.0</v>
      </c>
      <c r="F495" s="10" t="s">
        <v>40</v>
      </c>
      <c r="G495" s="11" t="n">
        <f>500146500</f>
        <v>5.001465E8</v>
      </c>
      <c r="H495" s="10"/>
      <c r="I495" s="11" t="str">
        <f>"－"</f>
        <v>－</v>
      </c>
      <c r="J495" s="10" t="s">
        <v>40</v>
      </c>
      <c r="K495" s="11" t="n">
        <f>526</f>
        <v>526.0</v>
      </c>
    </row>
    <row r="496">
      <c r="A496" s="8" t="s">
        <v>46</v>
      </c>
      <c r="B496" s="9" t="s">
        <v>80</v>
      </c>
      <c r="C496" s="9" t="s">
        <v>81</v>
      </c>
      <c r="D496" s="10"/>
      <c r="E496" s="11" t="n">
        <f>35</f>
        <v>35.0</v>
      </c>
      <c r="F496" s="10"/>
      <c r="G496" s="11" t="n">
        <f>132610000</f>
        <v>1.3261E8</v>
      </c>
      <c r="H496" s="10"/>
      <c r="I496" s="11" t="str">
        <f>"－"</f>
        <v>－</v>
      </c>
      <c r="J496" s="10"/>
      <c r="K496" s="11" t="n">
        <f>226</f>
        <v>226.0</v>
      </c>
    </row>
    <row r="497">
      <c r="A497" s="8" t="s">
        <v>47</v>
      </c>
      <c r="B497" s="9" t="s">
        <v>80</v>
      </c>
      <c r="C497" s="9" t="s">
        <v>81</v>
      </c>
      <c r="D497" s="10" t="s">
        <v>37</v>
      </c>
      <c r="E497" s="11" t="n">
        <f>6</f>
        <v>6.0</v>
      </c>
      <c r="F497" s="10" t="s">
        <v>37</v>
      </c>
      <c r="G497" s="11" t="n">
        <f>22772500</f>
        <v>2.27725E7</v>
      </c>
      <c r="H497" s="10"/>
      <c r="I497" s="11" t="str">
        <f>"－"</f>
        <v>－</v>
      </c>
      <c r="J497" s="10" t="s">
        <v>37</v>
      </c>
      <c r="K497" s="11" t="n">
        <f>225</f>
        <v>225.0</v>
      </c>
    </row>
    <row r="498">
      <c r="A498" s="8" t="s">
        <v>48</v>
      </c>
      <c r="B498" s="9" t="s">
        <v>80</v>
      </c>
      <c r="C498" s="9" t="s">
        <v>81</v>
      </c>
      <c r="D498" s="10"/>
      <c r="E498" s="11" t="n">
        <f>21</f>
        <v>21.0</v>
      </c>
      <c r="F498" s="10"/>
      <c r="G498" s="11" t="n">
        <f>80859500</f>
        <v>8.08595E7</v>
      </c>
      <c r="H498" s="10"/>
      <c r="I498" s="11" t="str">
        <f>"－"</f>
        <v>－</v>
      </c>
      <c r="J498" s="10"/>
      <c r="K498" s="11" t="n">
        <f>228</f>
        <v>228.0</v>
      </c>
    </row>
    <row r="499">
      <c r="A499" s="8" t="s">
        <v>49</v>
      </c>
      <c r="B499" s="9" t="s">
        <v>80</v>
      </c>
      <c r="C499" s="9" t="s">
        <v>81</v>
      </c>
      <c r="D499" s="10"/>
      <c r="E499" s="11"/>
      <c r="F499" s="10"/>
      <c r="G499" s="11"/>
      <c r="H499" s="10"/>
      <c r="I499" s="11"/>
      <c r="J499" s="10"/>
      <c r="K499" s="11"/>
    </row>
    <row r="500">
      <c r="A500" s="8" t="s">
        <v>50</v>
      </c>
      <c r="B500" s="9" t="s">
        <v>80</v>
      </c>
      <c r="C500" s="9" t="s">
        <v>81</v>
      </c>
      <c r="D500" s="10"/>
      <c r="E500" s="11"/>
      <c r="F500" s="10"/>
      <c r="G500" s="11"/>
      <c r="H500" s="10"/>
      <c r="I500" s="11"/>
      <c r="J500" s="10"/>
      <c r="K500" s="11"/>
    </row>
    <row r="501">
      <c r="A501" s="8" t="s">
        <v>51</v>
      </c>
      <c r="B501" s="9" t="s">
        <v>80</v>
      </c>
      <c r="C501" s="9" t="s">
        <v>81</v>
      </c>
      <c r="D501" s="10"/>
      <c r="E501" s="11" t="n">
        <f>18</f>
        <v>18.0</v>
      </c>
      <c r="F501" s="10"/>
      <c r="G501" s="11" t="n">
        <f>69431500</f>
        <v>6.94315E7</v>
      </c>
      <c r="H501" s="10"/>
      <c r="I501" s="11" t="str">
        <f>"－"</f>
        <v>－</v>
      </c>
      <c r="J501" s="10"/>
      <c r="K501" s="11" t="n">
        <f>230</f>
        <v>230.0</v>
      </c>
    </row>
    <row r="502">
      <c r="A502" s="8" t="s">
        <v>16</v>
      </c>
      <c r="B502" s="9" t="s">
        <v>82</v>
      </c>
      <c r="C502" s="9" t="s">
        <v>83</v>
      </c>
      <c r="D502" s="10"/>
      <c r="E502" s="11"/>
      <c r="F502" s="10"/>
      <c r="G502" s="11"/>
      <c r="H502" s="10"/>
      <c r="I502" s="11"/>
      <c r="J502" s="10"/>
      <c r="K502" s="11"/>
    </row>
    <row r="503">
      <c r="A503" s="8" t="s">
        <v>19</v>
      </c>
      <c r="B503" s="9" t="s">
        <v>82</v>
      </c>
      <c r="C503" s="9" t="s">
        <v>83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20</v>
      </c>
      <c r="B504" s="9" t="s">
        <v>82</v>
      </c>
      <c r="C504" s="9" t="s">
        <v>83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21</v>
      </c>
      <c r="B505" s="9" t="s">
        <v>82</v>
      </c>
      <c r="C505" s="9" t="s">
        <v>83</v>
      </c>
      <c r="D505" s="10" t="s">
        <v>22</v>
      </c>
      <c r="E505" s="11" t="str">
        <f>"－"</f>
        <v>－</v>
      </c>
      <c r="F505" s="10" t="s">
        <v>22</v>
      </c>
      <c r="G505" s="11" t="str">
        <f>"－"</f>
        <v>－</v>
      </c>
      <c r="H505" s="10" t="s">
        <v>22</v>
      </c>
      <c r="I505" s="11" t="str">
        <f>"－"</f>
        <v>－</v>
      </c>
      <c r="J505" s="10" t="s">
        <v>22</v>
      </c>
      <c r="K505" s="11" t="str">
        <f>"－"</f>
        <v>－</v>
      </c>
    </row>
    <row r="506">
      <c r="A506" s="8" t="s">
        <v>23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24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25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26</v>
      </c>
      <c r="B509" s="9" t="s">
        <v>82</v>
      </c>
      <c r="C509" s="9" t="s">
        <v>83</v>
      </c>
      <c r="D509" s="10"/>
      <c r="E509" s="11"/>
      <c r="F509" s="10"/>
      <c r="G509" s="11"/>
      <c r="H509" s="10"/>
      <c r="I509" s="11"/>
      <c r="J509" s="10"/>
      <c r="K509" s="11"/>
    </row>
    <row r="510">
      <c r="A510" s="8" t="s">
        <v>27</v>
      </c>
      <c r="B510" s="9" t="s">
        <v>82</v>
      </c>
      <c r="C510" s="9" t="s">
        <v>83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28</v>
      </c>
      <c r="B511" s="9" t="s">
        <v>82</v>
      </c>
      <c r="C511" s="9" t="s">
        <v>83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29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30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31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32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33</v>
      </c>
      <c r="B516" s="9" t="s">
        <v>82</v>
      </c>
      <c r="C516" s="9" t="s">
        <v>83</v>
      </c>
      <c r="D516" s="10"/>
      <c r="E516" s="11"/>
      <c r="F516" s="10"/>
      <c r="G516" s="11"/>
      <c r="H516" s="10"/>
      <c r="I516" s="11"/>
      <c r="J516" s="10"/>
      <c r="K516" s="11"/>
    </row>
    <row r="517">
      <c r="A517" s="8" t="s">
        <v>34</v>
      </c>
      <c r="B517" s="9" t="s">
        <v>82</v>
      </c>
      <c r="C517" s="9" t="s">
        <v>83</v>
      </c>
      <c r="D517" s="10"/>
      <c r="E517" s="11"/>
      <c r="F517" s="10"/>
      <c r="G517" s="11"/>
      <c r="H517" s="10"/>
      <c r="I517" s="11"/>
      <c r="J517" s="10"/>
      <c r="K517" s="11"/>
    </row>
    <row r="518">
      <c r="A518" s="8" t="s">
        <v>35</v>
      </c>
      <c r="B518" s="9" t="s">
        <v>82</v>
      </c>
      <c r="C518" s="9" t="s">
        <v>83</v>
      </c>
      <c r="D518" s="10"/>
      <c r="E518" s="11" t="str">
        <f>"－"</f>
        <v>－</v>
      </c>
      <c r="F518" s="10"/>
      <c r="G518" s="11" t="str">
        <f>"－"</f>
        <v>－</v>
      </c>
      <c r="H518" s="10"/>
      <c r="I518" s="11" t="str">
        <f>"－"</f>
        <v>－</v>
      </c>
      <c r="J518" s="10"/>
      <c r="K518" s="11" t="str">
        <f>"－"</f>
        <v>－</v>
      </c>
    </row>
    <row r="519">
      <c r="A519" s="8" t="s">
        <v>36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>
      <c r="A520" s="8" t="s">
        <v>38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39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41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42</v>
      </c>
      <c r="B523" s="9" t="s">
        <v>82</v>
      </c>
      <c r="C523" s="9" t="s">
        <v>83</v>
      </c>
      <c r="D523" s="10"/>
      <c r="E523" s="11"/>
      <c r="F523" s="10"/>
      <c r="G523" s="11"/>
      <c r="H523" s="10"/>
      <c r="I523" s="11"/>
      <c r="J523" s="10"/>
      <c r="K523" s="11"/>
    </row>
    <row r="524">
      <c r="A524" s="8" t="s">
        <v>43</v>
      </c>
      <c r="B524" s="9" t="s">
        <v>82</v>
      </c>
      <c r="C524" s="9" t="s">
        <v>83</v>
      </c>
      <c r="D524" s="10"/>
      <c r="E524" s="11"/>
      <c r="F524" s="10"/>
      <c r="G524" s="11"/>
      <c r="H524" s="10"/>
      <c r="I524" s="11"/>
      <c r="J524" s="10"/>
      <c r="K524" s="11"/>
    </row>
    <row r="525">
      <c r="A525" s="8" t="s">
        <v>44</v>
      </c>
      <c r="B525" s="9" t="s">
        <v>82</v>
      </c>
      <c r="C525" s="9" t="s">
        <v>83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str">
        <f>"－"</f>
        <v>－</v>
      </c>
    </row>
    <row r="526">
      <c r="A526" s="8" t="s">
        <v>45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46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47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48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49</v>
      </c>
      <c r="B530" s="9" t="s">
        <v>82</v>
      </c>
      <c r="C530" s="9" t="s">
        <v>83</v>
      </c>
      <c r="D530" s="10"/>
      <c r="E530" s="11"/>
      <c r="F530" s="10"/>
      <c r="G530" s="11"/>
      <c r="H530" s="10"/>
      <c r="I530" s="11"/>
      <c r="J530" s="10"/>
      <c r="K530" s="11"/>
    </row>
    <row r="531">
      <c r="A531" s="8" t="s">
        <v>50</v>
      </c>
      <c r="B531" s="9" t="s">
        <v>82</v>
      </c>
      <c r="C531" s="9" t="s">
        <v>83</v>
      </c>
      <c r="D531" s="10"/>
      <c r="E531" s="11"/>
      <c r="F531" s="10"/>
      <c r="G531" s="11"/>
      <c r="H531" s="10"/>
      <c r="I531" s="11"/>
      <c r="J531" s="10"/>
      <c r="K531" s="11"/>
    </row>
    <row r="532">
      <c r="A532" s="8" t="s">
        <v>51</v>
      </c>
      <c r="B532" s="9" t="s">
        <v>82</v>
      </c>
      <c r="C532" s="9" t="s">
        <v>83</v>
      </c>
      <c r="D532" s="10"/>
      <c r="E532" s="11" t="str">
        <f>"－"</f>
        <v>－</v>
      </c>
      <c r="F532" s="10"/>
      <c r="G532" s="11" t="str">
        <f>"－"</f>
        <v>－</v>
      </c>
      <c r="H532" s="10"/>
      <c r="I532" s="11" t="str">
        <f>"－"</f>
        <v>－</v>
      </c>
      <c r="J532" s="10"/>
      <c r="K532" s="11" t="str">
        <f>"－"</f>
        <v>－</v>
      </c>
    </row>
    <row r="533">
      <c r="A533" s="8" t="s">
        <v>16</v>
      </c>
      <c r="B533" s="9" t="s">
        <v>84</v>
      </c>
      <c r="C533" s="9" t="s">
        <v>85</v>
      </c>
      <c r="D533" s="10"/>
      <c r="E533" s="11"/>
      <c r="F533" s="10"/>
      <c r="G533" s="11"/>
      <c r="H533" s="10"/>
      <c r="I533" s="11"/>
      <c r="J533" s="10"/>
      <c r="K533" s="11"/>
    </row>
    <row r="534">
      <c r="A534" s="8" t="s">
        <v>19</v>
      </c>
      <c r="B534" s="9" t="s">
        <v>84</v>
      </c>
      <c r="C534" s="9" t="s">
        <v>85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20</v>
      </c>
      <c r="B535" s="9" t="s">
        <v>84</v>
      </c>
      <c r="C535" s="9" t="s">
        <v>85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21</v>
      </c>
      <c r="B536" s="9" t="s">
        <v>84</v>
      </c>
      <c r="C536" s="9" t="s">
        <v>85</v>
      </c>
      <c r="D536" s="10" t="s">
        <v>37</v>
      </c>
      <c r="E536" s="11" t="n">
        <f>4134</f>
        <v>4134.0</v>
      </c>
      <c r="F536" s="10" t="s">
        <v>37</v>
      </c>
      <c r="G536" s="11" t="n">
        <f>11222495000</f>
        <v>1.1222495E10</v>
      </c>
      <c r="H536" s="10" t="s">
        <v>37</v>
      </c>
      <c r="I536" s="11" t="str">
        <f>"－"</f>
        <v>－</v>
      </c>
      <c r="J536" s="10"/>
      <c r="K536" s="11" t="n">
        <f>91513</f>
        <v>91513.0</v>
      </c>
    </row>
    <row r="537">
      <c r="A537" s="8" t="s">
        <v>23</v>
      </c>
      <c r="B537" s="9" t="s">
        <v>84</v>
      </c>
      <c r="C537" s="9" t="s">
        <v>85</v>
      </c>
      <c r="D537" s="10"/>
      <c r="E537" s="11" t="n">
        <f>6523</f>
        <v>6523.0</v>
      </c>
      <c r="F537" s="10"/>
      <c r="G537" s="11" t="n">
        <f>17947770500</f>
        <v>1.79477705E10</v>
      </c>
      <c r="H537" s="10"/>
      <c r="I537" s="11" t="str">
        <f>"－"</f>
        <v>－</v>
      </c>
      <c r="J537" s="10"/>
      <c r="K537" s="11" t="n">
        <f>86191</f>
        <v>86191.0</v>
      </c>
    </row>
    <row r="538">
      <c r="A538" s="8" t="s">
        <v>24</v>
      </c>
      <c r="B538" s="9" t="s">
        <v>84</v>
      </c>
      <c r="C538" s="9" t="s">
        <v>85</v>
      </c>
      <c r="D538" s="10"/>
      <c r="E538" s="11" t="n">
        <f>6987</f>
        <v>6987.0</v>
      </c>
      <c r="F538" s="10"/>
      <c r="G538" s="11" t="n">
        <f>19170006500</f>
        <v>1.91700065E10</v>
      </c>
      <c r="H538" s="10"/>
      <c r="I538" s="11" t="str">
        <f>"－"</f>
        <v>－</v>
      </c>
      <c r="J538" s="10"/>
      <c r="K538" s="11" t="n">
        <f>86308</f>
        <v>86308.0</v>
      </c>
    </row>
    <row r="539">
      <c r="A539" s="8" t="s">
        <v>25</v>
      </c>
      <c r="B539" s="9" t="s">
        <v>84</v>
      </c>
      <c r="C539" s="9" t="s">
        <v>85</v>
      </c>
      <c r="D539" s="10"/>
      <c r="E539" s="11" t="n">
        <f>8871</f>
        <v>8871.0</v>
      </c>
      <c r="F539" s="10"/>
      <c r="G539" s="11" t="n">
        <f>24926396500</f>
        <v>2.49263965E10</v>
      </c>
      <c r="H539" s="10"/>
      <c r="I539" s="11" t="n">
        <f>300</f>
        <v>300.0</v>
      </c>
      <c r="J539" s="10"/>
      <c r="K539" s="11" t="n">
        <f>86922</f>
        <v>86922.0</v>
      </c>
    </row>
    <row r="540">
      <c r="A540" s="8" t="s">
        <v>26</v>
      </c>
      <c r="B540" s="9" t="s">
        <v>84</v>
      </c>
      <c r="C540" s="9" t="s">
        <v>85</v>
      </c>
      <c r="D540" s="10"/>
      <c r="E540" s="11"/>
      <c r="F540" s="10"/>
      <c r="G540" s="11"/>
      <c r="H540" s="10"/>
      <c r="I540" s="11"/>
      <c r="J540" s="10"/>
      <c r="K540" s="11"/>
    </row>
    <row r="541">
      <c r="A541" s="8" t="s">
        <v>27</v>
      </c>
      <c r="B541" s="9" t="s">
        <v>84</v>
      </c>
      <c r="C541" s="9" t="s">
        <v>85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28</v>
      </c>
      <c r="B542" s="9" t="s">
        <v>84</v>
      </c>
      <c r="C542" s="9" t="s">
        <v>85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29</v>
      </c>
      <c r="B543" s="9" t="s">
        <v>84</v>
      </c>
      <c r="C543" s="9" t="s">
        <v>85</v>
      </c>
      <c r="D543" s="10"/>
      <c r="E543" s="11" t="n">
        <f>29390</f>
        <v>29390.0</v>
      </c>
      <c r="F543" s="10"/>
      <c r="G543" s="11" t="n">
        <f>81120244000</f>
        <v>8.1120244E10</v>
      </c>
      <c r="H543" s="10"/>
      <c r="I543" s="11" t="n">
        <f>350</f>
        <v>350.0</v>
      </c>
      <c r="J543" s="10" t="s">
        <v>37</v>
      </c>
      <c r="K543" s="11" t="n">
        <f>85749</f>
        <v>85749.0</v>
      </c>
    </row>
    <row r="544">
      <c r="A544" s="8" t="s">
        <v>30</v>
      </c>
      <c r="B544" s="9" t="s">
        <v>84</v>
      </c>
      <c r="C544" s="9" t="s">
        <v>85</v>
      </c>
      <c r="D544" s="10" t="s">
        <v>40</v>
      </c>
      <c r="E544" s="11" t="n">
        <f>33827</f>
        <v>33827.0</v>
      </c>
      <c r="F544" s="10" t="s">
        <v>40</v>
      </c>
      <c r="G544" s="11" t="n">
        <f>95757645500</f>
        <v>9.57576455E10</v>
      </c>
      <c r="H544" s="10" t="s">
        <v>40</v>
      </c>
      <c r="I544" s="11" t="n">
        <f>400</f>
        <v>400.0</v>
      </c>
      <c r="J544" s="10"/>
      <c r="K544" s="11" t="n">
        <f>87058</f>
        <v>87058.0</v>
      </c>
    </row>
    <row r="545">
      <c r="A545" s="8" t="s">
        <v>31</v>
      </c>
      <c r="B545" s="9" t="s">
        <v>84</v>
      </c>
      <c r="C545" s="9" t="s">
        <v>85</v>
      </c>
      <c r="D545" s="10"/>
      <c r="E545" s="11" t="n">
        <f>28979</f>
        <v>28979.0</v>
      </c>
      <c r="F545" s="10"/>
      <c r="G545" s="11" t="n">
        <f>82169609000</f>
        <v>8.2169609E10</v>
      </c>
      <c r="H545" s="10"/>
      <c r="I545" s="11" t="str">
        <f>"－"</f>
        <v>－</v>
      </c>
      <c r="J545" s="10"/>
      <c r="K545" s="11" t="n">
        <f>88428</f>
        <v>88428.0</v>
      </c>
    </row>
    <row r="546">
      <c r="A546" s="8" t="s">
        <v>32</v>
      </c>
      <c r="B546" s="9" t="s">
        <v>84</v>
      </c>
      <c r="C546" s="9" t="s">
        <v>85</v>
      </c>
      <c r="D546" s="10"/>
      <c r="E546" s="11" t="n">
        <f>30031</f>
        <v>30031.0</v>
      </c>
      <c r="F546" s="10"/>
      <c r="G546" s="11" t="n">
        <f>84673329000</f>
        <v>8.4673329E10</v>
      </c>
      <c r="H546" s="10"/>
      <c r="I546" s="11" t="str">
        <f>"－"</f>
        <v>－</v>
      </c>
      <c r="J546" s="10"/>
      <c r="K546" s="11" t="n">
        <f>89019</f>
        <v>89019.0</v>
      </c>
    </row>
    <row r="547">
      <c r="A547" s="8" t="s">
        <v>33</v>
      </c>
      <c r="B547" s="9" t="s">
        <v>84</v>
      </c>
      <c r="C547" s="9" t="s">
        <v>85</v>
      </c>
      <c r="D547" s="10"/>
      <c r="E547" s="11"/>
      <c r="F547" s="10"/>
      <c r="G547" s="11"/>
      <c r="H547" s="10"/>
      <c r="I547" s="11"/>
      <c r="J547" s="10"/>
      <c r="K547" s="11"/>
    </row>
    <row r="548">
      <c r="A548" s="8" t="s">
        <v>34</v>
      </c>
      <c r="B548" s="9" t="s">
        <v>84</v>
      </c>
      <c r="C548" s="9" t="s">
        <v>85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35</v>
      </c>
      <c r="B549" s="9" t="s">
        <v>84</v>
      </c>
      <c r="C549" s="9" t="s">
        <v>85</v>
      </c>
      <c r="D549" s="10"/>
      <c r="E549" s="11" t="n">
        <f>32843</f>
        <v>32843.0</v>
      </c>
      <c r="F549" s="10"/>
      <c r="G549" s="11" t="n">
        <f>94766812500</f>
        <v>9.47668125E10</v>
      </c>
      <c r="H549" s="10"/>
      <c r="I549" s="11" t="n">
        <f>400</f>
        <v>400.0</v>
      </c>
      <c r="J549" s="10" t="s">
        <v>40</v>
      </c>
      <c r="K549" s="11" t="n">
        <f>92346</f>
        <v>92346.0</v>
      </c>
    </row>
    <row r="550">
      <c r="A550" s="8" t="s">
        <v>36</v>
      </c>
      <c r="B550" s="9" t="s">
        <v>84</v>
      </c>
      <c r="C550" s="9" t="s">
        <v>85</v>
      </c>
      <c r="D550" s="10"/>
      <c r="E550" s="11" t="n">
        <f>9640</f>
        <v>9640.0</v>
      </c>
      <c r="F550" s="10"/>
      <c r="G550" s="11" t="n">
        <f>28141425000</f>
        <v>2.8141425E10</v>
      </c>
      <c r="H550" s="10"/>
      <c r="I550" s="11" t="str">
        <f>"－"</f>
        <v>－</v>
      </c>
      <c r="J550" s="10"/>
      <c r="K550" s="11" t="n">
        <f>92228</f>
        <v>92228.0</v>
      </c>
    </row>
    <row r="551">
      <c r="A551" s="8" t="s">
        <v>38</v>
      </c>
      <c r="B551" s="9" t="s">
        <v>84</v>
      </c>
      <c r="C551" s="9" t="s">
        <v>85</v>
      </c>
      <c r="D551" s="10"/>
      <c r="E551" s="11" t="n">
        <f>6807</f>
        <v>6807.0</v>
      </c>
      <c r="F551" s="10"/>
      <c r="G551" s="11" t="n">
        <f>20166815500</f>
        <v>2.01668155E10</v>
      </c>
      <c r="H551" s="10"/>
      <c r="I551" s="11" t="str">
        <f>"－"</f>
        <v>－</v>
      </c>
      <c r="J551" s="10"/>
      <c r="K551" s="11" t="n">
        <f>92256</f>
        <v>92256.0</v>
      </c>
    </row>
    <row r="552">
      <c r="A552" s="8" t="s">
        <v>39</v>
      </c>
      <c r="B552" s="9" t="s">
        <v>84</v>
      </c>
      <c r="C552" s="9" t="s">
        <v>85</v>
      </c>
      <c r="D552" s="10"/>
      <c r="E552" s="11" t="n">
        <f>6177</f>
        <v>6177.0</v>
      </c>
      <c r="F552" s="10"/>
      <c r="G552" s="11" t="n">
        <f>18145182000</f>
        <v>1.8145182E10</v>
      </c>
      <c r="H552" s="10"/>
      <c r="I552" s="11" t="str">
        <f>"－"</f>
        <v>－</v>
      </c>
      <c r="J552" s="10"/>
      <c r="K552" s="11" t="n">
        <f>92312</f>
        <v>92312.0</v>
      </c>
    </row>
    <row r="553">
      <c r="A553" s="8" t="s">
        <v>41</v>
      </c>
      <c r="B553" s="9" t="s">
        <v>84</v>
      </c>
      <c r="C553" s="9" t="s">
        <v>85</v>
      </c>
      <c r="D553" s="10"/>
      <c r="E553" s="11" t="n">
        <f>9757</f>
        <v>9757.0</v>
      </c>
      <c r="F553" s="10"/>
      <c r="G553" s="11" t="n">
        <f>28142499000</f>
        <v>2.8142499E10</v>
      </c>
      <c r="H553" s="10"/>
      <c r="I553" s="11" t="n">
        <f>300</f>
        <v>300.0</v>
      </c>
      <c r="J553" s="10"/>
      <c r="K553" s="11" t="n">
        <f>90459</f>
        <v>90459.0</v>
      </c>
    </row>
    <row r="554">
      <c r="A554" s="8" t="s">
        <v>42</v>
      </c>
      <c r="B554" s="9" t="s">
        <v>84</v>
      </c>
      <c r="C554" s="9" t="s">
        <v>85</v>
      </c>
      <c r="D554" s="10"/>
      <c r="E554" s="11"/>
      <c r="F554" s="10"/>
      <c r="G554" s="11"/>
      <c r="H554" s="10"/>
      <c r="I554" s="11"/>
      <c r="J554" s="10"/>
      <c r="K554" s="11"/>
    </row>
    <row r="555">
      <c r="A555" s="8" t="s">
        <v>43</v>
      </c>
      <c r="B555" s="9" t="s">
        <v>84</v>
      </c>
      <c r="C555" s="9" t="s">
        <v>85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44</v>
      </c>
      <c r="B556" s="9" t="s">
        <v>84</v>
      </c>
      <c r="C556" s="9" t="s">
        <v>85</v>
      </c>
      <c r="D556" s="10"/>
      <c r="E556" s="11" t="n">
        <f>6670</f>
        <v>6670.0</v>
      </c>
      <c r="F556" s="10"/>
      <c r="G556" s="11" t="n">
        <f>19566837000</f>
        <v>1.9566837E10</v>
      </c>
      <c r="H556" s="10"/>
      <c r="I556" s="11" t="n">
        <f>200</f>
        <v>200.0</v>
      </c>
      <c r="J556" s="10"/>
      <c r="K556" s="11" t="n">
        <f>91083</f>
        <v>91083.0</v>
      </c>
    </row>
    <row r="557">
      <c r="A557" s="8" t="s">
        <v>45</v>
      </c>
      <c r="B557" s="9" t="s">
        <v>84</v>
      </c>
      <c r="C557" s="9" t="s">
        <v>85</v>
      </c>
      <c r="D557" s="10"/>
      <c r="E557" s="11" t="n">
        <f>7394</f>
        <v>7394.0</v>
      </c>
      <c r="F557" s="10"/>
      <c r="G557" s="11" t="n">
        <f>21305962000</f>
        <v>2.1305962E10</v>
      </c>
      <c r="H557" s="10"/>
      <c r="I557" s="11" t="n">
        <f>200</f>
        <v>200.0</v>
      </c>
      <c r="J557" s="10"/>
      <c r="K557" s="11" t="n">
        <f>89642</f>
        <v>89642.0</v>
      </c>
    </row>
    <row r="558">
      <c r="A558" s="8" t="s">
        <v>46</v>
      </c>
      <c r="B558" s="9" t="s">
        <v>84</v>
      </c>
      <c r="C558" s="9" t="s">
        <v>85</v>
      </c>
      <c r="D558" s="10"/>
      <c r="E558" s="11" t="n">
        <f>5977</f>
        <v>5977.0</v>
      </c>
      <c r="F558" s="10"/>
      <c r="G558" s="11" t="n">
        <f>17420475000</f>
        <v>1.7420475E10</v>
      </c>
      <c r="H558" s="10"/>
      <c r="I558" s="11" t="str">
        <f>"－"</f>
        <v>－</v>
      </c>
      <c r="J558" s="10"/>
      <c r="K558" s="11" t="n">
        <f>89635</f>
        <v>89635.0</v>
      </c>
    </row>
    <row r="559">
      <c r="A559" s="8" t="s">
        <v>47</v>
      </c>
      <c r="B559" s="9" t="s">
        <v>84</v>
      </c>
      <c r="C559" s="9" t="s">
        <v>85</v>
      </c>
      <c r="D559" s="10"/>
      <c r="E559" s="11" t="n">
        <f>9498</f>
        <v>9498.0</v>
      </c>
      <c r="F559" s="10"/>
      <c r="G559" s="11" t="n">
        <f>28179814500</f>
        <v>2.81798145E10</v>
      </c>
      <c r="H559" s="10"/>
      <c r="I559" s="11" t="n">
        <f>319</f>
        <v>319.0</v>
      </c>
      <c r="J559" s="10"/>
      <c r="K559" s="11" t="n">
        <f>89222</f>
        <v>89222.0</v>
      </c>
    </row>
    <row r="560">
      <c r="A560" s="8" t="s">
        <v>48</v>
      </c>
      <c r="B560" s="9" t="s">
        <v>84</v>
      </c>
      <c r="C560" s="9" t="s">
        <v>85</v>
      </c>
      <c r="D560" s="10"/>
      <c r="E560" s="11" t="n">
        <f>8994</f>
        <v>8994.0</v>
      </c>
      <c r="F560" s="10"/>
      <c r="G560" s="11" t="n">
        <f>27047424000</f>
        <v>2.7047424E10</v>
      </c>
      <c r="H560" s="10"/>
      <c r="I560" s="11" t="str">
        <f>"－"</f>
        <v>－</v>
      </c>
      <c r="J560" s="10"/>
      <c r="K560" s="11" t="n">
        <f>87680</f>
        <v>87680.0</v>
      </c>
    </row>
    <row r="561">
      <c r="A561" s="8" t="s">
        <v>49</v>
      </c>
      <c r="B561" s="9" t="s">
        <v>84</v>
      </c>
      <c r="C561" s="9" t="s">
        <v>85</v>
      </c>
      <c r="D561" s="10"/>
      <c r="E561" s="11"/>
      <c r="F561" s="10"/>
      <c r="G561" s="11"/>
      <c r="H561" s="10"/>
      <c r="I561" s="11"/>
      <c r="J561" s="10"/>
      <c r="K561" s="11"/>
    </row>
    <row r="562">
      <c r="A562" s="8" t="s">
        <v>50</v>
      </c>
      <c r="B562" s="9" t="s">
        <v>84</v>
      </c>
      <c r="C562" s="9" t="s">
        <v>85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51</v>
      </c>
      <c r="B563" s="9" t="s">
        <v>84</v>
      </c>
      <c r="C563" s="9" t="s">
        <v>85</v>
      </c>
      <c r="D563" s="10"/>
      <c r="E563" s="11" t="n">
        <f>6386</f>
        <v>6386.0</v>
      </c>
      <c r="F563" s="10"/>
      <c r="G563" s="11" t="n">
        <f>19224906500</f>
        <v>1.92249065E10</v>
      </c>
      <c r="H563" s="10"/>
      <c r="I563" s="11" t="str">
        <f>"－"</f>
        <v>－</v>
      </c>
      <c r="J563" s="10"/>
      <c r="K563" s="11" t="n">
        <f>87338</f>
        <v>87338.0</v>
      </c>
    </row>
    <row r="564">
      <c r="A564" s="8" t="s">
        <v>16</v>
      </c>
      <c r="B564" s="9" t="s">
        <v>86</v>
      </c>
      <c r="C564" s="9" t="s">
        <v>87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19</v>
      </c>
      <c r="B565" s="9" t="s">
        <v>86</v>
      </c>
      <c r="C565" s="9" t="s">
        <v>87</v>
      </c>
      <c r="D565" s="10"/>
      <c r="E565" s="11"/>
      <c r="F565" s="10"/>
      <c r="G565" s="11"/>
      <c r="H565" s="10"/>
      <c r="I565" s="11"/>
      <c r="J565" s="10"/>
      <c r="K565" s="11"/>
    </row>
    <row r="566">
      <c r="A566" s="8" t="s">
        <v>20</v>
      </c>
      <c r="B566" s="9" t="s">
        <v>86</v>
      </c>
      <c r="C566" s="9" t="s">
        <v>87</v>
      </c>
      <c r="D566" s="10"/>
      <c r="E566" s="11"/>
      <c r="F566" s="10"/>
      <c r="G566" s="11"/>
      <c r="H566" s="10"/>
      <c r="I566" s="11"/>
      <c r="J566" s="10"/>
      <c r="K566" s="11"/>
    </row>
    <row r="567">
      <c r="A567" s="8" t="s">
        <v>21</v>
      </c>
      <c r="B567" s="9" t="s">
        <v>86</v>
      </c>
      <c r="C567" s="9" t="s">
        <v>87</v>
      </c>
      <c r="D567" s="10" t="s">
        <v>37</v>
      </c>
      <c r="E567" s="11" t="str">
        <f>"－"</f>
        <v>－</v>
      </c>
      <c r="F567" s="10" t="s">
        <v>37</v>
      </c>
      <c r="G567" s="11" t="str">
        <f>"－"</f>
        <v>－</v>
      </c>
      <c r="H567" s="10" t="s">
        <v>22</v>
      </c>
      <c r="I567" s="11" t="str">
        <f>"－"</f>
        <v>－</v>
      </c>
      <c r="J567" s="10" t="s">
        <v>40</v>
      </c>
      <c r="K567" s="11" t="n">
        <f>3392</f>
        <v>3392.0</v>
      </c>
    </row>
    <row r="568">
      <c r="A568" s="8" t="s">
        <v>23</v>
      </c>
      <c r="B568" s="9" t="s">
        <v>86</v>
      </c>
      <c r="C568" s="9" t="s">
        <v>87</v>
      </c>
      <c r="D568" s="10"/>
      <c r="E568" s="11" t="n">
        <f>10</f>
        <v>10.0</v>
      </c>
      <c r="F568" s="10"/>
      <c r="G568" s="11" t="n">
        <f>18600000</f>
        <v>1.86E7</v>
      </c>
      <c r="H568" s="10"/>
      <c r="I568" s="11" t="str">
        <f>"－"</f>
        <v>－</v>
      </c>
      <c r="J568" s="10"/>
      <c r="K568" s="11" t="n">
        <f>2928</f>
        <v>2928.0</v>
      </c>
    </row>
    <row r="569">
      <c r="A569" s="8" t="s">
        <v>24</v>
      </c>
      <c r="B569" s="9" t="s">
        <v>86</v>
      </c>
      <c r="C569" s="9" t="s">
        <v>87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/>
      <c r="K569" s="11" t="n">
        <f>2928</f>
        <v>2928.0</v>
      </c>
    </row>
    <row r="570">
      <c r="A570" s="8" t="s">
        <v>25</v>
      </c>
      <c r="B570" s="9" t="s">
        <v>86</v>
      </c>
      <c r="C570" s="9" t="s">
        <v>87</v>
      </c>
      <c r="D570" s="10"/>
      <c r="E570" s="11" t="str">
        <f>"－"</f>
        <v>－</v>
      </c>
      <c r="F570" s="10"/>
      <c r="G570" s="11" t="str">
        <f>"－"</f>
        <v>－</v>
      </c>
      <c r="H570" s="10"/>
      <c r="I570" s="11" t="str">
        <f>"－"</f>
        <v>－</v>
      </c>
      <c r="J570" s="10"/>
      <c r="K570" s="11" t="n">
        <f>2928</f>
        <v>2928.0</v>
      </c>
    </row>
    <row r="571">
      <c r="A571" s="8" t="s">
        <v>26</v>
      </c>
      <c r="B571" s="9" t="s">
        <v>86</v>
      </c>
      <c r="C571" s="9" t="s">
        <v>87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27</v>
      </c>
      <c r="B572" s="9" t="s">
        <v>86</v>
      </c>
      <c r="C572" s="9" t="s">
        <v>87</v>
      </c>
      <c r="D572" s="10"/>
      <c r="E572" s="11"/>
      <c r="F572" s="10"/>
      <c r="G572" s="11"/>
      <c r="H572" s="10"/>
      <c r="I572" s="11"/>
      <c r="J572" s="10"/>
      <c r="K572" s="11"/>
    </row>
    <row r="573">
      <c r="A573" s="8" t="s">
        <v>28</v>
      </c>
      <c r="B573" s="9" t="s">
        <v>86</v>
      </c>
      <c r="C573" s="9" t="s">
        <v>87</v>
      </c>
      <c r="D573" s="10"/>
      <c r="E573" s="11"/>
      <c r="F573" s="10"/>
      <c r="G573" s="11"/>
      <c r="H573" s="10"/>
      <c r="I573" s="11"/>
      <c r="J573" s="10"/>
      <c r="K573" s="11"/>
    </row>
    <row r="574">
      <c r="A574" s="8" t="s">
        <v>29</v>
      </c>
      <c r="B574" s="9" t="s">
        <v>86</v>
      </c>
      <c r="C574" s="9" t="s">
        <v>87</v>
      </c>
      <c r="D574" s="10"/>
      <c r="E574" s="11" t="n">
        <f>1</f>
        <v>1.0</v>
      </c>
      <c r="F574" s="10"/>
      <c r="G574" s="11" t="n">
        <f>1666560</f>
        <v>1666560.0</v>
      </c>
      <c r="H574" s="10"/>
      <c r="I574" s="11" t="str">
        <f>"－"</f>
        <v>－</v>
      </c>
      <c r="J574" s="10"/>
      <c r="K574" s="11" t="n">
        <f>2928</f>
        <v>2928.0</v>
      </c>
    </row>
    <row r="575">
      <c r="A575" s="8" t="s">
        <v>30</v>
      </c>
      <c r="B575" s="9" t="s">
        <v>86</v>
      </c>
      <c r="C575" s="9" t="s">
        <v>87</v>
      </c>
      <c r="D575" s="10"/>
      <c r="E575" s="11" t="str">
        <f>"－"</f>
        <v>－</v>
      </c>
      <c r="F575" s="10"/>
      <c r="G575" s="11" t="str">
        <f>"－"</f>
        <v>－</v>
      </c>
      <c r="H575" s="10"/>
      <c r="I575" s="11" t="str">
        <f>"－"</f>
        <v>－</v>
      </c>
      <c r="J575" s="10"/>
      <c r="K575" s="11" t="n">
        <f>2928</f>
        <v>2928.0</v>
      </c>
    </row>
    <row r="576">
      <c r="A576" s="8" t="s">
        <v>31</v>
      </c>
      <c r="B576" s="9" t="s">
        <v>86</v>
      </c>
      <c r="C576" s="9" t="s">
        <v>87</v>
      </c>
      <c r="D576" s="10"/>
      <c r="E576" s="11" t="n">
        <f>18</f>
        <v>18.0</v>
      </c>
      <c r="F576" s="10"/>
      <c r="G576" s="11" t="n">
        <f>22884960</f>
        <v>2.288496E7</v>
      </c>
      <c r="H576" s="10"/>
      <c r="I576" s="11" t="str">
        <f>"－"</f>
        <v>－</v>
      </c>
      <c r="J576" s="10"/>
      <c r="K576" s="11" t="n">
        <f>2925</f>
        <v>2925.0</v>
      </c>
    </row>
    <row r="577">
      <c r="A577" s="8" t="s">
        <v>32</v>
      </c>
      <c r="B577" s="9" t="s">
        <v>86</v>
      </c>
      <c r="C577" s="9" t="s">
        <v>87</v>
      </c>
      <c r="D577" s="10"/>
      <c r="E577" s="11" t="n">
        <f>20</f>
        <v>20.0</v>
      </c>
      <c r="F577" s="10"/>
      <c r="G577" s="11" t="n">
        <f>24700800</f>
        <v>2.47008E7</v>
      </c>
      <c r="H577" s="10"/>
      <c r="I577" s="11" t="str">
        <f>"－"</f>
        <v>－</v>
      </c>
      <c r="J577" s="10"/>
      <c r="K577" s="11" t="n">
        <f>2925</f>
        <v>2925.0</v>
      </c>
    </row>
    <row r="578">
      <c r="A578" s="8" t="s">
        <v>33</v>
      </c>
      <c r="B578" s="9" t="s">
        <v>86</v>
      </c>
      <c r="C578" s="9" t="s">
        <v>87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34</v>
      </c>
      <c r="B579" s="9" t="s">
        <v>86</v>
      </c>
      <c r="C579" s="9" t="s">
        <v>87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35</v>
      </c>
      <c r="B580" s="9" t="s">
        <v>86</v>
      </c>
      <c r="C580" s="9" t="s">
        <v>87</v>
      </c>
      <c r="D580" s="10"/>
      <c r="E580" s="11" t="str">
        <f>"－"</f>
        <v>－</v>
      </c>
      <c r="F580" s="10"/>
      <c r="G580" s="11" t="str">
        <f>"－"</f>
        <v>－</v>
      </c>
      <c r="H580" s="10"/>
      <c r="I580" s="11" t="str">
        <f>"－"</f>
        <v>－</v>
      </c>
      <c r="J580" s="10"/>
      <c r="K580" s="11" t="n">
        <f>2925</f>
        <v>2925.0</v>
      </c>
    </row>
    <row r="581">
      <c r="A581" s="8" t="s">
        <v>36</v>
      </c>
      <c r="B581" s="9" t="s">
        <v>86</v>
      </c>
      <c r="C581" s="9" t="s">
        <v>87</v>
      </c>
      <c r="D581" s="10"/>
      <c r="E581" s="11" t="n">
        <f>5</f>
        <v>5.0</v>
      </c>
      <c r="F581" s="10"/>
      <c r="G581" s="11" t="n">
        <f>8064000</f>
        <v>8064000.0</v>
      </c>
      <c r="H581" s="10"/>
      <c r="I581" s="11" t="str">
        <f>"－"</f>
        <v>－</v>
      </c>
      <c r="J581" s="10" t="s">
        <v>37</v>
      </c>
      <c r="K581" s="11" t="n">
        <f>2920</f>
        <v>2920.0</v>
      </c>
    </row>
    <row r="582">
      <c r="A582" s="8" t="s">
        <v>38</v>
      </c>
      <c r="B582" s="9" t="s">
        <v>86</v>
      </c>
      <c r="C582" s="9" t="s">
        <v>87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2920</f>
        <v>2920.0</v>
      </c>
    </row>
    <row r="583">
      <c r="A583" s="8" t="s">
        <v>39</v>
      </c>
      <c r="B583" s="9" t="s">
        <v>86</v>
      </c>
      <c r="C583" s="9" t="s">
        <v>87</v>
      </c>
      <c r="D583" s="10"/>
      <c r="E583" s="11" t="n">
        <f>10</f>
        <v>10.0</v>
      </c>
      <c r="F583" s="10"/>
      <c r="G583" s="11" t="n">
        <f>19716000</f>
        <v>1.9716E7</v>
      </c>
      <c r="H583" s="10"/>
      <c r="I583" s="11" t="str">
        <f>"－"</f>
        <v>－</v>
      </c>
      <c r="J583" s="10"/>
      <c r="K583" s="11" t="n">
        <f>2920</f>
        <v>2920.0</v>
      </c>
    </row>
    <row r="584">
      <c r="A584" s="8" t="s">
        <v>41</v>
      </c>
      <c r="B584" s="9" t="s">
        <v>86</v>
      </c>
      <c r="C584" s="9" t="s">
        <v>87</v>
      </c>
      <c r="D584" s="10"/>
      <c r="E584" s="11" t="str">
        <f>"－"</f>
        <v>－</v>
      </c>
      <c r="F584" s="10"/>
      <c r="G584" s="11" t="str">
        <f>"－"</f>
        <v>－</v>
      </c>
      <c r="H584" s="10"/>
      <c r="I584" s="11" t="str">
        <f>"－"</f>
        <v>－</v>
      </c>
      <c r="J584" s="10"/>
      <c r="K584" s="11" t="n">
        <f>2920</f>
        <v>2920.0</v>
      </c>
    </row>
    <row r="585">
      <c r="A585" s="8" t="s">
        <v>42</v>
      </c>
      <c r="B585" s="9" t="s">
        <v>86</v>
      </c>
      <c r="C585" s="9" t="s">
        <v>87</v>
      </c>
      <c r="D585" s="10"/>
      <c r="E585" s="11"/>
      <c r="F585" s="10"/>
      <c r="G585" s="11"/>
      <c r="H585" s="10"/>
      <c r="I585" s="11"/>
      <c r="J585" s="10"/>
      <c r="K585" s="11"/>
    </row>
    <row r="586">
      <c r="A586" s="8" t="s">
        <v>43</v>
      </c>
      <c r="B586" s="9" t="s">
        <v>86</v>
      </c>
      <c r="C586" s="9" t="s">
        <v>87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44</v>
      </c>
      <c r="B587" s="9" t="s">
        <v>86</v>
      </c>
      <c r="C587" s="9" t="s">
        <v>87</v>
      </c>
      <c r="D587" s="10"/>
      <c r="E587" s="11" t="str">
        <f>"－"</f>
        <v>－</v>
      </c>
      <c r="F587" s="10"/>
      <c r="G587" s="11" t="str">
        <f>"－"</f>
        <v>－</v>
      </c>
      <c r="H587" s="10"/>
      <c r="I587" s="11" t="str">
        <f>"－"</f>
        <v>－</v>
      </c>
      <c r="J587" s="10"/>
      <c r="K587" s="11" t="n">
        <f>2920</f>
        <v>2920.0</v>
      </c>
    </row>
    <row r="588">
      <c r="A588" s="8" t="s">
        <v>45</v>
      </c>
      <c r="B588" s="9" t="s">
        <v>86</v>
      </c>
      <c r="C588" s="9" t="s">
        <v>87</v>
      </c>
      <c r="D588" s="10"/>
      <c r="E588" s="11" t="str">
        <f>"－"</f>
        <v>－</v>
      </c>
      <c r="F588" s="10"/>
      <c r="G588" s="11" t="str">
        <f>"－"</f>
        <v>－</v>
      </c>
      <c r="H588" s="10"/>
      <c r="I588" s="11" t="str">
        <f>"－"</f>
        <v>－</v>
      </c>
      <c r="J588" s="10"/>
      <c r="K588" s="11" t="n">
        <f>2920</f>
        <v>2920.0</v>
      </c>
    </row>
    <row r="589">
      <c r="A589" s="8" t="s">
        <v>46</v>
      </c>
      <c r="B589" s="9" t="s">
        <v>86</v>
      </c>
      <c r="C589" s="9" t="s">
        <v>87</v>
      </c>
      <c r="D589" s="10"/>
      <c r="E589" s="11" t="str">
        <f>"－"</f>
        <v>－</v>
      </c>
      <c r="F589" s="10"/>
      <c r="G589" s="11" t="str">
        <f>"－"</f>
        <v>－</v>
      </c>
      <c r="H589" s="10"/>
      <c r="I589" s="11" t="str">
        <f>"－"</f>
        <v>－</v>
      </c>
      <c r="J589" s="10"/>
      <c r="K589" s="11" t="n">
        <f>2920</f>
        <v>2920.0</v>
      </c>
    </row>
    <row r="590">
      <c r="A590" s="8" t="s">
        <v>47</v>
      </c>
      <c r="B590" s="9" t="s">
        <v>86</v>
      </c>
      <c r="C590" s="9" t="s">
        <v>87</v>
      </c>
      <c r="D590" s="10"/>
      <c r="E590" s="11" t="n">
        <f>25</f>
        <v>25.0</v>
      </c>
      <c r="F590" s="10"/>
      <c r="G590" s="11" t="n">
        <f>40992000</f>
        <v>4.0992E7</v>
      </c>
      <c r="H590" s="10"/>
      <c r="I590" s="11" t="str">
        <f>"－"</f>
        <v>－</v>
      </c>
      <c r="J590" s="10"/>
      <c r="K590" s="11" t="n">
        <f>2925</f>
        <v>2925.0</v>
      </c>
    </row>
    <row r="591">
      <c r="A591" s="8" t="s">
        <v>48</v>
      </c>
      <c r="B591" s="9" t="s">
        <v>86</v>
      </c>
      <c r="C591" s="9" t="s">
        <v>87</v>
      </c>
      <c r="D591" s="10" t="s">
        <v>40</v>
      </c>
      <c r="E591" s="11" t="n">
        <f>70</f>
        <v>70.0</v>
      </c>
      <c r="F591" s="10" t="s">
        <v>40</v>
      </c>
      <c r="G591" s="11" t="n">
        <f>113164800</f>
        <v>1.131648E8</v>
      </c>
      <c r="H591" s="10"/>
      <c r="I591" s="11" t="str">
        <f>"－"</f>
        <v>－</v>
      </c>
      <c r="J591" s="10"/>
      <c r="K591" s="11" t="n">
        <f>2926</f>
        <v>2926.0</v>
      </c>
    </row>
    <row r="592">
      <c r="A592" s="8" t="s">
        <v>49</v>
      </c>
      <c r="B592" s="9" t="s">
        <v>86</v>
      </c>
      <c r="C592" s="9" t="s">
        <v>87</v>
      </c>
      <c r="D592" s="10"/>
      <c r="E592" s="11"/>
      <c r="F592" s="10"/>
      <c r="G592" s="11"/>
      <c r="H592" s="10"/>
      <c r="I592" s="11"/>
      <c r="J592" s="10"/>
      <c r="K592" s="11"/>
    </row>
    <row r="593">
      <c r="A593" s="8" t="s">
        <v>50</v>
      </c>
      <c r="B593" s="9" t="s">
        <v>86</v>
      </c>
      <c r="C593" s="9" t="s">
        <v>87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51</v>
      </c>
      <c r="B594" s="9" t="s">
        <v>86</v>
      </c>
      <c r="C594" s="9" t="s">
        <v>87</v>
      </c>
      <c r="D594" s="10"/>
      <c r="E594" s="11" t="n">
        <f>63</f>
        <v>63.0</v>
      </c>
      <c r="F594" s="10"/>
      <c r="G594" s="11" t="n">
        <f>100934400</f>
        <v>1.009344E8</v>
      </c>
      <c r="H594" s="10"/>
      <c r="I594" s="11" t="str">
        <f>"－"</f>
        <v>－</v>
      </c>
      <c r="J594" s="10"/>
      <c r="K594" s="11" t="n">
        <f>2939</f>
        <v>2939.0</v>
      </c>
    </row>
    <row r="595">
      <c r="A595" s="8" t="s">
        <v>16</v>
      </c>
      <c r="B595" s="9" t="s">
        <v>88</v>
      </c>
      <c r="C595" s="9" t="s">
        <v>89</v>
      </c>
      <c r="D595" s="10"/>
      <c r="E595" s="11"/>
      <c r="F595" s="10"/>
      <c r="G595" s="11"/>
      <c r="H595" s="10"/>
      <c r="I595" s="11"/>
      <c r="J595" s="10"/>
      <c r="K595" s="11"/>
    </row>
    <row r="596">
      <c r="A596" s="8" t="s">
        <v>19</v>
      </c>
      <c r="B596" s="9" t="s">
        <v>88</v>
      </c>
      <c r="C596" s="9" t="s">
        <v>89</v>
      </c>
      <c r="D596" s="10"/>
      <c r="E596" s="11"/>
      <c r="F596" s="10"/>
      <c r="G596" s="11"/>
      <c r="H596" s="10"/>
      <c r="I596" s="11"/>
      <c r="J596" s="10"/>
      <c r="K596" s="11"/>
    </row>
    <row r="597">
      <c r="A597" s="8" t="s">
        <v>20</v>
      </c>
      <c r="B597" s="9" t="s">
        <v>88</v>
      </c>
      <c r="C597" s="9" t="s">
        <v>89</v>
      </c>
      <c r="D597" s="10"/>
      <c r="E597" s="11"/>
      <c r="F597" s="10"/>
      <c r="G597" s="11"/>
      <c r="H597" s="10"/>
      <c r="I597" s="11"/>
      <c r="J597" s="10"/>
      <c r="K597" s="11"/>
    </row>
    <row r="598">
      <c r="A598" s="8" t="s">
        <v>21</v>
      </c>
      <c r="B598" s="9" t="s">
        <v>88</v>
      </c>
      <c r="C598" s="9" t="s">
        <v>89</v>
      </c>
      <c r="D598" s="10" t="s">
        <v>37</v>
      </c>
      <c r="E598" s="11" t="str">
        <f>"－"</f>
        <v>－</v>
      </c>
      <c r="F598" s="10" t="s">
        <v>37</v>
      </c>
      <c r="G598" s="11" t="str">
        <f>"－"</f>
        <v>－</v>
      </c>
      <c r="H598" s="10" t="s">
        <v>22</v>
      </c>
      <c r="I598" s="11" t="str">
        <f>"－"</f>
        <v>－</v>
      </c>
      <c r="J598" s="10" t="s">
        <v>40</v>
      </c>
      <c r="K598" s="11" t="n">
        <f>632</f>
        <v>632.0</v>
      </c>
    </row>
    <row r="599">
      <c r="A599" s="8" t="s">
        <v>23</v>
      </c>
      <c r="B599" s="9" t="s">
        <v>88</v>
      </c>
      <c r="C599" s="9" t="s">
        <v>89</v>
      </c>
      <c r="D599" s="10"/>
      <c r="E599" s="11" t="str">
        <f>"－"</f>
        <v>－</v>
      </c>
      <c r="F599" s="10"/>
      <c r="G599" s="11" t="str">
        <f>"－"</f>
        <v>－</v>
      </c>
      <c r="H599" s="10"/>
      <c r="I599" s="11" t="str">
        <f>"－"</f>
        <v>－</v>
      </c>
      <c r="J599" s="10" t="s">
        <v>37</v>
      </c>
      <c r="K599" s="11" t="n">
        <f>462</f>
        <v>462.0</v>
      </c>
    </row>
    <row r="600">
      <c r="A600" s="8" t="s">
        <v>24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462</f>
        <v>462.0</v>
      </c>
    </row>
    <row r="601">
      <c r="A601" s="8" t="s">
        <v>25</v>
      </c>
      <c r="B601" s="9" t="s">
        <v>88</v>
      </c>
      <c r="C601" s="9" t="s">
        <v>89</v>
      </c>
      <c r="D601" s="10"/>
      <c r="E601" s="11" t="str">
        <f>"－"</f>
        <v>－</v>
      </c>
      <c r="F601" s="10"/>
      <c r="G601" s="11" t="str">
        <f>"－"</f>
        <v>－</v>
      </c>
      <c r="H601" s="10"/>
      <c r="I601" s="11" t="str">
        <f>"－"</f>
        <v>－</v>
      </c>
      <c r="J601" s="10"/>
      <c r="K601" s="11" t="n">
        <f>462</f>
        <v>462.0</v>
      </c>
    </row>
    <row r="602">
      <c r="A602" s="8" t="s">
        <v>26</v>
      </c>
      <c r="B602" s="9" t="s">
        <v>88</v>
      </c>
      <c r="C602" s="9" t="s">
        <v>89</v>
      </c>
      <c r="D602" s="10"/>
      <c r="E602" s="11"/>
      <c r="F602" s="10"/>
      <c r="G602" s="11"/>
      <c r="H602" s="10"/>
      <c r="I602" s="11"/>
      <c r="J602" s="10"/>
      <c r="K602" s="11"/>
    </row>
    <row r="603">
      <c r="A603" s="8" t="s">
        <v>27</v>
      </c>
      <c r="B603" s="9" t="s">
        <v>88</v>
      </c>
      <c r="C603" s="9" t="s">
        <v>89</v>
      </c>
      <c r="D603" s="10"/>
      <c r="E603" s="11"/>
      <c r="F603" s="10"/>
      <c r="G603" s="11"/>
      <c r="H603" s="10"/>
      <c r="I603" s="11"/>
      <c r="J603" s="10"/>
      <c r="K603" s="11"/>
    </row>
    <row r="604">
      <c r="A604" s="8" t="s">
        <v>28</v>
      </c>
      <c r="B604" s="9" t="s">
        <v>88</v>
      </c>
      <c r="C604" s="9" t="s">
        <v>89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29</v>
      </c>
      <c r="B605" s="9" t="s">
        <v>88</v>
      </c>
      <c r="C605" s="9" t="s">
        <v>89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462</f>
        <v>462.0</v>
      </c>
    </row>
    <row r="606">
      <c r="A606" s="8" t="s">
        <v>30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462</f>
        <v>462.0</v>
      </c>
    </row>
    <row r="607">
      <c r="A607" s="8" t="s">
        <v>31</v>
      </c>
      <c r="B607" s="9" t="s">
        <v>88</v>
      </c>
      <c r="C607" s="9" t="s">
        <v>89</v>
      </c>
      <c r="D607" s="10"/>
      <c r="E607" s="11" t="n">
        <f>20</f>
        <v>20.0</v>
      </c>
      <c r="F607" s="10"/>
      <c r="G607" s="11" t="n">
        <f>30912000</f>
        <v>3.0912E7</v>
      </c>
      <c r="H607" s="10"/>
      <c r="I607" s="11" t="str">
        <f>"－"</f>
        <v>－</v>
      </c>
      <c r="J607" s="10"/>
      <c r="K607" s="11" t="n">
        <f>482</f>
        <v>482.0</v>
      </c>
    </row>
    <row r="608">
      <c r="A608" s="8" t="s">
        <v>32</v>
      </c>
      <c r="B608" s="9" t="s">
        <v>88</v>
      </c>
      <c r="C608" s="9" t="s">
        <v>89</v>
      </c>
      <c r="D608" s="10"/>
      <c r="E608" s="11" t="n">
        <f>20</f>
        <v>20.0</v>
      </c>
      <c r="F608" s="10"/>
      <c r="G608" s="11" t="n">
        <f>24700800</f>
        <v>2.47008E7</v>
      </c>
      <c r="H608" s="10"/>
      <c r="I608" s="11" t="str">
        <f>"－"</f>
        <v>－</v>
      </c>
      <c r="J608" s="10"/>
      <c r="K608" s="11" t="n">
        <f>492</f>
        <v>492.0</v>
      </c>
    </row>
    <row r="609">
      <c r="A609" s="8" t="s">
        <v>33</v>
      </c>
      <c r="B609" s="9" t="s">
        <v>88</v>
      </c>
      <c r="C609" s="9" t="s">
        <v>89</v>
      </c>
      <c r="D609" s="10"/>
      <c r="E609" s="11"/>
      <c r="F609" s="10"/>
      <c r="G609" s="11"/>
      <c r="H609" s="10"/>
      <c r="I609" s="11"/>
      <c r="J609" s="10"/>
      <c r="K609" s="11"/>
    </row>
    <row r="610">
      <c r="A610" s="8" t="s">
        <v>34</v>
      </c>
      <c r="B610" s="9" t="s">
        <v>88</v>
      </c>
      <c r="C610" s="9" t="s">
        <v>89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35</v>
      </c>
      <c r="B611" s="9" t="s">
        <v>88</v>
      </c>
      <c r="C611" s="9" t="s">
        <v>89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492</f>
        <v>492.0</v>
      </c>
    </row>
    <row r="612">
      <c r="A612" s="8" t="s">
        <v>36</v>
      </c>
      <c r="B612" s="9" t="s">
        <v>88</v>
      </c>
      <c r="C612" s="9" t="s">
        <v>89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492</f>
        <v>492.0</v>
      </c>
    </row>
    <row r="613">
      <c r="A613" s="8" t="s">
        <v>38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492</f>
        <v>492.0</v>
      </c>
    </row>
    <row r="614">
      <c r="A614" s="8" t="s">
        <v>39</v>
      </c>
      <c r="B614" s="9" t="s">
        <v>88</v>
      </c>
      <c r="C614" s="9" t="s">
        <v>89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492</f>
        <v>492.0</v>
      </c>
    </row>
    <row r="615">
      <c r="A615" s="8" t="s">
        <v>41</v>
      </c>
      <c r="B615" s="9" t="s">
        <v>88</v>
      </c>
      <c r="C615" s="9" t="s">
        <v>89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492</f>
        <v>492.0</v>
      </c>
    </row>
    <row r="616">
      <c r="A616" s="8" t="s">
        <v>42</v>
      </c>
      <c r="B616" s="9" t="s">
        <v>88</v>
      </c>
      <c r="C616" s="9" t="s">
        <v>89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43</v>
      </c>
      <c r="B617" s="9" t="s">
        <v>88</v>
      </c>
      <c r="C617" s="9" t="s">
        <v>89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44</v>
      </c>
      <c r="B618" s="9" t="s">
        <v>88</v>
      </c>
      <c r="C618" s="9" t="s">
        <v>89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492</f>
        <v>492.0</v>
      </c>
    </row>
    <row r="619">
      <c r="A619" s="8" t="s">
        <v>45</v>
      </c>
      <c r="B619" s="9" t="s">
        <v>88</v>
      </c>
      <c r="C619" s="9" t="s">
        <v>89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 t="n">
        <f>492</f>
        <v>492.0</v>
      </c>
    </row>
    <row r="620">
      <c r="A620" s="8" t="s">
        <v>46</v>
      </c>
      <c r="B620" s="9" t="s">
        <v>88</v>
      </c>
      <c r="C620" s="9" t="s">
        <v>89</v>
      </c>
      <c r="D620" s="10" t="s">
        <v>40</v>
      </c>
      <c r="E620" s="11" t="n">
        <f>120</f>
        <v>120.0</v>
      </c>
      <c r="F620" s="10" t="s">
        <v>40</v>
      </c>
      <c r="G620" s="11" t="n">
        <f>127458000</f>
        <v>1.27458E8</v>
      </c>
      <c r="H620" s="10"/>
      <c r="I620" s="11" t="str">
        <f>"－"</f>
        <v>－</v>
      </c>
      <c r="J620" s="10"/>
      <c r="K620" s="11" t="n">
        <f>612</f>
        <v>612.0</v>
      </c>
    </row>
    <row r="621">
      <c r="A621" s="8" t="s">
        <v>47</v>
      </c>
      <c r="B621" s="9" t="s">
        <v>88</v>
      </c>
      <c r="C621" s="9" t="s">
        <v>89</v>
      </c>
      <c r="D621" s="10"/>
      <c r="E621" s="11" t="n">
        <f>10</f>
        <v>10.0</v>
      </c>
      <c r="F621" s="10"/>
      <c r="G621" s="11" t="n">
        <f>15456000</f>
        <v>1.5456E7</v>
      </c>
      <c r="H621" s="10"/>
      <c r="I621" s="11" t="str">
        <f>"－"</f>
        <v>－</v>
      </c>
      <c r="J621" s="10"/>
      <c r="K621" s="11" t="n">
        <f>622</f>
        <v>622.0</v>
      </c>
    </row>
    <row r="622">
      <c r="A622" s="8" t="s">
        <v>48</v>
      </c>
      <c r="B622" s="9" t="s">
        <v>88</v>
      </c>
      <c r="C622" s="9" t="s">
        <v>89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622</f>
        <v>622.0</v>
      </c>
    </row>
    <row r="623">
      <c r="A623" s="8" t="s">
        <v>49</v>
      </c>
      <c r="B623" s="9" t="s">
        <v>88</v>
      </c>
      <c r="C623" s="9" t="s">
        <v>89</v>
      </c>
      <c r="D623" s="10"/>
      <c r="E623" s="11"/>
      <c r="F623" s="10"/>
      <c r="G623" s="11"/>
      <c r="H623" s="10"/>
      <c r="I623" s="11"/>
      <c r="J623" s="10"/>
      <c r="K623" s="11"/>
    </row>
    <row r="624">
      <c r="A624" s="8" t="s">
        <v>50</v>
      </c>
      <c r="B624" s="9" t="s">
        <v>88</v>
      </c>
      <c r="C624" s="9" t="s">
        <v>89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51</v>
      </c>
      <c r="B625" s="9" t="s">
        <v>88</v>
      </c>
      <c r="C625" s="9" t="s">
        <v>89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622</f>
        <v>622.0</v>
      </c>
    </row>
    <row r="626">
      <c r="A626" s="8" t="s">
        <v>16</v>
      </c>
      <c r="B626" s="9" t="s">
        <v>90</v>
      </c>
      <c r="C626" s="9" t="s">
        <v>91</v>
      </c>
      <c r="D626" s="10"/>
      <c r="E626" s="11"/>
      <c r="F626" s="10"/>
      <c r="G626" s="11"/>
      <c r="H626" s="10"/>
      <c r="I626" s="11"/>
      <c r="J626" s="10"/>
      <c r="K626" s="11"/>
    </row>
    <row r="627">
      <c r="A627" s="8" t="s">
        <v>19</v>
      </c>
      <c r="B627" s="9" t="s">
        <v>90</v>
      </c>
      <c r="C627" s="9" t="s">
        <v>91</v>
      </c>
      <c r="D627" s="10"/>
      <c r="E627" s="11"/>
      <c r="F627" s="10"/>
      <c r="G627" s="11"/>
      <c r="H627" s="10"/>
      <c r="I627" s="11"/>
      <c r="J627" s="10"/>
      <c r="K627" s="11"/>
    </row>
    <row r="628">
      <c r="A628" s="8" t="s">
        <v>20</v>
      </c>
      <c r="B628" s="9" t="s">
        <v>90</v>
      </c>
      <c r="C628" s="9" t="s">
        <v>91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21</v>
      </c>
      <c r="B629" s="9" t="s">
        <v>90</v>
      </c>
      <c r="C629" s="9" t="s">
        <v>91</v>
      </c>
      <c r="D629" s="10" t="s">
        <v>37</v>
      </c>
      <c r="E629" s="11" t="str">
        <f>"－"</f>
        <v>－</v>
      </c>
      <c r="F629" s="10" t="s">
        <v>37</v>
      </c>
      <c r="G629" s="11" t="str">
        <f>"－"</f>
        <v>－</v>
      </c>
      <c r="H629" s="10" t="s">
        <v>22</v>
      </c>
      <c r="I629" s="11" t="str">
        <f>"－"</f>
        <v>－</v>
      </c>
      <c r="J629" s="10" t="s">
        <v>40</v>
      </c>
      <c r="K629" s="11" t="n">
        <f>766</f>
        <v>766.0</v>
      </c>
    </row>
    <row r="630">
      <c r="A630" s="8" t="s">
        <v>23</v>
      </c>
      <c r="B630" s="9" t="s">
        <v>90</v>
      </c>
      <c r="C630" s="9" t="s">
        <v>91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 t="s">
        <v>37</v>
      </c>
      <c r="K630" s="11" t="n">
        <f>436</f>
        <v>436.0</v>
      </c>
    </row>
    <row r="631">
      <c r="A631" s="8" t="s">
        <v>24</v>
      </c>
      <c r="B631" s="9" t="s">
        <v>90</v>
      </c>
      <c r="C631" s="9" t="s">
        <v>91</v>
      </c>
      <c r="D631" s="10"/>
      <c r="E631" s="11" t="n">
        <f>2</f>
        <v>2.0</v>
      </c>
      <c r="F631" s="10"/>
      <c r="G631" s="11" t="n">
        <f>912000</f>
        <v>912000.0</v>
      </c>
      <c r="H631" s="10"/>
      <c r="I631" s="11" t="str">
        <f>"－"</f>
        <v>－</v>
      </c>
      <c r="J631" s="10"/>
      <c r="K631" s="11" t="n">
        <f>438</f>
        <v>438.0</v>
      </c>
    </row>
    <row r="632">
      <c r="A632" s="8" t="s">
        <v>25</v>
      </c>
      <c r="B632" s="9" t="s">
        <v>90</v>
      </c>
      <c r="C632" s="9" t="s">
        <v>91</v>
      </c>
      <c r="D632" s="10" t="s">
        <v>40</v>
      </c>
      <c r="E632" s="11" t="n">
        <f>6</f>
        <v>6.0</v>
      </c>
      <c r="F632" s="10"/>
      <c r="G632" s="11" t="n">
        <f>3510000</f>
        <v>3510000.0</v>
      </c>
      <c r="H632" s="10"/>
      <c r="I632" s="11" t="str">
        <f>"－"</f>
        <v>－</v>
      </c>
      <c r="J632" s="10"/>
      <c r="K632" s="11" t="n">
        <f>439</f>
        <v>439.0</v>
      </c>
    </row>
    <row r="633">
      <c r="A633" s="8" t="s">
        <v>26</v>
      </c>
      <c r="B633" s="9" t="s">
        <v>90</v>
      </c>
      <c r="C633" s="9" t="s">
        <v>91</v>
      </c>
      <c r="D633" s="10"/>
      <c r="E633" s="11"/>
      <c r="F633" s="10"/>
      <c r="G633" s="11"/>
      <c r="H633" s="10"/>
      <c r="I633" s="11"/>
      <c r="J633" s="10"/>
      <c r="K633" s="11"/>
    </row>
    <row r="634">
      <c r="A634" s="8" t="s">
        <v>27</v>
      </c>
      <c r="B634" s="9" t="s">
        <v>90</v>
      </c>
      <c r="C634" s="9" t="s">
        <v>91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28</v>
      </c>
      <c r="B635" s="9" t="s">
        <v>90</v>
      </c>
      <c r="C635" s="9" t="s">
        <v>91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29</v>
      </c>
      <c r="B636" s="9" t="s">
        <v>90</v>
      </c>
      <c r="C636" s="9" t="s">
        <v>91</v>
      </c>
      <c r="D636" s="10"/>
      <c r="E636" s="11" t="str">
        <f>"－"</f>
        <v>－</v>
      </c>
      <c r="F636" s="10"/>
      <c r="G636" s="11" t="str">
        <f>"－"</f>
        <v>－</v>
      </c>
      <c r="H636" s="10"/>
      <c r="I636" s="11" t="str">
        <f>"－"</f>
        <v>－</v>
      </c>
      <c r="J636" s="10"/>
      <c r="K636" s="11" t="n">
        <f>439</f>
        <v>439.0</v>
      </c>
    </row>
    <row r="637">
      <c r="A637" s="8" t="s">
        <v>30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439</f>
        <v>439.0</v>
      </c>
    </row>
    <row r="638">
      <c r="A638" s="8" t="s">
        <v>31</v>
      </c>
      <c r="B638" s="9" t="s">
        <v>90</v>
      </c>
      <c r="C638" s="9" t="s">
        <v>91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439</f>
        <v>439.0</v>
      </c>
    </row>
    <row r="639">
      <c r="A639" s="8" t="s">
        <v>32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439</f>
        <v>439.0</v>
      </c>
    </row>
    <row r="640">
      <c r="A640" s="8" t="s">
        <v>33</v>
      </c>
      <c r="B640" s="9" t="s">
        <v>90</v>
      </c>
      <c r="C640" s="9" t="s">
        <v>91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34</v>
      </c>
      <c r="B641" s="9" t="s">
        <v>90</v>
      </c>
      <c r="C641" s="9" t="s">
        <v>91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35</v>
      </c>
      <c r="B642" s="9" t="s">
        <v>90</v>
      </c>
      <c r="C642" s="9" t="s">
        <v>91</v>
      </c>
      <c r="D642" s="10"/>
      <c r="E642" s="11" t="str">
        <f>"－"</f>
        <v>－</v>
      </c>
      <c r="F642" s="10"/>
      <c r="G642" s="11" t="str">
        <f>"－"</f>
        <v>－</v>
      </c>
      <c r="H642" s="10"/>
      <c r="I642" s="11" t="str">
        <f>"－"</f>
        <v>－</v>
      </c>
      <c r="J642" s="10"/>
      <c r="K642" s="11" t="n">
        <f>439</f>
        <v>439.0</v>
      </c>
    </row>
    <row r="643">
      <c r="A643" s="8" t="s">
        <v>36</v>
      </c>
      <c r="B643" s="9" t="s">
        <v>90</v>
      </c>
      <c r="C643" s="9" t="s">
        <v>91</v>
      </c>
      <c r="D643" s="10"/>
      <c r="E643" s="11" t="n">
        <f>6</f>
        <v>6.0</v>
      </c>
      <c r="F643" s="10" t="s">
        <v>40</v>
      </c>
      <c r="G643" s="11" t="n">
        <f>3888000</f>
        <v>3888000.0</v>
      </c>
      <c r="H643" s="10"/>
      <c r="I643" s="11" t="str">
        <f>"－"</f>
        <v>－</v>
      </c>
      <c r="J643" s="10"/>
      <c r="K643" s="11" t="n">
        <f>440</f>
        <v>440.0</v>
      </c>
    </row>
    <row r="644">
      <c r="A644" s="8" t="s">
        <v>38</v>
      </c>
      <c r="B644" s="9" t="s">
        <v>90</v>
      </c>
      <c r="C644" s="9" t="s">
        <v>91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440</f>
        <v>440.0</v>
      </c>
    </row>
    <row r="645">
      <c r="A645" s="8" t="s">
        <v>39</v>
      </c>
      <c r="B645" s="9" t="s">
        <v>90</v>
      </c>
      <c r="C645" s="9" t="s">
        <v>91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440</f>
        <v>440.0</v>
      </c>
    </row>
    <row r="646">
      <c r="A646" s="8" t="s">
        <v>41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440</f>
        <v>440.0</v>
      </c>
    </row>
    <row r="647">
      <c r="A647" s="8" t="s">
        <v>42</v>
      </c>
      <c r="B647" s="9" t="s">
        <v>90</v>
      </c>
      <c r="C647" s="9" t="s">
        <v>91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43</v>
      </c>
      <c r="B648" s="9" t="s">
        <v>90</v>
      </c>
      <c r="C648" s="9" t="s">
        <v>91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44</v>
      </c>
      <c r="B649" s="9" t="s">
        <v>90</v>
      </c>
      <c r="C649" s="9" t="s">
        <v>91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440</f>
        <v>440.0</v>
      </c>
    </row>
    <row r="650">
      <c r="A650" s="8" t="s">
        <v>45</v>
      </c>
      <c r="B650" s="9" t="s">
        <v>90</v>
      </c>
      <c r="C650" s="9" t="s">
        <v>91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440</f>
        <v>440.0</v>
      </c>
    </row>
    <row r="651">
      <c r="A651" s="8" t="s">
        <v>46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440</f>
        <v>440.0</v>
      </c>
    </row>
    <row r="652">
      <c r="A652" s="8" t="s">
        <v>47</v>
      </c>
      <c r="B652" s="9" t="s">
        <v>90</v>
      </c>
      <c r="C652" s="9" t="s">
        <v>91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440</f>
        <v>440.0</v>
      </c>
    </row>
    <row r="653">
      <c r="A653" s="8" t="s">
        <v>48</v>
      </c>
      <c r="B653" s="9" t="s">
        <v>90</v>
      </c>
      <c r="C653" s="9" t="s">
        <v>91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440</f>
        <v>440.0</v>
      </c>
    </row>
    <row r="654">
      <c r="A654" s="8" t="s">
        <v>49</v>
      </c>
      <c r="B654" s="9" t="s">
        <v>90</v>
      </c>
      <c r="C654" s="9" t="s">
        <v>91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50</v>
      </c>
      <c r="B655" s="9" t="s">
        <v>90</v>
      </c>
      <c r="C655" s="9" t="s">
        <v>91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51</v>
      </c>
      <c r="B656" s="9" t="s">
        <v>90</v>
      </c>
      <c r="C656" s="9" t="s">
        <v>91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440</f>
        <v>440.0</v>
      </c>
    </row>
    <row r="657">
      <c r="A657" s="8" t="s">
        <v>16</v>
      </c>
      <c r="B657" s="9" t="s">
        <v>92</v>
      </c>
      <c r="C657" s="9" t="s">
        <v>93</v>
      </c>
      <c r="D657" s="10"/>
      <c r="E657" s="11"/>
      <c r="F657" s="10"/>
      <c r="G657" s="11"/>
      <c r="H657" s="10"/>
      <c r="I657" s="11"/>
      <c r="J657" s="10"/>
      <c r="K657" s="11"/>
    </row>
    <row r="658">
      <c r="A658" s="8" t="s">
        <v>19</v>
      </c>
      <c r="B658" s="9" t="s">
        <v>92</v>
      </c>
      <c r="C658" s="9" t="s">
        <v>93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20</v>
      </c>
      <c r="B659" s="9" t="s">
        <v>92</v>
      </c>
      <c r="C659" s="9" t="s">
        <v>93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21</v>
      </c>
      <c r="B660" s="9" t="s">
        <v>92</v>
      </c>
      <c r="C660" s="9" t="s">
        <v>93</v>
      </c>
      <c r="D660" s="10" t="s">
        <v>22</v>
      </c>
      <c r="E660" s="11" t="str">
        <f>"－"</f>
        <v>－</v>
      </c>
      <c r="F660" s="10" t="s">
        <v>22</v>
      </c>
      <c r="G660" s="11" t="str">
        <f>"－"</f>
        <v>－</v>
      </c>
      <c r="H660" s="10" t="s">
        <v>22</v>
      </c>
      <c r="I660" s="11" t="str">
        <f>"－"</f>
        <v>－</v>
      </c>
      <c r="J660" s="10" t="s">
        <v>40</v>
      </c>
      <c r="K660" s="11" t="n">
        <f>248</f>
        <v>248.0</v>
      </c>
    </row>
    <row r="661">
      <c r="A661" s="8" t="s">
        <v>23</v>
      </c>
      <c r="B661" s="9" t="s">
        <v>92</v>
      </c>
      <c r="C661" s="9" t="s">
        <v>93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 t="s">
        <v>37</v>
      </c>
      <c r="K661" s="11" t="n">
        <f>85</f>
        <v>85.0</v>
      </c>
    </row>
    <row r="662">
      <c r="A662" s="8" t="s">
        <v>24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85</f>
        <v>85.0</v>
      </c>
    </row>
    <row r="663">
      <c r="A663" s="8" t="s">
        <v>25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85</f>
        <v>85.0</v>
      </c>
    </row>
    <row r="664">
      <c r="A664" s="8" t="s">
        <v>26</v>
      </c>
      <c r="B664" s="9" t="s">
        <v>92</v>
      </c>
      <c r="C664" s="9" t="s">
        <v>93</v>
      </c>
      <c r="D664" s="10"/>
      <c r="E664" s="11"/>
      <c r="F664" s="10"/>
      <c r="G664" s="11"/>
      <c r="H664" s="10"/>
      <c r="I664" s="11"/>
      <c r="J664" s="10"/>
      <c r="K664" s="11"/>
    </row>
    <row r="665">
      <c r="A665" s="8" t="s">
        <v>27</v>
      </c>
      <c r="B665" s="9" t="s">
        <v>92</v>
      </c>
      <c r="C665" s="9" t="s">
        <v>93</v>
      </c>
      <c r="D665" s="10"/>
      <c r="E665" s="11"/>
      <c r="F665" s="10"/>
      <c r="G665" s="11"/>
      <c r="H665" s="10"/>
      <c r="I665" s="11"/>
      <c r="J665" s="10"/>
      <c r="K665" s="11"/>
    </row>
    <row r="666">
      <c r="A666" s="8" t="s">
        <v>28</v>
      </c>
      <c r="B666" s="9" t="s">
        <v>92</v>
      </c>
      <c r="C666" s="9" t="s">
        <v>93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29</v>
      </c>
      <c r="B667" s="9" t="s">
        <v>92</v>
      </c>
      <c r="C667" s="9" t="s">
        <v>93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n">
        <f>85</f>
        <v>85.0</v>
      </c>
    </row>
    <row r="668">
      <c r="A668" s="8" t="s">
        <v>30</v>
      </c>
      <c r="B668" s="9" t="s">
        <v>92</v>
      </c>
      <c r="C668" s="9" t="s">
        <v>93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n">
        <f>85</f>
        <v>85.0</v>
      </c>
    </row>
    <row r="669">
      <c r="A669" s="8" t="s">
        <v>31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85</f>
        <v>85.0</v>
      </c>
    </row>
    <row r="670">
      <c r="A670" s="8" t="s">
        <v>32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85</f>
        <v>85.0</v>
      </c>
    </row>
    <row r="671">
      <c r="A671" s="8" t="s">
        <v>33</v>
      </c>
      <c r="B671" s="9" t="s">
        <v>92</v>
      </c>
      <c r="C671" s="9" t="s">
        <v>93</v>
      </c>
      <c r="D671" s="10"/>
      <c r="E671" s="11"/>
      <c r="F671" s="10"/>
      <c r="G671" s="11"/>
      <c r="H671" s="10"/>
      <c r="I671" s="11"/>
      <c r="J671" s="10"/>
      <c r="K671" s="11"/>
    </row>
    <row r="672">
      <c r="A672" s="8" t="s">
        <v>34</v>
      </c>
      <c r="B672" s="9" t="s">
        <v>92</v>
      </c>
      <c r="C672" s="9" t="s">
        <v>93</v>
      </c>
      <c r="D672" s="10"/>
      <c r="E672" s="11"/>
      <c r="F672" s="10"/>
      <c r="G672" s="11"/>
      <c r="H672" s="10"/>
      <c r="I672" s="11"/>
      <c r="J672" s="10"/>
      <c r="K672" s="11"/>
    </row>
    <row r="673">
      <c r="A673" s="8" t="s">
        <v>35</v>
      </c>
      <c r="B673" s="9" t="s">
        <v>92</v>
      </c>
      <c r="C673" s="9" t="s">
        <v>93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85</f>
        <v>85.0</v>
      </c>
    </row>
    <row r="674">
      <c r="A674" s="8" t="s">
        <v>36</v>
      </c>
      <c r="B674" s="9" t="s">
        <v>92</v>
      </c>
      <c r="C674" s="9" t="s">
        <v>93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n">
        <f>85</f>
        <v>85.0</v>
      </c>
    </row>
    <row r="675">
      <c r="A675" s="8" t="s">
        <v>38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85</f>
        <v>85.0</v>
      </c>
    </row>
    <row r="676">
      <c r="A676" s="8" t="s">
        <v>39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85</f>
        <v>85.0</v>
      </c>
    </row>
    <row r="677">
      <c r="A677" s="8" t="s">
        <v>41</v>
      </c>
      <c r="B677" s="9" t="s">
        <v>92</v>
      </c>
      <c r="C677" s="9" t="s">
        <v>93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85</f>
        <v>85.0</v>
      </c>
    </row>
    <row r="678">
      <c r="A678" s="8" t="s">
        <v>42</v>
      </c>
      <c r="B678" s="9" t="s">
        <v>92</v>
      </c>
      <c r="C678" s="9" t="s">
        <v>93</v>
      </c>
      <c r="D678" s="10"/>
      <c r="E678" s="11"/>
      <c r="F678" s="10"/>
      <c r="G678" s="11"/>
      <c r="H678" s="10"/>
      <c r="I678" s="11"/>
      <c r="J678" s="10"/>
      <c r="K678" s="11"/>
    </row>
    <row r="679">
      <c r="A679" s="8" t="s">
        <v>43</v>
      </c>
      <c r="B679" s="9" t="s">
        <v>92</v>
      </c>
      <c r="C679" s="9" t="s">
        <v>93</v>
      </c>
      <c r="D679" s="10"/>
      <c r="E679" s="11"/>
      <c r="F679" s="10"/>
      <c r="G679" s="11"/>
      <c r="H679" s="10"/>
      <c r="I679" s="11"/>
      <c r="J679" s="10"/>
      <c r="K679" s="11"/>
    </row>
    <row r="680">
      <c r="A680" s="8" t="s">
        <v>44</v>
      </c>
      <c r="B680" s="9" t="s">
        <v>92</v>
      </c>
      <c r="C680" s="9" t="s">
        <v>93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85</f>
        <v>85.0</v>
      </c>
    </row>
    <row r="681">
      <c r="A681" s="8" t="s">
        <v>45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85</f>
        <v>85.0</v>
      </c>
    </row>
    <row r="682">
      <c r="A682" s="8" t="s">
        <v>46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85</f>
        <v>85.0</v>
      </c>
    </row>
    <row r="683">
      <c r="A683" s="8" t="s">
        <v>47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85</f>
        <v>85.0</v>
      </c>
    </row>
    <row r="684">
      <c r="A684" s="8" t="s">
        <v>48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85</f>
        <v>85.0</v>
      </c>
    </row>
    <row r="685">
      <c r="A685" s="8" t="s">
        <v>49</v>
      </c>
      <c r="B685" s="9" t="s">
        <v>92</v>
      </c>
      <c r="C685" s="9" t="s">
        <v>93</v>
      </c>
      <c r="D685" s="10"/>
      <c r="E685" s="11"/>
      <c r="F685" s="10"/>
      <c r="G685" s="11"/>
      <c r="H685" s="10"/>
      <c r="I685" s="11"/>
      <c r="J685" s="10"/>
      <c r="K685" s="11"/>
    </row>
    <row r="686">
      <c r="A686" s="8" t="s">
        <v>50</v>
      </c>
      <c r="B686" s="9" t="s">
        <v>92</v>
      </c>
      <c r="C686" s="9" t="s">
        <v>93</v>
      </c>
      <c r="D686" s="10"/>
      <c r="E686" s="11"/>
      <c r="F686" s="10"/>
      <c r="G686" s="11"/>
      <c r="H686" s="10"/>
      <c r="I686" s="11"/>
      <c r="J686" s="10"/>
      <c r="K686" s="11"/>
    </row>
    <row r="687">
      <c r="A687" s="8" t="s">
        <v>51</v>
      </c>
      <c r="B687" s="9" t="s">
        <v>92</v>
      </c>
      <c r="C687" s="9" t="s">
        <v>93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n">
        <f>85</f>
        <v>85.0</v>
      </c>
    </row>
    <row r="688">
      <c r="A688" s="8" t="s">
        <v>16</v>
      </c>
      <c r="B688" s="9" t="s">
        <v>94</v>
      </c>
      <c r="C688" s="9" t="s">
        <v>95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19</v>
      </c>
      <c r="B689" s="9" t="s">
        <v>94</v>
      </c>
      <c r="C689" s="9" t="s">
        <v>95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20</v>
      </c>
      <c r="B690" s="9" t="s">
        <v>94</v>
      </c>
      <c r="C690" s="9" t="s">
        <v>95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21</v>
      </c>
      <c r="B691" s="9" t="s">
        <v>94</v>
      </c>
      <c r="C691" s="9" t="s">
        <v>95</v>
      </c>
      <c r="D691" s="10" t="s">
        <v>37</v>
      </c>
      <c r="E691" s="11" t="str">
        <f>"－"</f>
        <v>－</v>
      </c>
      <c r="F691" s="10" t="s">
        <v>37</v>
      </c>
      <c r="G691" s="11" t="str">
        <f>"－"</f>
        <v>－</v>
      </c>
      <c r="H691" s="10" t="s">
        <v>22</v>
      </c>
      <c r="I691" s="11" t="str">
        <f>"－"</f>
        <v>－</v>
      </c>
      <c r="J691" s="10"/>
      <c r="K691" s="11" t="n">
        <f>130</f>
        <v>130.0</v>
      </c>
    </row>
    <row r="692">
      <c r="A692" s="8" t="s">
        <v>23</v>
      </c>
      <c r="B692" s="9" t="s">
        <v>94</v>
      </c>
      <c r="C692" s="9" t="s">
        <v>95</v>
      </c>
      <c r="D692" s="10"/>
      <c r="E692" s="11" t="n">
        <f>4</f>
        <v>4.0</v>
      </c>
      <c r="F692" s="10"/>
      <c r="G692" s="11" t="n">
        <f>2948000</f>
        <v>2948000.0</v>
      </c>
      <c r="H692" s="10"/>
      <c r="I692" s="11" t="str">
        <f>"－"</f>
        <v>－</v>
      </c>
      <c r="J692" s="10"/>
      <c r="K692" s="11" t="n">
        <f>134</f>
        <v>134.0</v>
      </c>
    </row>
    <row r="693">
      <c r="A693" s="8" t="s">
        <v>24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n">
        <f>134</f>
        <v>134.0</v>
      </c>
    </row>
    <row r="694">
      <c r="A694" s="8" t="s">
        <v>25</v>
      </c>
      <c r="B694" s="9" t="s">
        <v>94</v>
      </c>
      <c r="C694" s="9" t="s">
        <v>95</v>
      </c>
      <c r="D694" s="10"/>
      <c r="E694" s="11" t="n">
        <f>1</f>
        <v>1.0</v>
      </c>
      <c r="F694" s="10"/>
      <c r="G694" s="11" t="n">
        <f>742000</f>
        <v>742000.0</v>
      </c>
      <c r="H694" s="10"/>
      <c r="I694" s="11" t="str">
        <f>"－"</f>
        <v>－</v>
      </c>
      <c r="J694" s="10"/>
      <c r="K694" s="11" t="n">
        <f>135</f>
        <v>135.0</v>
      </c>
    </row>
    <row r="695">
      <c r="A695" s="8" t="s">
        <v>26</v>
      </c>
      <c r="B695" s="9" t="s">
        <v>94</v>
      </c>
      <c r="C695" s="9" t="s">
        <v>95</v>
      </c>
      <c r="D695" s="10"/>
      <c r="E695" s="11"/>
      <c r="F695" s="10"/>
      <c r="G695" s="11"/>
      <c r="H695" s="10"/>
      <c r="I695" s="11"/>
      <c r="J695" s="10"/>
      <c r="K695" s="11"/>
    </row>
    <row r="696">
      <c r="A696" s="8" t="s">
        <v>27</v>
      </c>
      <c r="B696" s="9" t="s">
        <v>94</v>
      </c>
      <c r="C696" s="9" t="s">
        <v>95</v>
      </c>
      <c r="D696" s="10"/>
      <c r="E696" s="11"/>
      <c r="F696" s="10"/>
      <c r="G696" s="11"/>
      <c r="H696" s="10"/>
      <c r="I696" s="11"/>
      <c r="J696" s="10"/>
      <c r="K696" s="11"/>
    </row>
    <row r="697">
      <c r="A697" s="8" t="s">
        <v>28</v>
      </c>
      <c r="B697" s="9" t="s">
        <v>94</v>
      </c>
      <c r="C697" s="9" t="s">
        <v>95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29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n">
        <f>135</f>
        <v>135.0</v>
      </c>
    </row>
    <row r="699">
      <c r="A699" s="8" t="s">
        <v>30</v>
      </c>
      <c r="B699" s="9" t="s">
        <v>94</v>
      </c>
      <c r="C699" s="9" t="s">
        <v>95</v>
      </c>
      <c r="D699" s="10"/>
      <c r="E699" s="11" t="n">
        <f>1</f>
        <v>1.0</v>
      </c>
      <c r="F699" s="10"/>
      <c r="G699" s="11" t="n">
        <f>770000</f>
        <v>770000.0</v>
      </c>
      <c r="H699" s="10"/>
      <c r="I699" s="11" t="str">
        <f>"－"</f>
        <v>－</v>
      </c>
      <c r="J699" s="10"/>
      <c r="K699" s="11" t="n">
        <f>136</f>
        <v>136.0</v>
      </c>
    </row>
    <row r="700">
      <c r="A700" s="8" t="s">
        <v>31</v>
      </c>
      <c r="B700" s="9" t="s">
        <v>94</v>
      </c>
      <c r="C700" s="9" t="s">
        <v>95</v>
      </c>
      <c r="D700" s="10"/>
      <c r="E700" s="11" t="n">
        <f>6</f>
        <v>6.0</v>
      </c>
      <c r="F700" s="10"/>
      <c r="G700" s="11" t="n">
        <f>4502000</f>
        <v>4502000.0</v>
      </c>
      <c r="H700" s="10"/>
      <c r="I700" s="11" t="str">
        <f>"－"</f>
        <v>－</v>
      </c>
      <c r="J700" s="10"/>
      <c r="K700" s="11" t="n">
        <f>136</f>
        <v>136.0</v>
      </c>
    </row>
    <row r="701">
      <c r="A701" s="8" t="s">
        <v>32</v>
      </c>
      <c r="B701" s="9" t="s">
        <v>94</v>
      </c>
      <c r="C701" s="9" t="s">
        <v>95</v>
      </c>
      <c r="D701" s="10"/>
      <c r="E701" s="11" t="n">
        <f>10</f>
        <v>10.0</v>
      </c>
      <c r="F701" s="10"/>
      <c r="G701" s="11" t="n">
        <f>7500000</f>
        <v>7500000.0</v>
      </c>
      <c r="H701" s="10"/>
      <c r="I701" s="11" t="str">
        <f>"－"</f>
        <v>－</v>
      </c>
      <c r="J701" s="10"/>
      <c r="K701" s="11" t="n">
        <f>136</f>
        <v>136.0</v>
      </c>
    </row>
    <row r="702">
      <c r="A702" s="8" t="s">
        <v>33</v>
      </c>
      <c r="B702" s="9" t="s">
        <v>94</v>
      </c>
      <c r="C702" s="9" t="s">
        <v>95</v>
      </c>
      <c r="D702" s="10"/>
      <c r="E702" s="11"/>
      <c r="F702" s="10"/>
      <c r="G702" s="11"/>
      <c r="H702" s="10"/>
      <c r="I702" s="11"/>
      <c r="J702" s="10"/>
      <c r="K702" s="11"/>
    </row>
    <row r="703">
      <c r="A703" s="8" t="s">
        <v>34</v>
      </c>
      <c r="B703" s="9" t="s">
        <v>94</v>
      </c>
      <c r="C703" s="9" t="s">
        <v>95</v>
      </c>
      <c r="D703" s="10"/>
      <c r="E703" s="11"/>
      <c r="F703" s="10"/>
      <c r="G703" s="11"/>
      <c r="H703" s="10"/>
      <c r="I703" s="11"/>
      <c r="J703" s="10"/>
      <c r="K703" s="11"/>
    </row>
    <row r="704">
      <c r="A704" s="8" t="s">
        <v>35</v>
      </c>
      <c r="B704" s="9" t="s">
        <v>94</v>
      </c>
      <c r="C704" s="9" t="s">
        <v>95</v>
      </c>
      <c r="D704" s="10"/>
      <c r="E704" s="11" t="n">
        <f>12</f>
        <v>12.0</v>
      </c>
      <c r="F704" s="10"/>
      <c r="G704" s="11" t="n">
        <f>9240000</f>
        <v>9240000.0</v>
      </c>
      <c r="H704" s="10"/>
      <c r="I704" s="11" t="str">
        <f>"－"</f>
        <v>－</v>
      </c>
      <c r="J704" s="10"/>
      <c r="K704" s="11" t="n">
        <f>148</f>
        <v>148.0</v>
      </c>
    </row>
    <row r="705">
      <c r="A705" s="8" t="s">
        <v>36</v>
      </c>
      <c r="B705" s="9" t="s">
        <v>94</v>
      </c>
      <c r="C705" s="9" t="s">
        <v>95</v>
      </c>
      <c r="D705" s="10"/>
      <c r="E705" s="11" t="n">
        <f>30</f>
        <v>30.0</v>
      </c>
      <c r="F705" s="10"/>
      <c r="G705" s="11" t="n">
        <f>23100000</f>
        <v>2.31E7</v>
      </c>
      <c r="H705" s="10"/>
      <c r="I705" s="11" t="str">
        <f>"－"</f>
        <v>－</v>
      </c>
      <c r="J705" s="10"/>
      <c r="K705" s="11" t="n">
        <f>178</f>
        <v>178.0</v>
      </c>
    </row>
    <row r="706">
      <c r="A706" s="8" t="s">
        <v>38</v>
      </c>
      <c r="B706" s="9" t="s">
        <v>94</v>
      </c>
      <c r="C706" s="9" t="s">
        <v>95</v>
      </c>
      <c r="D706" s="10"/>
      <c r="E706" s="11" t="n">
        <f>10</f>
        <v>10.0</v>
      </c>
      <c r="F706" s="10"/>
      <c r="G706" s="11" t="n">
        <f>7750000</f>
        <v>7750000.0</v>
      </c>
      <c r="H706" s="10"/>
      <c r="I706" s="11" t="str">
        <f>"－"</f>
        <v>－</v>
      </c>
      <c r="J706" s="10"/>
      <c r="K706" s="11" t="n">
        <f>187</f>
        <v>187.0</v>
      </c>
    </row>
    <row r="707">
      <c r="A707" s="8" t="s">
        <v>39</v>
      </c>
      <c r="B707" s="9" t="s">
        <v>94</v>
      </c>
      <c r="C707" s="9" t="s">
        <v>95</v>
      </c>
      <c r="D707" s="10"/>
      <c r="E707" s="11" t="n">
        <f>22</f>
        <v>22.0</v>
      </c>
      <c r="F707" s="10"/>
      <c r="G707" s="11" t="n">
        <f>17195000</f>
        <v>1.7195E7</v>
      </c>
      <c r="H707" s="10"/>
      <c r="I707" s="11" t="str">
        <f>"－"</f>
        <v>－</v>
      </c>
      <c r="J707" s="10"/>
      <c r="K707" s="11" t="n">
        <f>206</f>
        <v>206.0</v>
      </c>
    </row>
    <row r="708">
      <c r="A708" s="8" t="s">
        <v>41</v>
      </c>
      <c r="B708" s="9" t="s">
        <v>94</v>
      </c>
      <c r="C708" s="9" t="s">
        <v>95</v>
      </c>
      <c r="D708" s="10"/>
      <c r="E708" s="11" t="n">
        <f>49</f>
        <v>49.0</v>
      </c>
      <c r="F708" s="10"/>
      <c r="G708" s="11" t="n">
        <f>38300000</f>
        <v>3.83E7</v>
      </c>
      <c r="H708" s="10"/>
      <c r="I708" s="11" t="str">
        <f>"－"</f>
        <v>－</v>
      </c>
      <c r="J708" s="10"/>
      <c r="K708" s="11" t="n">
        <f>246</f>
        <v>246.0</v>
      </c>
    </row>
    <row r="709">
      <c r="A709" s="8" t="s">
        <v>42</v>
      </c>
      <c r="B709" s="9" t="s">
        <v>94</v>
      </c>
      <c r="C709" s="9" t="s">
        <v>95</v>
      </c>
      <c r="D709" s="10"/>
      <c r="E709" s="11"/>
      <c r="F709" s="10"/>
      <c r="G709" s="11"/>
      <c r="H709" s="10"/>
      <c r="I709" s="11"/>
      <c r="J709" s="10"/>
      <c r="K709" s="11"/>
    </row>
    <row r="710">
      <c r="A710" s="8" t="s">
        <v>43</v>
      </c>
      <c r="B710" s="9" t="s">
        <v>94</v>
      </c>
      <c r="C710" s="9" t="s">
        <v>95</v>
      </c>
      <c r="D710" s="10"/>
      <c r="E710" s="11"/>
      <c r="F710" s="10"/>
      <c r="G710" s="11"/>
      <c r="H710" s="10"/>
      <c r="I710" s="11"/>
      <c r="J710" s="10"/>
      <c r="K710" s="11"/>
    </row>
    <row r="711">
      <c r="A711" s="8" t="s">
        <v>44</v>
      </c>
      <c r="B711" s="9" t="s">
        <v>94</v>
      </c>
      <c r="C711" s="9" t="s">
        <v>95</v>
      </c>
      <c r="D711" s="10"/>
      <c r="E711" s="11" t="n">
        <f>28</f>
        <v>28.0</v>
      </c>
      <c r="F711" s="10"/>
      <c r="G711" s="11" t="n">
        <f>22029000</f>
        <v>2.2029E7</v>
      </c>
      <c r="H711" s="10"/>
      <c r="I711" s="11" t="str">
        <f>"－"</f>
        <v>－</v>
      </c>
      <c r="J711" s="10"/>
      <c r="K711" s="11" t="n">
        <f>243</f>
        <v>243.0</v>
      </c>
    </row>
    <row r="712">
      <c r="A712" s="8" t="s">
        <v>45</v>
      </c>
      <c r="B712" s="9" t="s">
        <v>94</v>
      </c>
      <c r="C712" s="9" t="s">
        <v>95</v>
      </c>
      <c r="D712" s="10" t="s">
        <v>40</v>
      </c>
      <c r="E712" s="11" t="n">
        <f>101</f>
        <v>101.0</v>
      </c>
      <c r="F712" s="10" t="s">
        <v>40</v>
      </c>
      <c r="G712" s="11" t="n">
        <f>77770000</f>
        <v>7.777E7</v>
      </c>
      <c r="H712" s="10"/>
      <c r="I712" s="11" t="str">
        <f>"－"</f>
        <v>－</v>
      </c>
      <c r="J712" s="10" t="s">
        <v>40</v>
      </c>
      <c r="K712" s="11" t="n">
        <f>328</f>
        <v>328.0</v>
      </c>
    </row>
    <row r="713">
      <c r="A713" s="8" t="s">
        <v>46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 t="s">
        <v>37</v>
      </c>
      <c r="K713" s="11" t="n">
        <f>126</f>
        <v>126.0</v>
      </c>
    </row>
    <row r="714">
      <c r="A714" s="8" t="s">
        <v>47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n">
        <f>126</f>
        <v>126.0</v>
      </c>
    </row>
    <row r="715">
      <c r="A715" s="8" t="s">
        <v>48</v>
      </c>
      <c r="B715" s="9" t="s">
        <v>94</v>
      </c>
      <c r="C715" s="9" t="s">
        <v>95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n">
        <f>126</f>
        <v>126.0</v>
      </c>
    </row>
    <row r="716">
      <c r="A716" s="8" t="s">
        <v>49</v>
      </c>
      <c r="B716" s="9" t="s">
        <v>94</v>
      </c>
      <c r="C716" s="9" t="s">
        <v>95</v>
      </c>
      <c r="D716" s="10"/>
      <c r="E716" s="11"/>
      <c r="F716" s="10"/>
      <c r="G716" s="11"/>
      <c r="H716" s="10"/>
      <c r="I716" s="11"/>
      <c r="J716" s="10"/>
      <c r="K716" s="11"/>
    </row>
    <row r="717">
      <c r="A717" s="8" t="s">
        <v>50</v>
      </c>
      <c r="B717" s="9" t="s">
        <v>94</v>
      </c>
      <c r="C717" s="9" t="s">
        <v>95</v>
      </c>
      <c r="D717" s="10"/>
      <c r="E717" s="11"/>
      <c r="F717" s="10"/>
      <c r="G717" s="11"/>
      <c r="H717" s="10"/>
      <c r="I717" s="11"/>
      <c r="J717" s="10"/>
      <c r="K717" s="11"/>
    </row>
    <row r="718">
      <c r="A718" s="8" t="s">
        <v>51</v>
      </c>
      <c r="B718" s="9" t="s">
        <v>94</v>
      </c>
      <c r="C718" s="9" t="s">
        <v>95</v>
      </c>
      <c r="D718" s="10"/>
      <c r="E718" s="11" t="n">
        <f>1</f>
        <v>1.0</v>
      </c>
      <c r="F718" s="10"/>
      <c r="G718" s="11" t="n">
        <f>770000</f>
        <v>770000.0</v>
      </c>
      <c r="H718" s="10"/>
      <c r="I718" s="11" t="str">
        <f>"－"</f>
        <v>－</v>
      </c>
      <c r="J718" s="10"/>
      <c r="K718" s="11" t="n">
        <f>127</f>
        <v>127.0</v>
      </c>
    </row>
    <row r="719">
      <c r="A719" s="8" t="s">
        <v>16</v>
      </c>
      <c r="B719" s="9" t="s">
        <v>96</v>
      </c>
      <c r="C719" s="9" t="s">
        <v>97</v>
      </c>
      <c r="D719" s="10"/>
      <c r="E719" s="11"/>
      <c r="F719" s="10"/>
      <c r="G719" s="11"/>
      <c r="H719" s="10"/>
      <c r="I719" s="11"/>
      <c r="J719" s="10"/>
      <c r="K719" s="11"/>
    </row>
    <row r="720">
      <c r="A720" s="8" t="s">
        <v>19</v>
      </c>
      <c r="B720" s="9" t="s">
        <v>96</v>
      </c>
      <c r="C720" s="9" t="s">
        <v>97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20</v>
      </c>
      <c r="B721" s="9" t="s">
        <v>96</v>
      </c>
      <c r="C721" s="9" t="s">
        <v>97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21</v>
      </c>
      <c r="B722" s="9" t="s">
        <v>96</v>
      </c>
      <c r="C722" s="9" t="s">
        <v>97</v>
      </c>
      <c r="D722" s="10" t="s">
        <v>37</v>
      </c>
      <c r="E722" s="11" t="str">
        <f>"－"</f>
        <v>－</v>
      </c>
      <c r="F722" s="10" t="s">
        <v>37</v>
      </c>
      <c r="G722" s="11" t="str">
        <f>"－"</f>
        <v>－</v>
      </c>
      <c r="H722" s="10" t="s">
        <v>22</v>
      </c>
      <c r="I722" s="11" t="str">
        <f>"－"</f>
        <v>－</v>
      </c>
      <c r="J722" s="10"/>
      <c r="K722" s="11" t="n">
        <f>143</f>
        <v>143.0</v>
      </c>
    </row>
    <row r="723">
      <c r="A723" s="8" t="s">
        <v>23</v>
      </c>
      <c r="B723" s="9" t="s">
        <v>96</v>
      </c>
      <c r="C723" s="9" t="s">
        <v>97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143</f>
        <v>143.0</v>
      </c>
    </row>
    <row r="724">
      <c r="A724" s="8" t="s">
        <v>24</v>
      </c>
      <c r="B724" s="9" t="s">
        <v>96</v>
      </c>
      <c r="C724" s="9" t="s">
        <v>97</v>
      </c>
      <c r="D724" s="10"/>
      <c r="E724" s="11" t="n">
        <f>24</f>
        <v>24.0</v>
      </c>
      <c r="F724" s="10"/>
      <c r="G724" s="11" t="n">
        <f>18000000</f>
        <v>1.8E7</v>
      </c>
      <c r="H724" s="10"/>
      <c r="I724" s="11" t="str">
        <f>"－"</f>
        <v>－</v>
      </c>
      <c r="J724" s="10"/>
      <c r="K724" s="11" t="n">
        <f>167</f>
        <v>167.0</v>
      </c>
    </row>
    <row r="725">
      <c r="A725" s="8" t="s">
        <v>25</v>
      </c>
      <c r="B725" s="9" t="s">
        <v>96</v>
      </c>
      <c r="C725" s="9" t="s">
        <v>97</v>
      </c>
      <c r="D725" s="10"/>
      <c r="E725" s="11" t="n">
        <f>6</f>
        <v>6.0</v>
      </c>
      <c r="F725" s="10"/>
      <c r="G725" s="11" t="n">
        <f>4565000</f>
        <v>4565000.0</v>
      </c>
      <c r="H725" s="10"/>
      <c r="I725" s="11" t="str">
        <f>"－"</f>
        <v>－</v>
      </c>
      <c r="J725" s="10"/>
      <c r="K725" s="11" t="n">
        <f>173</f>
        <v>173.0</v>
      </c>
    </row>
    <row r="726">
      <c r="A726" s="8" t="s">
        <v>26</v>
      </c>
      <c r="B726" s="9" t="s">
        <v>96</v>
      </c>
      <c r="C726" s="9" t="s">
        <v>97</v>
      </c>
      <c r="D726" s="10"/>
      <c r="E726" s="11"/>
      <c r="F726" s="10"/>
      <c r="G726" s="11"/>
      <c r="H726" s="10"/>
      <c r="I726" s="11"/>
      <c r="J726" s="10"/>
      <c r="K726" s="11"/>
    </row>
    <row r="727">
      <c r="A727" s="8" t="s">
        <v>27</v>
      </c>
      <c r="B727" s="9" t="s">
        <v>96</v>
      </c>
      <c r="C727" s="9" t="s">
        <v>97</v>
      </c>
      <c r="D727" s="10"/>
      <c r="E727" s="11"/>
      <c r="F727" s="10"/>
      <c r="G727" s="11"/>
      <c r="H727" s="10"/>
      <c r="I727" s="11"/>
      <c r="J727" s="10"/>
      <c r="K727" s="11"/>
    </row>
    <row r="728">
      <c r="A728" s="8" t="s">
        <v>28</v>
      </c>
      <c r="B728" s="9" t="s">
        <v>96</v>
      </c>
      <c r="C728" s="9" t="s">
        <v>97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29</v>
      </c>
      <c r="B729" s="9" t="s">
        <v>96</v>
      </c>
      <c r="C729" s="9" t="s">
        <v>97</v>
      </c>
      <c r="D729" s="10"/>
      <c r="E729" s="11" t="n">
        <f>10</f>
        <v>10.0</v>
      </c>
      <c r="F729" s="10"/>
      <c r="G729" s="11" t="n">
        <f>7550000</f>
        <v>7550000.0</v>
      </c>
      <c r="H729" s="10"/>
      <c r="I729" s="11" t="str">
        <f>"－"</f>
        <v>－</v>
      </c>
      <c r="J729" s="10"/>
      <c r="K729" s="11" t="n">
        <f>183</f>
        <v>183.0</v>
      </c>
    </row>
    <row r="730">
      <c r="A730" s="8" t="s">
        <v>30</v>
      </c>
      <c r="B730" s="9" t="s">
        <v>96</v>
      </c>
      <c r="C730" s="9" t="s">
        <v>97</v>
      </c>
      <c r="D730" s="10"/>
      <c r="E730" s="11" t="n">
        <f>71</f>
        <v>71.0</v>
      </c>
      <c r="F730" s="10"/>
      <c r="G730" s="11" t="n">
        <f>54630000</f>
        <v>5.463E7</v>
      </c>
      <c r="H730" s="10"/>
      <c r="I730" s="11" t="str">
        <f>"－"</f>
        <v>－</v>
      </c>
      <c r="J730" s="10"/>
      <c r="K730" s="11" t="n">
        <f>250</f>
        <v>250.0</v>
      </c>
    </row>
    <row r="731">
      <c r="A731" s="8" t="s">
        <v>31</v>
      </c>
      <c r="B731" s="9" t="s">
        <v>96</v>
      </c>
      <c r="C731" s="9" t="s">
        <v>97</v>
      </c>
      <c r="D731" s="10"/>
      <c r="E731" s="11" t="n">
        <f>13</f>
        <v>13.0</v>
      </c>
      <c r="F731" s="10"/>
      <c r="G731" s="11" t="n">
        <f>9993000</f>
        <v>9993000.0</v>
      </c>
      <c r="H731" s="10"/>
      <c r="I731" s="11" t="str">
        <f>"－"</f>
        <v>－</v>
      </c>
      <c r="J731" s="10"/>
      <c r="K731" s="11" t="n">
        <f>263</f>
        <v>263.0</v>
      </c>
    </row>
    <row r="732">
      <c r="A732" s="8" t="s">
        <v>32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n">
        <f>263</f>
        <v>263.0</v>
      </c>
    </row>
    <row r="733">
      <c r="A733" s="8" t="s">
        <v>33</v>
      </c>
      <c r="B733" s="9" t="s">
        <v>96</v>
      </c>
      <c r="C733" s="9" t="s">
        <v>97</v>
      </c>
      <c r="D733" s="10"/>
      <c r="E733" s="11"/>
      <c r="F733" s="10"/>
      <c r="G733" s="11"/>
      <c r="H733" s="10"/>
      <c r="I733" s="11"/>
      <c r="J733" s="10"/>
      <c r="K733" s="11"/>
    </row>
    <row r="734">
      <c r="A734" s="8" t="s">
        <v>34</v>
      </c>
      <c r="B734" s="9" t="s">
        <v>96</v>
      </c>
      <c r="C734" s="9" t="s">
        <v>97</v>
      </c>
      <c r="D734" s="10"/>
      <c r="E734" s="11"/>
      <c r="F734" s="10"/>
      <c r="G734" s="11"/>
      <c r="H734" s="10"/>
      <c r="I734" s="11"/>
      <c r="J734" s="10"/>
      <c r="K734" s="11"/>
    </row>
    <row r="735">
      <c r="A735" s="8" t="s">
        <v>35</v>
      </c>
      <c r="B735" s="9" t="s">
        <v>96</v>
      </c>
      <c r="C735" s="9" t="s">
        <v>97</v>
      </c>
      <c r="D735" s="10"/>
      <c r="E735" s="11" t="n">
        <f>24</f>
        <v>24.0</v>
      </c>
      <c r="F735" s="10"/>
      <c r="G735" s="11" t="n">
        <f>18516000</f>
        <v>1.8516E7</v>
      </c>
      <c r="H735" s="10"/>
      <c r="I735" s="11" t="str">
        <f>"－"</f>
        <v>－</v>
      </c>
      <c r="J735" s="10"/>
      <c r="K735" s="11" t="n">
        <f>287</f>
        <v>287.0</v>
      </c>
    </row>
    <row r="736">
      <c r="A736" s="8" t="s">
        <v>36</v>
      </c>
      <c r="B736" s="9" t="s">
        <v>96</v>
      </c>
      <c r="C736" s="9" t="s">
        <v>97</v>
      </c>
      <c r="D736" s="10"/>
      <c r="E736" s="11" t="n">
        <f>11</f>
        <v>11.0</v>
      </c>
      <c r="F736" s="10"/>
      <c r="G736" s="11" t="n">
        <f>8495000</f>
        <v>8495000.0</v>
      </c>
      <c r="H736" s="10"/>
      <c r="I736" s="11" t="str">
        <f>"－"</f>
        <v>－</v>
      </c>
      <c r="J736" s="10"/>
      <c r="K736" s="11" t="n">
        <f>298</f>
        <v>298.0</v>
      </c>
    </row>
    <row r="737">
      <c r="A737" s="8" t="s">
        <v>38</v>
      </c>
      <c r="B737" s="9" t="s">
        <v>96</v>
      </c>
      <c r="C737" s="9" t="s">
        <v>97</v>
      </c>
      <c r="D737" s="10"/>
      <c r="E737" s="11" t="n">
        <f>12</f>
        <v>12.0</v>
      </c>
      <c r="F737" s="10"/>
      <c r="G737" s="11" t="n">
        <f>9370000</f>
        <v>9370000.0</v>
      </c>
      <c r="H737" s="10"/>
      <c r="I737" s="11" t="str">
        <f>"－"</f>
        <v>－</v>
      </c>
      <c r="J737" s="10"/>
      <c r="K737" s="11" t="n">
        <f>310</f>
        <v>310.0</v>
      </c>
    </row>
    <row r="738">
      <c r="A738" s="8" t="s">
        <v>39</v>
      </c>
      <c r="B738" s="9" t="s">
        <v>96</v>
      </c>
      <c r="C738" s="9" t="s">
        <v>97</v>
      </c>
      <c r="D738" s="10"/>
      <c r="E738" s="11" t="n">
        <f>27</f>
        <v>27.0</v>
      </c>
      <c r="F738" s="10"/>
      <c r="G738" s="11" t="n">
        <f>21252000</f>
        <v>2.1252E7</v>
      </c>
      <c r="H738" s="10"/>
      <c r="I738" s="11" t="str">
        <f>"－"</f>
        <v>－</v>
      </c>
      <c r="J738" s="10"/>
      <c r="K738" s="11" t="n">
        <f>337</f>
        <v>337.0</v>
      </c>
    </row>
    <row r="739">
      <c r="A739" s="8" t="s">
        <v>41</v>
      </c>
      <c r="B739" s="9" t="s">
        <v>96</v>
      </c>
      <c r="C739" s="9" t="s">
        <v>97</v>
      </c>
      <c r="D739" s="10"/>
      <c r="E739" s="11" t="n">
        <f>76</f>
        <v>76.0</v>
      </c>
      <c r="F739" s="10"/>
      <c r="G739" s="11" t="n">
        <f>59690000</f>
        <v>5.969E7</v>
      </c>
      <c r="H739" s="10"/>
      <c r="I739" s="11" t="str">
        <f>"－"</f>
        <v>－</v>
      </c>
      <c r="J739" s="10"/>
      <c r="K739" s="11" t="n">
        <f>408</f>
        <v>408.0</v>
      </c>
    </row>
    <row r="740">
      <c r="A740" s="8" t="s">
        <v>42</v>
      </c>
      <c r="B740" s="9" t="s">
        <v>96</v>
      </c>
      <c r="C740" s="9" t="s">
        <v>97</v>
      </c>
      <c r="D740" s="10"/>
      <c r="E740" s="11"/>
      <c r="F740" s="10"/>
      <c r="G740" s="11"/>
      <c r="H740" s="10"/>
      <c r="I740" s="11"/>
      <c r="J740" s="10"/>
      <c r="K740" s="11"/>
    </row>
    <row r="741">
      <c r="A741" s="8" t="s">
        <v>43</v>
      </c>
      <c r="B741" s="9" t="s">
        <v>96</v>
      </c>
      <c r="C741" s="9" t="s">
        <v>97</v>
      </c>
      <c r="D741" s="10"/>
      <c r="E741" s="11"/>
      <c r="F741" s="10"/>
      <c r="G741" s="11"/>
      <c r="H741" s="10"/>
      <c r="I741" s="11"/>
      <c r="J741" s="10"/>
      <c r="K741" s="11"/>
    </row>
    <row r="742">
      <c r="A742" s="8" t="s">
        <v>44</v>
      </c>
      <c r="B742" s="9" t="s">
        <v>96</v>
      </c>
      <c r="C742" s="9" t="s">
        <v>97</v>
      </c>
      <c r="D742" s="10"/>
      <c r="E742" s="11" t="n">
        <f>66</f>
        <v>66.0</v>
      </c>
      <c r="F742" s="10"/>
      <c r="G742" s="11" t="n">
        <f>52053500</f>
        <v>5.20535E7</v>
      </c>
      <c r="H742" s="10"/>
      <c r="I742" s="11" t="str">
        <f>"－"</f>
        <v>－</v>
      </c>
      <c r="J742" s="10"/>
      <c r="K742" s="11" t="n">
        <f>461</f>
        <v>461.0</v>
      </c>
    </row>
    <row r="743">
      <c r="A743" s="8" t="s">
        <v>45</v>
      </c>
      <c r="B743" s="9" t="s">
        <v>96</v>
      </c>
      <c r="C743" s="9" t="s">
        <v>97</v>
      </c>
      <c r="D743" s="10" t="s">
        <v>40</v>
      </c>
      <c r="E743" s="11" t="n">
        <f>211</f>
        <v>211.0</v>
      </c>
      <c r="F743" s="10" t="s">
        <v>40</v>
      </c>
      <c r="G743" s="11" t="n">
        <f>163496600</f>
        <v>1.634966E8</v>
      </c>
      <c r="H743" s="10"/>
      <c r="I743" s="11" t="str">
        <f>"－"</f>
        <v>－</v>
      </c>
      <c r="J743" s="10" t="s">
        <v>40</v>
      </c>
      <c r="K743" s="11" t="n">
        <f>525</f>
        <v>525.0</v>
      </c>
    </row>
    <row r="744">
      <c r="A744" s="8" t="s">
        <v>46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 t="s">
        <v>37</v>
      </c>
      <c r="K744" s="11" t="n">
        <f>35</f>
        <v>35.0</v>
      </c>
    </row>
    <row r="745">
      <c r="A745" s="8" t="s">
        <v>47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n">
        <f>35</f>
        <v>35.0</v>
      </c>
    </row>
    <row r="746">
      <c r="A746" s="8" t="s">
        <v>48</v>
      </c>
      <c r="B746" s="9" t="s">
        <v>96</v>
      </c>
      <c r="C746" s="9" t="s">
        <v>97</v>
      </c>
      <c r="D746" s="10"/>
      <c r="E746" s="11" t="str">
        <f>"－"</f>
        <v>－</v>
      </c>
      <c r="F746" s="10"/>
      <c r="G746" s="11" t="str">
        <f>"－"</f>
        <v>－</v>
      </c>
      <c r="H746" s="10"/>
      <c r="I746" s="11" t="str">
        <f>"－"</f>
        <v>－</v>
      </c>
      <c r="J746" s="10"/>
      <c r="K746" s="11" t="n">
        <f>35</f>
        <v>35.0</v>
      </c>
    </row>
    <row r="747">
      <c r="A747" s="8" t="s">
        <v>49</v>
      </c>
      <c r="B747" s="9" t="s">
        <v>96</v>
      </c>
      <c r="C747" s="9" t="s">
        <v>97</v>
      </c>
      <c r="D747" s="10"/>
      <c r="E747" s="11"/>
      <c r="F747" s="10"/>
      <c r="G747" s="11"/>
      <c r="H747" s="10"/>
      <c r="I747" s="11"/>
      <c r="J747" s="10"/>
      <c r="K747" s="11"/>
    </row>
    <row r="748">
      <c r="A748" s="8" t="s">
        <v>50</v>
      </c>
      <c r="B748" s="9" t="s">
        <v>96</v>
      </c>
      <c r="C748" s="9" t="s">
        <v>97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51</v>
      </c>
      <c r="B749" s="9" t="s">
        <v>96</v>
      </c>
      <c r="C749" s="9" t="s">
        <v>97</v>
      </c>
      <c r="D749" s="10"/>
      <c r="E749" s="11" t="str">
        <f>"－"</f>
        <v>－</v>
      </c>
      <c r="F749" s="10"/>
      <c r="G749" s="11" t="str">
        <f>"－"</f>
        <v>－</v>
      </c>
      <c r="H749" s="10"/>
      <c r="I749" s="11" t="str">
        <f>"－"</f>
        <v>－</v>
      </c>
      <c r="J749" s="10"/>
      <c r="K749" s="11" t="n">
        <f>35</f>
        <v>35.0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