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<sst xmlns="http://schemas.openxmlformats.org/spreadsheetml/2006/main" count="1603" uniqueCount="82">
  <si>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</si>
  <si>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</si>
  <si>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</si>
  <si>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</si>
  <si>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</si>
  <si>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</si>
  <si>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</si>
  <si>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</si>
  <si>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</si>
  <si>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</si>
  <si>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</si>
  <si>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</si>
  <si>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</si>
  <si>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</si>
  <si>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</si>
  <si>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</si>
  <si>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1.1</t>
  </si>
  <si>
    <t>日経225先物</t>
  </si>
  <si>
    <t>Nikkei 225 Futures</t>
  </si>
  <si>
    <t>2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</si>
  <si>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</si>
  <si>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</si>
  <si>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</si>
  <si>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</si>
  <si>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</si>
  <si>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</si>
  <si>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</si>
  <si>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</si>
  <si>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</si>
  <si>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</si>
  <si>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</si>
  <si>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</si>
  <si>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</si>
  <si>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</si>
  <si>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</si>
  <si>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</si>
  <si>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</si>
  <si>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</si>
  <si>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</si>
  <si>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</si>
  <si>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</si>
  <si>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</si>
  <si>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</si>
  <si>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</si>
  <si>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</si>
  <si>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</si>
  <si>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◎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</si>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</sst>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/>
      <c r="F6" s="10"/>
      <c r="G6" s="2"/>
      <c r="H6" s="10"/>
      <c r="I6" s="2"/>
      <c r="J6" s="10"/>
      <c r="K6" s="2"/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 t="n">
        <f>50383</f>
        <v>50383.0</v>
      </c>
      <c r="F9" s="10"/>
      <c r="G9" s="2" t="n">
        <f>1467237988840</f>
        <v>1.46723798884E12</v>
      </c>
      <c r="H9" s="10"/>
      <c r="I9" s="2" t="n">
        <f>8963</f>
        <v>8963.0</v>
      </c>
      <c r="J9" s="10"/>
      <c r="K9" s="2" t="n">
        <f>251539</f>
        <v>251539.0</v>
      </c>
    </row>
    <row r="10">
      <c r="A10" s="8" t="s">
        <v>22</v>
      </c>
      <c r="B10" s="9" t="s">
        <v>17</v>
      </c>
      <c r="C10" s="9" t="s">
        <v>18</v>
      </c>
      <c r="D10" s="10" t="s">
        <v>23</v>
      </c>
      <c r="E10" s="2" t="n">
        <f>47308</f>
        <v>47308.0</v>
      </c>
      <c r="F10" s="10" t="s">
        <v>23</v>
      </c>
      <c r="G10" s="2" t="n">
        <f>1386893230330</f>
        <v>1.38689323033E12</v>
      </c>
      <c r="H10" s="10" t="s">
        <v>23</v>
      </c>
      <c r="I10" s="2" t="n">
        <f>6997</f>
        <v>6997.0</v>
      </c>
      <c r="J10" s="10" t="s">
        <v>23</v>
      </c>
      <c r="K10" s="2" t="n">
        <f>250227</f>
        <v>250227.0</v>
      </c>
    </row>
    <row r="11">
      <c r="A11" s="8" t="s">
        <v>24</v>
      </c>
      <c r="B11" s="9" t="s">
        <v>17</v>
      </c>
      <c r="C11" s="9" t="s">
        <v>18</v>
      </c>
      <c r="D11" s="10"/>
      <c r="E11" s="2" t="n">
        <f>78177</f>
        <v>78177.0</v>
      </c>
      <c r="F11" s="10"/>
      <c r="G11" s="2" t="n">
        <f>2250057110850</f>
        <v>2.25005711085E12</v>
      </c>
      <c r="H11" s="10"/>
      <c r="I11" s="2" t="n">
        <f>13146</f>
        <v>13146.0</v>
      </c>
      <c r="J11" s="10"/>
      <c r="K11" s="2" t="n">
        <f>257159</f>
        <v>257159.0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76172</f>
        <v>76172.0</v>
      </c>
      <c r="F12" s="10"/>
      <c r="G12" s="2" t="n">
        <f>2174688477900</f>
        <v>2.1746884779E12</v>
      </c>
      <c r="H12" s="10"/>
      <c r="I12" s="2" t="n">
        <f>10798</f>
        <v>10798.0</v>
      </c>
      <c r="J12" s="10"/>
      <c r="K12" s="2" t="n">
        <f>256836</f>
        <v>256836.0</v>
      </c>
    </row>
    <row r="13">
      <c r="A13" s="8" t="s">
        <v>26</v>
      </c>
      <c r="B13" s="9" t="s">
        <v>17</v>
      </c>
      <c r="C13" s="9" t="s">
        <v>18</v>
      </c>
      <c r="D13" s="10"/>
      <c r="E13" s="2"/>
      <c r="F13" s="10"/>
      <c r="G13" s="2"/>
      <c r="H13" s="10"/>
      <c r="I13" s="2"/>
      <c r="J13" s="10"/>
      <c r="K13" s="2"/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 t="n">
        <f>59850</f>
        <v>59850.0</v>
      </c>
      <c r="F16" s="10"/>
      <c r="G16" s="2" t="n">
        <f>1692680770780</f>
        <v>1.69268077078E12</v>
      </c>
      <c r="H16" s="10"/>
      <c r="I16" s="2" t="n">
        <f>11061</f>
        <v>11061.0</v>
      </c>
      <c r="J16" s="10"/>
      <c r="K16" s="2" t="n">
        <f>255954</f>
        <v>255954.0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62204</f>
        <v>62204.0</v>
      </c>
      <c r="F17" s="10"/>
      <c r="G17" s="2" t="n">
        <f>1775554268780</f>
        <v>1.77555426878E12</v>
      </c>
      <c r="H17" s="10"/>
      <c r="I17" s="2" t="n">
        <f>8047</f>
        <v>8047.0</v>
      </c>
      <c r="J17" s="10"/>
      <c r="K17" s="2" t="n">
        <f>258339</f>
        <v>258339.0</v>
      </c>
    </row>
    <row r="18">
      <c r="A18" s="8" t="s">
        <v>31</v>
      </c>
      <c r="B18" s="9" t="s">
        <v>17</v>
      </c>
      <c r="C18" s="9" t="s">
        <v>18</v>
      </c>
      <c r="D18" s="10"/>
      <c r="E18" s="2" t="n">
        <f>52149</f>
        <v>52149.0</v>
      </c>
      <c r="F18" s="10"/>
      <c r="G18" s="2" t="n">
        <f>1489197599720</f>
        <v>1.48919759972E12</v>
      </c>
      <c r="H18" s="10"/>
      <c r="I18" s="2" t="n">
        <f>8738</f>
        <v>8738.0</v>
      </c>
      <c r="J18" s="10"/>
      <c r="K18" s="2" t="n">
        <f>261714</f>
        <v>261714.0</v>
      </c>
    </row>
    <row r="19">
      <c r="A19" s="8" t="s">
        <v>32</v>
      </c>
      <c r="B19" s="9" t="s">
        <v>17</v>
      </c>
      <c r="C19" s="9" t="s">
        <v>18</v>
      </c>
      <c r="D19" s="10"/>
      <c r="E19" s="2" t="n">
        <f>83168</f>
        <v>83168.0</v>
      </c>
      <c r="F19" s="10"/>
      <c r="G19" s="2" t="n">
        <f>2343288395835</f>
        <v>2.343288395835E12</v>
      </c>
      <c r="H19" s="10"/>
      <c r="I19" s="2" t="n">
        <f>12889</f>
        <v>12889.0</v>
      </c>
      <c r="J19" s="10"/>
      <c r="K19" s="2" t="n">
        <f>263138</f>
        <v>263138.0</v>
      </c>
    </row>
    <row r="20">
      <c r="A20" s="8" t="s">
        <v>33</v>
      </c>
      <c r="B20" s="9" t="s">
        <v>17</v>
      </c>
      <c r="C20" s="9" t="s">
        <v>18</v>
      </c>
      <c r="D20" s="10"/>
      <c r="E20" s="2"/>
      <c r="F20" s="10"/>
      <c r="G20" s="2"/>
      <c r="H20" s="10"/>
      <c r="I20" s="2"/>
      <c r="J20" s="10"/>
      <c r="K20" s="2"/>
    </row>
    <row r="21">
      <c r="A21" s="8" t="s">
        <v>34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35</v>
      </c>
      <c r="B22" s="9" t="s">
        <v>17</v>
      </c>
      <c r="C22" s="9" t="s">
        <v>18</v>
      </c>
      <c r="D22" s="10"/>
      <c r="E22" s="2" t="n">
        <f>60118</f>
        <v>60118.0</v>
      </c>
      <c r="F22" s="10"/>
      <c r="G22" s="2" t="n">
        <f>1697285567130</f>
        <v>1.69728556713E12</v>
      </c>
      <c r="H22" s="10"/>
      <c r="I22" s="2" t="n">
        <f>9457</f>
        <v>9457.0</v>
      </c>
      <c r="J22" s="10"/>
      <c r="K22" s="2" t="n">
        <f>267056</f>
        <v>267056.0</v>
      </c>
    </row>
    <row r="23">
      <c r="A23" s="8" t="s">
        <v>36</v>
      </c>
      <c r="B23" s="9" t="s">
        <v>17</v>
      </c>
      <c r="C23" s="9" t="s">
        <v>18</v>
      </c>
      <c r="D23" s="10"/>
      <c r="E23" s="2" t="n">
        <f>58577</f>
        <v>58577.0</v>
      </c>
      <c r="F23" s="10"/>
      <c r="G23" s="2" t="n">
        <f>1661982492480</f>
        <v>1.66198249248E12</v>
      </c>
      <c r="H23" s="10"/>
      <c r="I23" s="2" t="n">
        <f>7149</f>
        <v>7149.0</v>
      </c>
      <c r="J23" s="10"/>
      <c r="K23" s="2" t="n">
        <f>272227</f>
        <v>272227.0</v>
      </c>
    </row>
    <row r="24">
      <c r="A24" s="8" t="s">
        <v>37</v>
      </c>
      <c r="B24" s="9" t="s">
        <v>17</v>
      </c>
      <c r="C24" s="9" t="s">
        <v>18</v>
      </c>
      <c r="D24" s="10"/>
      <c r="E24" s="2" t="n">
        <f>100193</f>
        <v>100193.0</v>
      </c>
      <c r="F24" s="10"/>
      <c r="G24" s="2" t="n">
        <f>2776535415990</f>
        <v>2.77653541599E12</v>
      </c>
      <c r="H24" s="10"/>
      <c r="I24" s="2" t="n">
        <f>17048</f>
        <v>17048.0</v>
      </c>
      <c r="J24" s="10"/>
      <c r="K24" s="2" t="n">
        <f>276797</f>
        <v>276797.0</v>
      </c>
    </row>
    <row r="25">
      <c r="A25" s="8" t="s">
        <v>38</v>
      </c>
      <c r="B25" s="9" t="s">
        <v>17</v>
      </c>
      <c r="C25" s="9" t="s">
        <v>18</v>
      </c>
      <c r="D25" s="10"/>
      <c r="E25" s="2" t="n">
        <f>104719</f>
        <v>104719.0</v>
      </c>
      <c r="F25" s="10"/>
      <c r="G25" s="2" t="n">
        <f>2890313294480</f>
        <v>2.89031329448E12</v>
      </c>
      <c r="H25" s="10"/>
      <c r="I25" s="2" t="n">
        <f>13804</f>
        <v>13804.0</v>
      </c>
      <c r="J25" s="10"/>
      <c r="K25" s="2" t="n">
        <f>282338</f>
        <v>282338.0</v>
      </c>
    </row>
    <row r="26">
      <c r="A26" s="8" t="s">
        <v>39</v>
      </c>
      <c r="B26" s="9" t="s">
        <v>17</v>
      </c>
      <c r="C26" s="9" t="s">
        <v>18</v>
      </c>
      <c r="D26" s="10"/>
      <c r="E26" s="2" t="n">
        <f>88556</f>
        <v>88556.0</v>
      </c>
      <c r="F26" s="10"/>
      <c r="G26" s="2" t="n">
        <f>2426477940890</f>
        <v>2.42647794089E12</v>
      </c>
      <c r="H26" s="10"/>
      <c r="I26" s="2" t="n">
        <f>15168</f>
        <v>15168.0</v>
      </c>
      <c r="J26" s="10"/>
      <c r="K26" s="2" t="n">
        <f>284347</f>
        <v>284347.0</v>
      </c>
    </row>
    <row r="27">
      <c r="A27" s="8" t="s">
        <v>40</v>
      </c>
      <c r="B27" s="9" t="s">
        <v>17</v>
      </c>
      <c r="C27" s="9" t="s">
        <v>18</v>
      </c>
      <c r="D27" s="10"/>
      <c r="E27" s="2"/>
      <c r="F27" s="10"/>
      <c r="G27" s="2"/>
      <c r="H27" s="10"/>
      <c r="I27" s="2"/>
      <c r="J27" s="10"/>
      <c r="K27" s="2"/>
    </row>
    <row r="28">
      <c r="A28" s="8" t="s">
        <v>41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42</v>
      </c>
      <c r="B29" s="9" t="s">
        <v>17</v>
      </c>
      <c r="C29" s="9" t="s">
        <v>18</v>
      </c>
      <c r="D29" s="10"/>
      <c r="E29" s="2" t="n">
        <f>76072</f>
        <v>76072.0</v>
      </c>
      <c r="F29" s="10"/>
      <c r="G29" s="2" t="n">
        <f>2085463042850</f>
        <v>2.08546304285E12</v>
      </c>
      <c r="H29" s="10"/>
      <c r="I29" s="2" t="n">
        <f>11843</f>
        <v>11843.0</v>
      </c>
      <c r="J29" s="10"/>
      <c r="K29" s="2" t="n">
        <f>285976</f>
        <v>285976.0</v>
      </c>
    </row>
    <row r="30">
      <c r="A30" s="8" t="s">
        <v>43</v>
      </c>
      <c r="B30" s="9" t="s">
        <v>17</v>
      </c>
      <c r="C30" s="9" t="s">
        <v>18</v>
      </c>
      <c r="D30" s="10"/>
      <c r="E30" s="2" t="n">
        <f>120190</f>
        <v>120190.0</v>
      </c>
      <c r="F30" s="10"/>
      <c r="G30" s="2" t="n">
        <f>3256580639223</f>
        <v>3.256580639223E12</v>
      </c>
      <c r="H30" s="10"/>
      <c r="I30" s="2" t="n">
        <f>16320</f>
        <v>16320.0</v>
      </c>
      <c r="J30" s="10"/>
      <c r="K30" s="2" t="n">
        <f>287811</f>
        <v>287811.0</v>
      </c>
    </row>
    <row r="31">
      <c r="A31" s="8" t="s">
        <v>44</v>
      </c>
      <c r="B31" s="9" t="s">
        <v>17</v>
      </c>
      <c r="C31" s="9" t="s">
        <v>18</v>
      </c>
      <c r="D31" s="10"/>
      <c r="E31" s="2" t="n">
        <f>85784</f>
        <v>85784.0</v>
      </c>
      <c r="F31" s="10"/>
      <c r="G31" s="2" t="n">
        <f>2315231409200</f>
        <v>2.3152314092E12</v>
      </c>
      <c r="H31" s="10"/>
      <c r="I31" s="2" t="n">
        <f>9433</f>
        <v>9433.0</v>
      </c>
      <c r="J31" s="10"/>
      <c r="K31" s="2" t="n">
        <f>290310</f>
        <v>290310.0</v>
      </c>
    </row>
    <row r="32">
      <c r="A32" s="8" t="s">
        <v>45</v>
      </c>
      <c r="B32" s="9" t="s">
        <v>17</v>
      </c>
      <c r="C32" s="9" t="s">
        <v>18</v>
      </c>
      <c r="D32" s="10" t="s">
        <v>46</v>
      </c>
      <c r="E32" s="2" t="n">
        <f>147800</f>
        <v>147800.0</v>
      </c>
      <c r="F32" s="10" t="s">
        <v>46</v>
      </c>
      <c r="G32" s="2" t="n">
        <f>3927251477699</f>
        <v>3.927251477699E12</v>
      </c>
      <c r="H32" s="10" t="s">
        <v>46</v>
      </c>
      <c r="I32" s="2" t="n">
        <f>17110</f>
        <v>17110.0</v>
      </c>
      <c r="J32" s="10"/>
      <c r="K32" s="2" t="n">
        <f>292872</f>
        <v>292872.0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103734</f>
        <v>103734.0</v>
      </c>
      <c r="F33" s="10"/>
      <c r="G33" s="2" t="n">
        <f>2756236883000</f>
        <v>2.756236883E12</v>
      </c>
      <c r="H33" s="10"/>
      <c r="I33" s="2" t="n">
        <f>11238</f>
        <v>11238.0</v>
      </c>
      <c r="J33" s="10" t="s">
        <v>46</v>
      </c>
      <c r="K33" s="2" t="n">
        <f>301337</f>
        <v>301337.0</v>
      </c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 t="n">
        <f>90254</f>
        <v>90254.0</v>
      </c>
      <c r="F36" s="10"/>
      <c r="G36" s="2" t="n">
        <f>2408677162450</f>
        <v>2.40867716245E12</v>
      </c>
      <c r="H36" s="10"/>
      <c r="I36" s="2" t="n">
        <f>14578</f>
        <v>14578.0</v>
      </c>
      <c r="J36" s="10"/>
      <c r="K36" s="2" t="n">
        <f>297628</f>
        <v>297628.0</v>
      </c>
    </row>
    <row r="37">
      <c r="A37" s="8" t="s">
        <v>16</v>
      </c>
      <c r="B37" s="9" t="s">
        <v>51</v>
      </c>
      <c r="C37" s="9" t="s">
        <v>52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19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20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21</v>
      </c>
      <c r="B40" s="9" t="s">
        <v>51</v>
      </c>
      <c r="C40" s="9" t="s">
        <v>52</v>
      </c>
      <c r="D40" s="10" t="s">
        <v>23</v>
      </c>
      <c r="E40" s="2" t="n">
        <f>667840</f>
        <v>667840.0</v>
      </c>
      <c r="F40" s="10" t="s">
        <v>23</v>
      </c>
      <c r="G40" s="2" t="n">
        <f>1942396332603</f>
        <v>1.942396332603E12</v>
      </c>
      <c r="H40" s="10"/>
      <c r="I40" s="2" t="n">
        <f>95460</f>
        <v>95460.0</v>
      </c>
      <c r="J40" s="10"/>
      <c r="K40" s="2" t="n">
        <f>347318</f>
        <v>347318.0</v>
      </c>
    </row>
    <row r="41">
      <c r="A41" s="8" t="s">
        <v>22</v>
      </c>
      <c r="B41" s="9" t="s">
        <v>51</v>
      </c>
      <c r="C41" s="9" t="s">
        <v>52</v>
      </c>
      <c r="D41" s="10"/>
      <c r="E41" s="2" t="n">
        <f>699441</f>
        <v>699441.0</v>
      </c>
      <c r="F41" s="10"/>
      <c r="G41" s="2" t="n">
        <f>2047262285932</f>
        <v>2.047262285932E12</v>
      </c>
      <c r="H41" s="10" t="s">
        <v>23</v>
      </c>
      <c r="I41" s="2" t="n">
        <f>94894</f>
        <v>94894.0</v>
      </c>
      <c r="J41" s="10"/>
      <c r="K41" s="2" t="n">
        <f>360828</f>
        <v>360828.0</v>
      </c>
    </row>
    <row r="42">
      <c r="A42" s="8" t="s">
        <v>24</v>
      </c>
      <c r="B42" s="9" t="s">
        <v>51</v>
      </c>
      <c r="C42" s="9" t="s">
        <v>52</v>
      </c>
      <c r="D42" s="10"/>
      <c r="E42" s="2" t="n">
        <f>1041787</f>
        <v>1041787.0</v>
      </c>
      <c r="F42" s="10"/>
      <c r="G42" s="2" t="n">
        <f>3008301321318</f>
        <v>3.008301321318E12</v>
      </c>
      <c r="H42" s="10"/>
      <c r="I42" s="2" t="n">
        <f>148923</f>
        <v>148923.0</v>
      </c>
      <c r="J42" s="10"/>
      <c r="K42" s="2" t="n">
        <f>377357</f>
        <v>377357.0</v>
      </c>
    </row>
    <row r="43">
      <c r="A43" s="8" t="s">
        <v>25</v>
      </c>
      <c r="B43" s="9" t="s">
        <v>51</v>
      </c>
      <c r="C43" s="9" t="s">
        <v>52</v>
      </c>
      <c r="D43" s="10"/>
      <c r="E43" s="2" t="n">
        <f>1187402</f>
        <v>1187402.0</v>
      </c>
      <c r="F43" s="10"/>
      <c r="G43" s="2" t="n">
        <f>3393878454199</f>
        <v>3.393878454199E12</v>
      </c>
      <c r="H43" s="10"/>
      <c r="I43" s="2" t="n">
        <f>160370</f>
        <v>160370.0</v>
      </c>
      <c r="J43" s="10"/>
      <c r="K43" s="2" t="n">
        <f>398595</f>
        <v>398595.0</v>
      </c>
    </row>
    <row r="44">
      <c r="A44" s="8" t="s">
        <v>26</v>
      </c>
      <c r="B44" s="9" t="s">
        <v>51</v>
      </c>
      <c r="C44" s="9" t="s">
        <v>52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27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28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29</v>
      </c>
      <c r="B47" s="9" t="s">
        <v>51</v>
      </c>
      <c r="C47" s="9" t="s">
        <v>52</v>
      </c>
      <c r="D47" s="10"/>
      <c r="E47" s="2" t="n">
        <f>977553</f>
        <v>977553.0</v>
      </c>
      <c r="F47" s="10"/>
      <c r="G47" s="2" t="n">
        <f>2766072271681</f>
        <v>2.766072271681E12</v>
      </c>
      <c r="H47" s="10"/>
      <c r="I47" s="2" t="n">
        <f>143772</f>
        <v>143772.0</v>
      </c>
      <c r="J47" s="10"/>
      <c r="K47" s="2" t="n">
        <f>405365</f>
        <v>405365.0</v>
      </c>
    </row>
    <row r="48">
      <c r="A48" s="8" t="s">
        <v>30</v>
      </c>
      <c r="B48" s="9" t="s">
        <v>51</v>
      </c>
      <c r="C48" s="9" t="s">
        <v>52</v>
      </c>
      <c r="D48" s="10"/>
      <c r="E48" s="2" t="n">
        <f>910934</f>
        <v>910934.0</v>
      </c>
      <c r="F48" s="10"/>
      <c r="G48" s="2" t="n">
        <f>2593847888825</f>
        <v>2.593847888825E12</v>
      </c>
      <c r="H48" s="10"/>
      <c r="I48" s="2" t="n">
        <f>106809</f>
        <v>106809.0</v>
      </c>
      <c r="J48" s="10"/>
      <c r="K48" s="2" t="n">
        <f>426215</f>
        <v>426215.0</v>
      </c>
    </row>
    <row r="49">
      <c r="A49" s="8" t="s">
        <v>31</v>
      </c>
      <c r="B49" s="9" t="s">
        <v>51</v>
      </c>
      <c r="C49" s="9" t="s">
        <v>52</v>
      </c>
      <c r="D49" s="10"/>
      <c r="E49" s="2" t="n">
        <f>933578</f>
        <v>933578.0</v>
      </c>
      <c r="F49" s="10"/>
      <c r="G49" s="2" t="n">
        <f>2670038206915</f>
        <v>2.670038206915E12</v>
      </c>
      <c r="H49" s="10"/>
      <c r="I49" s="2" t="n">
        <f>106218</f>
        <v>106218.0</v>
      </c>
      <c r="J49" s="10"/>
      <c r="K49" s="2" t="n">
        <f>449841</f>
        <v>449841.0</v>
      </c>
    </row>
    <row r="50">
      <c r="A50" s="8" t="s">
        <v>32</v>
      </c>
      <c r="B50" s="9" t="s">
        <v>51</v>
      </c>
      <c r="C50" s="9" t="s">
        <v>52</v>
      </c>
      <c r="D50" s="10"/>
      <c r="E50" s="2" t="n">
        <f>1142032</f>
        <v>1142032.0</v>
      </c>
      <c r="F50" s="10"/>
      <c r="G50" s="2" t="n">
        <f>3219225374080</f>
        <v>3.21922537408E12</v>
      </c>
      <c r="H50" s="10"/>
      <c r="I50" s="2" t="n">
        <f>162885</f>
        <v>162885.0</v>
      </c>
      <c r="J50" s="10" t="s">
        <v>46</v>
      </c>
      <c r="K50" s="2" t="n">
        <f>471995</f>
        <v>471995.0</v>
      </c>
    </row>
    <row r="51">
      <c r="A51" s="8" t="s">
        <v>33</v>
      </c>
      <c r="B51" s="9" t="s">
        <v>51</v>
      </c>
      <c r="C51" s="9" t="s">
        <v>52</v>
      </c>
      <c r="D51" s="10"/>
      <c r="E51" s="2"/>
      <c r="F51" s="10"/>
      <c r="G51" s="2"/>
      <c r="H51" s="10"/>
      <c r="I51" s="2"/>
      <c r="J51" s="10"/>
      <c r="K51" s="2"/>
    </row>
    <row r="52">
      <c r="A52" s="8" t="s">
        <v>34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35</v>
      </c>
      <c r="B53" s="9" t="s">
        <v>51</v>
      </c>
      <c r="C53" s="9" t="s">
        <v>52</v>
      </c>
      <c r="D53" s="10"/>
      <c r="E53" s="2" t="n">
        <f>1034341</f>
        <v>1034341.0</v>
      </c>
      <c r="F53" s="10"/>
      <c r="G53" s="2" t="n">
        <f>2919969578600</f>
        <v>2.9199695786E12</v>
      </c>
      <c r="H53" s="10"/>
      <c r="I53" s="2" t="n">
        <f>133593</f>
        <v>133593.0</v>
      </c>
      <c r="J53" s="10" t="s">
        <v>23</v>
      </c>
      <c r="K53" s="2" t="n">
        <f>333304</f>
        <v>333304.0</v>
      </c>
    </row>
    <row r="54">
      <c r="A54" s="8" t="s">
        <v>36</v>
      </c>
      <c r="B54" s="9" t="s">
        <v>51</v>
      </c>
      <c r="C54" s="9" t="s">
        <v>52</v>
      </c>
      <c r="D54" s="10"/>
      <c r="E54" s="2" t="n">
        <f>877379</f>
        <v>877379.0</v>
      </c>
      <c r="F54" s="10"/>
      <c r="G54" s="2" t="n">
        <f>2492179648308</f>
        <v>2.492179648308E12</v>
      </c>
      <c r="H54" s="10"/>
      <c r="I54" s="2" t="n">
        <f>133757</f>
        <v>133757.0</v>
      </c>
      <c r="J54" s="10"/>
      <c r="K54" s="2" t="n">
        <f>338093</f>
        <v>338093.0</v>
      </c>
    </row>
    <row r="55">
      <c r="A55" s="8" t="s">
        <v>37</v>
      </c>
      <c r="B55" s="9" t="s">
        <v>51</v>
      </c>
      <c r="C55" s="9" t="s">
        <v>52</v>
      </c>
      <c r="D55" s="10"/>
      <c r="E55" s="2" t="n">
        <f>1442160</f>
        <v>1442160.0</v>
      </c>
      <c r="F55" s="10"/>
      <c r="G55" s="2" t="n">
        <f>4008111150356</f>
        <v>4.008111150356E12</v>
      </c>
      <c r="H55" s="10"/>
      <c r="I55" s="2" t="n">
        <f>200796</f>
        <v>200796.0</v>
      </c>
      <c r="J55" s="10"/>
      <c r="K55" s="2" t="n">
        <f>380930</f>
        <v>380930.0</v>
      </c>
    </row>
    <row r="56">
      <c r="A56" s="8" t="s">
        <v>38</v>
      </c>
      <c r="B56" s="9" t="s">
        <v>51</v>
      </c>
      <c r="C56" s="9" t="s">
        <v>52</v>
      </c>
      <c r="D56" s="10"/>
      <c r="E56" s="2" t="n">
        <f>1609907</f>
        <v>1609907.0</v>
      </c>
      <c r="F56" s="10"/>
      <c r="G56" s="2" t="n">
        <f>4447082839004</f>
        <v>4.447082839004E12</v>
      </c>
      <c r="H56" s="10"/>
      <c r="I56" s="2" t="n">
        <f>235537</f>
        <v>235537.0</v>
      </c>
      <c r="J56" s="10"/>
      <c r="K56" s="2" t="n">
        <f>361790</f>
        <v>361790.0</v>
      </c>
    </row>
    <row r="57">
      <c r="A57" s="8" t="s">
        <v>39</v>
      </c>
      <c r="B57" s="9" t="s">
        <v>51</v>
      </c>
      <c r="C57" s="9" t="s">
        <v>52</v>
      </c>
      <c r="D57" s="10"/>
      <c r="E57" s="2" t="n">
        <f>1441514</f>
        <v>1441514.0</v>
      </c>
      <c r="F57" s="10"/>
      <c r="G57" s="2" t="n">
        <f>3956431072610</f>
        <v>3.95643107261E12</v>
      </c>
      <c r="H57" s="10"/>
      <c r="I57" s="2" t="n">
        <f>203152</f>
        <v>203152.0</v>
      </c>
      <c r="J57" s="10"/>
      <c r="K57" s="2" t="n">
        <f>368013</f>
        <v>368013.0</v>
      </c>
    </row>
    <row r="58">
      <c r="A58" s="8" t="s">
        <v>40</v>
      </c>
      <c r="B58" s="9" t="s">
        <v>51</v>
      </c>
      <c r="C58" s="9" t="s">
        <v>52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41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42</v>
      </c>
      <c r="B60" s="9" t="s">
        <v>51</v>
      </c>
      <c r="C60" s="9" t="s">
        <v>52</v>
      </c>
      <c r="D60" s="10"/>
      <c r="E60" s="2" t="n">
        <f>1532196</f>
        <v>1532196.0</v>
      </c>
      <c r="F60" s="10"/>
      <c r="G60" s="2" t="n">
        <f>4203224985479</f>
        <v>4.203224985479E12</v>
      </c>
      <c r="H60" s="10"/>
      <c r="I60" s="2" t="n">
        <f>230844</f>
        <v>230844.0</v>
      </c>
      <c r="J60" s="10"/>
      <c r="K60" s="2" t="n">
        <f>351373</f>
        <v>351373.0</v>
      </c>
    </row>
    <row r="61">
      <c r="A61" s="8" t="s">
        <v>43</v>
      </c>
      <c r="B61" s="9" t="s">
        <v>51</v>
      </c>
      <c r="C61" s="9" t="s">
        <v>52</v>
      </c>
      <c r="D61" s="10" t="s">
        <v>46</v>
      </c>
      <c r="E61" s="2" t="n">
        <f>2377393</f>
        <v>2377393.0</v>
      </c>
      <c r="F61" s="10" t="s">
        <v>46</v>
      </c>
      <c r="G61" s="2" t="n">
        <f>6442792429340</f>
        <v>6.44279242934E12</v>
      </c>
      <c r="H61" s="10"/>
      <c r="I61" s="2" t="n">
        <f>305340</f>
        <v>305340.0</v>
      </c>
      <c r="J61" s="10"/>
      <c r="K61" s="2" t="n">
        <f>370971</f>
        <v>370971.0</v>
      </c>
    </row>
    <row r="62">
      <c r="A62" s="8" t="s">
        <v>44</v>
      </c>
      <c r="B62" s="9" t="s">
        <v>51</v>
      </c>
      <c r="C62" s="9" t="s">
        <v>52</v>
      </c>
      <c r="D62" s="10"/>
      <c r="E62" s="2" t="n">
        <f>1666032</f>
        <v>1666032.0</v>
      </c>
      <c r="F62" s="10"/>
      <c r="G62" s="2" t="n">
        <f>4502977382123</f>
        <v>4.502977382123E12</v>
      </c>
      <c r="H62" s="10"/>
      <c r="I62" s="2" t="n">
        <f>211549</f>
        <v>211549.0</v>
      </c>
      <c r="J62" s="10"/>
      <c r="K62" s="2" t="n">
        <f>369118</f>
        <v>369118.0</v>
      </c>
    </row>
    <row r="63">
      <c r="A63" s="8" t="s">
        <v>45</v>
      </c>
      <c r="B63" s="9" t="s">
        <v>51</v>
      </c>
      <c r="C63" s="9" t="s">
        <v>52</v>
      </c>
      <c r="D63" s="10"/>
      <c r="E63" s="2" t="n">
        <f>2227900</f>
        <v>2227900.0</v>
      </c>
      <c r="F63" s="10"/>
      <c r="G63" s="2" t="n">
        <f>5958042141685</f>
        <v>5.958042141685E12</v>
      </c>
      <c r="H63" s="10" t="s">
        <v>46</v>
      </c>
      <c r="I63" s="2" t="n">
        <f>306234</f>
        <v>306234.0</v>
      </c>
      <c r="J63" s="10"/>
      <c r="K63" s="2" t="n">
        <f>422166</f>
        <v>422166.0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1748006</f>
        <v>1748006.0</v>
      </c>
      <c r="F64" s="10"/>
      <c r="G64" s="2" t="n">
        <f>4648218409368</f>
        <v>4.648218409368E12</v>
      </c>
      <c r="H64" s="10"/>
      <c r="I64" s="2" t="n">
        <f>246160</f>
        <v>246160.0</v>
      </c>
      <c r="J64" s="10"/>
      <c r="K64" s="2" t="n">
        <f>400851</f>
        <v>400851.0</v>
      </c>
    </row>
    <row r="65">
      <c r="A65" s="8" t="s">
        <v>48</v>
      </c>
      <c r="B65" s="9" t="s">
        <v>51</v>
      </c>
      <c r="C65" s="9" t="s">
        <v>52</v>
      </c>
      <c r="D65" s="10"/>
      <c r="E65" s="2"/>
      <c r="F65" s="10"/>
      <c r="G65" s="2"/>
      <c r="H65" s="10"/>
      <c r="I65" s="2"/>
      <c r="J65" s="10"/>
      <c r="K65" s="2"/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 t="n">
        <f>1751429</f>
        <v>1751429.0</v>
      </c>
      <c r="F67" s="10"/>
      <c r="G67" s="2" t="n">
        <f>4662094187330</f>
        <v>4.66209418733E12</v>
      </c>
      <c r="H67" s="10"/>
      <c r="I67" s="2" t="n">
        <f>246185</f>
        <v>246185.0</v>
      </c>
      <c r="J67" s="10"/>
      <c r="K67" s="2" t="n">
        <f>392018</f>
        <v>392018.0</v>
      </c>
    </row>
    <row r="68">
      <c r="A68" s="8" t="s">
        <v>16</v>
      </c>
      <c r="B68" s="9" t="s">
        <v>53</v>
      </c>
      <c r="C68" s="9" t="s">
        <v>54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19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20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21</v>
      </c>
      <c r="B71" s="9" t="s">
        <v>53</v>
      </c>
      <c r="C71" s="9" t="s">
        <v>54</v>
      </c>
      <c r="D71" s="10"/>
      <c r="E71" s="2" t="n">
        <f>60840</f>
        <v>60840.0</v>
      </c>
      <c r="F71" s="10"/>
      <c r="G71" s="2" t="n">
        <f>1227585511440</f>
        <v>1.22758551144E12</v>
      </c>
      <c r="H71" s="10"/>
      <c r="I71" s="2" t="n">
        <f>15137</f>
        <v>15137.0</v>
      </c>
      <c r="J71" s="10" t="s">
        <v>23</v>
      </c>
      <c r="K71" s="2" t="n">
        <f>424843</f>
        <v>424843.0</v>
      </c>
    </row>
    <row r="72">
      <c r="A72" s="8" t="s">
        <v>22</v>
      </c>
      <c r="B72" s="9" t="s">
        <v>53</v>
      </c>
      <c r="C72" s="9" t="s">
        <v>54</v>
      </c>
      <c r="D72" s="10"/>
      <c r="E72" s="2" t="n">
        <f>62092</f>
        <v>62092.0</v>
      </c>
      <c r="F72" s="10"/>
      <c r="G72" s="2" t="n">
        <f>1264675487850</f>
        <v>1.26467548785E12</v>
      </c>
      <c r="H72" s="10"/>
      <c r="I72" s="2" t="n">
        <f>13955</f>
        <v>13955.0</v>
      </c>
      <c r="J72" s="10"/>
      <c r="K72" s="2" t="n">
        <f>429271</f>
        <v>429271.0</v>
      </c>
    </row>
    <row r="73">
      <c r="A73" s="8" t="s">
        <v>24</v>
      </c>
      <c r="B73" s="9" t="s">
        <v>53</v>
      </c>
      <c r="C73" s="9" t="s">
        <v>54</v>
      </c>
      <c r="D73" s="10"/>
      <c r="E73" s="2" t="n">
        <f>78276</f>
        <v>78276.0</v>
      </c>
      <c r="F73" s="10"/>
      <c r="G73" s="2" t="n">
        <f>1576117393200</f>
        <v>1.5761173932E12</v>
      </c>
      <c r="H73" s="10"/>
      <c r="I73" s="2" t="n">
        <f>14853</f>
        <v>14853.0</v>
      </c>
      <c r="J73" s="10"/>
      <c r="K73" s="2" t="n">
        <f>428336</f>
        <v>428336.0</v>
      </c>
    </row>
    <row r="74">
      <c r="A74" s="8" t="s">
        <v>25</v>
      </c>
      <c r="B74" s="9" t="s">
        <v>53</v>
      </c>
      <c r="C74" s="9" t="s">
        <v>54</v>
      </c>
      <c r="D74" s="10"/>
      <c r="E74" s="2" t="n">
        <f>76682</f>
        <v>76682.0</v>
      </c>
      <c r="F74" s="10"/>
      <c r="G74" s="2" t="n">
        <f>1532771387150</f>
        <v>1.53277138715E12</v>
      </c>
      <c r="H74" s="10"/>
      <c r="I74" s="2" t="n">
        <f>11631</f>
        <v>11631.0</v>
      </c>
      <c r="J74" s="10"/>
      <c r="K74" s="2" t="n">
        <f>430332</f>
        <v>430332.0</v>
      </c>
    </row>
    <row r="75">
      <c r="A75" s="8" t="s">
        <v>26</v>
      </c>
      <c r="B75" s="9" t="s">
        <v>53</v>
      </c>
      <c r="C75" s="9" t="s">
        <v>54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27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28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29</v>
      </c>
      <c r="B78" s="9" t="s">
        <v>53</v>
      </c>
      <c r="C78" s="9" t="s">
        <v>54</v>
      </c>
      <c r="D78" s="10"/>
      <c r="E78" s="2" t="n">
        <f>70066</f>
        <v>70066.0</v>
      </c>
      <c r="F78" s="10"/>
      <c r="G78" s="2" t="n">
        <f>1390294358215</f>
        <v>1.390294358215E12</v>
      </c>
      <c r="H78" s="10"/>
      <c r="I78" s="2" t="n">
        <f>15593</f>
        <v>15593.0</v>
      </c>
      <c r="J78" s="10"/>
      <c r="K78" s="2" t="n">
        <f>436430</f>
        <v>436430.0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66726</f>
        <v>66726.0</v>
      </c>
      <c r="F79" s="10"/>
      <c r="G79" s="2" t="n">
        <f>1338621326100</f>
        <v>1.3386213261E12</v>
      </c>
      <c r="H79" s="10"/>
      <c r="I79" s="2" t="n">
        <f>19122</f>
        <v>19122.0</v>
      </c>
      <c r="J79" s="10"/>
      <c r="K79" s="2" t="n">
        <f>439153</f>
        <v>439153.0</v>
      </c>
    </row>
    <row r="80">
      <c r="A80" s="8" t="s">
        <v>31</v>
      </c>
      <c r="B80" s="9" t="s">
        <v>53</v>
      </c>
      <c r="C80" s="9" t="s">
        <v>54</v>
      </c>
      <c r="D80" s="10"/>
      <c r="E80" s="2" t="n">
        <f>52555</f>
        <v>52555.0</v>
      </c>
      <c r="F80" s="10"/>
      <c r="G80" s="2" t="n">
        <f>1056400671615</f>
        <v>1.056400671615E12</v>
      </c>
      <c r="H80" s="10"/>
      <c r="I80" s="2" t="n">
        <f>11423</f>
        <v>11423.0</v>
      </c>
      <c r="J80" s="10"/>
      <c r="K80" s="2" t="n">
        <f>440206</f>
        <v>440206.0</v>
      </c>
    </row>
    <row r="81">
      <c r="A81" s="8" t="s">
        <v>32</v>
      </c>
      <c r="B81" s="9" t="s">
        <v>53</v>
      </c>
      <c r="C81" s="9" t="s">
        <v>54</v>
      </c>
      <c r="D81" s="10"/>
      <c r="E81" s="2" t="n">
        <f>103321</f>
        <v>103321.0</v>
      </c>
      <c r="F81" s="10"/>
      <c r="G81" s="2" t="n">
        <f>2044714998700</f>
        <v>2.0447149987E12</v>
      </c>
      <c r="H81" s="10" t="s">
        <v>46</v>
      </c>
      <c r="I81" s="2" t="n">
        <f>23408</f>
        <v>23408.0</v>
      </c>
      <c r="J81" s="10"/>
      <c r="K81" s="2" t="n">
        <f>437891</f>
        <v>437891.0</v>
      </c>
    </row>
    <row r="82">
      <c r="A82" s="8" t="s">
        <v>33</v>
      </c>
      <c r="B82" s="9" t="s">
        <v>53</v>
      </c>
      <c r="C82" s="9" t="s">
        <v>54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34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35</v>
      </c>
      <c r="B84" s="9" t="s">
        <v>53</v>
      </c>
      <c r="C84" s="9" t="s">
        <v>54</v>
      </c>
      <c r="D84" s="10"/>
      <c r="E84" s="2" t="n">
        <f>52106</f>
        <v>52106.0</v>
      </c>
      <c r="F84" s="10"/>
      <c r="G84" s="2" t="n">
        <f>1034294066295</f>
        <v>1.034294066295E12</v>
      </c>
      <c r="H84" s="10"/>
      <c r="I84" s="2" t="n">
        <f>10329</f>
        <v>10329.0</v>
      </c>
      <c r="J84" s="10"/>
      <c r="K84" s="2" t="n">
        <f>433443</f>
        <v>433443.0</v>
      </c>
    </row>
    <row r="85">
      <c r="A85" s="8" t="s">
        <v>36</v>
      </c>
      <c r="B85" s="9" t="s">
        <v>53</v>
      </c>
      <c r="C85" s="9" t="s">
        <v>54</v>
      </c>
      <c r="D85" s="10" t="s">
        <v>23</v>
      </c>
      <c r="E85" s="2" t="n">
        <f>48924</f>
        <v>48924.0</v>
      </c>
      <c r="F85" s="10" t="s">
        <v>23</v>
      </c>
      <c r="G85" s="2" t="n">
        <f>972037496600</f>
        <v>9.720374966E11</v>
      </c>
      <c r="H85" s="10" t="s">
        <v>23</v>
      </c>
      <c r="I85" s="2" t="n">
        <f>8559</f>
        <v>8559.0</v>
      </c>
      <c r="J85" s="10"/>
      <c r="K85" s="2" t="n">
        <f>433393</f>
        <v>433393.0</v>
      </c>
    </row>
    <row r="86">
      <c r="A86" s="8" t="s">
        <v>37</v>
      </c>
      <c r="B86" s="9" t="s">
        <v>53</v>
      </c>
      <c r="C86" s="9" t="s">
        <v>54</v>
      </c>
      <c r="D86" s="10"/>
      <c r="E86" s="2" t="n">
        <f>92960</f>
        <v>92960.0</v>
      </c>
      <c r="F86" s="10"/>
      <c r="G86" s="2" t="n">
        <f>1802458558300</f>
        <v>1.8024585583E12</v>
      </c>
      <c r="H86" s="10"/>
      <c r="I86" s="2" t="n">
        <f>16749</f>
        <v>16749.0</v>
      </c>
      <c r="J86" s="10"/>
      <c r="K86" s="2" t="n">
        <f>430509</f>
        <v>430509.0</v>
      </c>
    </row>
    <row r="87">
      <c r="A87" s="8" t="s">
        <v>38</v>
      </c>
      <c r="B87" s="9" t="s">
        <v>53</v>
      </c>
      <c r="C87" s="9" t="s">
        <v>54</v>
      </c>
      <c r="D87" s="10"/>
      <c r="E87" s="2" t="n">
        <f>85185</f>
        <v>85185.0</v>
      </c>
      <c r="F87" s="10"/>
      <c r="G87" s="2" t="n">
        <f>1646356780030</f>
        <v>1.64635678003E12</v>
      </c>
      <c r="H87" s="10"/>
      <c r="I87" s="2" t="n">
        <f>18803</f>
        <v>18803.0</v>
      </c>
      <c r="J87" s="10"/>
      <c r="K87" s="2" t="n">
        <f>429927</f>
        <v>429927.0</v>
      </c>
    </row>
    <row r="88">
      <c r="A88" s="8" t="s">
        <v>39</v>
      </c>
      <c r="B88" s="9" t="s">
        <v>53</v>
      </c>
      <c r="C88" s="9" t="s">
        <v>54</v>
      </c>
      <c r="D88" s="10"/>
      <c r="E88" s="2" t="n">
        <f>80960</f>
        <v>80960.0</v>
      </c>
      <c r="F88" s="10"/>
      <c r="G88" s="2" t="n">
        <f>1554681918070</f>
        <v>1.55468191807E12</v>
      </c>
      <c r="H88" s="10"/>
      <c r="I88" s="2" t="n">
        <f>19220</f>
        <v>19220.0</v>
      </c>
      <c r="J88" s="10"/>
      <c r="K88" s="2" t="n">
        <f>431223</f>
        <v>431223.0</v>
      </c>
    </row>
    <row r="89">
      <c r="A89" s="8" t="s">
        <v>40</v>
      </c>
      <c r="B89" s="9" t="s">
        <v>53</v>
      </c>
      <c r="C89" s="9" t="s">
        <v>54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41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42</v>
      </c>
      <c r="B91" s="9" t="s">
        <v>53</v>
      </c>
      <c r="C91" s="9" t="s">
        <v>54</v>
      </c>
      <c r="D91" s="10"/>
      <c r="E91" s="2" t="n">
        <f>64241</f>
        <v>64241.0</v>
      </c>
      <c r="F91" s="10"/>
      <c r="G91" s="2" t="n">
        <f>1234227757900</f>
        <v>1.2342277579E12</v>
      </c>
      <c r="H91" s="10"/>
      <c r="I91" s="2" t="n">
        <f>14070</f>
        <v>14070.0</v>
      </c>
      <c r="J91" s="10"/>
      <c r="K91" s="2" t="n">
        <f>431799</f>
        <v>431799.0</v>
      </c>
    </row>
    <row r="92">
      <c r="A92" s="8" t="s">
        <v>43</v>
      </c>
      <c r="B92" s="9" t="s">
        <v>53</v>
      </c>
      <c r="C92" s="9" t="s">
        <v>54</v>
      </c>
      <c r="D92" s="10"/>
      <c r="E92" s="2" t="n">
        <f>113011</f>
        <v>113011.0</v>
      </c>
      <c r="F92" s="10" t="s">
        <v>46</v>
      </c>
      <c r="G92" s="2" t="n">
        <f>2142436835150</f>
        <v>2.14243683515E12</v>
      </c>
      <c r="H92" s="10"/>
      <c r="I92" s="2" t="n">
        <f>23076</f>
        <v>23076.0</v>
      </c>
      <c r="J92" s="10"/>
      <c r="K92" s="2" t="n">
        <f>430977</f>
        <v>430977.0</v>
      </c>
    </row>
    <row r="93">
      <c r="A93" s="8" t="s">
        <v>44</v>
      </c>
      <c r="B93" s="9" t="s">
        <v>53</v>
      </c>
      <c r="C93" s="9" t="s">
        <v>54</v>
      </c>
      <c r="D93" s="10"/>
      <c r="E93" s="2" t="n">
        <f>66447</f>
        <v>66447.0</v>
      </c>
      <c r="F93" s="10"/>
      <c r="G93" s="2" t="n">
        <f>1257342654950</f>
        <v>1.25734265495E12</v>
      </c>
      <c r="H93" s="10"/>
      <c r="I93" s="2" t="n">
        <f>12555</f>
        <v>12555.0</v>
      </c>
      <c r="J93" s="10"/>
      <c r="K93" s="2" t="n">
        <f>431203</f>
        <v>431203.0</v>
      </c>
    </row>
    <row r="94">
      <c r="A94" s="8" t="s">
        <v>45</v>
      </c>
      <c r="B94" s="9" t="s">
        <v>53</v>
      </c>
      <c r="C94" s="9" t="s">
        <v>54</v>
      </c>
      <c r="D94" s="10" t="s">
        <v>46</v>
      </c>
      <c r="E94" s="2" t="n">
        <f>114067</f>
        <v>114067.0</v>
      </c>
      <c r="F94" s="10"/>
      <c r="G94" s="2" t="n">
        <f>2129357292350</f>
        <v>2.12935729235E12</v>
      </c>
      <c r="H94" s="10"/>
      <c r="I94" s="2" t="n">
        <f>20294</f>
        <v>20294.0</v>
      </c>
      <c r="J94" s="10"/>
      <c r="K94" s="2" t="n">
        <f>437187</f>
        <v>437187.0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87318</f>
        <v>87318.0</v>
      </c>
      <c r="F95" s="10"/>
      <c r="G95" s="2" t="n">
        <f>1633590955050</f>
        <v>1.63359095505E12</v>
      </c>
      <c r="H95" s="10"/>
      <c r="I95" s="2" t="n">
        <f>20732</f>
        <v>20732.0</v>
      </c>
      <c r="J95" s="10" t="s">
        <v>46</v>
      </c>
      <c r="K95" s="2" t="n">
        <f>444077</f>
        <v>444077.0</v>
      </c>
    </row>
    <row r="96">
      <c r="A96" s="8" t="s">
        <v>48</v>
      </c>
      <c r="B96" s="9" t="s">
        <v>53</v>
      </c>
      <c r="C96" s="9" t="s">
        <v>54</v>
      </c>
      <c r="D96" s="10"/>
      <c r="E96" s="2"/>
      <c r="F96" s="10"/>
      <c r="G96" s="2"/>
      <c r="H96" s="10"/>
      <c r="I96" s="2"/>
      <c r="J96" s="10"/>
      <c r="K96" s="2"/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 t="n">
        <f>78601</f>
        <v>78601.0</v>
      </c>
      <c r="F98" s="10"/>
      <c r="G98" s="2" t="n">
        <f>1475011868501</f>
        <v>1.475011868501E12</v>
      </c>
      <c r="H98" s="10"/>
      <c r="I98" s="2" t="n">
        <f>18612</f>
        <v>18612.0</v>
      </c>
      <c r="J98" s="10"/>
      <c r="K98" s="2" t="n">
        <f>441801</f>
        <v>441801.0</v>
      </c>
    </row>
    <row r="99">
      <c r="A99" s="8" t="s">
        <v>16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19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20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29209</f>
        <v>29209.0</v>
      </c>
      <c r="F102" s="10"/>
      <c r="G102" s="2" t="n">
        <f>58870399990</f>
        <v>5.887039999E10</v>
      </c>
      <c r="H102" s="10"/>
      <c r="I102" s="2" t="n">
        <f>3844</f>
        <v>3844.0</v>
      </c>
      <c r="J102" s="10"/>
      <c r="K102" s="2" t="n">
        <f>32448</f>
        <v>32448.0</v>
      </c>
    </row>
    <row r="103">
      <c r="A103" s="8" t="s">
        <v>22</v>
      </c>
      <c r="B103" s="9" t="s">
        <v>55</v>
      </c>
      <c r="C103" s="9" t="s">
        <v>56</v>
      </c>
      <c r="D103" s="10"/>
      <c r="E103" s="2" t="n">
        <f>25485</f>
        <v>25485.0</v>
      </c>
      <c r="F103" s="10"/>
      <c r="G103" s="2" t="n">
        <f>51896816610</f>
        <v>5.189681661E10</v>
      </c>
      <c r="H103" s="10"/>
      <c r="I103" s="2" t="n">
        <f>3276</f>
        <v>3276.0</v>
      </c>
      <c r="J103" s="10"/>
      <c r="K103" s="2" t="n">
        <f>35460</f>
        <v>35460.0</v>
      </c>
    </row>
    <row r="104">
      <c r="A104" s="8" t="s">
        <v>24</v>
      </c>
      <c r="B104" s="9" t="s">
        <v>55</v>
      </c>
      <c r="C104" s="9" t="s">
        <v>56</v>
      </c>
      <c r="D104" s="10"/>
      <c r="E104" s="2" t="n">
        <f>38656</f>
        <v>38656.0</v>
      </c>
      <c r="F104" s="10"/>
      <c r="G104" s="2" t="n">
        <f>77923358320</f>
        <v>7.792335832E10</v>
      </c>
      <c r="H104" s="10"/>
      <c r="I104" s="2" t="n">
        <f>4832</f>
        <v>4832.0</v>
      </c>
      <c r="J104" s="10"/>
      <c r="K104" s="2" t="n">
        <f>32347</f>
        <v>32347.0</v>
      </c>
    </row>
    <row r="105">
      <c r="A105" s="8" t="s">
        <v>25</v>
      </c>
      <c r="B105" s="9" t="s">
        <v>55</v>
      </c>
      <c r="C105" s="9" t="s">
        <v>56</v>
      </c>
      <c r="D105" s="10"/>
      <c r="E105" s="2" t="n">
        <f>39168</f>
        <v>39168.0</v>
      </c>
      <c r="F105" s="10"/>
      <c r="G105" s="2" t="n">
        <f>78317451000</f>
        <v>7.8317451E10</v>
      </c>
      <c r="H105" s="10"/>
      <c r="I105" s="2" t="n">
        <f>4703</f>
        <v>4703.0</v>
      </c>
      <c r="J105" s="10"/>
      <c r="K105" s="2" t="n">
        <f>30927</f>
        <v>30927.0</v>
      </c>
    </row>
    <row r="106">
      <c r="A106" s="8" t="s">
        <v>26</v>
      </c>
      <c r="B106" s="9" t="s">
        <v>55</v>
      </c>
      <c r="C106" s="9" t="s">
        <v>56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27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28</v>
      </c>
      <c r="B108" s="9" t="s">
        <v>55</v>
      </c>
      <c r="C108" s="9" t="s">
        <v>56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33748</f>
        <v>33748.0</v>
      </c>
      <c r="F109" s="10"/>
      <c r="G109" s="2" t="n">
        <f>66964642800</f>
        <v>6.69646428E10</v>
      </c>
      <c r="H109" s="10"/>
      <c r="I109" s="2" t="n">
        <f>3787</f>
        <v>3787.0</v>
      </c>
      <c r="J109" s="10" t="s">
        <v>23</v>
      </c>
      <c r="K109" s="2" t="n">
        <f>29757</f>
        <v>29757.0</v>
      </c>
    </row>
    <row r="110">
      <c r="A110" s="8" t="s">
        <v>30</v>
      </c>
      <c r="B110" s="9" t="s">
        <v>55</v>
      </c>
      <c r="C110" s="9" t="s">
        <v>56</v>
      </c>
      <c r="D110" s="10"/>
      <c r="E110" s="2" t="n">
        <f>31621</f>
        <v>31621.0</v>
      </c>
      <c r="F110" s="10"/>
      <c r="G110" s="2" t="n">
        <f>63397721500</f>
        <v>6.33977215E10</v>
      </c>
      <c r="H110" s="10"/>
      <c r="I110" s="2" t="n">
        <f>3816</f>
        <v>3816.0</v>
      </c>
      <c r="J110" s="10"/>
      <c r="K110" s="2" t="n">
        <f>32151</f>
        <v>32151.0</v>
      </c>
    </row>
    <row r="111">
      <c r="A111" s="8" t="s">
        <v>31</v>
      </c>
      <c r="B111" s="9" t="s">
        <v>55</v>
      </c>
      <c r="C111" s="9" t="s">
        <v>56</v>
      </c>
      <c r="D111" s="10" t="s">
        <v>23</v>
      </c>
      <c r="E111" s="2" t="n">
        <f>24416</f>
        <v>24416.0</v>
      </c>
      <c r="F111" s="10" t="s">
        <v>23</v>
      </c>
      <c r="G111" s="2" t="n">
        <f>49103927880</f>
        <v>4.910392788E10</v>
      </c>
      <c r="H111" s="10" t="s">
        <v>23</v>
      </c>
      <c r="I111" s="2" t="n">
        <f>2942</f>
        <v>2942.0</v>
      </c>
      <c r="J111" s="10"/>
      <c r="K111" s="2" t="n">
        <f>32109</f>
        <v>32109.0</v>
      </c>
    </row>
    <row r="112">
      <c r="A112" s="8" t="s">
        <v>32</v>
      </c>
      <c r="B112" s="9" t="s">
        <v>55</v>
      </c>
      <c r="C112" s="9" t="s">
        <v>56</v>
      </c>
      <c r="D112" s="10"/>
      <c r="E112" s="2" t="n">
        <f>50958</f>
        <v>50958.0</v>
      </c>
      <c r="F112" s="10"/>
      <c r="G112" s="2" t="n">
        <f>100767022875</f>
        <v>1.00767022875E11</v>
      </c>
      <c r="H112" s="10"/>
      <c r="I112" s="2" t="n">
        <f>6520</f>
        <v>6520.0</v>
      </c>
      <c r="J112" s="10"/>
      <c r="K112" s="2" t="n">
        <f>30593</f>
        <v>30593.0</v>
      </c>
    </row>
    <row r="113">
      <c r="A113" s="8" t="s">
        <v>33</v>
      </c>
      <c r="B113" s="9" t="s">
        <v>55</v>
      </c>
      <c r="C113" s="9" t="s">
        <v>56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34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35</v>
      </c>
      <c r="B115" s="9" t="s">
        <v>55</v>
      </c>
      <c r="C115" s="9" t="s">
        <v>56</v>
      </c>
      <c r="D115" s="10"/>
      <c r="E115" s="2" t="n">
        <f>33444</f>
        <v>33444.0</v>
      </c>
      <c r="F115" s="10"/>
      <c r="G115" s="2" t="n">
        <f>66368330400</f>
        <v>6.63683304E10</v>
      </c>
      <c r="H115" s="10"/>
      <c r="I115" s="2" t="n">
        <f>3867</f>
        <v>3867.0</v>
      </c>
      <c r="J115" s="10"/>
      <c r="K115" s="2" t="n">
        <f>30413</f>
        <v>30413.0</v>
      </c>
    </row>
    <row r="116">
      <c r="A116" s="8" t="s">
        <v>36</v>
      </c>
      <c r="B116" s="9" t="s">
        <v>55</v>
      </c>
      <c r="C116" s="9" t="s">
        <v>56</v>
      </c>
      <c r="D116" s="10"/>
      <c r="E116" s="2" t="n">
        <f>35913</f>
        <v>35913.0</v>
      </c>
      <c r="F116" s="10"/>
      <c r="G116" s="2" t="n">
        <f>71412089650</f>
        <v>7.141208965E10</v>
      </c>
      <c r="H116" s="10"/>
      <c r="I116" s="2" t="n">
        <f>4120</f>
        <v>4120.0</v>
      </c>
      <c r="J116" s="10"/>
      <c r="K116" s="2" t="n">
        <f>31070</f>
        <v>31070.0</v>
      </c>
    </row>
    <row r="117">
      <c r="A117" s="8" t="s">
        <v>37</v>
      </c>
      <c r="B117" s="9" t="s">
        <v>55</v>
      </c>
      <c r="C117" s="9" t="s">
        <v>56</v>
      </c>
      <c r="D117" s="10"/>
      <c r="E117" s="2" t="n">
        <f>60539</f>
        <v>60539.0</v>
      </c>
      <c r="F117" s="10"/>
      <c r="G117" s="2" t="n">
        <f>117539326550</f>
        <v>1.1753932655E11</v>
      </c>
      <c r="H117" s="10"/>
      <c r="I117" s="2" t="n">
        <f>8213</f>
        <v>8213.0</v>
      </c>
      <c r="J117" s="10"/>
      <c r="K117" s="2" t="n">
        <f>33234</f>
        <v>33234.0</v>
      </c>
    </row>
    <row r="118">
      <c r="A118" s="8" t="s">
        <v>38</v>
      </c>
      <c r="B118" s="9" t="s">
        <v>55</v>
      </c>
      <c r="C118" s="9" t="s">
        <v>56</v>
      </c>
      <c r="D118" s="10"/>
      <c r="E118" s="2" t="n">
        <f>53139</f>
        <v>53139.0</v>
      </c>
      <c r="F118" s="10"/>
      <c r="G118" s="2" t="n">
        <f>102643839410</f>
        <v>1.0264383941E11</v>
      </c>
      <c r="H118" s="10"/>
      <c r="I118" s="2" t="n">
        <f>9299</f>
        <v>9299.0</v>
      </c>
      <c r="J118" s="10"/>
      <c r="K118" s="2" t="n">
        <f>33982</f>
        <v>33982.0</v>
      </c>
    </row>
    <row r="119">
      <c r="A119" s="8" t="s">
        <v>39</v>
      </c>
      <c r="B119" s="9" t="s">
        <v>55</v>
      </c>
      <c r="C119" s="9" t="s">
        <v>56</v>
      </c>
      <c r="D119" s="10"/>
      <c r="E119" s="2" t="n">
        <f>43828</f>
        <v>43828.0</v>
      </c>
      <c r="F119" s="10"/>
      <c r="G119" s="2" t="n">
        <f>84035155830</f>
        <v>8.403515583E10</v>
      </c>
      <c r="H119" s="10"/>
      <c r="I119" s="2" t="n">
        <f>5856</f>
        <v>5856.0</v>
      </c>
      <c r="J119" s="10"/>
      <c r="K119" s="2" t="n">
        <f>34675</f>
        <v>34675.0</v>
      </c>
    </row>
    <row r="120">
      <c r="A120" s="8" t="s">
        <v>40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41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42</v>
      </c>
      <c r="B122" s="9" t="s">
        <v>55</v>
      </c>
      <c r="C122" s="9" t="s">
        <v>56</v>
      </c>
      <c r="D122" s="10"/>
      <c r="E122" s="2" t="n">
        <f>41432</f>
        <v>41432.0</v>
      </c>
      <c r="F122" s="10"/>
      <c r="G122" s="2" t="n">
        <f>79551814200</f>
        <v>7.95518142E10</v>
      </c>
      <c r="H122" s="10"/>
      <c r="I122" s="2" t="n">
        <f>4654</f>
        <v>4654.0</v>
      </c>
      <c r="J122" s="10"/>
      <c r="K122" s="2" t="n">
        <f>33244</f>
        <v>33244.0</v>
      </c>
    </row>
    <row r="123">
      <c r="A123" s="8" t="s">
        <v>43</v>
      </c>
      <c r="B123" s="9" t="s">
        <v>55</v>
      </c>
      <c r="C123" s="9" t="s">
        <v>56</v>
      </c>
      <c r="D123" s="10"/>
      <c r="E123" s="2" t="n">
        <f>70806</f>
        <v>70806.0</v>
      </c>
      <c r="F123" s="10"/>
      <c r="G123" s="2" t="n">
        <f>134223189200</f>
        <v>1.342231892E11</v>
      </c>
      <c r="H123" s="10"/>
      <c r="I123" s="2" t="n">
        <f>8139</f>
        <v>8139.0</v>
      </c>
      <c r="J123" s="10"/>
      <c r="K123" s="2" t="n">
        <f>36853</f>
        <v>36853.0</v>
      </c>
    </row>
    <row r="124">
      <c r="A124" s="8" t="s">
        <v>44</v>
      </c>
      <c r="B124" s="9" t="s">
        <v>55</v>
      </c>
      <c r="C124" s="9" t="s">
        <v>56</v>
      </c>
      <c r="D124" s="10"/>
      <c r="E124" s="2" t="n">
        <f>41138</f>
        <v>41138.0</v>
      </c>
      <c r="F124" s="10"/>
      <c r="G124" s="2" t="n">
        <f>77860134620</f>
        <v>7.786013462E10</v>
      </c>
      <c r="H124" s="10"/>
      <c r="I124" s="2" t="n">
        <f>4718</f>
        <v>4718.0</v>
      </c>
      <c r="J124" s="10"/>
      <c r="K124" s="2" t="n">
        <f>37495</f>
        <v>37495.0</v>
      </c>
    </row>
    <row r="125">
      <c r="A125" s="8" t="s">
        <v>45</v>
      </c>
      <c r="B125" s="9" t="s">
        <v>55</v>
      </c>
      <c r="C125" s="9" t="s">
        <v>56</v>
      </c>
      <c r="D125" s="10" t="s">
        <v>46</v>
      </c>
      <c r="E125" s="2" t="n">
        <f>76047</f>
        <v>76047.0</v>
      </c>
      <c r="F125" s="10" t="s">
        <v>46</v>
      </c>
      <c r="G125" s="2" t="n">
        <f>142272016660</f>
        <v>1.4227201666E11</v>
      </c>
      <c r="H125" s="10" t="s">
        <v>46</v>
      </c>
      <c r="I125" s="2" t="n">
        <f>10442</f>
        <v>10442.0</v>
      </c>
      <c r="J125" s="10" t="s">
        <v>46</v>
      </c>
      <c r="K125" s="2" t="n">
        <f>43719</f>
        <v>43719.0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52950</f>
        <v>52950.0</v>
      </c>
      <c r="F126" s="10"/>
      <c r="G126" s="2" t="n">
        <f>98989856440</f>
        <v>9.898985644E10</v>
      </c>
      <c r="H126" s="10"/>
      <c r="I126" s="2" t="n">
        <f>7584</f>
        <v>7584.0</v>
      </c>
      <c r="J126" s="10"/>
      <c r="K126" s="2" t="n">
        <f>40244</f>
        <v>40244.0</v>
      </c>
    </row>
    <row r="127">
      <c r="A127" s="8" t="s">
        <v>48</v>
      </c>
      <c r="B127" s="9" t="s">
        <v>55</v>
      </c>
      <c r="C127" s="9" t="s">
        <v>56</v>
      </c>
      <c r="D127" s="10"/>
      <c r="E127" s="2"/>
      <c r="F127" s="10"/>
      <c r="G127" s="2"/>
      <c r="H127" s="10"/>
      <c r="I127" s="2"/>
      <c r="J127" s="10"/>
      <c r="K127" s="2"/>
    </row>
    <row r="128">
      <c r="A128" s="8" t="s">
        <v>49</v>
      </c>
      <c r="B128" s="9" t="s">
        <v>55</v>
      </c>
      <c r="C128" s="9" t="s">
        <v>56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43209</f>
        <v>43209.0</v>
      </c>
      <c r="F129" s="10"/>
      <c r="G129" s="2" t="n">
        <f>81012877455</f>
        <v>8.1012877455E10</v>
      </c>
      <c r="H129" s="10"/>
      <c r="I129" s="2" t="n">
        <f>5690</f>
        <v>5690.0</v>
      </c>
      <c r="J129" s="10"/>
      <c r="K129" s="2" t="n">
        <f>39522</f>
        <v>39522.0</v>
      </c>
    </row>
    <row r="130">
      <c r="A130" s="8" t="s">
        <v>16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19</v>
      </c>
      <c r="B131" s="9" t="s">
        <v>57</v>
      </c>
      <c r="C131" s="9" t="s">
        <v>58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20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10277</f>
        <v>10277.0</v>
      </c>
      <c r="F133" s="10"/>
      <c r="G133" s="2" t="n">
        <f>18723600000</f>
        <v>1.87236E10</v>
      </c>
      <c r="H133" s="10" t="s">
        <v>23</v>
      </c>
      <c r="I133" s="2" t="n">
        <f>145</f>
        <v>145.0</v>
      </c>
      <c r="J133" s="10"/>
      <c r="K133" s="2" t="n">
        <f>47924</f>
        <v>47924.0</v>
      </c>
    </row>
    <row r="134">
      <c r="A134" s="8" t="s">
        <v>22</v>
      </c>
      <c r="B134" s="9" t="s">
        <v>57</v>
      </c>
      <c r="C134" s="9" t="s">
        <v>58</v>
      </c>
      <c r="D134" s="10"/>
      <c r="E134" s="2" t="n">
        <f>11688</f>
        <v>11688.0</v>
      </c>
      <c r="F134" s="10"/>
      <c r="G134" s="2" t="n">
        <f>21477844070</f>
        <v>2.147784407E10</v>
      </c>
      <c r="H134" s="10"/>
      <c r="I134" s="2" t="n">
        <f>959</f>
        <v>959.0</v>
      </c>
      <c r="J134" s="10"/>
      <c r="K134" s="2" t="n">
        <f>48783</f>
        <v>48783.0</v>
      </c>
    </row>
    <row r="135">
      <c r="A135" s="8" t="s">
        <v>24</v>
      </c>
      <c r="B135" s="9" t="s">
        <v>57</v>
      </c>
      <c r="C135" s="9" t="s">
        <v>58</v>
      </c>
      <c r="D135" s="10"/>
      <c r="E135" s="2" t="n">
        <f>19458</f>
        <v>19458.0</v>
      </c>
      <c r="F135" s="10"/>
      <c r="G135" s="2" t="n">
        <f>35418186360</f>
        <v>3.541818636E10</v>
      </c>
      <c r="H135" s="10"/>
      <c r="I135" s="2" t="n">
        <f>1073</f>
        <v>1073.0</v>
      </c>
      <c r="J135" s="10"/>
      <c r="K135" s="2" t="n">
        <f>48741</f>
        <v>48741.0</v>
      </c>
    </row>
    <row r="136">
      <c r="A136" s="8" t="s">
        <v>25</v>
      </c>
      <c r="B136" s="9" t="s">
        <v>57</v>
      </c>
      <c r="C136" s="9" t="s">
        <v>58</v>
      </c>
      <c r="D136" s="10"/>
      <c r="E136" s="2" t="n">
        <f>18315</f>
        <v>18315.0</v>
      </c>
      <c r="F136" s="10"/>
      <c r="G136" s="2" t="n">
        <f>33035315404</f>
        <v>3.3035315404E10</v>
      </c>
      <c r="H136" s="10"/>
      <c r="I136" s="2" t="n">
        <f>535</f>
        <v>535.0</v>
      </c>
      <c r="J136" s="10"/>
      <c r="K136" s="2" t="n">
        <f>46940</f>
        <v>46940.0</v>
      </c>
    </row>
    <row r="137">
      <c r="A137" s="8" t="s">
        <v>26</v>
      </c>
      <c r="B137" s="9" t="s">
        <v>57</v>
      </c>
      <c r="C137" s="9" t="s">
        <v>58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27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28</v>
      </c>
      <c r="B139" s="9" t="s">
        <v>57</v>
      </c>
      <c r="C139" s="9" t="s">
        <v>58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13971</f>
        <v>13971.0</v>
      </c>
      <c r="F140" s="10"/>
      <c r="G140" s="2" t="n">
        <f>25015800000</f>
        <v>2.50158E10</v>
      </c>
      <c r="H140" s="10"/>
      <c r="I140" s="2" t="n">
        <f>284</f>
        <v>284.0</v>
      </c>
      <c r="J140" s="10"/>
      <c r="K140" s="2" t="n">
        <f>47965</f>
        <v>47965.0</v>
      </c>
    </row>
    <row r="141">
      <c r="A141" s="8" t="s">
        <v>30</v>
      </c>
      <c r="B141" s="9" t="s">
        <v>57</v>
      </c>
      <c r="C141" s="9" t="s">
        <v>58</v>
      </c>
      <c r="D141" s="10"/>
      <c r="E141" s="2" t="n">
        <f>16465</f>
        <v>16465.0</v>
      </c>
      <c r="F141" s="10"/>
      <c r="G141" s="2" t="n">
        <f>29797472828</f>
        <v>2.9797472828E10</v>
      </c>
      <c r="H141" s="10"/>
      <c r="I141" s="2" t="n">
        <f>599</f>
        <v>599.0</v>
      </c>
      <c r="J141" s="10"/>
      <c r="K141" s="2" t="n">
        <f>49064</f>
        <v>49064.0</v>
      </c>
    </row>
    <row r="142">
      <c r="A142" s="8" t="s">
        <v>31</v>
      </c>
      <c r="B142" s="9" t="s">
        <v>57</v>
      </c>
      <c r="C142" s="9" t="s">
        <v>58</v>
      </c>
      <c r="D142" s="10"/>
      <c r="E142" s="2" t="n">
        <f>11558</f>
        <v>11558.0</v>
      </c>
      <c r="F142" s="10"/>
      <c r="G142" s="2" t="n">
        <f>20930844684</f>
        <v>2.0930844684E10</v>
      </c>
      <c r="H142" s="10"/>
      <c r="I142" s="2" t="n">
        <f>173</f>
        <v>173.0</v>
      </c>
      <c r="J142" s="10"/>
      <c r="K142" s="2" t="n">
        <f>48877</f>
        <v>48877.0</v>
      </c>
    </row>
    <row r="143">
      <c r="A143" s="8" t="s">
        <v>32</v>
      </c>
      <c r="B143" s="9" t="s">
        <v>57</v>
      </c>
      <c r="C143" s="9" t="s">
        <v>58</v>
      </c>
      <c r="D143" s="10"/>
      <c r="E143" s="2" t="n">
        <f>25697</f>
        <v>25697.0</v>
      </c>
      <c r="F143" s="10"/>
      <c r="G143" s="2" t="n">
        <f>45803021982</f>
        <v>4.5803021982E10</v>
      </c>
      <c r="H143" s="10"/>
      <c r="I143" s="2" t="n">
        <f>491</f>
        <v>491.0</v>
      </c>
      <c r="J143" s="10"/>
      <c r="K143" s="2" t="n">
        <f>47696</f>
        <v>47696.0</v>
      </c>
    </row>
    <row r="144">
      <c r="A144" s="8" t="s">
        <v>33</v>
      </c>
      <c r="B144" s="9" t="s">
        <v>57</v>
      </c>
      <c r="C144" s="9" t="s">
        <v>58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34</v>
      </c>
      <c r="B145" s="9" t="s">
        <v>57</v>
      </c>
      <c r="C145" s="9" t="s">
        <v>58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35</v>
      </c>
      <c r="B146" s="9" t="s">
        <v>57</v>
      </c>
      <c r="C146" s="9" t="s">
        <v>58</v>
      </c>
      <c r="D146" s="10" t="s">
        <v>23</v>
      </c>
      <c r="E146" s="2" t="n">
        <f>10172</f>
        <v>10172.0</v>
      </c>
      <c r="F146" s="10" t="s">
        <v>23</v>
      </c>
      <c r="G146" s="2" t="n">
        <f>18182565000</f>
        <v>1.8182565E10</v>
      </c>
      <c r="H146" s="10"/>
      <c r="I146" s="2" t="n">
        <f>234</f>
        <v>234.0</v>
      </c>
      <c r="J146" s="10"/>
      <c r="K146" s="2" t="n">
        <f>47668</f>
        <v>47668.0</v>
      </c>
    </row>
    <row r="147">
      <c r="A147" s="8" t="s">
        <v>36</v>
      </c>
      <c r="B147" s="9" t="s">
        <v>57</v>
      </c>
      <c r="C147" s="9" t="s">
        <v>58</v>
      </c>
      <c r="D147" s="10"/>
      <c r="E147" s="2" t="n">
        <f>12815</f>
        <v>12815.0</v>
      </c>
      <c r="F147" s="10"/>
      <c r="G147" s="2" t="n">
        <f>22936218000</f>
        <v>2.2936218E10</v>
      </c>
      <c r="H147" s="10"/>
      <c r="I147" s="2" t="n">
        <f>405</f>
        <v>405.0</v>
      </c>
      <c r="J147" s="10"/>
      <c r="K147" s="2" t="n">
        <f>47472</f>
        <v>47472.0</v>
      </c>
    </row>
    <row r="148">
      <c r="A148" s="8" t="s">
        <v>37</v>
      </c>
      <c r="B148" s="9" t="s">
        <v>57</v>
      </c>
      <c r="C148" s="9" t="s">
        <v>58</v>
      </c>
      <c r="D148" s="10" t="s">
        <v>46</v>
      </c>
      <c r="E148" s="2" t="n">
        <f>26487</f>
        <v>26487.0</v>
      </c>
      <c r="F148" s="10" t="s">
        <v>46</v>
      </c>
      <c r="G148" s="2" t="n">
        <f>46394133600</f>
        <v>4.63941336E10</v>
      </c>
      <c r="H148" s="10"/>
      <c r="I148" s="2" t="n">
        <f>1040</f>
        <v>1040.0</v>
      </c>
      <c r="J148" s="10"/>
      <c r="K148" s="2" t="n">
        <f>47075</f>
        <v>47075.0</v>
      </c>
    </row>
    <row r="149">
      <c r="A149" s="8" t="s">
        <v>38</v>
      </c>
      <c r="B149" s="9" t="s">
        <v>57</v>
      </c>
      <c r="C149" s="9" t="s">
        <v>58</v>
      </c>
      <c r="D149" s="10"/>
      <c r="E149" s="2" t="n">
        <f>21827</f>
        <v>21827.0</v>
      </c>
      <c r="F149" s="10"/>
      <c r="G149" s="2" t="n">
        <f>38082317464</f>
        <v>3.8082317464E10</v>
      </c>
      <c r="H149" s="10" t="s">
        <v>46</v>
      </c>
      <c r="I149" s="2" t="n">
        <f>2171</f>
        <v>2171.0</v>
      </c>
      <c r="J149" s="10" t="s">
        <v>23</v>
      </c>
      <c r="K149" s="2" t="n">
        <f>46782</f>
        <v>46782.0</v>
      </c>
    </row>
    <row r="150">
      <c r="A150" s="8" t="s">
        <v>39</v>
      </c>
      <c r="B150" s="9" t="s">
        <v>57</v>
      </c>
      <c r="C150" s="9" t="s">
        <v>58</v>
      </c>
      <c r="D150" s="10"/>
      <c r="E150" s="2" t="n">
        <f>14789</f>
        <v>14789.0</v>
      </c>
      <c r="F150" s="10"/>
      <c r="G150" s="2" t="n">
        <f>25630817008</f>
        <v>2.5630817008E10</v>
      </c>
      <c r="H150" s="10"/>
      <c r="I150" s="2" t="n">
        <f>1046</f>
        <v>1046.0</v>
      </c>
      <c r="J150" s="10"/>
      <c r="K150" s="2" t="n">
        <f>47404</f>
        <v>47404.0</v>
      </c>
    </row>
    <row r="151">
      <c r="A151" s="8" t="s">
        <v>40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41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42</v>
      </c>
      <c r="B153" s="9" t="s">
        <v>57</v>
      </c>
      <c r="C153" s="9" t="s">
        <v>58</v>
      </c>
      <c r="D153" s="10"/>
      <c r="E153" s="2" t="n">
        <f>13740</f>
        <v>13740.0</v>
      </c>
      <c r="F153" s="10"/>
      <c r="G153" s="2" t="n">
        <f>23799446000</f>
        <v>2.3799446E10</v>
      </c>
      <c r="H153" s="10"/>
      <c r="I153" s="2" t="n">
        <f>1310</f>
        <v>1310.0</v>
      </c>
      <c r="J153" s="10"/>
      <c r="K153" s="2" t="n">
        <f>47546</f>
        <v>47546.0</v>
      </c>
    </row>
    <row r="154">
      <c r="A154" s="8" t="s">
        <v>43</v>
      </c>
      <c r="B154" s="9" t="s">
        <v>57</v>
      </c>
      <c r="C154" s="9" t="s">
        <v>58</v>
      </c>
      <c r="D154" s="10"/>
      <c r="E154" s="2" t="n">
        <f>21220</f>
        <v>21220.0</v>
      </c>
      <c r="F154" s="10"/>
      <c r="G154" s="2" t="n">
        <f>36306806926</f>
        <v>3.6306806926E10</v>
      </c>
      <c r="H154" s="10"/>
      <c r="I154" s="2" t="n">
        <f>538</f>
        <v>538.0</v>
      </c>
      <c r="J154" s="10"/>
      <c r="K154" s="2" t="n">
        <f>47412</f>
        <v>47412.0</v>
      </c>
    </row>
    <row r="155">
      <c r="A155" s="8" t="s">
        <v>44</v>
      </c>
      <c r="B155" s="9" t="s">
        <v>57</v>
      </c>
      <c r="C155" s="9" t="s">
        <v>58</v>
      </c>
      <c r="D155" s="10"/>
      <c r="E155" s="2" t="n">
        <f>14538</f>
        <v>14538.0</v>
      </c>
      <c r="F155" s="10"/>
      <c r="G155" s="2" t="n">
        <f>24824508000</f>
        <v>2.4824508E10</v>
      </c>
      <c r="H155" s="10"/>
      <c r="I155" s="2" t="n">
        <f>782</f>
        <v>782.0</v>
      </c>
      <c r="J155" s="10"/>
      <c r="K155" s="2" t="n">
        <f>47827</f>
        <v>47827.0</v>
      </c>
    </row>
    <row r="156">
      <c r="A156" s="8" t="s">
        <v>45</v>
      </c>
      <c r="B156" s="9" t="s">
        <v>57</v>
      </c>
      <c r="C156" s="9" t="s">
        <v>58</v>
      </c>
      <c r="D156" s="10"/>
      <c r="E156" s="2" t="n">
        <f>23326</f>
        <v>23326.0</v>
      </c>
      <c r="F156" s="10"/>
      <c r="G156" s="2" t="n">
        <f>39405220304</f>
        <v>3.9405220304E10</v>
      </c>
      <c r="H156" s="10"/>
      <c r="I156" s="2" t="n">
        <f>1324</f>
        <v>1324.0</v>
      </c>
      <c r="J156" s="10"/>
      <c r="K156" s="2" t="n">
        <f>48914</f>
        <v>48914.0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15485</f>
        <v>15485.0</v>
      </c>
      <c r="F157" s="10"/>
      <c r="G157" s="2" t="n">
        <f>26128733508</f>
        <v>2.6128733508E10</v>
      </c>
      <c r="H157" s="10"/>
      <c r="I157" s="2" t="n">
        <f>941</f>
        <v>941.0</v>
      </c>
      <c r="J157" s="10"/>
      <c r="K157" s="2" t="n">
        <f>49818</f>
        <v>49818.0</v>
      </c>
    </row>
    <row r="158">
      <c r="A158" s="8" t="s">
        <v>48</v>
      </c>
      <c r="B158" s="9" t="s">
        <v>57</v>
      </c>
      <c r="C158" s="9" t="s">
        <v>58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49</v>
      </c>
      <c r="B159" s="9" t="s">
        <v>57</v>
      </c>
      <c r="C159" s="9" t="s">
        <v>58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14699</f>
        <v>14699.0</v>
      </c>
      <c r="F160" s="10"/>
      <c r="G160" s="2" t="n">
        <f>24830791000</f>
        <v>2.4830791E10</v>
      </c>
      <c r="H160" s="10"/>
      <c r="I160" s="2" t="n">
        <f>415</f>
        <v>415.0</v>
      </c>
      <c r="J160" s="10" t="s">
        <v>46</v>
      </c>
      <c r="K160" s="2" t="n">
        <f>49837</f>
        <v>49837.0</v>
      </c>
    </row>
    <row r="161">
      <c r="A161" s="8" t="s">
        <v>16</v>
      </c>
      <c r="B161" s="9" t="s">
        <v>59</v>
      </c>
      <c r="C161" s="9" t="s">
        <v>60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19</v>
      </c>
      <c r="B162" s="9" t="s">
        <v>59</v>
      </c>
      <c r="C162" s="9" t="s">
        <v>60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20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21</v>
      </c>
      <c r="B164" s="9" t="s">
        <v>59</v>
      </c>
      <c r="C164" s="9" t="s">
        <v>60</v>
      </c>
      <c r="D164" s="10" t="s">
        <v>61</v>
      </c>
      <c r="E164" s="2" t="str">
        <f>"－"</f>
        <v>－</v>
      </c>
      <c r="F164" s="10" t="s">
        <v>61</v>
      </c>
      <c r="G164" s="2" t="str">
        <f>"－"</f>
        <v>－</v>
      </c>
      <c r="H164" s="10" t="s">
        <v>61</v>
      </c>
      <c r="I164" s="2" t="str">
        <f>"－"</f>
        <v>－</v>
      </c>
      <c r="J164" s="10" t="s">
        <v>61</v>
      </c>
      <c r="K164" s="2" t="n">
        <f>46</f>
        <v>46.0</v>
      </c>
    </row>
    <row r="165">
      <c r="A165" s="8" t="s">
        <v>22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46</f>
        <v>46.0</v>
      </c>
    </row>
    <row r="166">
      <c r="A166" s="8" t="s">
        <v>24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46</f>
        <v>46.0</v>
      </c>
    </row>
    <row r="167">
      <c r="A167" s="8" t="s">
        <v>25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46</f>
        <v>46.0</v>
      </c>
    </row>
    <row r="168">
      <c r="A168" s="8" t="s">
        <v>26</v>
      </c>
      <c r="B168" s="9" t="s">
        <v>59</v>
      </c>
      <c r="C168" s="9" t="s">
        <v>60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27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28</v>
      </c>
      <c r="B170" s="9" t="s">
        <v>59</v>
      </c>
      <c r="C170" s="9" t="s">
        <v>60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46</f>
        <v>46.0</v>
      </c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46</f>
        <v>46.0</v>
      </c>
    </row>
    <row r="173">
      <c r="A173" s="8" t="s">
        <v>31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46</f>
        <v>46.0</v>
      </c>
    </row>
    <row r="174">
      <c r="A174" s="8" t="s">
        <v>32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46</f>
        <v>46.0</v>
      </c>
    </row>
    <row r="175">
      <c r="A175" s="8" t="s">
        <v>33</v>
      </c>
      <c r="B175" s="9" t="s">
        <v>59</v>
      </c>
      <c r="C175" s="9" t="s">
        <v>60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34</v>
      </c>
      <c r="B176" s="9" t="s">
        <v>59</v>
      </c>
      <c r="C176" s="9" t="s">
        <v>60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35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46</f>
        <v>46.0</v>
      </c>
    </row>
    <row r="178">
      <c r="A178" s="8" t="s">
        <v>36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46</f>
        <v>46.0</v>
      </c>
    </row>
    <row r="179">
      <c r="A179" s="8" t="s">
        <v>37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46</f>
        <v>46.0</v>
      </c>
    </row>
    <row r="180">
      <c r="A180" s="8" t="s">
        <v>38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46</f>
        <v>46.0</v>
      </c>
    </row>
    <row r="181">
      <c r="A181" s="8" t="s">
        <v>39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46</f>
        <v>46.0</v>
      </c>
    </row>
    <row r="182">
      <c r="A182" s="8" t="s">
        <v>40</v>
      </c>
      <c r="B182" s="9" t="s">
        <v>59</v>
      </c>
      <c r="C182" s="9" t="s">
        <v>60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41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42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46</f>
        <v>46.0</v>
      </c>
    </row>
    <row r="185">
      <c r="A185" s="8" t="s">
        <v>43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46</f>
        <v>46.0</v>
      </c>
    </row>
    <row r="186">
      <c r="A186" s="8" t="s">
        <v>44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46</f>
        <v>46.0</v>
      </c>
    </row>
    <row r="187">
      <c r="A187" s="8" t="s">
        <v>45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46</f>
        <v>46.0</v>
      </c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46</f>
        <v>46.0</v>
      </c>
    </row>
    <row r="189">
      <c r="A189" s="8" t="s">
        <v>48</v>
      </c>
      <c r="B189" s="9" t="s">
        <v>59</v>
      </c>
      <c r="C189" s="9" t="s">
        <v>60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49</v>
      </c>
      <c r="B190" s="9" t="s">
        <v>59</v>
      </c>
      <c r="C190" s="9" t="s">
        <v>60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46</f>
        <v>46.0</v>
      </c>
    </row>
    <row r="192">
      <c r="A192" s="8" t="s">
        <v>16</v>
      </c>
      <c r="B192" s="9" t="s">
        <v>62</v>
      </c>
      <c r="C192" s="9" t="s">
        <v>63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19</v>
      </c>
      <c r="B193" s="9" t="s">
        <v>62</v>
      </c>
      <c r="C193" s="9" t="s">
        <v>63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20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21</v>
      </c>
      <c r="B195" s="9" t="s">
        <v>62</v>
      </c>
      <c r="C195" s="9" t="s">
        <v>63</v>
      </c>
      <c r="D195" s="10" t="s">
        <v>23</v>
      </c>
      <c r="E195" s="2" t="str">
        <f>"－"</f>
        <v>－</v>
      </c>
      <c r="F195" s="10" t="s">
        <v>23</v>
      </c>
      <c r="G195" s="2" t="str">
        <f>"－"</f>
        <v>－</v>
      </c>
      <c r="H195" s="10" t="s">
        <v>23</v>
      </c>
      <c r="I195" s="2" t="str">
        <f>"－"</f>
        <v>－</v>
      </c>
      <c r="J195" s="10" t="s">
        <v>23</v>
      </c>
      <c r="K195" s="2" t="n">
        <f>30719</f>
        <v>30719.0</v>
      </c>
    </row>
    <row r="196">
      <c r="A196" s="8" t="s">
        <v>22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30719</f>
        <v>30719.0</v>
      </c>
    </row>
    <row r="197">
      <c r="A197" s="8" t="s">
        <v>24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30719</f>
        <v>30719.0</v>
      </c>
    </row>
    <row r="198">
      <c r="A198" s="8" t="s">
        <v>25</v>
      </c>
      <c r="B198" s="9" t="s">
        <v>62</v>
      </c>
      <c r="C198" s="9" t="s">
        <v>63</v>
      </c>
      <c r="D198" s="10"/>
      <c r="E198" s="2" t="n">
        <f>13</f>
        <v>13.0</v>
      </c>
      <c r="F198" s="10"/>
      <c r="G198" s="2" t="n">
        <f>19949800</f>
        <v>1.99498E7</v>
      </c>
      <c r="H198" s="10"/>
      <c r="I198" s="2" t="str">
        <f>"－"</f>
        <v>－</v>
      </c>
      <c r="J198" s="10"/>
      <c r="K198" s="2" t="n">
        <f>30732</f>
        <v>30732.0</v>
      </c>
    </row>
    <row r="199">
      <c r="A199" s="8" t="s">
        <v>26</v>
      </c>
      <c r="B199" s="9" t="s">
        <v>62</v>
      </c>
      <c r="C199" s="9" t="s">
        <v>63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27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28</v>
      </c>
      <c r="B201" s="9" t="s">
        <v>62</v>
      </c>
      <c r="C201" s="9" t="s">
        <v>63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29</v>
      </c>
      <c r="B202" s="9" t="s">
        <v>62</v>
      </c>
      <c r="C202" s="9" t="s">
        <v>63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30732</f>
        <v>30732.0</v>
      </c>
    </row>
    <row r="203">
      <c r="A203" s="8" t="s">
        <v>30</v>
      </c>
      <c r="B203" s="9" t="s">
        <v>62</v>
      </c>
      <c r="C203" s="9" t="s">
        <v>63</v>
      </c>
      <c r="D203" s="10"/>
      <c r="E203" s="2" t="n">
        <f>300</f>
        <v>300.0</v>
      </c>
      <c r="F203" s="10"/>
      <c r="G203" s="2" t="n">
        <f>479750000</f>
        <v>4.7975E8</v>
      </c>
      <c r="H203" s="10"/>
      <c r="I203" s="2" t="n">
        <f>10</f>
        <v>10.0</v>
      </c>
      <c r="J203" s="10"/>
      <c r="K203" s="2" t="n">
        <f>31032</f>
        <v>31032.0</v>
      </c>
    </row>
    <row r="204">
      <c r="A204" s="8" t="s">
        <v>31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31032</f>
        <v>31032.0</v>
      </c>
    </row>
    <row r="205">
      <c r="A205" s="8" t="s">
        <v>32</v>
      </c>
      <c r="B205" s="9" t="s">
        <v>62</v>
      </c>
      <c r="C205" s="9" t="s">
        <v>63</v>
      </c>
      <c r="D205" s="10"/>
      <c r="E205" s="2" t="n">
        <f>100</f>
        <v>100.0</v>
      </c>
      <c r="F205" s="10"/>
      <c r="G205" s="2" t="n">
        <f>160660000</f>
        <v>1.6066E8</v>
      </c>
      <c r="H205" s="10"/>
      <c r="I205" s="2" t="str">
        <f>"－"</f>
        <v>－</v>
      </c>
      <c r="J205" s="10"/>
      <c r="K205" s="2" t="n">
        <f>31132</f>
        <v>31132.0</v>
      </c>
    </row>
    <row r="206">
      <c r="A206" s="8" t="s">
        <v>33</v>
      </c>
      <c r="B206" s="9" t="s">
        <v>62</v>
      </c>
      <c r="C206" s="9" t="s">
        <v>63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34</v>
      </c>
      <c r="B207" s="9" t="s">
        <v>62</v>
      </c>
      <c r="C207" s="9" t="s">
        <v>63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35</v>
      </c>
      <c r="B208" s="9" t="s">
        <v>62</v>
      </c>
      <c r="C208" s="9" t="s">
        <v>63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31132</f>
        <v>31132.0</v>
      </c>
    </row>
    <row r="209">
      <c r="A209" s="8" t="s">
        <v>36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31132</f>
        <v>31132.0</v>
      </c>
    </row>
    <row r="210">
      <c r="A210" s="8" t="s">
        <v>37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31132</f>
        <v>31132.0</v>
      </c>
    </row>
    <row r="211">
      <c r="A211" s="8" t="s">
        <v>38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31132</f>
        <v>31132.0</v>
      </c>
    </row>
    <row r="212">
      <c r="A212" s="8" t="s">
        <v>39</v>
      </c>
      <c r="B212" s="9" t="s">
        <v>62</v>
      </c>
      <c r="C212" s="9" t="s">
        <v>63</v>
      </c>
      <c r="D212" s="10" t="s">
        <v>46</v>
      </c>
      <c r="E212" s="2" t="n">
        <f>640</f>
        <v>640.0</v>
      </c>
      <c r="F212" s="10" t="s">
        <v>46</v>
      </c>
      <c r="G212" s="2" t="n">
        <f>968014080</f>
        <v>9.6801408E8</v>
      </c>
      <c r="H212" s="10" t="s">
        <v>46</v>
      </c>
      <c r="I212" s="2" t="n">
        <f>640</f>
        <v>640.0</v>
      </c>
      <c r="J212" s="10"/>
      <c r="K212" s="2" t="n">
        <f>31132</f>
        <v>31132.0</v>
      </c>
    </row>
    <row r="213">
      <c r="A213" s="8" t="s">
        <v>40</v>
      </c>
      <c r="B213" s="9" t="s">
        <v>62</v>
      </c>
      <c r="C213" s="9" t="s">
        <v>63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41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42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31132</f>
        <v>31132.0</v>
      </c>
    </row>
    <row r="216">
      <c r="A216" s="8" t="s">
        <v>43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31132</f>
        <v>31132.0</v>
      </c>
    </row>
    <row r="217">
      <c r="A217" s="8" t="s">
        <v>44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31132</f>
        <v>31132.0</v>
      </c>
    </row>
    <row r="218">
      <c r="A218" s="8" t="s">
        <v>45</v>
      </c>
      <c r="B218" s="9" t="s">
        <v>62</v>
      </c>
      <c r="C218" s="9" t="s">
        <v>63</v>
      </c>
      <c r="D218" s="10"/>
      <c r="E218" s="2" t="n">
        <f>600</f>
        <v>600.0</v>
      </c>
      <c r="F218" s="10"/>
      <c r="G218" s="2" t="n">
        <f>932280000</f>
        <v>9.3228E8</v>
      </c>
      <c r="H218" s="10"/>
      <c r="I218" s="2" t="str">
        <f>"－"</f>
        <v>－</v>
      </c>
      <c r="J218" s="10" t="s">
        <v>46</v>
      </c>
      <c r="K218" s="2" t="n">
        <f>31732</f>
        <v>31732.0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31732</f>
        <v>31732.0</v>
      </c>
    </row>
    <row r="220">
      <c r="A220" s="8" t="s">
        <v>48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49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62</v>
      </c>
      <c r="C222" s="9" t="s">
        <v>63</v>
      </c>
      <c r="D222" s="10"/>
      <c r="E222" s="2" t="n">
        <f>260</f>
        <v>260.0</v>
      </c>
      <c r="F222" s="10"/>
      <c r="G222" s="2" t="n">
        <f>404851460</f>
        <v>4.0485146E8</v>
      </c>
      <c r="H222" s="10"/>
      <c r="I222" s="2" t="n">
        <f>260</f>
        <v>260.0</v>
      </c>
      <c r="J222" s="10"/>
      <c r="K222" s="2" t="n">
        <f>31732</f>
        <v>31732.0</v>
      </c>
    </row>
    <row r="223">
      <c r="A223" s="8" t="s">
        <v>16</v>
      </c>
      <c r="B223" s="9" t="s">
        <v>64</v>
      </c>
      <c r="C223" s="9" t="s">
        <v>65</v>
      </c>
      <c r="D223" s="10"/>
      <c r="E223" s="2"/>
      <c r="F223" s="10"/>
      <c r="G223" s="2"/>
      <c r="H223" s="10"/>
      <c r="I223" s="2"/>
      <c r="J223" s="10"/>
      <c r="K223" s="2"/>
    </row>
    <row r="224">
      <c r="A224" s="8" t="s">
        <v>19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20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21</v>
      </c>
      <c r="B226" s="9" t="s">
        <v>64</v>
      </c>
      <c r="C226" s="9" t="s">
        <v>65</v>
      </c>
      <c r="D226" s="10"/>
      <c r="E226" s="2" t="n">
        <f>374</f>
        <v>374.0</v>
      </c>
      <c r="F226" s="10"/>
      <c r="G226" s="2" t="n">
        <f>768995500</f>
        <v>7.689955E8</v>
      </c>
      <c r="H226" s="10"/>
      <c r="I226" s="2" t="n">
        <f>13</f>
        <v>13.0</v>
      </c>
      <c r="J226" s="10"/>
      <c r="K226" s="2" t="n">
        <f>75740</f>
        <v>75740.0</v>
      </c>
    </row>
    <row r="227">
      <c r="A227" s="8" t="s">
        <v>22</v>
      </c>
      <c r="B227" s="9" t="s">
        <v>64</v>
      </c>
      <c r="C227" s="9" t="s">
        <v>65</v>
      </c>
      <c r="D227" s="10"/>
      <c r="E227" s="2" t="n">
        <f>839</f>
        <v>839.0</v>
      </c>
      <c r="F227" s="10"/>
      <c r="G227" s="2" t="n">
        <f>1714324470</f>
        <v>1.71432447E9</v>
      </c>
      <c r="H227" s="10"/>
      <c r="I227" s="2" t="n">
        <f>83</f>
        <v>83.0</v>
      </c>
      <c r="J227" s="10"/>
      <c r="K227" s="2" t="n">
        <f>75677</f>
        <v>75677.0</v>
      </c>
    </row>
    <row r="228">
      <c r="A228" s="8" t="s">
        <v>24</v>
      </c>
      <c r="B228" s="9" t="s">
        <v>64</v>
      </c>
      <c r="C228" s="9" t="s">
        <v>65</v>
      </c>
      <c r="D228" s="10"/>
      <c r="E228" s="2" t="n">
        <f>475</f>
        <v>475.0</v>
      </c>
      <c r="F228" s="10"/>
      <c r="G228" s="2" t="n">
        <f>958721540</f>
        <v>9.5872154E8</v>
      </c>
      <c r="H228" s="10"/>
      <c r="I228" s="2" t="n">
        <f>4</f>
        <v>4.0</v>
      </c>
      <c r="J228" s="10"/>
      <c r="K228" s="2" t="n">
        <f>75789</f>
        <v>75789.0</v>
      </c>
    </row>
    <row r="229">
      <c r="A229" s="8" t="s">
        <v>25</v>
      </c>
      <c r="B229" s="9" t="s">
        <v>64</v>
      </c>
      <c r="C229" s="9" t="s">
        <v>65</v>
      </c>
      <c r="D229" s="10"/>
      <c r="E229" s="2" t="n">
        <f>533</f>
        <v>533.0</v>
      </c>
      <c r="F229" s="10"/>
      <c r="G229" s="2" t="n">
        <f>1069392290</f>
        <v>1.06939229E9</v>
      </c>
      <c r="H229" s="10"/>
      <c r="I229" s="2" t="n">
        <f>1</f>
        <v>1.0</v>
      </c>
      <c r="J229" s="10"/>
      <c r="K229" s="2" t="n">
        <f>75475</f>
        <v>75475.0</v>
      </c>
    </row>
    <row r="230">
      <c r="A230" s="8" t="s">
        <v>26</v>
      </c>
      <c r="B230" s="9" t="s">
        <v>64</v>
      </c>
      <c r="C230" s="9" t="s">
        <v>65</v>
      </c>
      <c r="D230" s="10"/>
      <c r="E230" s="2"/>
      <c r="F230" s="10"/>
      <c r="G230" s="2"/>
      <c r="H230" s="10"/>
      <c r="I230" s="2"/>
      <c r="J230" s="10"/>
      <c r="K230" s="2"/>
    </row>
    <row r="231">
      <c r="A231" s="8" t="s">
        <v>27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28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29</v>
      </c>
      <c r="B233" s="9" t="s">
        <v>64</v>
      </c>
      <c r="C233" s="9" t="s">
        <v>65</v>
      </c>
      <c r="D233" s="10"/>
      <c r="E233" s="2" t="n">
        <f>236</f>
        <v>236.0</v>
      </c>
      <c r="F233" s="10"/>
      <c r="G233" s="2" t="n">
        <f>472152000</f>
        <v>4.72152E8</v>
      </c>
      <c r="H233" s="10" t="s">
        <v>23</v>
      </c>
      <c r="I233" s="2" t="str">
        <f>"－"</f>
        <v>－</v>
      </c>
      <c r="J233" s="10"/>
      <c r="K233" s="2" t="n">
        <f>75565</f>
        <v>75565.0</v>
      </c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429</f>
        <v>429.0</v>
      </c>
      <c r="F234" s="10"/>
      <c r="G234" s="2" t="n">
        <f>856668360</f>
        <v>8.5666836E8</v>
      </c>
      <c r="H234" s="10"/>
      <c r="I234" s="2" t="str">
        <f>"－"</f>
        <v>－</v>
      </c>
      <c r="J234" s="10"/>
      <c r="K234" s="2" t="n">
        <f>75573</f>
        <v>75573.0</v>
      </c>
    </row>
    <row r="235">
      <c r="A235" s="8" t="s">
        <v>31</v>
      </c>
      <c r="B235" s="9" t="s">
        <v>64</v>
      </c>
      <c r="C235" s="9" t="s">
        <v>65</v>
      </c>
      <c r="D235" s="10" t="s">
        <v>23</v>
      </c>
      <c r="E235" s="2" t="n">
        <f>132</f>
        <v>132.0</v>
      </c>
      <c r="F235" s="10" t="s">
        <v>23</v>
      </c>
      <c r="G235" s="2" t="n">
        <f>263407510</f>
        <v>2.6340751E8</v>
      </c>
      <c r="H235" s="10"/>
      <c r="I235" s="2" t="str">
        <f>"－"</f>
        <v>－</v>
      </c>
      <c r="J235" s="10"/>
      <c r="K235" s="2" t="n">
        <f>75510</f>
        <v>75510.0</v>
      </c>
    </row>
    <row r="236">
      <c r="A236" s="8" t="s">
        <v>32</v>
      </c>
      <c r="B236" s="9" t="s">
        <v>64</v>
      </c>
      <c r="C236" s="9" t="s">
        <v>65</v>
      </c>
      <c r="D236" s="10"/>
      <c r="E236" s="2" t="n">
        <f>1492</f>
        <v>1492.0</v>
      </c>
      <c r="F236" s="10"/>
      <c r="G236" s="2" t="n">
        <f>2953231880</f>
        <v>2.95323188E9</v>
      </c>
      <c r="H236" s="10"/>
      <c r="I236" s="2" t="n">
        <f>37</f>
        <v>37.0</v>
      </c>
      <c r="J236" s="10"/>
      <c r="K236" s="2" t="n">
        <f>74549</f>
        <v>74549.0</v>
      </c>
    </row>
    <row r="237">
      <c r="A237" s="8" t="s">
        <v>33</v>
      </c>
      <c r="B237" s="9" t="s">
        <v>64</v>
      </c>
      <c r="C237" s="9" t="s">
        <v>65</v>
      </c>
      <c r="D237" s="10"/>
      <c r="E237" s="2"/>
      <c r="F237" s="10"/>
      <c r="G237" s="2"/>
      <c r="H237" s="10"/>
      <c r="I237" s="2"/>
      <c r="J237" s="10"/>
      <c r="K237" s="2"/>
    </row>
    <row r="238">
      <c r="A238" s="8" t="s">
        <v>34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35</v>
      </c>
      <c r="B239" s="9" t="s">
        <v>64</v>
      </c>
      <c r="C239" s="9" t="s">
        <v>65</v>
      </c>
      <c r="D239" s="10"/>
      <c r="E239" s="2" t="n">
        <f>750</f>
        <v>750.0</v>
      </c>
      <c r="F239" s="10"/>
      <c r="G239" s="2" t="n">
        <f>1478760260</f>
        <v>1.47876026E9</v>
      </c>
      <c r="H239" s="10"/>
      <c r="I239" s="2" t="n">
        <f>39</f>
        <v>39.0</v>
      </c>
      <c r="J239" s="10"/>
      <c r="K239" s="2" t="n">
        <f>74523</f>
        <v>74523.0</v>
      </c>
    </row>
    <row r="240">
      <c r="A240" s="8" t="s">
        <v>36</v>
      </c>
      <c r="B240" s="9" t="s">
        <v>64</v>
      </c>
      <c r="C240" s="9" t="s">
        <v>65</v>
      </c>
      <c r="D240" s="10"/>
      <c r="E240" s="2" t="n">
        <f>894</f>
        <v>894.0</v>
      </c>
      <c r="F240" s="10"/>
      <c r="G240" s="2" t="n">
        <f>1746866750</f>
        <v>1.74686675E9</v>
      </c>
      <c r="H240" s="10"/>
      <c r="I240" s="2" t="n">
        <f>84</f>
        <v>84.0</v>
      </c>
      <c r="J240" s="10"/>
      <c r="K240" s="2" t="n">
        <f>74328</f>
        <v>74328.0</v>
      </c>
    </row>
    <row r="241">
      <c r="A241" s="8" t="s">
        <v>37</v>
      </c>
      <c r="B241" s="9" t="s">
        <v>64</v>
      </c>
      <c r="C241" s="9" t="s">
        <v>65</v>
      </c>
      <c r="D241" s="10"/>
      <c r="E241" s="2" t="n">
        <f>1440</f>
        <v>1440.0</v>
      </c>
      <c r="F241" s="10"/>
      <c r="G241" s="2" t="n">
        <f>2723668130</f>
        <v>2.72366813E9</v>
      </c>
      <c r="H241" s="10"/>
      <c r="I241" s="2" t="n">
        <f>127</f>
        <v>127.0</v>
      </c>
      <c r="J241" s="10" t="s">
        <v>23</v>
      </c>
      <c r="K241" s="2" t="n">
        <f>73573</f>
        <v>73573.0</v>
      </c>
    </row>
    <row r="242">
      <c r="A242" s="8" t="s">
        <v>38</v>
      </c>
      <c r="B242" s="9" t="s">
        <v>64</v>
      </c>
      <c r="C242" s="9" t="s">
        <v>65</v>
      </c>
      <c r="D242" s="10"/>
      <c r="E242" s="2" t="n">
        <f>2510</f>
        <v>2510.0</v>
      </c>
      <c r="F242" s="10"/>
      <c r="G242" s="2" t="n">
        <f>4611274670</f>
        <v>4.61127467E9</v>
      </c>
      <c r="H242" s="10"/>
      <c r="I242" s="2" t="n">
        <f>158</f>
        <v>158.0</v>
      </c>
      <c r="J242" s="10"/>
      <c r="K242" s="2" t="n">
        <f>75074</f>
        <v>75074.0</v>
      </c>
    </row>
    <row r="243">
      <c r="A243" s="8" t="s">
        <v>39</v>
      </c>
      <c r="B243" s="9" t="s">
        <v>64</v>
      </c>
      <c r="C243" s="9" t="s">
        <v>65</v>
      </c>
      <c r="D243" s="10" t="s">
        <v>46</v>
      </c>
      <c r="E243" s="2" t="n">
        <f>3832</f>
        <v>3832.0</v>
      </c>
      <c r="F243" s="10" t="s">
        <v>46</v>
      </c>
      <c r="G243" s="2" t="n">
        <f>7046258240</f>
        <v>7.04625824E9</v>
      </c>
      <c r="H243" s="10" t="s">
        <v>46</v>
      </c>
      <c r="I243" s="2" t="n">
        <f>260</f>
        <v>260.0</v>
      </c>
      <c r="J243" s="10"/>
      <c r="K243" s="2" t="n">
        <f>75478</f>
        <v>75478.0</v>
      </c>
    </row>
    <row r="244">
      <c r="A244" s="8" t="s">
        <v>40</v>
      </c>
      <c r="B244" s="9" t="s">
        <v>64</v>
      </c>
      <c r="C244" s="9" t="s">
        <v>65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41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42</v>
      </c>
      <c r="B246" s="9" t="s">
        <v>64</v>
      </c>
      <c r="C246" s="9" t="s">
        <v>65</v>
      </c>
      <c r="D246" s="10"/>
      <c r="E246" s="2" t="n">
        <f>3329</f>
        <v>3329.0</v>
      </c>
      <c r="F246" s="10"/>
      <c r="G246" s="2" t="n">
        <f>6247217530</f>
        <v>6.24721753E9</v>
      </c>
      <c r="H246" s="10"/>
      <c r="I246" s="2" t="n">
        <f>20</f>
        <v>20.0</v>
      </c>
      <c r="J246" s="10"/>
      <c r="K246" s="2" t="n">
        <f>77756</f>
        <v>77756.0</v>
      </c>
    </row>
    <row r="247">
      <c r="A247" s="8" t="s">
        <v>43</v>
      </c>
      <c r="B247" s="9" t="s">
        <v>64</v>
      </c>
      <c r="C247" s="9" t="s">
        <v>65</v>
      </c>
      <c r="D247" s="10"/>
      <c r="E247" s="2" t="n">
        <f>2344</f>
        <v>2344.0</v>
      </c>
      <c r="F247" s="10"/>
      <c r="G247" s="2" t="n">
        <f>4373067130</f>
        <v>4.37306713E9</v>
      </c>
      <c r="H247" s="10"/>
      <c r="I247" s="2" t="n">
        <f>76</f>
        <v>76.0</v>
      </c>
      <c r="J247" s="10"/>
      <c r="K247" s="2" t="n">
        <f>78839</f>
        <v>78839.0</v>
      </c>
    </row>
    <row r="248">
      <c r="A248" s="8" t="s">
        <v>44</v>
      </c>
      <c r="B248" s="9" t="s">
        <v>64</v>
      </c>
      <c r="C248" s="9" t="s">
        <v>65</v>
      </c>
      <c r="D248" s="10"/>
      <c r="E248" s="2" t="n">
        <f>2167</f>
        <v>2167.0</v>
      </c>
      <c r="F248" s="10"/>
      <c r="G248" s="2" t="n">
        <f>4088434890</f>
        <v>4.08843489E9</v>
      </c>
      <c r="H248" s="10"/>
      <c r="I248" s="2" t="n">
        <f>9</f>
        <v>9.0</v>
      </c>
      <c r="J248" s="10"/>
      <c r="K248" s="2" t="n">
        <f>79690</f>
        <v>79690.0</v>
      </c>
    </row>
    <row r="249">
      <c r="A249" s="8" t="s">
        <v>45</v>
      </c>
      <c r="B249" s="9" t="s">
        <v>64</v>
      </c>
      <c r="C249" s="9" t="s">
        <v>65</v>
      </c>
      <c r="D249" s="10"/>
      <c r="E249" s="2" t="n">
        <f>743</f>
        <v>743.0</v>
      </c>
      <c r="F249" s="10"/>
      <c r="G249" s="2" t="n">
        <f>1409041940</f>
        <v>1.40904194E9</v>
      </c>
      <c r="H249" s="10"/>
      <c r="I249" s="2" t="n">
        <f>23</f>
        <v>23.0</v>
      </c>
      <c r="J249" s="10"/>
      <c r="K249" s="2" t="n">
        <f>80088</f>
        <v>80088.0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2191</f>
        <v>2191.0</v>
      </c>
      <c r="F250" s="10"/>
      <c r="G250" s="2" t="n">
        <f>4224376880</f>
        <v>4.22437688E9</v>
      </c>
      <c r="H250" s="10"/>
      <c r="I250" s="2" t="n">
        <f>41</f>
        <v>41.0</v>
      </c>
      <c r="J250" s="10"/>
      <c r="K250" s="2" t="n">
        <f>81532</f>
        <v>81532.0</v>
      </c>
    </row>
    <row r="251">
      <c r="A251" s="8" t="s">
        <v>48</v>
      </c>
      <c r="B251" s="9" t="s">
        <v>64</v>
      </c>
      <c r="C251" s="9" t="s">
        <v>65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 t="n">
        <f>453</f>
        <v>453.0</v>
      </c>
      <c r="F253" s="10"/>
      <c r="G253" s="2" t="n">
        <f>882216300</f>
        <v>8.822163E8</v>
      </c>
      <c r="H253" s="10"/>
      <c r="I253" s="2" t="n">
        <f>11</f>
        <v>11.0</v>
      </c>
      <c r="J253" s="10" t="s">
        <v>46</v>
      </c>
      <c r="K253" s="2" t="n">
        <f>81584</f>
        <v>81584.0</v>
      </c>
    </row>
    <row r="254">
      <c r="A254" s="8" t="s">
        <v>16</v>
      </c>
      <c r="B254" s="9" t="s">
        <v>66</v>
      </c>
      <c r="C254" s="9" t="s">
        <v>67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19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20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21</v>
      </c>
      <c r="B257" s="9" t="s">
        <v>66</v>
      </c>
      <c r="C257" s="9" t="s">
        <v>67</v>
      </c>
      <c r="D257" s="10" t="s">
        <v>61</v>
      </c>
      <c r="E257" s="2" t="str">
        <f>"－"</f>
        <v>－</v>
      </c>
      <c r="F257" s="10" t="s">
        <v>61</v>
      </c>
      <c r="G257" s="2" t="str">
        <f>"－"</f>
        <v>－</v>
      </c>
      <c r="H257" s="10" t="s">
        <v>61</v>
      </c>
      <c r="I257" s="2" t="str">
        <f>"－"</f>
        <v>－</v>
      </c>
      <c r="J257" s="10" t="s">
        <v>61</v>
      </c>
      <c r="K257" s="2" t="str">
        <f>"－"</f>
        <v>－</v>
      </c>
    </row>
    <row r="258">
      <c r="A258" s="8" t="s">
        <v>22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24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2"/>
      <c r="F261" s="10"/>
      <c r="G261" s="2"/>
      <c r="H261" s="10"/>
      <c r="I261" s="2"/>
      <c r="J261" s="10"/>
      <c r="K261" s="2"/>
    </row>
    <row r="262">
      <c r="A262" s="8" t="s">
        <v>27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28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29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31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32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33</v>
      </c>
      <c r="B268" s="9" t="s">
        <v>66</v>
      </c>
      <c r="C268" s="9" t="s">
        <v>67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34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35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36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37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38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39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40</v>
      </c>
      <c r="B275" s="9" t="s">
        <v>66</v>
      </c>
      <c r="C275" s="9" t="s">
        <v>67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41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42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43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44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45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/>
      <c r="F282" s="10"/>
      <c r="G282" s="2"/>
      <c r="H282" s="10"/>
      <c r="I282" s="2"/>
      <c r="J282" s="10"/>
      <c r="K282" s="2"/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19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20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21</v>
      </c>
      <c r="B288" s="9" t="s">
        <v>68</v>
      </c>
      <c r="C288" s="9" t="s">
        <v>69</v>
      </c>
      <c r="D288" s="10" t="s">
        <v>23</v>
      </c>
      <c r="E288" s="2" t="n">
        <f>5940</f>
        <v>5940.0</v>
      </c>
      <c r="F288" s="10" t="s">
        <v>23</v>
      </c>
      <c r="G288" s="2" t="n">
        <f>5788272080</f>
        <v>5.78827208E9</v>
      </c>
      <c r="H288" s="10" t="s">
        <v>23</v>
      </c>
      <c r="I288" s="2" t="n">
        <f>500</f>
        <v>500.0</v>
      </c>
      <c r="J288" s="10" t="s">
        <v>23</v>
      </c>
      <c r="K288" s="2" t="n">
        <f>28008</f>
        <v>28008.0</v>
      </c>
    </row>
    <row r="289">
      <c r="A289" s="8" t="s">
        <v>22</v>
      </c>
      <c r="B289" s="9" t="s">
        <v>68</v>
      </c>
      <c r="C289" s="9" t="s">
        <v>69</v>
      </c>
      <c r="D289" s="10"/>
      <c r="E289" s="2" t="n">
        <f>11587</f>
        <v>11587.0</v>
      </c>
      <c r="F289" s="10"/>
      <c r="G289" s="2" t="n">
        <f>10882295060</f>
        <v>1.088229506E10</v>
      </c>
      <c r="H289" s="10"/>
      <c r="I289" s="2" t="n">
        <f>826</f>
        <v>826.0</v>
      </c>
      <c r="J289" s="10"/>
      <c r="K289" s="2" t="n">
        <f>29757</f>
        <v>29757.0</v>
      </c>
    </row>
    <row r="290">
      <c r="A290" s="8" t="s">
        <v>24</v>
      </c>
      <c r="B290" s="9" t="s">
        <v>68</v>
      </c>
      <c r="C290" s="9" t="s">
        <v>69</v>
      </c>
      <c r="D290" s="10"/>
      <c r="E290" s="2" t="n">
        <f>20017</f>
        <v>20017.0</v>
      </c>
      <c r="F290" s="10"/>
      <c r="G290" s="2" t="n">
        <f>17791871640</f>
        <v>1.779187164E10</v>
      </c>
      <c r="H290" s="10"/>
      <c r="I290" s="2" t="n">
        <f>1544</f>
        <v>1544.0</v>
      </c>
      <c r="J290" s="10"/>
      <c r="K290" s="2" t="n">
        <f>31795</f>
        <v>31795.0</v>
      </c>
    </row>
    <row r="291">
      <c r="A291" s="8" t="s">
        <v>25</v>
      </c>
      <c r="B291" s="9" t="s">
        <v>68</v>
      </c>
      <c r="C291" s="9" t="s">
        <v>69</v>
      </c>
      <c r="D291" s="10"/>
      <c r="E291" s="2" t="n">
        <f>17539</f>
        <v>17539.0</v>
      </c>
      <c r="F291" s="10"/>
      <c r="G291" s="2" t="n">
        <f>15313329400</f>
        <v>1.53133294E10</v>
      </c>
      <c r="H291" s="10"/>
      <c r="I291" s="2" t="n">
        <f>1351</f>
        <v>1351.0</v>
      </c>
      <c r="J291" s="10"/>
      <c r="K291" s="2" t="n">
        <f>32834</f>
        <v>32834.0</v>
      </c>
    </row>
    <row r="292">
      <c r="A292" s="8" t="s">
        <v>26</v>
      </c>
      <c r="B292" s="9" t="s">
        <v>68</v>
      </c>
      <c r="C292" s="9" t="s">
        <v>69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27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28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14090</f>
        <v>14090.0</v>
      </c>
      <c r="F295" s="10"/>
      <c r="G295" s="2" t="n">
        <f>12323203160</f>
        <v>1.232320316E10</v>
      </c>
      <c r="H295" s="10"/>
      <c r="I295" s="2" t="n">
        <f>1033</f>
        <v>1033.0</v>
      </c>
      <c r="J295" s="10"/>
      <c r="K295" s="2" t="n">
        <f>33097</f>
        <v>33097.0</v>
      </c>
    </row>
    <row r="296">
      <c r="A296" s="8" t="s">
        <v>30</v>
      </c>
      <c r="B296" s="9" t="s">
        <v>68</v>
      </c>
      <c r="C296" s="9" t="s">
        <v>69</v>
      </c>
      <c r="D296" s="10"/>
      <c r="E296" s="2" t="n">
        <f>11879</f>
        <v>11879.0</v>
      </c>
      <c r="F296" s="10"/>
      <c r="G296" s="2" t="n">
        <f>10631514960</f>
        <v>1.063151496E10</v>
      </c>
      <c r="H296" s="10"/>
      <c r="I296" s="2" t="n">
        <f>745</f>
        <v>745.0</v>
      </c>
      <c r="J296" s="10"/>
      <c r="K296" s="2" t="n">
        <f>31723</f>
        <v>31723.0</v>
      </c>
    </row>
    <row r="297">
      <c r="A297" s="8" t="s">
        <v>31</v>
      </c>
      <c r="B297" s="9" t="s">
        <v>68</v>
      </c>
      <c r="C297" s="9" t="s">
        <v>69</v>
      </c>
      <c r="D297" s="10"/>
      <c r="E297" s="2" t="n">
        <f>9901</f>
        <v>9901.0</v>
      </c>
      <c r="F297" s="10"/>
      <c r="G297" s="2" t="n">
        <f>8732807990</f>
        <v>8.73280799E9</v>
      </c>
      <c r="H297" s="10"/>
      <c r="I297" s="2" t="n">
        <f>702</f>
        <v>702.0</v>
      </c>
      <c r="J297" s="10"/>
      <c r="K297" s="2" t="n">
        <f>31960</f>
        <v>31960.0</v>
      </c>
    </row>
    <row r="298">
      <c r="A298" s="8" t="s">
        <v>32</v>
      </c>
      <c r="B298" s="9" t="s">
        <v>68</v>
      </c>
      <c r="C298" s="9" t="s">
        <v>69</v>
      </c>
      <c r="D298" s="10"/>
      <c r="E298" s="2" t="n">
        <f>17130</f>
        <v>17130.0</v>
      </c>
      <c r="F298" s="10"/>
      <c r="G298" s="2" t="n">
        <f>14476625190</f>
        <v>1.447662519E10</v>
      </c>
      <c r="H298" s="10"/>
      <c r="I298" s="2" t="n">
        <f>1528</f>
        <v>1528.0</v>
      </c>
      <c r="J298" s="10"/>
      <c r="K298" s="2" t="n">
        <f>33582</f>
        <v>33582.0</v>
      </c>
    </row>
    <row r="299">
      <c r="A299" s="8" t="s">
        <v>33</v>
      </c>
      <c r="B299" s="9" t="s">
        <v>68</v>
      </c>
      <c r="C299" s="9" t="s">
        <v>69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34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35</v>
      </c>
      <c r="B301" s="9" t="s">
        <v>68</v>
      </c>
      <c r="C301" s="9" t="s">
        <v>69</v>
      </c>
      <c r="D301" s="10"/>
      <c r="E301" s="2" t="n">
        <f>17770</f>
        <v>17770.0</v>
      </c>
      <c r="F301" s="10"/>
      <c r="G301" s="2" t="n">
        <f>14889086750</f>
        <v>1.488908675E10</v>
      </c>
      <c r="H301" s="10"/>
      <c r="I301" s="2" t="n">
        <f>1195</f>
        <v>1195.0</v>
      </c>
      <c r="J301" s="10"/>
      <c r="K301" s="2" t="n">
        <f>34896</f>
        <v>34896.0</v>
      </c>
    </row>
    <row r="302">
      <c r="A302" s="8" t="s">
        <v>36</v>
      </c>
      <c r="B302" s="9" t="s">
        <v>68</v>
      </c>
      <c r="C302" s="9" t="s">
        <v>69</v>
      </c>
      <c r="D302" s="10"/>
      <c r="E302" s="2" t="n">
        <f>20081</f>
        <v>20081.0</v>
      </c>
      <c r="F302" s="10"/>
      <c r="G302" s="2" t="n">
        <f>16758235780</f>
        <v>1.675823578E10</v>
      </c>
      <c r="H302" s="10"/>
      <c r="I302" s="2" t="n">
        <f>1181</f>
        <v>1181.0</v>
      </c>
      <c r="J302" s="10"/>
      <c r="K302" s="2" t="n">
        <f>34517</f>
        <v>34517.0</v>
      </c>
    </row>
    <row r="303">
      <c r="A303" s="8" t="s">
        <v>37</v>
      </c>
      <c r="B303" s="9" t="s">
        <v>68</v>
      </c>
      <c r="C303" s="9" t="s">
        <v>69</v>
      </c>
      <c r="D303" s="10"/>
      <c r="E303" s="2" t="n">
        <f>19131</f>
        <v>19131.0</v>
      </c>
      <c r="F303" s="10"/>
      <c r="G303" s="2" t="n">
        <f>15610250740</f>
        <v>1.561025074E10</v>
      </c>
      <c r="H303" s="10"/>
      <c r="I303" s="2" t="n">
        <f>1626</f>
        <v>1626.0</v>
      </c>
      <c r="J303" s="10"/>
      <c r="K303" s="2" t="n">
        <f>35016</f>
        <v>35016.0</v>
      </c>
    </row>
    <row r="304">
      <c r="A304" s="8" t="s">
        <v>38</v>
      </c>
      <c r="B304" s="9" t="s">
        <v>68</v>
      </c>
      <c r="C304" s="9" t="s">
        <v>69</v>
      </c>
      <c r="D304" s="10"/>
      <c r="E304" s="2" t="n">
        <f>23516</f>
        <v>23516.0</v>
      </c>
      <c r="F304" s="10"/>
      <c r="G304" s="2" t="n">
        <f>19089917560</f>
        <v>1.908991756E10</v>
      </c>
      <c r="H304" s="10"/>
      <c r="I304" s="2" t="n">
        <f>1404</f>
        <v>1404.0</v>
      </c>
      <c r="J304" s="10"/>
      <c r="K304" s="2" t="n">
        <f>35754</f>
        <v>35754.0</v>
      </c>
    </row>
    <row r="305">
      <c r="A305" s="8" t="s">
        <v>39</v>
      </c>
      <c r="B305" s="9" t="s">
        <v>68</v>
      </c>
      <c r="C305" s="9" t="s">
        <v>69</v>
      </c>
      <c r="D305" s="10"/>
      <c r="E305" s="2" t="n">
        <f>19286</f>
        <v>19286.0</v>
      </c>
      <c r="F305" s="10"/>
      <c r="G305" s="2" t="n">
        <f>15566408360</f>
        <v>1.556640836E10</v>
      </c>
      <c r="H305" s="10"/>
      <c r="I305" s="2" t="n">
        <f>1033</f>
        <v>1033.0</v>
      </c>
      <c r="J305" s="10"/>
      <c r="K305" s="2" t="n">
        <f>36229</f>
        <v>36229.0</v>
      </c>
    </row>
    <row r="306">
      <c r="A306" s="8" t="s">
        <v>40</v>
      </c>
      <c r="B306" s="9" t="s">
        <v>68</v>
      </c>
      <c r="C306" s="9" t="s">
        <v>69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41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42</v>
      </c>
      <c r="B308" s="9" t="s">
        <v>68</v>
      </c>
      <c r="C308" s="9" t="s">
        <v>69</v>
      </c>
      <c r="D308" s="10"/>
      <c r="E308" s="2" t="n">
        <f>20125</f>
        <v>20125.0</v>
      </c>
      <c r="F308" s="10"/>
      <c r="G308" s="2" t="n">
        <f>16066696860</f>
        <v>1.606669686E10</v>
      </c>
      <c r="H308" s="10"/>
      <c r="I308" s="2" t="n">
        <f>1290</f>
        <v>1290.0</v>
      </c>
      <c r="J308" s="10"/>
      <c r="K308" s="2" t="n">
        <f>36834</f>
        <v>36834.0</v>
      </c>
    </row>
    <row r="309">
      <c r="A309" s="8" t="s">
        <v>43</v>
      </c>
      <c r="B309" s="9" t="s">
        <v>68</v>
      </c>
      <c r="C309" s="9" t="s">
        <v>69</v>
      </c>
      <c r="D309" s="10"/>
      <c r="E309" s="2" t="n">
        <f>29864</f>
        <v>29864.0</v>
      </c>
      <c r="F309" s="10"/>
      <c r="G309" s="2" t="n">
        <f>23607674040</f>
        <v>2.360767404E10</v>
      </c>
      <c r="H309" s="10"/>
      <c r="I309" s="2" t="n">
        <f>1735</f>
        <v>1735.0</v>
      </c>
      <c r="J309" s="10"/>
      <c r="K309" s="2" t="n">
        <f>36036</f>
        <v>36036.0</v>
      </c>
    </row>
    <row r="310">
      <c r="A310" s="8" t="s">
        <v>44</v>
      </c>
      <c r="B310" s="9" t="s">
        <v>68</v>
      </c>
      <c r="C310" s="9" t="s">
        <v>69</v>
      </c>
      <c r="D310" s="10"/>
      <c r="E310" s="2" t="n">
        <f>24280</f>
        <v>24280.0</v>
      </c>
      <c r="F310" s="10"/>
      <c r="G310" s="2" t="n">
        <f>18784495070</f>
        <v>1.878449507E10</v>
      </c>
      <c r="H310" s="10"/>
      <c r="I310" s="2" t="n">
        <f>1956</f>
        <v>1956.0</v>
      </c>
      <c r="J310" s="10"/>
      <c r="K310" s="2" t="n">
        <f>35533</f>
        <v>35533.0</v>
      </c>
    </row>
    <row r="311">
      <c r="A311" s="8" t="s">
        <v>45</v>
      </c>
      <c r="B311" s="9" t="s">
        <v>68</v>
      </c>
      <c r="C311" s="9" t="s">
        <v>69</v>
      </c>
      <c r="D311" s="10" t="s">
        <v>46</v>
      </c>
      <c r="E311" s="2" t="n">
        <f>37241</f>
        <v>37241.0</v>
      </c>
      <c r="F311" s="10" t="s">
        <v>46</v>
      </c>
      <c r="G311" s="2" t="n">
        <f>28082906180</f>
        <v>2.808290618E10</v>
      </c>
      <c r="H311" s="10"/>
      <c r="I311" s="2" t="n">
        <f>2573</f>
        <v>2573.0</v>
      </c>
      <c r="J311" s="10"/>
      <c r="K311" s="2" t="n">
        <f>37730</f>
        <v>37730.0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27037</f>
        <v>27037.0</v>
      </c>
      <c r="F312" s="10"/>
      <c r="G312" s="2" t="n">
        <f>19765957300</f>
        <v>1.97659573E10</v>
      </c>
      <c r="H312" s="10"/>
      <c r="I312" s="2" t="n">
        <f>1771</f>
        <v>1771.0</v>
      </c>
      <c r="J312" s="10" t="s">
        <v>46</v>
      </c>
      <c r="K312" s="2" t="n">
        <f>38163</f>
        <v>38163.0</v>
      </c>
    </row>
    <row r="313">
      <c r="A313" s="8" t="s">
        <v>48</v>
      </c>
      <c r="B313" s="9" t="s">
        <v>68</v>
      </c>
      <c r="C313" s="9" t="s">
        <v>69</v>
      </c>
      <c r="D313" s="10"/>
      <c r="E313" s="2"/>
      <c r="F313" s="10"/>
      <c r="G313" s="2"/>
      <c r="H313" s="10"/>
      <c r="I313" s="2"/>
      <c r="J313" s="10"/>
      <c r="K313" s="2"/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 t="n">
        <f>31400</f>
        <v>31400.0</v>
      </c>
      <c r="F315" s="10"/>
      <c r="G315" s="2" t="n">
        <f>23323514320</f>
        <v>2.332351432E10</v>
      </c>
      <c r="H315" s="10" t="s">
        <v>46</v>
      </c>
      <c r="I315" s="2" t="n">
        <f>2886</f>
        <v>2886.0</v>
      </c>
      <c r="J315" s="10"/>
      <c r="K315" s="2" t="n">
        <f>37868</f>
        <v>37868.0</v>
      </c>
    </row>
    <row r="316">
      <c r="A316" s="8" t="s">
        <v>16</v>
      </c>
      <c r="B316" s="9" t="s">
        <v>70</v>
      </c>
      <c r="C316" s="9" t="s">
        <v>71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19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20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1014</f>
        <v>1014.0</v>
      </c>
      <c r="F319" s="10"/>
      <c r="G319" s="2" t="n">
        <f>3691500600</f>
        <v>3.6915006E9</v>
      </c>
      <c r="H319" s="10" t="s">
        <v>23</v>
      </c>
      <c r="I319" s="2" t="n">
        <f>69</f>
        <v>69.0</v>
      </c>
      <c r="J319" s="10"/>
      <c r="K319" s="2" t="n">
        <f>2023</f>
        <v>2023.0</v>
      </c>
    </row>
    <row r="320">
      <c r="A320" s="8" t="s">
        <v>22</v>
      </c>
      <c r="B320" s="9" t="s">
        <v>70</v>
      </c>
      <c r="C320" s="9" t="s">
        <v>71</v>
      </c>
      <c r="D320" s="10"/>
      <c r="E320" s="2" t="n">
        <f>1964</f>
        <v>1964.0</v>
      </c>
      <c r="F320" s="10"/>
      <c r="G320" s="2" t="n">
        <f>7185039400</f>
        <v>7.1850394E9</v>
      </c>
      <c r="H320" s="10"/>
      <c r="I320" s="2" t="n">
        <f>237</f>
        <v>237.0</v>
      </c>
      <c r="J320" s="10"/>
      <c r="K320" s="2" t="n">
        <f>1482</f>
        <v>1482.0</v>
      </c>
    </row>
    <row r="321">
      <c r="A321" s="8" t="s">
        <v>24</v>
      </c>
      <c r="B321" s="9" t="s">
        <v>70</v>
      </c>
      <c r="C321" s="9" t="s">
        <v>71</v>
      </c>
      <c r="D321" s="10"/>
      <c r="E321" s="2" t="n">
        <f>1719</f>
        <v>1719.0</v>
      </c>
      <c r="F321" s="10"/>
      <c r="G321" s="2" t="n">
        <f>6272518600</f>
        <v>6.2725186E9</v>
      </c>
      <c r="H321" s="10"/>
      <c r="I321" s="2" t="n">
        <f>255</f>
        <v>255.0</v>
      </c>
      <c r="J321" s="10" t="s">
        <v>23</v>
      </c>
      <c r="K321" s="2" t="n">
        <f>1429</f>
        <v>1429.0</v>
      </c>
    </row>
    <row r="322">
      <c r="A322" s="8" t="s">
        <v>25</v>
      </c>
      <c r="B322" s="9" t="s">
        <v>70</v>
      </c>
      <c r="C322" s="9" t="s">
        <v>71</v>
      </c>
      <c r="D322" s="10"/>
      <c r="E322" s="2" t="n">
        <f>2348</f>
        <v>2348.0</v>
      </c>
      <c r="F322" s="10"/>
      <c r="G322" s="2" t="n">
        <f>8492032800</f>
        <v>8.4920328E9</v>
      </c>
      <c r="H322" s="10"/>
      <c r="I322" s="2" t="n">
        <f>542</f>
        <v>542.0</v>
      </c>
      <c r="J322" s="10"/>
      <c r="K322" s="2" t="n">
        <f>1766</f>
        <v>1766.0</v>
      </c>
    </row>
    <row r="323">
      <c r="A323" s="8" t="s">
        <v>26</v>
      </c>
      <c r="B323" s="9" t="s">
        <v>70</v>
      </c>
      <c r="C323" s="9" t="s">
        <v>71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27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28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2496</f>
        <v>2496.0</v>
      </c>
      <c r="F326" s="10"/>
      <c r="G326" s="2" t="n">
        <f>8986664500</f>
        <v>8.9866645E9</v>
      </c>
      <c r="H326" s="10"/>
      <c r="I326" s="2" t="n">
        <f>480</f>
        <v>480.0</v>
      </c>
      <c r="J326" s="10"/>
      <c r="K326" s="2" t="n">
        <f>2524</f>
        <v>2524.0</v>
      </c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1826</f>
        <v>1826.0</v>
      </c>
      <c r="F327" s="10"/>
      <c r="G327" s="2" t="n">
        <f>6546913400</f>
        <v>6.5469134E9</v>
      </c>
      <c r="H327" s="10"/>
      <c r="I327" s="2" t="n">
        <f>562</f>
        <v>562.0</v>
      </c>
      <c r="J327" s="10"/>
      <c r="K327" s="2" t="n">
        <f>2475</f>
        <v>2475.0</v>
      </c>
    </row>
    <row r="328">
      <c r="A328" s="8" t="s">
        <v>31</v>
      </c>
      <c r="B328" s="9" t="s">
        <v>70</v>
      </c>
      <c r="C328" s="9" t="s">
        <v>71</v>
      </c>
      <c r="D328" s="10"/>
      <c r="E328" s="2" t="n">
        <f>952</f>
        <v>952.0</v>
      </c>
      <c r="F328" s="10"/>
      <c r="G328" s="2" t="n">
        <f>3441966900</f>
        <v>3.4419669E9</v>
      </c>
      <c r="H328" s="10"/>
      <c r="I328" s="2" t="n">
        <f>126</f>
        <v>126.0</v>
      </c>
      <c r="J328" s="10"/>
      <c r="K328" s="2" t="n">
        <f>2532</f>
        <v>2532.0</v>
      </c>
    </row>
    <row r="329">
      <c r="A329" s="8" t="s">
        <v>32</v>
      </c>
      <c r="B329" s="9" t="s">
        <v>70</v>
      </c>
      <c r="C329" s="9" t="s">
        <v>71</v>
      </c>
      <c r="D329" s="10"/>
      <c r="E329" s="2" t="n">
        <f>1763</f>
        <v>1763.0</v>
      </c>
      <c r="F329" s="10"/>
      <c r="G329" s="2" t="n">
        <f>6371956000</f>
        <v>6.371956E9</v>
      </c>
      <c r="H329" s="10"/>
      <c r="I329" s="2" t="n">
        <f>457</f>
        <v>457.0</v>
      </c>
      <c r="J329" s="10"/>
      <c r="K329" s="2" t="n">
        <f>2822</f>
        <v>2822.0</v>
      </c>
    </row>
    <row r="330">
      <c r="A330" s="8" t="s">
        <v>33</v>
      </c>
      <c r="B330" s="9" t="s">
        <v>70</v>
      </c>
      <c r="C330" s="9" t="s">
        <v>71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34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35</v>
      </c>
      <c r="B332" s="9" t="s">
        <v>70</v>
      </c>
      <c r="C332" s="9" t="s">
        <v>71</v>
      </c>
      <c r="D332" s="10"/>
      <c r="E332" s="2" t="n">
        <f>3185</f>
        <v>3185.0</v>
      </c>
      <c r="F332" s="10"/>
      <c r="G332" s="2" t="n">
        <f>11376860100</f>
        <v>1.13768601E10</v>
      </c>
      <c r="H332" s="10"/>
      <c r="I332" s="2" t="n">
        <f>349</f>
        <v>349.0</v>
      </c>
      <c r="J332" s="10"/>
      <c r="K332" s="2" t="n">
        <f>3681</f>
        <v>3681.0</v>
      </c>
    </row>
    <row r="333">
      <c r="A333" s="8" t="s">
        <v>36</v>
      </c>
      <c r="B333" s="9" t="s">
        <v>70</v>
      </c>
      <c r="C333" s="9" t="s">
        <v>71</v>
      </c>
      <c r="D333" s="10" t="s">
        <v>23</v>
      </c>
      <c r="E333" s="2" t="n">
        <f>459</f>
        <v>459.0</v>
      </c>
      <c r="F333" s="10" t="s">
        <v>23</v>
      </c>
      <c r="G333" s="2" t="n">
        <f>1641595100</f>
        <v>1.6415951E9</v>
      </c>
      <c r="H333" s="10"/>
      <c r="I333" s="2" t="n">
        <f>187</f>
        <v>187.0</v>
      </c>
      <c r="J333" s="10"/>
      <c r="K333" s="2" t="n">
        <f>3690</f>
        <v>3690.0</v>
      </c>
    </row>
    <row r="334">
      <c r="A334" s="8" t="s">
        <v>37</v>
      </c>
      <c r="B334" s="9" t="s">
        <v>70</v>
      </c>
      <c r="C334" s="9" t="s">
        <v>71</v>
      </c>
      <c r="D334" s="10"/>
      <c r="E334" s="2" t="n">
        <f>2153</f>
        <v>2153.0</v>
      </c>
      <c r="F334" s="10"/>
      <c r="G334" s="2" t="n">
        <f>7590283700</f>
        <v>7.5902837E9</v>
      </c>
      <c r="H334" s="10"/>
      <c r="I334" s="2" t="n">
        <f>445</f>
        <v>445.0</v>
      </c>
      <c r="J334" s="10"/>
      <c r="K334" s="2" t="n">
        <f>3751</f>
        <v>3751.0</v>
      </c>
    </row>
    <row r="335">
      <c r="A335" s="8" t="s">
        <v>38</v>
      </c>
      <c r="B335" s="9" t="s">
        <v>70</v>
      </c>
      <c r="C335" s="9" t="s">
        <v>71</v>
      </c>
      <c r="D335" s="10"/>
      <c r="E335" s="2" t="n">
        <f>2972</f>
        <v>2972.0</v>
      </c>
      <c r="F335" s="10"/>
      <c r="G335" s="2" t="n">
        <f>10436580900</f>
        <v>1.04365809E10</v>
      </c>
      <c r="H335" s="10"/>
      <c r="I335" s="2" t="n">
        <f>328</f>
        <v>328.0</v>
      </c>
      <c r="J335" s="10" t="s">
        <v>46</v>
      </c>
      <c r="K335" s="2" t="n">
        <f>4733</f>
        <v>4733.0</v>
      </c>
    </row>
    <row r="336">
      <c r="A336" s="8" t="s">
        <v>39</v>
      </c>
      <c r="B336" s="9" t="s">
        <v>70</v>
      </c>
      <c r="C336" s="9" t="s">
        <v>71</v>
      </c>
      <c r="D336" s="10"/>
      <c r="E336" s="2" t="n">
        <f>2633</f>
        <v>2633.0</v>
      </c>
      <c r="F336" s="10"/>
      <c r="G336" s="2" t="n">
        <f>9179628000</f>
        <v>9.179628E9</v>
      </c>
      <c r="H336" s="10"/>
      <c r="I336" s="2" t="n">
        <f>609</f>
        <v>609.0</v>
      </c>
      <c r="J336" s="10"/>
      <c r="K336" s="2" t="n">
        <f>4668</f>
        <v>4668.0</v>
      </c>
    </row>
    <row r="337">
      <c r="A337" s="8" t="s">
        <v>40</v>
      </c>
      <c r="B337" s="9" t="s">
        <v>70</v>
      </c>
      <c r="C337" s="9" t="s">
        <v>71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41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42</v>
      </c>
      <c r="B339" s="9" t="s">
        <v>70</v>
      </c>
      <c r="C339" s="9" t="s">
        <v>71</v>
      </c>
      <c r="D339" s="10"/>
      <c r="E339" s="2" t="n">
        <f>3125</f>
        <v>3125.0</v>
      </c>
      <c r="F339" s="10"/>
      <c r="G339" s="2" t="n">
        <f>10762397500</f>
        <v>1.07623975E10</v>
      </c>
      <c r="H339" s="10"/>
      <c r="I339" s="2" t="n">
        <f>113</f>
        <v>113.0</v>
      </c>
      <c r="J339" s="10"/>
      <c r="K339" s="2" t="n">
        <f>4617</f>
        <v>4617.0</v>
      </c>
    </row>
    <row r="340">
      <c r="A340" s="8" t="s">
        <v>43</v>
      </c>
      <c r="B340" s="9" t="s">
        <v>70</v>
      </c>
      <c r="C340" s="9" t="s">
        <v>71</v>
      </c>
      <c r="D340" s="10" t="s">
        <v>46</v>
      </c>
      <c r="E340" s="2" t="n">
        <f>9525</f>
        <v>9525.0</v>
      </c>
      <c r="F340" s="10" t="s">
        <v>46</v>
      </c>
      <c r="G340" s="2" t="n">
        <f>32176587200</f>
        <v>3.21765872E10</v>
      </c>
      <c r="H340" s="10" t="s">
        <v>46</v>
      </c>
      <c r="I340" s="2" t="n">
        <f>1347</f>
        <v>1347.0</v>
      </c>
      <c r="J340" s="10"/>
      <c r="K340" s="2" t="n">
        <f>3585</f>
        <v>3585.0</v>
      </c>
    </row>
    <row r="341">
      <c r="A341" s="8" t="s">
        <v>44</v>
      </c>
      <c r="B341" s="9" t="s">
        <v>70</v>
      </c>
      <c r="C341" s="9" t="s">
        <v>71</v>
      </c>
      <c r="D341" s="10"/>
      <c r="E341" s="2" t="n">
        <f>4521</f>
        <v>4521.0</v>
      </c>
      <c r="F341" s="10"/>
      <c r="G341" s="2" t="n">
        <f>15354634000</f>
        <v>1.5354634E10</v>
      </c>
      <c r="H341" s="10"/>
      <c r="I341" s="2" t="n">
        <f>1031</f>
        <v>1031.0</v>
      </c>
      <c r="J341" s="10"/>
      <c r="K341" s="2" t="n">
        <f>3478</f>
        <v>3478.0</v>
      </c>
    </row>
    <row r="342">
      <c r="A342" s="8" t="s">
        <v>45</v>
      </c>
      <c r="B342" s="9" t="s">
        <v>70</v>
      </c>
      <c r="C342" s="9" t="s">
        <v>71</v>
      </c>
      <c r="D342" s="10"/>
      <c r="E342" s="2" t="n">
        <f>3977</f>
        <v>3977.0</v>
      </c>
      <c r="F342" s="10"/>
      <c r="G342" s="2" t="n">
        <f>13593347500</f>
        <v>1.35933475E10</v>
      </c>
      <c r="H342" s="10"/>
      <c r="I342" s="2" t="n">
        <f>612</f>
        <v>612.0</v>
      </c>
      <c r="J342" s="10"/>
      <c r="K342" s="2" t="n">
        <f>3639</f>
        <v>3639.0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3593</f>
        <v>3593.0</v>
      </c>
      <c r="F343" s="10"/>
      <c r="G343" s="2" t="n">
        <f>12271880600</f>
        <v>1.22718806E10</v>
      </c>
      <c r="H343" s="10"/>
      <c r="I343" s="2" t="n">
        <f>547</f>
        <v>547.0</v>
      </c>
      <c r="J343" s="10"/>
      <c r="K343" s="2" t="n">
        <f>4257</f>
        <v>4257.0</v>
      </c>
    </row>
    <row r="344">
      <c r="A344" s="8" t="s">
        <v>48</v>
      </c>
      <c r="B344" s="9" t="s">
        <v>70</v>
      </c>
      <c r="C344" s="9" t="s">
        <v>71</v>
      </c>
      <c r="D344" s="10"/>
      <c r="E344" s="2"/>
      <c r="F344" s="10"/>
      <c r="G344" s="2"/>
      <c r="H344" s="10"/>
      <c r="I344" s="2"/>
      <c r="J344" s="10"/>
      <c r="K344" s="2"/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3483</f>
        <v>3483.0</v>
      </c>
      <c r="F346" s="10"/>
      <c r="G346" s="2" t="n">
        <f>11912006200</f>
        <v>1.19120062E10</v>
      </c>
      <c r="H346" s="10"/>
      <c r="I346" s="2" t="n">
        <f>242</f>
        <v>242.0</v>
      </c>
      <c r="J346" s="10"/>
      <c r="K346" s="2" t="n">
        <f>3416</f>
        <v>3416.0</v>
      </c>
    </row>
    <row r="347">
      <c r="A347" s="8" t="s">
        <v>16</v>
      </c>
      <c r="B347" s="9" t="s">
        <v>72</v>
      </c>
      <c r="C347" s="9" t="s">
        <v>73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19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20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21</v>
      </c>
      <c r="B350" s="9" t="s">
        <v>72</v>
      </c>
      <c r="C350" s="9" t="s">
        <v>73</v>
      </c>
      <c r="D350" s="10" t="s">
        <v>61</v>
      </c>
      <c r="E350" s="2" t="str">
        <f>"－"</f>
        <v>－</v>
      </c>
      <c r="F350" s="10" t="s">
        <v>61</v>
      </c>
      <c r="G350" s="2" t="str">
        <f>"－"</f>
        <v>－</v>
      </c>
      <c r="H350" s="10" t="s">
        <v>61</v>
      </c>
      <c r="I350" s="2" t="str">
        <f>"－"</f>
        <v>－</v>
      </c>
      <c r="J350" s="10" t="s">
        <v>61</v>
      </c>
      <c r="K350" s="2" t="str">
        <f>"－"</f>
        <v>－</v>
      </c>
    </row>
    <row r="351">
      <c r="A351" s="8" t="s">
        <v>22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27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28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31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32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33</v>
      </c>
      <c r="B361" s="9" t="s">
        <v>72</v>
      </c>
      <c r="C361" s="9" t="s">
        <v>73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34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35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36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37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38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39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40</v>
      </c>
      <c r="B368" s="9" t="s">
        <v>72</v>
      </c>
      <c r="C368" s="9" t="s">
        <v>73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41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42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43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44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45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19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20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21</v>
      </c>
      <c r="B381" s="9" t="s">
        <v>74</v>
      </c>
      <c r="C381" s="9" t="s">
        <v>75</v>
      </c>
      <c r="D381" s="10" t="s">
        <v>61</v>
      </c>
      <c r="E381" s="2" t="str">
        <f>"－"</f>
        <v>－</v>
      </c>
      <c r="F381" s="10" t="s">
        <v>61</v>
      </c>
      <c r="G381" s="2" t="str">
        <f>"－"</f>
        <v>－</v>
      </c>
      <c r="H381" s="10" t="s">
        <v>61</v>
      </c>
      <c r="I381" s="2" t="str">
        <f>"－"</f>
        <v>－</v>
      </c>
      <c r="J381" s="10" t="s">
        <v>61</v>
      </c>
      <c r="K381" s="2" t="str">
        <f>"－"</f>
        <v>－</v>
      </c>
    </row>
    <row r="382">
      <c r="A382" s="8" t="s">
        <v>22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27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28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32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33</v>
      </c>
      <c r="B392" s="9" t="s">
        <v>74</v>
      </c>
      <c r="C392" s="9" t="s">
        <v>75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34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35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36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37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38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39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40</v>
      </c>
      <c r="B399" s="9" t="s">
        <v>74</v>
      </c>
      <c r="C399" s="9" t="s">
        <v>75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41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42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43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44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45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19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20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21</v>
      </c>
      <c r="B412" s="9" t="s">
        <v>76</v>
      </c>
      <c r="C412" s="9" t="s">
        <v>77</v>
      </c>
      <c r="D412" s="10" t="s">
        <v>61</v>
      </c>
      <c r="E412" s="2" t="str">
        <f>"－"</f>
        <v>－</v>
      </c>
      <c r="F412" s="10" t="s">
        <v>61</v>
      </c>
      <c r="G412" s="2" t="str">
        <f>"－"</f>
        <v>－</v>
      </c>
      <c r="H412" s="10" t="s">
        <v>61</v>
      </c>
      <c r="I412" s="2" t="str">
        <f>"－"</f>
        <v>－</v>
      </c>
      <c r="J412" s="10" t="s">
        <v>61</v>
      </c>
      <c r="K412" s="2" t="n">
        <f>34476</f>
        <v>34476.0</v>
      </c>
    </row>
    <row r="413">
      <c r="A413" s="8" t="s">
        <v>22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34476</f>
        <v>34476.0</v>
      </c>
    </row>
    <row r="414">
      <c r="A414" s="8" t="s">
        <v>24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34476</f>
        <v>34476.0</v>
      </c>
    </row>
    <row r="415">
      <c r="A415" s="8" t="s">
        <v>25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34476</f>
        <v>34476.0</v>
      </c>
    </row>
    <row r="416">
      <c r="A416" s="8" t="s">
        <v>26</v>
      </c>
      <c r="B416" s="9" t="s">
        <v>76</v>
      </c>
      <c r="C416" s="9" t="s">
        <v>77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27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28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34476</f>
        <v>34476.0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34476</f>
        <v>34476.0</v>
      </c>
    </row>
    <row r="421">
      <c r="A421" s="8" t="s">
        <v>31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34476</f>
        <v>34476.0</v>
      </c>
    </row>
    <row r="422">
      <c r="A422" s="8" t="s">
        <v>32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34476</f>
        <v>34476.0</v>
      </c>
    </row>
    <row r="423">
      <c r="A423" s="8" t="s">
        <v>33</v>
      </c>
      <c r="B423" s="9" t="s">
        <v>76</v>
      </c>
      <c r="C423" s="9" t="s">
        <v>77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34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35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34476</f>
        <v>34476.0</v>
      </c>
    </row>
    <row r="426">
      <c r="A426" s="8" t="s">
        <v>36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34476</f>
        <v>34476.0</v>
      </c>
    </row>
    <row r="427">
      <c r="A427" s="8" t="s">
        <v>37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34476</f>
        <v>34476.0</v>
      </c>
    </row>
    <row r="428">
      <c r="A428" s="8" t="s">
        <v>38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34476</f>
        <v>34476.0</v>
      </c>
    </row>
    <row r="429">
      <c r="A429" s="8" t="s">
        <v>39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34476</f>
        <v>34476.0</v>
      </c>
    </row>
    <row r="430">
      <c r="A430" s="8" t="s">
        <v>40</v>
      </c>
      <c r="B430" s="9" t="s">
        <v>76</v>
      </c>
      <c r="C430" s="9" t="s">
        <v>77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41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42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34476</f>
        <v>34476.0</v>
      </c>
    </row>
    <row r="433">
      <c r="A433" s="8" t="s">
        <v>43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34476</f>
        <v>34476.0</v>
      </c>
    </row>
    <row r="434">
      <c r="A434" s="8" t="s">
        <v>44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34476</f>
        <v>34476.0</v>
      </c>
    </row>
    <row r="435">
      <c r="A435" s="8" t="s">
        <v>45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34476</f>
        <v>34476.0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34476</f>
        <v>34476.0</v>
      </c>
    </row>
    <row r="437">
      <c r="A437" s="8" t="s">
        <v>48</v>
      </c>
      <c r="B437" s="9" t="s">
        <v>76</v>
      </c>
      <c r="C437" s="9" t="s">
        <v>77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34476</f>
        <v>34476.0</v>
      </c>
    </row>
    <row r="440">
      <c r="A440" s="8" t="s">
        <v>16</v>
      </c>
      <c r="B440" s="9" t="s">
        <v>78</v>
      </c>
      <c r="C440" s="9" t="s">
        <v>79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19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20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21</v>
      </c>
      <c r="B443" s="9" t="s">
        <v>78</v>
      </c>
      <c r="C443" s="9" t="s">
        <v>79</v>
      </c>
      <c r="D443" s="10"/>
      <c r="E443" s="2" t="n">
        <f>246</f>
        <v>246.0</v>
      </c>
      <c r="F443" s="10"/>
      <c r="G443" s="2" t="n">
        <f>47367500</f>
        <v>4.73675E7</v>
      </c>
      <c r="H443" s="10" t="s">
        <v>61</v>
      </c>
      <c r="I443" s="2" t="str">
        <f>"－"</f>
        <v>－</v>
      </c>
      <c r="J443" s="10"/>
      <c r="K443" s="2" t="n">
        <f>496</f>
        <v>496.0</v>
      </c>
    </row>
    <row r="444">
      <c r="A444" s="8" t="s">
        <v>22</v>
      </c>
      <c r="B444" s="9" t="s">
        <v>78</v>
      </c>
      <c r="C444" s="9" t="s">
        <v>79</v>
      </c>
      <c r="D444" s="10"/>
      <c r="E444" s="2" t="n">
        <f>71</f>
        <v>71.0</v>
      </c>
      <c r="F444" s="10"/>
      <c r="G444" s="2" t="n">
        <f>13375000</f>
        <v>1.3375E7</v>
      </c>
      <c r="H444" s="10"/>
      <c r="I444" s="2" t="str">
        <f>"－"</f>
        <v>－</v>
      </c>
      <c r="J444" s="10"/>
      <c r="K444" s="2" t="n">
        <f>470</f>
        <v>470.0</v>
      </c>
    </row>
    <row r="445">
      <c r="A445" s="8" t="s">
        <v>24</v>
      </c>
      <c r="B445" s="9" t="s">
        <v>78</v>
      </c>
      <c r="C445" s="9" t="s">
        <v>79</v>
      </c>
      <c r="D445" s="10"/>
      <c r="E445" s="2" t="n">
        <f>179</f>
        <v>179.0</v>
      </c>
      <c r="F445" s="10"/>
      <c r="G445" s="2" t="n">
        <f>37056000</f>
        <v>3.7056E7</v>
      </c>
      <c r="H445" s="10"/>
      <c r="I445" s="2" t="str">
        <f>"－"</f>
        <v>－</v>
      </c>
      <c r="J445" s="10"/>
      <c r="K445" s="2" t="n">
        <f>460</f>
        <v>460.0</v>
      </c>
    </row>
    <row r="446">
      <c r="A446" s="8" t="s">
        <v>25</v>
      </c>
      <c r="B446" s="9" t="s">
        <v>78</v>
      </c>
      <c r="C446" s="9" t="s">
        <v>79</v>
      </c>
      <c r="D446" s="10"/>
      <c r="E446" s="2" t="n">
        <f>154</f>
        <v>154.0</v>
      </c>
      <c r="F446" s="10"/>
      <c r="G446" s="2" t="n">
        <f>32367500</f>
        <v>3.23675E7</v>
      </c>
      <c r="H446" s="10"/>
      <c r="I446" s="2" t="str">
        <f>"－"</f>
        <v>－</v>
      </c>
      <c r="J446" s="10"/>
      <c r="K446" s="2" t="n">
        <f>471</f>
        <v>471.0</v>
      </c>
    </row>
    <row r="447">
      <c r="A447" s="8" t="s">
        <v>26</v>
      </c>
      <c r="B447" s="9" t="s">
        <v>78</v>
      </c>
      <c r="C447" s="9" t="s">
        <v>79</v>
      </c>
      <c r="D447" s="10"/>
      <c r="E447" s="2"/>
      <c r="F447" s="10"/>
      <c r="G447" s="2"/>
      <c r="H447" s="10"/>
      <c r="I447" s="2"/>
      <c r="J447" s="10"/>
      <c r="K447" s="2"/>
    </row>
    <row r="448">
      <c r="A448" s="8" t="s">
        <v>27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28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29</v>
      </c>
      <c r="B450" s="9" t="s">
        <v>78</v>
      </c>
      <c r="C450" s="9" t="s">
        <v>79</v>
      </c>
      <c r="D450" s="10"/>
      <c r="E450" s="2" t="n">
        <f>77</f>
        <v>77.0</v>
      </c>
      <c r="F450" s="10"/>
      <c r="G450" s="2" t="n">
        <f>16954500</f>
        <v>1.69545E7</v>
      </c>
      <c r="H450" s="10"/>
      <c r="I450" s="2" t="str">
        <f>"－"</f>
        <v>－</v>
      </c>
      <c r="J450" s="10"/>
      <c r="K450" s="2" t="n">
        <f>486</f>
        <v>486.0</v>
      </c>
    </row>
    <row r="451">
      <c r="A451" s="8" t="s">
        <v>30</v>
      </c>
      <c r="B451" s="9" t="s">
        <v>78</v>
      </c>
      <c r="C451" s="9" t="s">
        <v>79</v>
      </c>
      <c r="D451" s="10"/>
      <c r="E451" s="2" t="n">
        <f>172</f>
        <v>172.0</v>
      </c>
      <c r="F451" s="10"/>
      <c r="G451" s="2" t="n">
        <f>35011500</f>
        <v>3.50115E7</v>
      </c>
      <c r="H451" s="10"/>
      <c r="I451" s="2" t="str">
        <f>"－"</f>
        <v>－</v>
      </c>
      <c r="J451" s="10"/>
      <c r="K451" s="2" t="n">
        <f>291</f>
        <v>291.0</v>
      </c>
    </row>
    <row r="452">
      <c r="A452" s="8" t="s">
        <v>31</v>
      </c>
      <c r="B452" s="9" t="s">
        <v>78</v>
      </c>
      <c r="C452" s="9" t="s">
        <v>79</v>
      </c>
      <c r="D452" s="10" t="s">
        <v>23</v>
      </c>
      <c r="E452" s="2" t="n">
        <f>39</f>
        <v>39.0</v>
      </c>
      <c r="F452" s="10" t="s">
        <v>23</v>
      </c>
      <c r="G452" s="2" t="n">
        <f>7999000</f>
        <v>7999000.0</v>
      </c>
      <c r="H452" s="10"/>
      <c r="I452" s="2" t="str">
        <f>"－"</f>
        <v>－</v>
      </c>
      <c r="J452" s="10"/>
      <c r="K452" s="2" t="n">
        <f>300</f>
        <v>300.0</v>
      </c>
    </row>
    <row r="453">
      <c r="A453" s="8" t="s">
        <v>32</v>
      </c>
      <c r="B453" s="9" t="s">
        <v>78</v>
      </c>
      <c r="C453" s="9" t="s">
        <v>79</v>
      </c>
      <c r="D453" s="10"/>
      <c r="E453" s="2" t="n">
        <f>112</f>
        <v>112.0</v>
      </c>
      <c r="F453" s="10"/>
      <c r="G453" s="2" t="n">
        <f>24035000</f>
        <v>2.4035E7</v>
      </c>
      <c r="H453" s="10"/>
      <c r="I453" s="2" t="str">
        <f>"－"</f>
        <v>－</v>
      </c>
      <c r="J453" s="10" t="s">
        <v>23</v>
      </c>
      <c r="K453" s="2" t="n">
        <f>270</f>
        <v>270.0</v>
      </c>
    </row>
    <row r="454">
      <c r="A454" s="8" t="s">
        <v>33</v>
      </c>
      <c r="B454" s="9" t="s">
        <v>78</v>
      </c>
      <c r="C454" s="9" t="s">
        <v>79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34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35</v>
      </c>
      <c r="B456" s="9" t="s">
        <v>78</v>
      </c>
      <c r="C456" s="9" t="s">
        <v>79</v>
      </c>
      <c r="D456" s="10"/>
      <c r="E456" s="2" t="n">
        <f>75</f>
        <v>75.0</v>
      </c>
      <c r="F456" s="10"/>
      <c r="G456" s="2" t="n">
        <f>16529500</f>
        <v>1.65295E7</v>
      </c>
      <c r="H456" s="10"/>
      <c r="I456" s="2" t="str">
        <f>"－"</f>
        <v>－</v>
      </c>
      <c r="J456" s="10"/>
      <c r="K456" s="2" t="n">
        <f>289</f>
        <v>289.0</v>
      </c>
    </row>
    <row r="457">
      <c r="A457" s="8" t="s">
        <v>36</v>
      </c>
      <c r="B457" s="9" t="s">
        <v>78</v>
      </c>
      <c r="C457" s="9" t="s">
        <v>79</v>
      </c>
      <c r="D457" s="10"/>
      <c r="E457" s="2" t="n">
        <f>212</f>
        <v>212.0</v>
      </c>
      <c r="F457" s="10"/>
      <c r="G457" s="2" t="n">
        <f>43134000</f>
        <v>4.3134E7</v>
      </c>
      <c r="H457" s="10"/>
      <c r="I457" s="2" t="str">
        <f>"－"</f>
        <v>－</v>
      </c>
      <c r="J457" s="10"/>
      <c r="K457" s="2" t="n">
        <f>311</f>
        <v>311.0</v>
      </c>
    </row>
    <row r="458">
      <c r="A458" s="8" t="s">
        <v>37</v>
      </c>
      <c r="B458" s="9" t="s">
        <v>78</v>
      </c>
      <c r="C458" s="9" t="s">
        <v>79</v>
      </c>
      <c r="D458" s="10"/>
      <c r="E458" s="2" t="n">
        <f>160</f>
        <v>160.0</v>
      </c>
      <c r="F458" s="10"/>
      <c r="G458" s="2" t="n">
        <f>35883500</f>
        <v>3.58835E7</v>
      </c>
      <c r="H458" s="10"/>
      <c r="I458" s="2" t="str">
        <f>"－"</f>
        <v>－</v>
      </c>
      <c r="J458" s="10"/>
      <c r="K458" s="2" t="n">
        <f>435</f>
        <v>435.0</v>
      </c>
    </row>
    <row r="459">
      <c r="A459" s="8" t="s">
        <v>38</v>
      </c>
      <c r="B459" s="9" t="s">
        <v>78</v>
      </c>
      <c r="C459" s="9" t="s">
        <v>79</v>
      </c>
      <c r="D459" s="10"/>
      <c r="E459" s="2" t="n">
        <f>269</f>
        <v>269.0</v>
      </c>
      <c r="F459" s="10"/>
      <c r="G459" s="2" t="n">
        <f>61223500</f>
        <v>6.12235E7</v>
      </c>
      <c r="H459" s="10"/>
      <c r="I459" s="2" t="str">
        <f>"－"</f>
        <v>－</v>
      </c>
      <c r="J459" s="10"/>
      <c r="K459" s="2" t="n">
        <f>585</f>
        <v>585.0</v>
      </c>
    </row>
    <row r="460">
      <c r="A460" s="8" t="s">
        <v>39</v>
      </c>
      <c r="B460" s="9" t="s">
        <v>78</v>
      </c>
      <c r="C460" s="9" t="s">
        <v>79</v>
      </c>
      <c r="D460" s="10" t="s">
        <v>46</v>
      </c>
      <c r="E460" s="2" t="n">
        <f>317</f>
        <v>317.0</v>
      </c>
      <c r="F460" s="10" t="s">
        <v>46</v>
      </c>
      <c r="G460" s="2" t="n">
        <f>73400000</f>
        <v>7.34E7</v>
      </c>
      <c r="H460" s="10"/>
      <c r="I460" s="2" t="str">
        <f>"－"</f>
        <v>－</v>
      </c>
      <c r="J460" s="10"/>
      <c r="K460" s="2" t="n">
        <f>588</f>
        <v>588.0</v>
      </c>
    </row>
    <row r="461">
      <c r="A461" s="8" t="s">
        <v>40</v>
      </c>
      <c r="B461" s="9" t="s">
        <v>78</v>
      </c>
      <c r="C461" s="9" t="s">
        <v>79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41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42</v>
      </c>
      <c r="B463" s="9" t="s">
        <v>78</v>
      </c>
      <c r="C463" s="9" t="s">
        <v>79</v>
      </c>
      <c r="D463" s="10"/>
      <c r="E463" s="2" t="n">
        <f>202</f>
        <v>202.0</v>
      </c>
      <c r="F463" s="10"/>
      <c r="G463" s="2" t="n">
        <f>47483000</f>
        <v>4.7483E7</v>
      </c>
      <c r="H463" s="10"/>
      <c r="I463" s="2" t="str">
        <f>"－"</f>
        <v>－</v>
      </c>
      <c r="J463" s="10" t="s">
        <v>46</v>
      </c>
      <c r="K463" s="2" t="n">
        <f>602</f>
        <v>602.0</v>
      </c>
    </row>
    <row r="464">
      <c r="A464" s="8" t="s">
        <v>43</v>
      </c>
      <c r="B464" s="9" t="s">
        <v>78</v>
      </c>
      <c r="C464" s="9" t="s">
        <v>79</v>
      </c>
      <c r="D464" s="10"/>
      <c r="E464" s="2" t="n">
        <f>198</f>
        <v>198.0</v>
      </c>
      <c r="F464" s="10"/>
      <c r="G464" s="2" t="n">
        <f>47039000</f>
        <v>4.7039E7</v>
      </c>
      <c r="H464" s="10"/>
      <c r="I464" s="2" t="str">
        <f>"－"</f>
        <v>－</v>
      </c>
      <c r="J464" s="10"/>
      <c r="K464" s="2" t="n">
        <f>532</f>
        <v>532.0</v>
      </c>
    </row>
    <row r="465">
      <c r="A465" s="8" t="s">
        <v>44</v>
      </c>
      <c r="B465" s="9" t="s">
        <v>78</v>
      </c>
      <c r="C465" s="9" t="s">
        <v>79</v>
      </c>
      <c r="D465" s="10"/>
      <c r="E465" s="2" t="n">
        <f>62</f>
        <v>62.0</v>
      </c>
      <c r="F465" s="10"/>
      <c r="G465" s="2" t="n">
        <f>15342500</f>
        <v>1.53425E7</v>
      </c>
      <c r="H465" s="10"/>
      <c r="I465" s="2" t="str">
        <f>"－"</f>
        <v>－</v>
      </c>
      <c r="J465" s="10"/>
      <c r="K465" s="2" t="n">
        <f>528</f>
        <v>528.0</v>
      </c>
    </row>
    <row r="466">
      <c r="A466" s="8" t="s">
        <v>45</v>
      </c>
      <c r="B466" s="9" t="s">
        <v>78</v>
      </c>
      <c r="C466" s="9" t="s">
        <v>79</v>
      </c>
      <c r="D466" s="10"/>
      <c r="E466" s="2" t="n">
        <f>212</f>
        <v>212.0</v>
      </c>
      <c r="F466" s="10"/>
      <c r="G466" s="2" t="n">
        <f>55764500</f>
        <v>5.57645E7</v>
      </c>
      <c r="H466" s="10"/>
      <c r="I466" s="2" t="str">
        <f>"－"</f>
        <v>－</v>
      </c>
      <c r="J466" s="10"/>
      <c r="K466" s="2" t="n">
        <f>516</f>
        <v>516.0</v>
      </c>
    </row>
    <row r="467">
      <c r="A467" s="8" t="s">
        <v>47</v>
      </c>
      <c r="B467" s="9" t="s">
        <v>78</v>
      </c>
      <c r="C467" s="9" t="s">
        <v>79</v>
      </c>
      <c r="D467" s="10"/>
      <c r="E467" s="2" t="n">
        <f>77</f>
        <v>77.0</v>
      </c>
      <c r="F467" s="10"/>
      <c r="G467" s="2" t="n">
        <f>19268000</f>
        <v>1.9268E7</v>
      </c>
      <c r="H467" s="10"/>
      <c r="I467" s="2" t="str">
        <f>"－"</f>
        <v>－</v>
      </c>
      <c r="J467" s="10"/>
      <c r="K467" s="2" t="n">
        <f>499</f>
        <v>499.0</v>
      </c>
    </row>
    <row r="468">
      <c r="A468" s="8" t="s">
        <v>48</v>
      </c>
      <c r="B468" s="9" t="s">
        <v>78</v>
      </c>
      <c r="C468" s="9" t="s">
        <v>79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 t="n">
        <f>123</f>
        <v>123.0</v>
      </c>
      <c r="F470" s="10"/>
      <c r="G470" s="2" t="n">
        <f>29891000</f>
        <v>2.9891E7</v>
      </c>
      <c r="H470" s="10"/>
      <c r="I470" s="2" t="str">
        <f>"－"</f>
        <v>－</v>
      </c>
      <c r="J470" s="10"/>
      <c r="K470" s="2" t="n">
        <f>514</f>
        <v>514.0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22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24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25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31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32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33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34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35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36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37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38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39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40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41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42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43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44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45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