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<sst xmlns="http://schemas.openxmlformats.org/spreadsheetml/2006/main" count="2190" uniqueCount="95">
  <si>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</si>
  <si>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</si>
  <si>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</si>
  <si>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</si>
  <si>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</si>
  <si>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</si>
  <si>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</si>
  <si>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</si>
  <si>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</si>
  <si>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</si>
  <si>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</si>
  <si>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</si>
  <si>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</si>
  <si>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</si>
  <si>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</si>
  <si>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</si>
  <si>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2.1</t>
  </si>
  <si>
    <t>金標準先物</t>
  </si>
  <si>
    <t>Gold Standard Futures</t>
  </si>
  <si>
    <t>◎●</t>
  </si>
  <si>
    <t>2</t>
  </si>
  <si>
    <t>●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</si>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</sst>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677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14789</f>
        <v>14789.0</v>
      </c>
      <c r="F6" s="10"/>
      <c r="G6" s="11" t="n">
        <f>98319931000</f>
        <v>9.8319931E10</v>
      </c>
      <c r="H6" s="10" t="s">
        <v>19</v>
      </c>
      <c r="I6" s="11" t="str">
        <f>"－"</f>
        <v>－</v>
      </c>
      <c r="J6" s="10"/>
      <c r="K6" s="11" t="n">
        <f>45947</f>
        <v>45947.0</v>
      </c>
    </row>
    <row r="7">
      <c r="A7" s="8" t="s">
        <v>20</v>
      </c>
      <c r="B7" s="9" t="s">
        <v>17</v>
      </c>
      <c r="C7" s="9" t="s">
        <v>18</v>
      </c>
      <c r="D7" s="10" t="s">
        <v>21</v>
      </c>
      <c r="E7" s="11" t="n">
        <f>14661</f>
        <v>14661.0</v>
      </c>
      <c r="F7" s="10" t="s">
        <v>21</v>
      </c>
      <c r="G7" s="11" t="n">
        <f>97422774000</f>
        <v>9.7422774E10</v>
      </c>
      <c r="H7" s="10"/>
      <c r="I7" s="11" t="str">
        <f>"－"</f>
        <v>－</v>
      </c>
      <c r="J7" s="10"/>
      <c r="K7" s="11" t="n">
        <f>46889</f>
        <v>46889.0</v>
      </c>
    </row>
    <row r="8">
      <c r="A8" s="8" t="s">
        <v>22</v>
      </c>
      <c r="B8" s="9" t="s">
        <v>17</v>
      </c>
      <c r="C8" s="9" t="s">
        <v>18</v>
      </c>
      <c r="D8" s="10"/>
      <c r="E8" s="11" t="n">
        <f>15930</f>
        <v>15930.0</v>
      </c>
      <c r="F8" s="10"/>
      <c r="G8" s="11" t="n">
        <f>105651787000</f>
        <v>1.05651787E11</v>
      </c>
      <c r="H8" s="10"/>
      <c r="I8" s="11" t="str">
        <f>"－"</f>
        <v>－</v>
      </c>
      <c r="J8" s="10"/>
      <c r="K8" s="11" t="n">
        <f>47154</f>
        <v>47154.0</v>
      </c>
    </row>
    <row r="9">
      <c r="A9" s="8" t="s">
        <v>23</v>
      </c>
      <c r="B9" s="9" t="s">
        <v>17</v>
      </c>
      <c r="C9" s="9" t="s">
        <v>18</v>
      </c>
      <c r="D9" s="10"/>
      <c r="E9" s="11" t="n">
        <f>25096</f>
        <v>25096.0</v>
      </c>
      <c r="F9" s="10"/>
      <c r="G9" s="11" t="n">
        <f>166832443000</f>
        <v>1.66832443E11</v>
      </c>
      <c r="H9" s="10"/>
      <c r="I9" s="11" t="str">
        <f>"－"</f>
        <v>－</v>
      </c>
      <c r="J9" s="10" t="s">
        <v>24</v>
      </c>
      <c r="K9" s="11" t="n">
        <f>47279</f>
        <v>47279.0</v>
      </c>
    </row>
    <row r="10">
      <c r="A10" s="8" t="s">
        <v>25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26</v>
      </c>
      <c r="B11" s="9" t="s">
        <v>17</v>
      </c>
      <c r="C11" s="9" t="s">
        <v>18</v>
      </c>
      <c r="D11" s="10"/>
      <c r="E11" s="11"/>
      <c r="F11" s="10"/>
      <c r="G11" s="11"/>
      <c r="H11" s="10"/>
      <c r="I11" s="11"/>
      <c r="J11" s="10"/>
      <c r="K11" s="11"/>
    </row>
    <row r="12">
      <c r="A12" s="8" t="s">
        <v>27</v>
      </c>
      <c r="B12" s="9" t="s">
        <v>17</v>
      </c>
      <c r="C12" s="9" t="s">
        <v>18</v>
      </c>
      <c r="D12" s="10"/>
      <c r="E12" s="11" t="n">
        <f>31566</f>
        <v>31566.0</v>
      </c>
      <c r="F12" s="10"/>
      <c r="G12" s="11" t="n">
        <f>211035785000</f>
        <v>2.11035785E11</v>
      </c>
      <c r="H12" s="10"/>
      <c r="I12" s="11" t="str">
        <f>"－"</f>
        <v>－</v>
      </c>
      <c r="J12" s="10"/>
      <c r="K12" s="11" t="n">
        <f>45716</f>
        <v>45716.0</v>
      </c>
    </row>
    <row r="13">
      <c r="A13" s="8" t="s">
        <v>28</v>
      </c>
      <c r="B13" s="9" t="s">
        <v>17</v>
      </c>
      <c r="C13" s="9" t="s">
        <v>18</v>
      </c>
      <c r="D13" s="10"/>
      <c r="E13" s="11" t="n">
        <f>24358</f>
        <v>24358.0</v>
      </c>
      <c r="F13" s="10"/>
      <c r="G13" s="11" t="n">
        <f>163856591000</f>
        <v>1.63856591E11</v>
      </c>
      <c r="H13" s="10"/>
      <c r="I13" s="11" t="str">
        <f>"－"</f>
        <v>－</v>
      </c>
      <c r="J13" s="10"/>
      <c r="K13" s="11" t="n">
        <f>44297</f>
        <v>44297.0</v>
      </c>
    </row>
    <row r="14">
      <c r="A14" s="8" t="s">
        <v>29</v>
      </c>
      <c r="B14" s="9" t="s">
        <v>17</v>
      </c>
      <c r="C14" s="9" t="s">
        <v>18</v>
      </c>
      <c r="D14" s="10"/>
      <c r="E14" s="11" t="n">
        <f>23738</f>
        <v>23738.0</v>
      </c>
      <c r="F14" s="10"/>
      <c r="G14" s="11" t="n">
        <f>160468405000</f>
        <v>1.60468405E11</v>
      </c>
      <c r="H14" s="10"/>
      <c r="I14" s="11" t="str">
        <f>"－"</f>
        <v>－</v>
      </c>
      <c r="J14" s="10"/>
      <c r="K14" s="11" t="n">
        <f>43698</f>
        <v>43698.0</v>
      </c>
    </row>
    <row r="15">
      <c r="A15" s="8" t="s">
        <v>30</v>
      </c>
      <c r="B15" s="9" t="s">
        <v>17</v>
      </c>
      <c r="C15" s="9" t="s">
        <v>18</v>
      </c>
      <c r="D15" s="10"/>
      <c r="E15" s="11" t="n">
        <f>22079</f>
        <v>22079.0</v>
      </c>
      <c r="F15" s="10"/>
      <c r="G15" s="11" t="n">
        <f>149891357000</f>
        <v>1.49891357E11</v>
      </c>
      <c r="H15" s="10"/>
      <c r="I15" s="11" t="str">
        <f>"－"</f>
        <v>－</v>
      </c>
      <c r="J15" s="10"/>
      <c r="K15" s="11" t="n">
        <f>43905</f>
        <v>43905.0</v>
      </c>
    </row>
    <row r="16">
      <c r="A16" s="8" t="s">
        <v>31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32</v>
      </c>
      <c r="B17" s="9" t="s">
        <v>17</v>
      </c>
      <c r="C17" s="9" t="s">
        <v>18</v>
      </c>
      <c r="D17" s="10"/>
      <c r="E17" s="11"/>
      <c r="F17" s="10"/>
      <c r="G17" s="11"/>
      <c r="H17" s="10"/>
      <c r="I17" s="11"/>
      <c r="J17" s="10"/>
      <c r="K17" s="11"/>
    </row>
    <row r="18">
      <c r="A18" s="8" t="s">
        <v>33</v>
      </c>
      <c r="B18" s="9" t="s">
        <v>17</v>
      </c>
      <c r="C18" s="9" t="s">
        <v>18</v>
      </c>
      <c r="D18" s="10"/>
      <c r="E18" s="11"/>
      <c r="F18" s="10"/>
      <c r="G18" s="11"/>
      <c r="H18" s="10"/>
      <c r="I18" s="11"/>
      <c r="J18" s="10"/>
      <c r="K18" s="11"/>
    </row>
    <row r="19">
      <c r="A19" s="8" t="s">
        <v>34</v>
      </c>
      <c r="B19" s="9" t="s">
        <v>17</v>
      </c>
      <c r="C19" s="9" t="s">
        <v>18</v>
      </c>
      <c r="D19" s="10"/>
      <c r="E19" s="11" t="n">
        <f>48287</f>
        <v>48287.0</v>
      </c>
      <c r="F19" s="10"/>
      <c r="G19" s="11" t="n">
        <f>330521794000</f>
        <v>3.30521794E11</v>
      </c>
      <c r="H19" s="10"/>
      <c r="I19" s="11" t="str">
        <f>"－"</f>
        <v>－</v>
      </c>
      <c r="J19" s="10"/>
      <c r="K19" s="11" t="n">
        <f>43280</f>
        <v>43280.0</v>
      </c>
    </row>
    <row r="20">
      <c r="A20" s="8" t="s">
        <v>35</v>
      </c>
      <c r="B20" s="9" t="s">
        <v>17</v>
      </c>
      <c r="C20" s="9" t="s">
        <v>18</v>
      </c>
      <c r="D20" s="10"/>
      <c r="E20" s="11" t="n">
        <f>43798</f>
        <v>43798.0</v>
      </c>
      <c r="F20" s="10"/>
      <c r="G20" s="11" t="n">
        <f>302875002000</f>
        <v>3.02875002E11</v>
      </c>
      <c r="H20" s="10"/>
      <c r="I20" s="11" t="str">
        <f>"－"</f>
        <v>－</v>
      </c>
      <c r="J20" s="10"/>
      <c r="K20" s="11" t="n">
        <f>42006</f>
        <v>42006.0</v>
      </c>
    </row>
    <row r="21">
      <c r="A21" s="8" t="s">
        <v>36</v>
      </c>
      <c r="B21" s="9" t="s">
        <v>17</v>
      </c>
      <c r="C21" s="9" t="s">
        <v>18</v>
      </c>
      <c r="D21" s="10"/>
      <c r="E21" s="11" t="n">
        <f>40659</f>
        <v>40659.0</v>
      </c>
      <c r="F21" s="10"/>
      <c r="G21" s="11" t="n">
        <f>280004813000</f>
        <v>2.80004813E11</v>
      </c>
      <c r="H21" s="10"/>
      <c r="I21" s="11" t="str">
        <f>"－"</f>
        <v>－</v>
      </c>
      <c r="J21" s="10"/>
      <c r="K21" s="11" t="n">
        <f>42054</f>
        <v>42054.0</v>
      </c>
    </row>
    <row r="22">
      <c r="A22" s="8" t="s">
        <v>37</v>
      </c>
      <c r="B22" s="9" t="s">
        <v>17</v>
      </c>
      <c r="C22" s="9" t="s">
        <v>18</v>
      </c>
      <c r="D22" s="10"/>
      <c r="E22" s="11" t="n">
        <f>29540</f>
        <v>29540.0</v>
      </c>
      <c r="F22" s="10"/>
      <c r="G22" s="11" t="n">
        <f>204300167000</f>
        <v>2.04300167E11</v>
      </c>
      <c r="H22" s="10"/>
      <c r="I22" s="11" t="str">
        <f>"－"</f>
        <v>－</v>
      </c>
      <c r="J22" s="10" t="s">
        <v>21</v>
      </c>
      <c r="K22" s="11" t="n">
        <f>41847</f>
        <v>41847.0</v>
      </c>
    </row>
    <row r="23">
      <c r="A23" s="8" t="s">
        <v>38</v>
      </c>
      <c r="B23" s="9" t="s">
        <v>17</v>
      </c>
      <c r="C23" s="9" t="s">
        <v>18</v>
      </c>
      <c r="D23" s="10"/>
      <c r="E23" s="11" t="n">
        <f>48836</f>
        <v>48836.0</v>
      </c>
      <c r="F23" s="10"/>
      <c r="G23" s="11" t="n">
        <f>341229502000</f>
        <v>3.41229502E11</v>
      </c>
      <c r="H23" s="10"/>
      <c r="I23" s="11" t="str">
        <f>"－"</f>
        <v>－</v>
      </c>
      <c r="J23" s="10"/>
      <c r="K23" s="11" t="n">
        <f>42097</f>
        <v>42097.0</v>
      </c>
    </row>
    <row r="24">
      <c r="A24" s="8" t="s">
        <v>39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>
      <c r="A25" s="8" t="s">
        <v>40</v>
      </c>
      <c r="B25" s="9" t="s">
        <v>17</v>
      </c>
      <c r="C25" s="9" t="s">
        <v>18</v>
      </c>
      <c r="D25" s="10"/>
      <c r="E25" s="11"/>
      <c r="F25" s="10"/>
      <c r="G25" s="11"/>
      <c r="H25" s="10"/>
      <c r="I25" s="11"/>
      <c r="J25" s="10"/>
      <c r="K25" s="11"/>
    </row>
    <row r="26">
      <c r="A26" s="8" t="s">
        <v>41</v>
      </c>
      <c r="B26" s="9" t="s">
        <v>17</v>
      </c>
      <c r="C26" s="9" t="s">
        <v>18</v>
      </c>
      <c r="D26" s="10"/>
      <c r="E26" s="11" t="n">
        <f>36117</f>
        <v>36117.0</v>
      </c>
      <c r="F26" s="10"/>
      <c r="G26" s="11" t="n">
        <f>253007175000</f>
        <v>2.53007175E11</v>
      </c>
      <c r="H26" s="10"/>
      <c r="I26" s="11" t="str">
        <f>"－"</f>
        <v>－</v>
      </c>
      <c r="J26" s="10"/>
      <c r="K26" s="11" t="n">
        <f>42795</f>
        <v>42795.0</v>
      </c>
    </row>
    <row r="27">
      <c r="A27" s="8" t="s">
        <v>42</v>
      </c>
      <c r="B27" s="9" t="s">
        <v>17</v>
      </c>
      <c r="C27" s="9" t="s">
        <v>18</v>
      </c>
      <c r="D27" s="10"/>
      <c r="E27" s="11" t="n">
        <f>28189</f>
        <v>28189.0</v>
      </c>
      <c r="F27" s="10"/>
      <c r="G27" s="11" t="n">
        <f>197607490000</f>
        <v>1.9760749E11</v>
      </c>
      <c r="H27" s="10"/>
      <c r="I27" s="11" t="str">
        <f>"－"</f>
        <v>－</v>
      </c>
      <c r="J27" s="10"/>
      <c r="K27" s="11" t="n">
        <f>42880</f>
        <v>42880.0</v>
      </c>
    </row>
    <row r="28">
      <c r="A28" s="8" t="s">
        <v>43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44</v>
      </c>
      <c r="B29" s="9" t="s">
        <v>17</v>
      </c>
      <c r="C29" s="9" t="s">
        <v>18</v>
      </c>
      <c r="D29" s="10"/>
      <c r="E29" s="11" t="n">
        <f>65883</f>
        <v>65883.0</v>
      </c>
      <c r="F29" s="10"/>
      <c r="G29" s="11" t="n">
        <f>465884033000</f>
        <v>4.65884033E11</v>
      </c>
      <c r="H29" s="10"/>
      <c r="I29" s="11" t="str">
        <f>"－"</f>
        <v>－</v>
      </c>
      <c r="J29" s="10"/>
      <c r="K29" s="11" t="n">
        <f>44643</f>
        <v>44643.0</v>
      </c>
    </row>
    <row r="30">
      <c r="A30" s="8" t="s">
        <v>45</v>
      </c>
      <c r="B30" s="9" t="s">
        <v>17</v>
      </c>
      <c r="C30" s="9" t="s">
        <v>18</v>
      </c>
      <c r="D30" s="10" t="s">
        <v>24</v>
      </c>
      <c r="E30" s="11" t="n">
        <f>102398</f>
        <v>102398.0</v>
      </c>
      <c r="F30" s="10" t="s">
        <v>24</v>
      </c>
      <c r="G30" s="11" t="n">
        <f>731553937000</f>
        <v>7.31553937E11</v>
      </c>
      <c r="H30" s="10"/>
      <c r="I30" s="11" t="str">
        <f>"－"</f>
        <v>－</v>
      </c>
      <c r="J30" s="10"/>
      <c r="K30" s="11" t="n">
        <f>42862</f>
        <v>42862.0</v>
      </c>
    </row>
    <row r="31">
      <c r="A31" s="8" t="s">
        <v>46</v>
      </c>
      <c r="B31" s="9" t="s">
        <v>17</v>
      </c>
      <c r="C31" s="9" t="s">
        <v>18</v>
      </c>
      <c r="D31" s="10"/>
      <c r="E31" s="11"/>
      <c r="F31" s="10"/>
      <c r="G31" s="11"/>
      <c r="H31" s="10"/>
      <c r="I31" s="11"/>
      <c r="J31" s="10"/>
      <c r="K31" s="11"/>
    </row>
    <row r="32">
      <c r="A32" s="8" t="s">
        <v>47</v>
      </c>
      <c r="B32" s="9" t="s">
        <v>17</v>
      </c>
      <c r="C32" s="9" t="s">
        <v>18</v>
      </c>
      <c r="D32" s="10"/>
      <c r="E32" s="11"/>
      <c r="F32" s="10"/>
      <c r="G32" s="11"/>
      <c r="H32" s="10"/>
      <c r="I32" s="11"/>
      <c r="J32" s="10"/>
      <c r="K32" s="11"/>
    </row>
    <row r="33">
      <c r="A33" s="8" t="s">
        <v>48</v>
      </c>
      <c r="B33" s="9" t="s">
        <v>17</v>
      </c>
      <c r="C33" s="9" t="s">
        <v>18</v>
      </c>
      <c r="D33" s="10"/>
      <c r="E33" s="11" t="n">
        <f>57010</f>
        <v>57010.0</v>
      </c>
      <c r="F33" s="10"/>
      <c r="G33" s="11" t="n">
        <f>401865261000</f>
        <v>4.01865261E11</v>
      </c>
      <c r="H33" s="10"/>
      <c r="I33" s="11" t="str">
        <f>"－"</f>
        <v>－</v>
      </c>
      <c r="J33" s="10"/>
      <c r="K33" s="11" t="n">
        <f>43138</f>
        <v>43138.0</v>
      </c>
    </row>
    <row r="34">
      <c r="A34" s="8" t="s">
        <v>16</v>
      </c>
      <c r="B34" s="9" t="s">
        <v>49</v>
      </c>
      <c r="C34" s="9" t="s">
        <v>50</v>
      </c>
      <c r="D34" s="10"/>
      <c r="E34" s="11" t="n">
        <f>4643</f>
        <v>4643.0</v>
      </c>
      <c r="F34" s="10"/>
      <c r="G34" s="11" t="n">
        <f>3087219200</f>
        <v>3.0872192E9</v>
      </c>
      <c r="H34" s="10" t="s">
        <v>19</v>
      </c>
      <c r="I34" s="11" t="str">
        <f>"－"</f>
        <v>－</v>
      </c>
      <c r="J34" s="10"/>
      <c r="K34" s="11" t="n">
        <f>13038</f>
        <v>13038.0</v>
      </c>
    </row>
    <row r="35">
      <c r="A35" s="8" t="s">
        <v>20</v>
      </c>
      <c r="B35" s="9" t="s">
        <v>49</v>
      </c>
      <c r="C35" s="9" t="s">
        <v>50</v>
      </c>
      <c r="D35" s="10" t="s">
        <v>21</v>
      </c>
      <c r="E35" s="11" t="n">
        <f>4430</f>
        <v>4430.0</v>
      </c>
      <c r="F35" s="10" t="s">
        <v>21</v>
      </c>
      <c r="G35" s="11" t="n">
        <f>2944495900</f>
        <v>2.9444959E9</v>
      </c>
      <c r="H35" s="10"/>
      <c r="I35" s="11" t="str">
        <f>"－"</f>
        <v>－</v>
      </c>
      <c r="J35" s="10"/>
      <c r="K35" s="11" t="n">
        <f>13159</f>
        <v>13159.0</v>
      </c>
    </row>
    <row r="36">
      <c r="A36" s="8" t="s">
        <v>22</v>
      </c>
      <c r="B36" s="9" t="s">
        <v>49</v>
      </c>
      <c r="C36" s="9" t="s">
        <v>50</v>
      </c>
      <c r="D36" s="10"/>
      <c r="E36" s="11" t="n">
        <f>5385</f>
        <v>5385.0</v>
      </c>
      <c r="F36" s="10"/>
      <c r="G36" s="11" t="n">
        <f>3570547900</f>
        <v>3.5705479E9</v>
      </c>
      <c r="H36" s="10"/>
      <c r="I36" s="11" t="str">
        <f>"－"</f>
        <v>－</v>
      </c>
      <c r="J36" s="10" t="s">
        <v>24</v>
      </c>
      <c r="K36" s="11" t="n">
        <f>13265</f>
        <v>13265.0</v>
      </c>
    </row>
    <row r="37">
      <c r="A37" s="8" t="s">
        <v>23</v>
      </c>
      <c r="B37" s="9" t="s">
        <v>49</v>
      </c>
      <c r="C37" s="9" t="s">
        <v>50</v>
      </c>
      <c r="D37" s="10"/>
      <c r="E37" s="11" t="n">
        <f>5373</f>
        <v>5373.0</v>
      </c>
      <c r="F37" s="10"/>
      <c r="G37" s="11" t="n">
        <f>3571865500</f>
        <v>3.5718655E9</v>
      </c>
      <c r="H37" s="10"/>
      <c r="I37" s="11" t="str">
        <f>"－"</f>
        <v>－</v>
      </c>
      <c r="J37" s="10"/>
      <c r="K37" s="11" t="n">
        <f>13193</f>
        <v>13193.0</v>
      </c>
    </row>
    <row r="38">
      <c r="A38" s="8" t="s">
        <v>25</v>
      </c>
      <c r="B38" s="9" t="s">
        <v>49</v>
      </c>
      <c r="C38" s="9" t="s">
        <v>50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26</v>
      </c>
      <c r="B39" s="9" t="s">
        <v>49</v>
      </c>
      <c r="C39" s="9" t="s">
        <v>50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27</v>
      </c>
      <c r="B40" s="9" t="s">
        <v>49</v>
      </c>
      <c r="C40" s="9" t="s">
        <v>50</v>
      </c>
      <c r="D40" s="10"/>
      <c r="E40" s="11" t="n">
        <f>7661</f>
        <v>7661.0</v>
      </c>
      <c r="F40" s="10"/>
      <c r="G40" s="11" t="n">
        <f>5120422500</f>
        <v>5.1204225E9</v>
      </c>
      <c r="H40" s="10"/>
      <c r="I40" s="11" t="str">
        <f>"－"</f>
        <v>－</v>
      </c>
      <c r="J40" s="10"/>
      <c r="K40" s="11" t="n">
        <f>12939</f>
        <v>12939.0</v>
      </c>
    </row>
    <row r="41">
      <c r="A41" s="8" t="s">
        <v>28</v>
      </c>
      <c r="B41" s="9" t="s">
        <v>49</v>
      </c>
      <c r="C41" s="9" t="s">
        <v>50</v>
      </c>
      <c r="D41" s="10"/>
      <c r="E41" s="11" t="n">
        <f>5673</f>
        <v>5673.0</v>
      </c>
      <c r="F41" s="10"/>
      <c r="G41" s="11" t="n">
        <f>3813639600</f>
        <v>3.8136396E9</v>
      </c>
      <c r="H41" s="10"/>
      <c r="I41" s="11" t="str">
        <f>"－"</f>
        <v>－</v>
      </c>
      <c r="J41" s="10"/>
      <c r="K41" s="11" t="n">
        <f>12695</f>
        <v>12695.0</v>
      </c>
    </row>
    <row r="42">
      <c r="A42" s="8" t="s">
        <v>29</v>
      </c>
      <c r="B42" s="9" t="s">
        <v>49</v>
      </c>
      <c r="C42" s="9" t="s">
        <v>50</v>
      </c>
      <c r="D42" s="10"/>
      <c r="E42" s="11" t="n">
        <f>6603</f>
        <v>6603.0</v>
      </c>
      <c r="F42" s="10"/>
      <c r="G42" s="11" t="n">
        <f>4461099500</f>
        <v>4.4610995E9</v>
      </c>
      <c r="H42" s="10"/>
      <c r="I42" s="11" t="str">
        <f>"－"</f>
        <v>－</v>
      </c>
      <c r="J42" s="10"/>
      <c r="K42" s="11" t="n">
        <f>12696</f>
        <v>12696.0</v>
      </c>
    </row>
    <row r="43">
      <c r="A43" s="8" t="s">
        <v>30</v>
      </c>
      <c r="B43" s="9" t="s">
        <v>49</v>
      </c>
      <c r="C43" s="9" t="s">
        <v>50</v>
      </c>
      <c r="D43" s="10"/>
      <c r="E43" s="11" t="n">
        <f>5577</f>
        <v>5577.0</v>
      </c>
      <c r="F43" s="10"/>
      <c r="G43" s="11" t="n">
        <f>3786379900</f>
        <v>3.7863799E9</v>
      </c>
      <c r="H43" s="10"/>
      <c r="I43" s="11" t="str">
        <f>"－"</f>
        <v>－</v>
      </c>
      <c r="J43" s="10"/>
      <c r="K43" s="11" t="n">
        <f>12533</f>
        <v>12533.0</v>
      </c>
    </row>
    <row r="44">
      <c r="A44" s="8" t="s">
        <v>31</v>
      </c>
      <c r="B44" s="9" t="s">
        <v>49</v>
      </c>
      <c r="C44" s="9" t="s">
        <v>50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32</v>
      </c>
      <c r="B45" s="9" t="s">
        <v>49</v>
      </c>
      <c r="C45" s="9" t="s">
        <v>50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33</v>
      </c>
      <c r="B46" s="9" t="s">
        <v>49</v>
      </c>
      <c r="C46" s="9" t="s">
        <v>50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34</v>
      </c>
      <c r="B47" s="9" t="s">
        <v>49</v>
      </c>
      <c r="C47" s="9" t="s">
        <v>50</v>
      </c>
      <c r="D47" s="10"/>
      <c r="E47" s="11" t="n">
        <f>11385</f>
        <v>11385.0</v>
      </c>
      <c r="F47" s="10"/>
      <c r="G47" s="11" t="n">
        <f>7793009200</f>
        <v>7.7930092E9</v>
      </c>
      <c r="H47" s="10"/>
      <c r="I47" s="11" t="str">
        <f>"－"</f>
        <v>－</v>
      </c>
      <c r="J47" s="10"/>
      <c r="K47" s="11" t="n">
        <f>12390</f>
        <v>12390.0</v>
      </c>
    </row>
    <row r="48">
      <c r="A48" s="8" t="s">
        <v>35</v>
      </c>
      <c r="B48" s="9" t="s">
        <v>49</v>
      </c>
      <c r="C48" s="9" t="s">
        <v>50</v>
      </c>
      <c r="D48" s="10"/>
      <c r="E48" s="11" t="n">
        <f>10053</f>
        <v>10053.0</v>
      </c>
      <c r="F48" s="10"/>
      <c r="G48" s="11" t="n">
        <f>6950123300</f>
        <v>6.9501233E9</v>
      </c>
      <c r="H48" s="10"/>
      <c r="I48" s="11" t="str">
        <f>"－"</f>
        <v>－</v>
      </c>
      <c r="J48" s="10"/>
      <c r="K48" s="11" t="n">
        <f>12447</f>
        <v>12447.0</v>
      </c>
    </row>
    <row r="49">
      <c r="A49" s="8" t="s">
        <v>36</v>
      </c>
      <c r="B49" s="9" t="s">
        <v>49</v>
      </c>
      <c r="C49" s="9" t="s">
        <v>50</v>
      </c>
      <c r="D49" s="10"/>
      <c r="E49" s="11" t="n">
        <f>9943</f>
        <v>9943.0</v>
      </c>
      <c r="F49" s="10"/>
      <c r="G49" s="11" t="n">
        <f>6845951000</f>
        <v>6.845951E9</v>
      </c>
      <c r="H49" s="10"/>
      <c r="I49" s="11" t="str">
        <f>"－"</f>
        <v>－</v>
      </c>
      <c r="J49" s="10"/>
      <c r="K49" s="11" t="n">
        <f>12239</f>
        <v>12239.0</v>
      </c>
    </row>
    <row r="50">
      <c r="A50" s="8" t="s">
        <v>37</v>
      </c>
      <c r="B50" s="9" t="s">
        <v>49</v>
      </c>
      <c r="C50" s="9" t="s">
        <v>50</v>
      </c>
      <c r="D50" s="10"/>
      <c r="E50" s="11" t="n">
        <f>7982</f>
        <v>7982.0</v>
      </c>
      <c r="F50" s="10"/>
      <c r="G50" s="11" t="n">
        <f>5518309400</f>
        <v>5.5183094E9</v>
      </c>
      <c r="H50" s="10"/>
      <c r="I50" s="11" t="str">
        <f>"－"</f>
        <v>－</v>
      </c>
      <c r="J50" s="10"/>
      <c r="K50" s="11" t="n">
        <f>12466</f>
        <v>12466.0</v>
      </c>
    </row>
    <row r="51">
      <c r="A51" s="8" t="s">
        <v>38</v>
      </c>
      <c r="B51" s="9" t="s">
        <v>49</v>
      </c>
      <c r="C51" s="9" t="s">
        <v>50</v>
      </c>
      <c r="D51" s="10"/>
      <c r="E51" s="11" t="n">
        <f>12474</f>
        <v>12474.0</v>
      </c>
      <c r="F51" s="10"/>
      <c r="G51" s="11" t="n">
        <f>8714008800</f>
        <v>8.7140088E9</v>
      </c>
      <c r="H51" s="10"/>
      <c r="I51" s="11" t="str">
        <f>"－"</f>
        <v>－</v>
      </c>
      <c r="J51" s="10"/>
      <c r="K51" s="11" t="n">
        <f>12536</f>
        <v>12536.0</v>
      </c>
    </row>
    <row r="52">
      <c r="A52" s="8" t="s">
        <v>39</v>
      </c>
      <c r="B52" s="9" t="s">
        <v>49</v>
      </c>
      <c r="C52" s="9" t="s">
        <v>50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40</v>
      </c>
      <c r="B53" s="9" t="s">
        <v>49</v>
      </c>
      <c r="C53" s="9" t="s">
        <v>50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41</v>
      </c>
      <c r="B54" s="9" t="s">
        <v>49</v>
      </c>
      <c r="C54" s="9" t="s">
        <v>50</v>
      </c>
      <c r="D54" s="10"/>
      <c r="E54" s="11" t="n">
        <f>8964</f>
        <v>8964.0</v>
      </c>
      <c r="F54" s="10"/>
      <c r="G54" s="11" t="n">
        <f>6276902100</f>
        <v>6.2769021E9</v>
      </c>
      <c r="H54" s="10"/>
      <c r="I54" s="11" t="str">
        <f>"－"</f>
        <v>－</v>
      </c>
      <c r="J54" s="10"/>
      <c r="K54" s="11" t="n">
        <f>12600</f>
        <v>12600.0</v>
      </c>
    </row>
    <row r="55">
      <c r="A55" s="8" t="s">
        <v>42</v>
      </c>
      <c r="B55" s="9" t="s">
        <v>49</v>
      </c>
      <c r="C55" s="9" t="s">
        <v>50</v>
      </c>
      <c r="D55" s="10"/>
      <c r="E55" s="11" t="n">
        <f>6941</f>
        <v>6941.0</v>
      </c>
      <c r="F55" s="10"/>
      <c r="G55" s="11" t="n">
        <f>4866279100</f>
        <v>4.8662791E9</v>
      </c>
      <c r="H55" s="10"/>
      <c r="I55" s="11" t="str">
        <f>"－"</f>
        <v>－</v>
      </c>
      <c r="J55" s="10"/>
      <c r="K55" s="11" t="n">
        <f>12730</f>
        <v>12730.0</v>
      </c>
    </row>
    <row r="56">
      <c r="A56" s="8" t="s">
        <v>43</v>
      </c>
      <c r="B56" s="9" t="s">
        <v>49</v>
      </c>
      <c r="C56" s="9" t="s">
        <v>50</v>
      </c>
      <c r="D56" s="10"/>
      <c r="E56" s="11"/>
      <c r="F56" s="10"/>
      <c r="G56" s="11"/>
      <c r="H56" s="10"/>
      <c r="I56" s="11"/>
      <c r="J56" s="10"/>
      <c r="K56" s="11"/>
    </row>
    <row r="57">
      <c r="A57" s="8" t="s">
        <v>44</v>
      </c>
      <c r="B57" s="9" t="s">
        <v>49</v>
      </c>
      <c r="C57" s="9" t="s">
        <v>50</v>
      </c>
      <c r="D57" s="10"/>
      <c r="E57" s="11" t="n">
        <f>18162</f>
        <v>18162.0</v>
      </c>
      <c r="F57" s="10"/>
      <c r="G57" s="11" t="n">
        <f>12849777700</f>
        <v>1.28497777E10</v>
      </c>
      <c r="H57" s="10"/>
      <c r="I57" s="11" t="str">
        <f>"－"</f>
        <v>－</v>
      </c>
      <c r="J57" s="10"/>
      <c r="K57" s="11" t="n">
        <f>10589</f>
        <v>10589.0</v>
      </c>
    </row>
    <row r="58">
      <c r="A58" s="8" t="s">
        <v>45</v>
      </c>
      <c r="B58" s="9" t="s">
        <v>49</v>
      </c>
      <c r="C58" s="9" t="s">
        <v>50</v>
      </c>
      <c r="D58" s="10" t="s">
        <v>24</v>
      </c>
      <c r="E58" s="11" t="n">
        <f>25841</f>
        <v>25841.0</v>
      </c>
      <c r="F58" s="10" t="s">
        <v>24</v>
      </c>
      <c r="G58" s="11" t="n">
        <f>18476650500</f>
        <v>1.84766505E10</v>
      </c>
      <c r="H58" s="10"/>
      <c r="I58" s="11" t="str">
        <f>"－"</f>
        <v>－</v>
      </c>
      <c r="J58" s="10" t="s">
        <v>21</v>
      </c>
      <c r="K58" s="11" t="n">
        <f>10295</f>
        <v>10295.0</v>
      </c>
    </row>
    <row r="59">
      <c r="A59" s="8" t="s">
        <v>46</v>
      </c>
      <c r="B59" s="9" t="s">
        <v>49</v>
      </c>
      <c r="C59" s="9" t="s">
        <v>50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47</v>
      </c>
      <c r="B60" s="9" t="s">
        <v>49</v>
      </c>
      <c r="C60" s="9" t="s">
        <v>50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48</v>
      </c>
      <c r="B61" s="9" t="s">
        <v>49</v>
      </c>
      <c r="C61" s="9" t="s">
        <v>50</v>
      </c>
      <c r="D61" s="10"/>
      <c r="E61" s="11" t="n">
        <f>12963</f>
        <v>12963.0</v>
      </c>
      <c r="F61" s="10"/>
      <c r="G61" s="11" t="n">
        <f>9139959600</f>
        <v>9.1399596E9</v>
      </c>
      <c r="H61" s="10"/>
      <c r="I61" s="11" t="str">
        <f>"－"</f>
        <v>－</v>
      </c>
      <c r="J61" s="10"/>
      <c r="K61" s="11" t="n">
        <f>10303</f>
        <v>10303.0</v>
      </c>
    </row>
    <row r="62">
      <c r="A62" s="8" t="s">
        <v>16</v>
      </c>
      <c r="B62" s="9" t="s">
        <v>51</v>
      </c>
      <c r="C62" s="9" t="s">
        <v>52</v>
      </c>
      <c r="D62" s="10"/>
      <c r="E62" s="11" t="n">
        <f>1575</f>
        <v>1575.0</v>
      </c>
      <c r="F62" s="10"/>
      <c r="G62" s="11" t="n">
        <f>1053043000</f>
        <v>1.053043E9</v>
      </c>
      <c r="H62" s="10" t="s">
        <v>19</v>
      </c>
      <c r="I62" s="11" t="str">
        <f>"－"</f>
        <v>－</v>
      </c>
      <c r="J62" s="10"/>
      <c r="K62" s="11" t="n">
        <f>51754</f>
        <v>51754.0</v>
      </c>
    </row>
    <row r="63">
      <c r="A63" s="8" t="s">
        <v>20</v>
      </c>
      <c r="B63" s="9" t="s">
        <v>51</v>
      </c>
      <c r="C63" s="9" t="s">
        <v>52</v>
      </c>
      <c r="D63" s="10"/>
      <c r="E63" s="11" t="n">
        <f>1604</f>
        <v>1604.0</v>
      </c>
      <c r="F63" s="10"/>
      <c r="G63" s="11" t="n">
        <f>1071845700</f>
        <v>1.0718457E9</v>
      </c>
      <c r="H63" s="10"/>
      <c r="I63" s="11" t="str">
        <f>"－"</f>
        <v>－</v>
      </c>
      <c r="J63" s="10"/>
      <c r="K63" s="11" t="n">
        <f>51867</f>
        <v>51867.0</v>
      </c>
    </row>
    <row r="64">
      <c r="A64" s="8" t="s">
        <v>22</v>
      </c>
      <c r="B64" s="9" t="s">
        <v>51</v>
      </c>
      <c r="C64" s="9" t="s">
        <v>52</v>
      </c>
      <c r="D64" s="10" t="s">
        <v>21</v>
      </c>
      <c r="E64" s="11" t="n">
        <f>987</f>
        <v>987.0</v>
      </c>
      <c r="F64" s="10" t="s">
        <v>21</v>
      </c>
      <c r="G64" s="11" t="n">
        <f>658821800</f>
        <v>6.588218E8</v>
      </c>
      <c r="H64" s="10"/>
      <c r="I64" s="11" t="str">
        <f>"－"</f>
        <v>－</v>
      </c>
      <c r="J64" s="10"/>
      <c r="K64" s="11" t="n">
        <f>51869</f>
        <v>51869.0</v>
      </c>
    </row>
    <row r="65">
      <c r="A65" s="8" t="s">
        <v>23</v>
      </c>
      <c r="B65" s="9" t="s">
        <v>51</v>
      </c>
      <c r="C65" s="9" t="s">
        <v>52</v>
      </c>
      <c r="D65" s="10"/>
      <c r="E65" s="11" t="n">
        <f>1542</f>
        <v>1542.0</v>
      </c>
      <c r="F65" s="10"/>
      <c r="G65" s="11" t="n">
        <f>1031162700</f>
        <v>1.0311627E9</v>
      </c>
      <c r="H65" s="10"/>
      <c r="I65" s="11" t="str">
        <f>"－"</f>
        <v>－</v>
      </c>
      <c r="J65" s="10"/>
      <c r="K65" s="11" t="n">
        <f>51779</f>
        <v>51779.0</v>
      </c>
    </row>
    <row r="66">
      <c r="A66" s="8" t="s">
        <v>25</v>
      </c>
      <c r="B66" s="9" t="s">
        <v>51</v>
      </c>
      <c r="C66" s="9" t="s">
        <v>52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26</v>
      </c>
      <c r="B67" s="9" t="s">
        <v>51</v>
      </c>
      <c r="C67" s="9" t="s">
        <v>52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27</v>
      </c>
      <c r="B68" s="9" t="s">
        <v>51</v>
      </c>
      <c r="C68" s="9" t="s">
        <v>52</v>
      </c>
      <c r="D68" s="10"/>
      <c r="E68" s="11" t="n">
        <f>2887</f>
        <v>2887.0</v>
      </c>
      <c r="F68" s="10"/>
      <c r="G68" s="11" t="n">
        <f>1940582500</f>
        <v>1.9405825E9</v>
      </c>
      <c r="H68" s="10"/>
      <c r="I68" s="11" t="str">
        <f>"－"</f>
        <v>－</v>
      </c>
      <c r="J68" s="10"/>
      <c r="K68" s="11" t="n">
        <f>51871</f>
        <v>51871.0</v>
      </c>
    </row>
    <row r="69">
      <c r="A69" s="8" t="s">
        <v>28</v>
      </c>
      <c r="B69" s="9" t="s">
        <v>51</v>
      </c>
      <c r="C69" s="9" t="s">
        <v>52</v>
      </c>
      <c r="D69" s="10"/>
      <c r="E69" s="11" t="n">
        <f>5731</f>
        <v>5731.0</v>
      </c>
      <c r="F69" s="10"/>
      <c r="G69" s="11" t="n">
        <f>3871568800</f>
        <v>3.8715688E9</v>
      </c>
      <c r="H69" s="10"/>
      <c r="I69" s="11" t="str">
        <f>"－"</f>
        <v>－</v>
      </c>
      <c r="J69" s="10" t="s">
        <v>21</v>
      </c>
      <c r="K69" s="11" t="n">
        <f>51368</f>
        <v>51368.0</v>
      </c>
    </row>
    <row r="70">
      <c r="A70" s="8" t="s">
        <v>29</v>
      </c>
      <c r="B70" s="9" t="s">
        <v>51</v>
      </c>
      <c r="C70" s="9" t="s">
        <v>52</v>
      </c>
      <c r="D70" s="10"/>
      <c r="E70" s="11" t="n">
        <f>3047</f>
        <v>3047.0</v>
      </c>
      <c r="F70" s="10"/>
      <c r="G70" s="11" t="n">
        <f>2065914300</f>
        <v>2.0659143E9</v>
      </c>
      <c r="H70" s="10"/>
      <c r="I70" s="11" t="str">
        <f>"－"</f>
        <v>－</v>
      </c>
      <c r="J70" s="10"/>
      <c r="K70" s="11" t="n">
        <f>51536</f>
        <v>51536.0</v>
      </c>
    </row>
    <row r="71">
      <c r="A71" s="8" t="s">
        <v>30</v>
      </c>
      <c r="B71" s="9" t="s">
        <v>51</v>
      </c>
      <c r="C71" s="9" t="s">
        <v>52</v>
      </c>
      <c r="D71" s="10"/>
      <c r="E71" s="11" t="n">
        <f>3032</f>
        <v>3032.0</v>
      </c>
      <c r="F71" s="10"/>
      <c r="G71" s="11" t="n">
        <f>2065689700</f>
        <v>2.0656897E9</v>
      </c>
      <c r="H71" s="10"/>
      <c r="I71" s="11" t="str">
        <f>"－"</f>
        <v>－</v>
      </c>
      <c r="J71" s="10"/>
      <c r="K71" s="11" t="n">
        <f>52041</f>
        <v>52041.0</v>
      </c>
    </row>
    <row r="72">
      <c r="A72" s="8" t="s">
        <v>31</v>
      </c>
      <c r="B72" s="9" t="s">
        <v>51</v>
      </c>
      <c r="C72" s="9" t="s">
        <v>52</v>
      </c>
      <c r="D72" s="10"/>
      <c r="E72" s="11"/>
      <c r="F72" s="10"/>
      <c r="G72" s="11"/>
      <c r="H72" s="10"/>
      <c r="I72" s="11"/>
      <c r="J72" s="10"/>
      <c r="K72" s="11"/>
    </row>
    <row r="73">
      <c r="A73" s="8" t="s">
        <v>32</v>
      </c>
      <c r="B73" s="9" t="s">
        <v>51</v>
      </c>
      <c r="C73" s="9" t="s">
        <v>52</v>
      </c>
      <c r="D73" s="10"/>
      <c r="E73" s="11"/>
      <c r="F73" s="10"/>
      <c r="G73" s="11"/>
      <c r="H73" s="10"/>
      <c r="I73" s="11"/>
      <c r="J73" s="10"/>
      <c r="K73" s="11"/>
    </row>
    <row r="74">
      <c r="A74" s="8" t="s">
        <v>33</v>
      </c>
      <c r="B74" s="9" t="s">
        <v>51</v>
      </c>
      <c r="C74" s="9" t="s">
        <v>52</v>
      </c>
      <c r="D74" s="10"/>
      <c r="E74" s="11"/>
      <c r="F74" s="10"/>
      <c r="G74" s="11"/>
      <c r="H74" s="10"/>
      <c r="I74" s="11"/>
      <c r="J74" s="10"/>
      <c r="K74" s="11"/>
    </row>
    <row r="75">
      <c r="A75" s="8" t="s">
        <v>34</v>
      </c>
      <c r="B75" s="9" t="s">
        <v>51</v>
      </c>
      <c r="C75" s="9" t="s">
        <v>52</v>
      </c>
      <c r="D75" s="10"/>
      <c r="E75" s="11" t="n">
        <f>7485</f>
        <v>7485.0</v>
      </c>
      <c r="F75" s="10"/>
      <c r="G75" s="11" t="n">
        <f>5150560100</f>
        <v>5.1505601E9</v>
      </c>
      <c r="H75" s="10"/>
      <c r="I75" s="11" t="str">
        <f>"－"</f>
        <v>－</v>
      </c>
      <c r="J75" s="10"/>
      <c r="K75" s="11" t="n">
        <f>52085</f>
        <v>52085.0</v>
      </c>
    </row>
    <row r="76">
      <c r="A76" s="8" t="s">
        <v>35</v>
      </c>
      <c r="B76" s="9" t="s">
        <v>51</v>
      </c>
      <c r="C76" s="9" t="s">
        <v>52</v>
      </c>
      <c r="D76" s="10"/>
      <c r="E76" s="11" t="n">
        <f>5694</f>
        <v>5694.0</v>
      </c>
      <c r="F76" s="10"/>
      <c r="G76" s="11" t="n">
        <f>3960501300</f>
        <v>3.9605013E9</v>
      </c>
      <c r="H76" s="10"/>
      <c r="I76" s="11" t="str">
        <f>"－"</f>
        <v>－</v>
      </c>
      <c r="J76" s="10"/>
      <c r="K76" s="11" t="n">
        <f>51817</f>
        <v>51817.0</v>
      </c>
    </row>
    <row r="77">
      <c r="A77" s="8" t="s">
        <v>36</v>
      </c>
      <c r="B77" s="9" t="s">
        <v>51</v>
      </c>
      <c r="C77" s="9" t="s">
        <v>52</v>
      </c>
      <c r="D77" s="10"/>
      <c r="E77" s="11" t="n">
        <f>6103</f>
        <v>6103.0</v>
      </c>
      <c r="F77" s="10"/>
      <c r="G77" s="11" t="n">
        <f>4219681000</f>
        <v>4.219681E9</v>
      </c>
      <c r="H77" s="10"/>
      <c r="I77" s="11" t="str">
        <f>"－"</f>
        <v>－</v>
      </c>
      <c r="J77" s="10"/>
      <c r="K77" s="11" t="n">
        <f>51711</f>
        <v>51711.0</v>
      </c>
    </row>
    <row r="78">
      <c r="A78" s="8" t="s">
        <v>37</v>
      </c>
      <c r="B78" s="9" t="s">
        <v>51</v>
      </c>
      <c r="C78" s="9" t="s">
        <v>52</v>
      </c>
      <c r="D78" s="10"/>
      <c r="E78" s="11" t="n">
        <f>4255</f>
        <v>4255.0</v>
      </c>
      <c r="F78" s="10"/>
      <c r="G78" s="11" t="n">
        <f>2956043800</f>
        <v>2.9560438E9</v>
      </c>
      <c r="H78" s="10"/>
      <c r="I78" s="11" t="str">
        <f>"－"</f>
        <v>－</v>
      </c>
      <c r="J78" s="10"/>
      <c r="K78" s="11" t="n">
        <f>51885</f>
        <v>51885.0</v>
      </c>
    </row>
    <row r="79">
      <c r="A79" s="8" t="s">
        <v>38</v>
      </c>
      <c r="B79" s="9" t="s">
        <v>51</v>
      </c>
      <c r="C79" s="9" t="s">
        <v>52</v>
      </c>
      <c r="D79" s="10"/>
      <c r="E79" s="11" t="n">
        <f>7181</f>
        <v>7181.0</v>
      </c>
      <c r="F79" s="10"/>
      <c r="G79" s="11" t="n">
        <f>5030861200</f>
        <v>5.0308612E9</v>
      </c>
      <c r="H79" s="10"/>
      <c r="I79" s="11" t="str">
        <f>"－"</f>
        <v>－</v>
      </c>
      <c r="J79" s="10"/>
      <c r="K79" s="11" t="n">
        <f>52252</f>
        <v>52252.0</v>
      </c>
    </row>
    <row r="80">
      <c r="A80" s="8" t="s">
        <v>39</v>
      </c>
      <c r="B80" s="9" t="s">
        <v>51</v>
      </c>
      <c r="C80" s="9" t="s">
        <v>52</v>
      </c>
      <c r="D80" s="10"/>
      <c r="E80" s="11"/>
      <c r="F80" s="10"/>
      <c r="G80" s="11"/>
      <c r="H80" s="10"/>
      <c r="I80" s="11"/>
      <c r="J80" s="10"/>
      <c r="K80" s="11"/>
    </row>
    <row r="81">
      <c r="A81" s="8" t="s">
        <v>40</v>
      </c>
      <c r="B81" s="9" t="s">
        <v>51</v>
      </c>
      <c r="C81" s="9" t="s">
        <v>52</v>
      </c>
      <c r="D81" s="10"/>
      <c r="E81" s="11"/>
      <c r="F81" s="10"/>
      <c r="G81" s="11"/>
      <c r="H81" s="10"/>
      <c r="I81" s="11"/>
      <c r="J81" s="10"/>
      <c r="K81" s="11"/>
    </row>
    <row r="82">
      <c r="A82" s="8" t="s">
        <v>41</v>
      </c>
      <c r="B82" s="9" t="s">
        <v>51</v>
      </c>
      <c r="C82" s="9" t="s">
        <v>52</v>
      </c>
      <c r="D82" s="10"/>
      <c r="E82" s="11" t="n">
        <f>3932</f>
        <v>3932.0</v>
      </c>
      <c r="F82" s="10"/>
      <c r="G82" s="11" t="n">
        <f>2761487700</f>
        <v>2.7614877E9</v>
      </c>
      <c r="H82" s="10"/>
      <c r="I82" s="11" t="str">
        <f>"－"</f>
        <v>－</v>
      </c>
      <c r="J82" s="10"/>
      <c r="K82" s="11" t="n">
        <f>52275</f>
        <v>52275.0</v>
      </c>
    </row>
    <row r="83">
      <c r="A83" s="8" t="s">
        <v>42</v>
      </c>
      <c r="B83" s="9" t="s">
        <v>51</v>
      </c>
      <c r="C83" s="9" t="s">
        <v>52</v>
      </c>
      <c r="D83" s="10"/>
      <c r="E83" s="11" t="n">
        <f>4616</f>
        <v>4616.0</v>
      </c>
      <c r="F83" s="10"/>
      <c r="G83" s="11" t="n">
        <f>3249280100</f>
        <v>3.2492801E9</v>
      </c>
      <c r="H83" s="10"/>
      <c r="I83" s="11" t="str">
        <f>"－"</f>
        <v>－</v>
      </c>
      <c r="J83" s="10"/>
      <c r="K83" s="11" t="n">
        <f>52398</f>
        <v>52398.0</v>
      </c>
    </row>
    <row r="84">
      <c r="A84" s="8" t="s">
        <v>43</v>
      </c>
      <c r="B84" s="9" t="s">
        <v>51</v>
      </c>
      <c r="C84" s="9" t="s">
        <v>52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44</v>
      </c>
      <c r="B85" s="9" t="s">
        <v>51</v>
      </c>
      <c r="C85" s="9" t="s">
        <v>52</v>
      </c>
      <c r="D85" s="10"/>
      <c r="E85" s="11" t="n">
        <f>10080</f>
        <v>10080.0</v>
      </c>
      <c r="F85" s="10"/>
      <c r="G85" s="11" t="n">
        <f>7156504100</f>
        <v>7.1565041E9</v>
      </c>
      <c r="H85" s="10"/>
      <c r="I85" s="11" t="str">
        <f>"－"</f>
        <v>－</v>
      </c>
      <c r="J85" s="10"/>
      <c r="K85" s="11" t="n">
        <f>52175</f>
        <v>52175.0</v>
      </c>
    </row>
    <row r="86">
      <c r="A86" s="8" t="s">
        <v>45</v>
      </c>
      <c r="B86" s="9" t="s">
        <v>51</v>
      </c>
      <c r="C86" s="9" t="s">
        <v>52</v>
      </c>
      <c r="D86" s="10" t="s">
        <v>24</v>
      </c>
      <c r="E86" s="11" t="n">
        <f>18316</f>
        <v>18316.0</v>
      </c>
      <c r="F86" s="10" t="s">
        <v>24</v>
      </c>
      <c r="G86" s="11" t="n">
        <f>13188182500</f>
        <v>1.31881825E10</v>
      </c>
      <c r="H86" s="10"/>
      <c r="I86" s="11" t="str">
        <f>"－"</f>
        <v>－</v>
      </c>
      <c r="J86" s="10" t="s">
        <v>24</v>
      </c>
      <c r="K86" s="11" t="n">
        <f>52694</f>
        <v>52694.0</v>
      </c>
    </row>
    <row r="87">
      <c r="A87" s="8" t="s">
        <v>46</v>
      </c>
      <c r="B87" s="9" t="s">
        <v>51</v>
      </c>
      <c r="C87" s="9" t="s">
        <v>52</v>
      </c>
      <c r="D87" s="10"/>
      <c r="E87" s="11"/>
      <c r="F87" s="10"/>
      <c r="G87" s="11"/>
      <c r="H87" s="10"/>
      <c r="I87" s="11"/>
      <c r="J87" s="10"/>
      <c r="K87" s="11"/>
    </row>
    <row r="88">
      <c r="A88" s="8" t="s">
        <v>47</v>
      </c>
      <c r="B88" s="9" t="s">
        <v>51</v>
      </c>
      <c r="C88" s="9" t="s">
        <v>52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48</v>
      </c>
      <c r="B89" s="9" t="s">
        <v>51</v>
      </c>
      <c r="C89" s="9" t="s">
        <v>52</v>
      </c>
      <c r="D89" s="10"/>
      <c r="E89" s="11" t="n">
        <f>5711</f>
        <v>5711.0</v>
      </c>
      <c r="F89" s="10"/>
      <c r="G89" s="11" t="n">
        <f>4049858400</f>
        <v>4.0498584E9</v>
      </c>
      <c r="H89" s="10"/>
      <c r="I89" s="11" t="str">
        <f>"－"</f>
        <v>－</v>
      </c>
      <c r="J89" s="10"/>
      <c r="K89" s="11" t="n">
        <f>52665</f>
        <v>52665.0</v>
      </c>
    </row>
    <row r="90">
      <c r="A90" s="8" t="s">
        <v>16</v>
      </c>
      <c r="B90" s="9" t="s">
        <v>53</v>
      </c>
      <c r="C90" s="9" t="s">
        <v>54</v>
      </c>
      <c r="D90" s="10"/>
      <c r="E90" s="11" t="n">
        <f>262</f>
        <v>262.0</v>
      </c>
      <c r="F90" s="10"/>
      <c r="G90" s="11" t="n">
        <f>218249000</f>
        <v>2.18249E8</v>
      </c>
      <c r="H90" s="10" t="s">
        <v>19</v>
      </c>
      <c r="I90" s="11" t="str">
        <f>"－"</f>
        <v>－</v>
      </c>
      <c r="J90" s="10"/>
      <c r="K90" s="11" t="n">
        <f>1720</f>
        <v>1720.0</v>
      </c>
    </row>
    <row r="91">
      <c r="A91" s="8" t="s">
        <v>20</v>
      </c>
      <c r="B91" s="9" t="s">
        <v>53</v>
      </c>
      <c r="C91" s="9" t="s">
        <v>54</v>
      </c>
      <c r="D91" s="10"/>
      <c r="E91" s="11" t="n">
        <f>116</f>
        <v>116.0</v>
      </c>
      <c r="F91" s="10"/>
      <c r="G91" s="11" t="n">
        <f>97353000</f>
        <v>9.7353E7</v>
      </c>
      <c r="H91" s="10"/>
      <c r="I91" s="11" t="str">
        <f>"－"</f>
        <v>－</v>
      </c>
      <c r="J91" s="10"/>
      <c r="K91" s="11" t="n">
        <f>1701</f>
        <v>1701.0</v>
      </c>
    </row>
    <row r="92">
      <c r="A92" s="8" t="s">
        <v>22</v>
      </c>
      <c r="B92" s="9" t="s">
        <v>53</v>
      </c>
      <c r="C92" s="9" t="s">
        <v>54</v>
      </c>
      <c r="D92" s="10" t="s">
        <v>21</v>
      </c>
      <c r="E92" s="11" t="n">
        <f>56</f>
        <v>56.0</v>
      </c>
      <c r="F92" s="10" t="s">
        <v>21</v>
      </c>
      <c r="G92" s="11" t="n">
        <f>46730000</f>
        <v>4.673E7</v>
      </c>
      <c r="H92" s="10"/>
      <c r="I92" s="11" t="str">
        <f>"－"</f>
        <v>－</v>
      </c>
      <c r="J92" s="10"/>
      <c r="K92" s="11" t="n">
        <f>1716</f>
        <v>1716.0</v>
      </c>
    </row>
    <row r="93">
      <c r="A93" s="8" t="s">
        <v>23</v>
      </c>
      <c r="B93" s="9" t="s">
        <v>53</v>
      </c>
      <c r="C93" s="9" t="s">
        <v>54</v>
      </c>
      <c r="D93" s="10"/>
      <c r="E93" s="11" t="n">
        <f>85</f>
        <v>85.0</v>
      </c>
      <c r="F93" s="10"/>
      <c r="G93" s="11" t="n">
        <f>70397000</f>
        <v>7.0397E7</v>
      </c>
      <c r="H93" s="10"/>
      <c r="I93" s="11" t="str">
        <f>"－"</f>
        <v>－</v>
      </c>
      <c r="J93" s="10"/>
      <c r="K93" s="11" t="n">
        <f>1741</f>
        <v>1741.0</v>
      </c>
    </row>
    <row r="94">
      <c r="A94" s="8" t="s">
        <v>25</v>
      </c>
      <c r="B94" s="9" t="s">
        <v>53</v>
      </c>
      <c r="C94" s="9" t="s">
        <v>54</v>
      </c>
      <c r="D94" s="10"/>
      <c r="E94" s="11"/>
      <c r="F94" s="10"/>
      <c r="G94" s="11"/>
      <c r="H94" s="10"/>
      <c r="I94" s="11"/>
      <c r="J94" s="10"/>
      <c r="K94" s="11"/>
    </row>
    <row r="95">
      <c r="A95" s="8" t="s">
        <v>26</v>
      </c>
      <c r="B95" s="9" t="s">
        <v>53</v>
      </c>
      <c r="C95" s="9" t="s">
        <v>54</v>
      </c>
      <c r="D95" s="10"/>
      <c r="E95" s="11"/>
      <c r="F95" s="10"/>
      <c r="G95" s="11"/>
      <c r="H95" s="10"/>
      <c r="I95" s="11"/>
      <c r="J95" s="10"/>
      <c r="K95" s="11"/>
    </row>
    <row r="96">
      <c r="A96" s="8" t="s">
        <v>27</v>
      </c>
      <c r="B96" s="9" t="s">
        <v>53</v>
      </c>
      <c r="C96" s="9" t="s">
        <v>54</v>
      </c>
      <c r="D96" s="10"/>
      <c r="E96" s="11" t="n">
        <f>145</f>
        <v>145.0</v>
      </c>
      <c r="F96" s="10"/>
      <c r="G96" s="11" t="n">
        <f>121499000</f>
        <v>1.21499E8</v>
      </c>
      <c r="H96" s="10"/>
      <c r="I96" s="11" t="str">
        <f>"－"</f>
        <v>－</v>
      </c>
      <c r="J96" s="10"/>
      <c r="K96" s="11" t="n">
        <f>1747</f>
        <v>1747.0</v>
      </c>
    </row>
    <row r="97">
      <c r="A97" s="8" t="s">
        <v>28</v>
      </c>
      <c r="B97" s="9" t="s">
        <v>53</v>
      </c>
      <c r="C97" s="9" t="s">
        <v>54</v>
      </c>
      <c r="D97" s="10"/>
      <c r="E97" s="11" t="n">
        <f>220</f>
        <v>220.0</v>
      </c>
      <c r="F97" s="10"/>
      <c r="G97" s="11" t="n">
        <f>186776000</f>
        <v>1.86776E8</v>
      </c>
      <c r="H97" s="10"/>
      <c r="I97" s="11" t="str">
        <f>"－"</f>
        <v>－</v>
      </c>
      <c r="J97" s="10" t="s">
        <v>24</v>
      </c>
      <c r="K97" s="11" t="n">
        <f>1767</f>
        <v>1767.0</v>
      </c>
    </row>
    <row r="98">
      <c r="A98" s="8" t="s">
        <v>29</v>
      </c>
      <c r="B98" s="9" t="s">
        <v>53</v>
      </c>
      <c r="C98" s="9" t="s">
        <v>54</v>
      </c>
      <c r="D98" s="10"/>
      <c r="E98" s="11" t="n">
        <f>254</f>
        <v>254.0</v>
      </c>
      <c r="F98" s="10"/>
      <c r="G98" s="11" t="n">
        <f>217186000</f>
        <v>2.17186E8</v>
      </c>
      <c r="H98" s="10"/>
      <c r="I98" s="11" t="str">
        <f>"－"</f>
        <v>－</v>
      </c>
      <c r="J98" s="10"/>
      <c r="K98" s="11" t="n">
        <f>1696</f>
        <v>1696.0</v>
      </c>
    </row>
    <row r="99">
      <c r="A99" s="8" t="s">
        <v>30</v>
      </c>
      <c r="B99" s="9" t="s">
        <v>53</v>
      </c>
      <c r="C99" s="9" t="s">
        <v>54</v>
      </c>
      <c r="D99" s="10"/>
      <c r="E99" s="11" t="n">
        <f>102</f>
        <v>102.0</v>
      </c>
      <c r="F99" s="10"/>
      <c r="G99" s="11" t="n">
        <f>87895000</f>
        <v>8.7895E7</v>
      </c>
      <c r="H99" s="10"/>
      <c r="I99" s="11" t="str">
        <f>"－"</f>
        <v>－</v>
      </c>
      <c r="J99" s="10"/>
      <c r="K99" s="11" t="n">
        <f>1680</f>
        <v>1680.0</v>
      </c>
    </row>
    <row r="100">
      <c r="A100" s="8" t="s">
        <v>31</v>
      </c>
      <c r="B100" s="9" t="s">
        <v>53</v>
      </c>
      <c r="C100" s="9" t="s">
        <v>54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32</v>
      </c>
      <c r="B101" s="9" t="s">
        <v>53</v>
      </c>
      <c r="C101" s="9" t="s">
        <v>54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33</v>
      </c>
      <c r="B102" s="9" t="s">
        <v>53</v>
      </c>
      <c r="C102" s="9" t="s">
        <v>54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34</v>
      </c>
      <c r="B103" s="9" t="s">
        <v>53</v>
      </c>
      <c r="C103" s="9" t="s">
        <v>54</v>
      </c>
      <c r="D103" s="10"/>
      <c r="E103" s="11" t="n">
        <f>271</f>
        <v>271.0</v>
      </c>
      <c r="F103" s="10"/>
      <c r="G103" s="11" t="n">
        <f>236544000</f>
        <v>2.36544E8</v>
      </c>
      <c r="H103" s="10"/>
      <c r="I103" s="11" t="str">
        <f>"－"</f>
        <v>－</v>
      </c>
      <c r="J103" s="10"/>
      <c r="K103" s="11" t="n">
        <f>1690</f>
        <v>1690.0</v>
      </c>
    </row>
    <row r="104">
      <c r="A104" s="8" t="s">
        <v>35</v>
      </c>
      <c r="B104" s="9" t="s">
        <v>53</v>
      </c>
      <c r="C104" s="9" t="s">
        <v>54</v>
      </c>
      <c r="D104" s="10"/>
      <c r="E104" s="11" t="n">
        <f>163</f>
        <v>163.0</v>
      </c>
      <c r="F104" s="10"/>
      <c r="G104" s="11" t="n">
        <f>143295000</f>
        <v>1.43295E8</v>
      </c>
      <c r="H104" s="10"/>
      <c r="I104" s="11" t="str">
        <f>"－"</f>
        <v>－</v>
      </c>
      <c r="J104" s="10"/>
      <c r="K104" s="11" t="n">
        <f>1716</f>
        <v>1716.0</v>
      </c>
    </row>
    <row r="105">
      <c r="A105" s="8" t="s">
        <v>36</v>
      </c>
      <c r="B105" s="9" t="s">
        <v>53</v>
      </c>
      <c r="C105" s="9" t="s">
        <v>54</v>
      </c>
      <c r="D105" s="10"/>
      <c r="E105" s="11" t="n">
        <f>352</f>
        <v>352.0</v>
      </c>
      <c r="F105" s="10"/>
      <c r="G105" s="11" t="n">
        <f>304912000</f>
        <v>3.04912E8</v>
      </c>
      <c r="H105" s="10"/>
      <c r="I105" s="11" t="str">
        <f>"－"</f>
        <v>－</v>
      </c>
      <c r="J105" s="10"/>
      <c r="K105" s="11" t="n">
        <f>1672</f>
        <v>1672.0</v>
      </c>
    </row>
    <row r="106">
      <c r="A106" s="8" t="s">
        <v>37</v>
      </c>
      <c r="B106" s="9" t="s">
        <v>53</v>
      </c>
      <c r="C106" s="9" t="s">
        <v>54</v>
      </c>
      <c r="D106" s="10"/>
      <c r="E106" s="11" t="n">
        <f>176</f>
        <v>176.0</v>
      </c>
      <c r="F106" s="10"/>
      <c r="G106" s="11" t="n">
        <f>152851000</f>
        <v>1.52851E8</v>
      </c>
      <c r="H106" s="10"/>
      <c r="I106" s="11" t="str">
        <f>"－"</f>
        <v>－</v>
      </c>
      <c r="J106" s="10"/>
      <c r="K106" s="11" t="n">
        <f>1658</f>
        <v>1658.0</v>
      </c>
    </row>
    <row r="107">
      <c r="A107" s="8" t="s">
        <v>38</v>
      </c>
      <c r="B107" s="9" t="s">
        <v>53</v>
      </c>
      <c r="C107" s="9" t="s">
        <v>54</v>
      </c>
      <c r="D107" s="10"/>
      <c r="E107" s="11" t="n">
        <f>217</f>
        <v>217.0</v>
      </c>
      <c r="F107" s="10"/>
      <c r="G107" s="11" t="n">
        <f>189920000</f>
        <v>1.8992E8</v>
      </c>
      <c r="H107" s="10"/>
      <c r="I107" s="11" t="str">
        <f>"－"</f>
        <v>－</v>
      </c>
      <c r="J107" s="10"/>
      <c r="K107" s="11" t="n">
        <f>1634</f>
        <v>1634.0</v>
      </c>
    </row>
    <row r="108">
      <c r="A108" s="8" t="s">
        <v>39</v>
      </c>
      <c r="B108" s="9" t="s">
        <v>53</v>
      </c>
      <c r="C108" s="9" t="s">
        <v>54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40</v>
      </c>
      <c r="B109" s="9" t="s">
        <v>53</v>
      </c>
      <c r="C109" s="9" t="s">
        <v>54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41</v>
      </c>
      <c r="B110" s="9" t="s">
        <v>53</v>
      </c>
      <c r="C110" s="9" t="s">
        <v>54</v>
      </c>
      <c r="D110" s="10"/>
      <c r="E110" s="11" t="n">
        <f>335</f>
        <v>335.0</v>
      </c>
      <c r="F110" s="10"/>
      <c r="G110" s="11" t="n">
        <f>294087000</f>
        <v>2.94087E8</v>
      </c>
      <c r="H110" s="10"/>
      <c r="I110" s="11" t="str">
        <f>"－"</f>
        <v>－</v>
      </c>
      <c r="J110" s="10"/>
      <c r="K110" s="11" t="n">
        <f>1581</f>
        <v>1581.0</v>
      </c>
    </row>
    <row r="111">
      <c r="A111" s="8" t="s">
        <v>42</v>
      </c>
      <c r="B111" s="9" t="s">
        <v>53</v>
      </c>
      <c r="C111" s="9" t="s">
        <v>54</v>
      </c>
      <c r="D111" s="10"/>
      <c r="E111" s="11" t="n">
        <f>263</f>
        <v>263.0</v>
      </c>
      <c r="F111" s="10"/>
      <c r="G111" s="11" t="n">
        <f>232591000</f>
        <v>2.32591E8</v>
      </c>
      <c r="H111" s="10"/>
      <c r="I111" s="11" t="str">
        <f>"－"</f>
        <v>－</v>
      </c>
      <c r="J111" s="10"/>
      <c r="K111" s="11" t="n">
        <f>1601</f>
        <v>1601.0</v>
      </c>
    </row>
    <row r="112">
      <c r="A112" s="8" t="s">
        <v>43</v>
      </c>
      <c r="B112" s="9" t="s">
        <v>53</v>
      </c>
      <c r="C112" s="9" t="s">
        <v>54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44</v>
      </c>
      <c r="B113" s="9" t="s">
        <v>53</v>
      </c>
      <c r="C113" s="9" t="s">
        <v>54</v>
      </c>
      <c r="D113" s="10" t="s">
        <v>24</v>
      </c>
      <c r="E113" s="11" t="n">
        <f>604</f>
        <v>604.0</v>
      </c>
      <c r="F113" s="10"/>
      <c r="G113" s="11" t="n">
        <f>542964000</f>
        <v>5.42964E8</v>
      </c>
      <c r="H113" s="10"/>
      <c r="I113" s="11" t="str">
        <f>"－"</f>
        <v>－</v>
      </c>
      <c r="J113" s="10" t="s">
        <v>21</v>
      </c>
      <c r="K113" s="11" t="n">
        <f>1575</f>
        <v>1575.0</v>
      </c>
    </row>
    <row r="114">
      <c r="A114" s="8" t="s">
        <v>45</v>
      </c>
      <c r="B114" s="9" t="s">
        <v>53</v>
      </c>
      <c r="C114" s="9" t="s">
        <v>54</v>
      </c>
      <c r="D114" s="10"/>
      <c r="E114" s="11" t="n">
        <f>597</f>
        <v>597.0</v>
      </c>
      <c r="F114" s="10" t="s">
        <v>24</v>
      </c>
      <c r="G114" s="11" t="n">
        <f>547850000</f>
        <v>5.4785E8</v>
      </c>
      <c r="H114" s="10"/>
      <c r="I114" s="11" t="str">
        <f>"－"</f>
        <v>－</v>
      </c>
      <c r="J114" s="10"/>
      <c r="K114" s="11" t="n">
        <f>1589</f>
        <v>1589.0</v>
      </c>
    </row>
    <row r="115">
      <c r="A115" s="8" t="s">
        <v>46</v>
      </c>
      <c r="B115" s="9" t="s">
        <v>53</v>
      </c>
      <c r="C115" s="9" t="s">
        <v>54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47</v>
      </c>
      <c r="B116" s="9" t="s">
        <v>53</v>
      </c>
      <c r="C116" s="9" t="s">
        <v>54</v>
      </c>
      <c r="D116" s="10"/>
      <c r="E116" s="11"/>
      <c r="F116" s="10"/>
      <c r="G116" s="11"/>
      <c r="H116" s="10"/>
      <c r="I116" s="11"/>
      <c r="J116" s="10"/>
      <c r="K116" s="11"/>
    </row>
    <row r="117">
      <c r="A117" s="8" t="s">
        <v>48</v>
      </c>
      <c r="B117" s="9" t="s">
        <v>53</v>
      </c>
      <c r="C117" s="9" t="s">
        <v>54</v>
      </c>
      <c r="D117" s="10"/>
      <c r="E117" s="11" t="n">
        <f>330</f>
        <v>330.0</v>
      </c>
      <c r="F117" s="10"/>
      <c r="G117" s="11" t="n">
        <f>298132000</f>
        <v>2.98132E8</v>
      </c>
      <c r="H117" s="10"/>
      <c r="I117" s="11" t="str">
        <f>"－"</f>
        <v>－</v>
      </c>
      <c r="J117" s="10"/>
      <c r="K117" s="11" t="n">
        <f>1648</f>
        <v>1648.0</v>
      </c>
    </row>
    <row r="118">
      <c r="A118" s="8" t="s">
        <v>16</v>
      </c>
      <c r="B118" s="9" t="s">
        <v>55</v>
      </c>
      <c r="C118" s="9" t="s">
        <v>56</v>
      </c>
      <c r="D118" s="10" t="s">
        <v>21</v>
      </c>
      <c r="E118" s="11" t="n">
        <f>6084</f>
        <v>6084.0</v>
      </c>
      <c r="F118" s="10" t="s">
        <v>21</v>
      </c>
      <c r="G118" s="11" t="n">
        <f>11399228500</f>
        <v>1.13992285E10</v>
      </c>
      <c r="H118" s="10" t="s">
        <v>21</v>
      </c>
      <c r="I118" s="11" t="str">
        <f>"－"</f>
        <v>－</v>
      </c>
      <c r="J118" s="10" t="s">
        <v>24</v>
      </c>
      <c r="K118" s="11" t="n">
        <f>34125</f>
        <v>34125.0</v>
      </c>
    </row>
    <row r="119">
      <c r="A119" s="8" t="s">
        <v>20</v>
      </c>
      <c r="B119" s="9" t="s">
        <v>55</v>
      </c>
      <c r="C119" s="9" t="s">
        <v>56</v>
      </c>
      <c r="D119" s="10"/>
      <c r="E119" s="11" t="n">
        <f>7103</f>
        <v>7103.0</v>
      </c>
      <c r="F119" s="10"/>
      <c r="G119" s="11" t="n">
        <f>13411183000</f>
        <v>1.3411183E10</v>
      </c>
      <c r="H119" s="10"/>
      <c r="I119" s="11" t="str">
        <f>"－"</f>
        <v>－</v>
      </c>
      <c r="J119" s="10"/>
      <c r="K119" s="11" t="n">
        <f>33942</f>
        <v>33942.0</v>
      </c>
    </row>
    <row r="120">
      <c r="A120" s="8" t="s">
        <v>22</v>
      </c>
      <c r="B120" s="9" t="s">
        <v>55</v>
      </c>
      <c r="C120" s="9" t="s">
        <v>56</v>
      </c>
      <c r="D120" s="10"/>
      <c r="E120" s="11" t="n">
        <f>6768</f>
        <v>6768.0</v>
      </c>
      <c r="F120" s="10"/>
      <c r="G120" s="11" t="n">
        <f>12774185000</f>
        <v>1.2774185E10</v>
      </c>
      <c r="H120" s="10"/>
      <c r="I120" s="11" t="str">
        <f>"－"</f>
        <v>－</v>
      </c>
      <c r="J120" s="10"/>
      <c r="K120" s="11" t="n">
        <f>33887</f>
        <v>33887.0</v>
      </c>
    </row>
    <row r="121">
      <c r="A121" s="8" t="s">
        <v>23</v>
      </c>
      <c r="B121" s="9" t="s">
        <v>55</v>
      </c>
      <c r="C121" s="9" t="s">
        <v>56</v>
      </c>
      <c r="D121" s="10"/>
      <c r="E121" s="11" t="n">
        <f>7379</f>
        <v>7379.0</v>
      </c>
      <c r="F121" s="10"/>
      <c r="G121" s="11" t="n">
        <f>13910209500</f>
        <v>1.39102095E10</v>
      </c>
      <c r="H121" s="10"/>
      <c r="I121" s="11" t="str">
        <f>"－"</f>
        <v>－</v>
      </c>
      <c r="J121" s="10"/>
      <c r="K121" s="11" t="n">
        <f>33854</f>
        <v>33854.0</v>
      </c>
    </row>
    <row r="122">
      <c r="A122" s="8" t="s">
        <v>25</v>
      </c>
      <c r="B122" s="9" t="s">
        <v>55</v>
      </c>
      <c r="C122" s="9" t="s">
        <v>56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26</v>
      </c>
      <c r="B123" s="9" t="s">
        <v>55</v>
      </c>
      <c r="C123" s="9" t="s">
        <v>56</v>
      </c>
      <c r="D123" s="10"/>
      <c r="E123" s="11"/>
      <c r="F123" s="10"/>
      <c r="G123" s="11"/>
      <c r="H123" s="10"/>
      <c r="I123" s="11"/>
      <c r="J123" s="10"/>
      <c r="K123" s="11"/>
    </row>
    <row r="124">
      <c r="A124" s="8" t="s">
        <v>27</v>
      </c>
      <c r="B124" s="9" t="s">
        <v>55</v>
      </c>
      <c r="C124" s="9" t="s">
        <v>56</v>
      </c>
      <c r="D124" s="10"/>
      <c r="E124" s="11" t="n">
        <f>8286</f>
        <v>8286.0</v>
      </c>
      <c r="F124" s="10"/>
      <c r="G124" s="11" t="n">
        <f>15564652500</f>
        <v>1.55646525E10</v>
      </c>
      <c r="H124" s="10"/>
      <c r="I124" s="11" t="str">
        <f>"－"</f>
        <v>－</v>
      </c>
      <c r="J124" s="10"/>
      <c r="K124" s="11" t="n">
        <f>33863</f>
        <v>33863.0</v>
      </c>
    </row>
    <row r="125">
      <c r="A125" s="8" t="s">
        <v>28</v>
      </c>
      <c r="B125" s="9" t="s">
        <v>55</v>
      </c>
      <c r="C125" s="9" t="s">
        <v>56</v>
      </c>
      <c r="D125" s="10"/>
      <c r="E125" s="11" t="n">
        <f>7197</f>
        <v>7197.0</v>
      </c>
      <c r="F125" s="10"/>
      <c r="G125" s="11" t="n">
        <f>13453861500</f>
        <v>1.34538615E10</v>
      </c>
      <c r="H125" s="10"/>
      <c r="I125" s="11" t="str">
        <f>"－"</f>
        <v>－</v>
      </c>
      <c r="J125" s="10"/>
      <c r="K125" s="11" t="n">
        <f>33559</f>
        <v>33559.0</v>
      </c>
    </row>
    <row r="126">
      <c r="A126" s="8" t="s">
        <v>29</v>
      </c>
      <c r="B126" s="9" t="s">
        <v>55</v>
      </c>
      <c r="C126" s="9" t="s">
        <v>56</v>
      </c>
      <c r="D126" s="10"/>
      <c r="E126" s="11" t="n">
        <f>11062</f>
        <v>11062.0</v>
      </c>
      <c r="F126" s="10"/>
      <c r="G126" s="11" t="n">
        <f>20850303500</f>
        <v>2.08503035E10</v>
      </c>
      <c r="H126" s="10"/>
      <c r="I126" s="11" t="str">
        <f>"－"</f>
        <v>－</v>
      </c>
      <c r="J126" s="10"/>
      <c r="K126" s="11" t="n">
        <f>33247</f>
        <v>33247.0</v>
      </c>
    </row>
    <row r="127">
      <c r="A127" s="8" t="s">
        <v>30</v>
      </c>
      <c r="B127" s="9" t="s">
        <v>55</v>
      </c>
      <c r="C127" s="9" t="s">
        <v>56</v>
      </c>
      <c r="D127" s="10"/>
      <c r="E127" s="11" t="n">
        <f>7669</f>
        <v>7669.0</v>
      </c>
      <c r="F127" s="10"/>
      <c r="G127" s="11" t="n">
        <f>14539697000</f>
        <v>1.4539697E10</v>
      </c>
      <c r="H127" s="10"/>
      <c r="I127" s="11" t="n">
        <f>1</f>
        <v>1.0</v>
      </c>
      <c r="J127" s="10"/>
      <c r="K127" s="11" t="n">
        <f>33348</f>
        <v>33348.0</v>
      </c>
    </row>
    <row r="128">
      <c r="A128" s="8" t="s">
        <v>31</v>
      </c>
      <c r="B128" s="9" t="s">
        <v>55</v>
      </c>
      <c r="C128" s="9" t="s">
        <v>56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32</v>
      </c>
      <c r="B129" s="9" t="s">
        <v>55</v>
      </c>
      <c r="C129" s="9" t="s">
        <v>56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33</v>
      </c>
      <c r="B130" s="9" t="s">
        <v>55</v>
      </c>
      <c r="C130" s="9" t="s">
        <v>56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34</v>
      </c>
      <c r="B131" s="9" t="s">
        <v>55</v>
      </c>
      <c r="C131" s="9" t="s">
        <v>56</v>
      </c>
      <c r="D131" s="10"/>
      <c r="E131" s="11" t="n">
        <f>12557</f>
        <v>12557.0</v>
      </c>
      <c r="F131" s="10"/>
      <c r="G131" s="11" t="n">
        <f>23935304500</f>
        <v>2.39353045E10</v>
      </c>
      <c r="H131" s="10"/>
      <c r="I131" s="11" t="str">
        <f>"－"</f>
        <v>－</v>
      </c>
      <c r="J131" s="10"/>
      <c r="K131" s="11" t="n">
        <f>32898</f>
        <v>32898.0</v>
      </c>
    </row>
    <row r="132">
      <c r="A132" s="8" t="s">
        <v>35</v>
      </c>
      <c r="B132" s="9" t="s">
        <v>55</v>
      </c>
      <c r="C132" s="9" t="s">
        <v>56</v>
      </c>
      <c r="D132" s="10"/>
      <c r="E132" s="11" t="n">
        <f>9031</f>
        <v>9031.0</v>
      </c>
      <c r="F132" s="10"/>
      <c r="G132" s="11" t="n">
        <f>17072137000</f>
        <v>1.7072137E10</v>
      </c>
      <c r="H132" s="10" t="s">
        <v>24</v>
      </c>
      <c r="I132" s="11" t="n">
        <f>2</f>
        <v>2.0</v>
      </c>
      <c r="J132" s="10"/>
      <c r="K132" s="11" t="n">
        <f>32262</f>
        <v>32262.0</v>
      </c>
    </row>
    <row r="133">
      <c r="A133" s="8" t="s">
        <v>36</v>
      </c>
      <c r="B133" s="9" t="s">
        <v>55</v>
      </c>
      <c r="C133" s="9" t="s">
        <v>56</v>
      </c>
      <c r="D133" s="10"/>
      <c r="E133" s="11" t="n">
        <f>8899</f>
        <v>8899.0</v>
      </c>
      <c r="F133" s="10"/>
      <c r="G133" s="11" t="n">
        <f>16714874500</f>
        <v>1.67148745E10</v>
      </c>
      <c r="H133" s="10"/>
      <c r="I133" s="11" t="str">
        <f>"－"</f>
        <v>－</v>
      </c>
      <c r="J133" s="10"/>
      <c r="K133" s="11" t="n">
        <f>31499</f>
        <v>31499.0</v>
      </c>
    </row>
    <row r="134">
      <c r="A134" s="8" t="s">
        <v>37</v>
      </c>
      <c r="B134" s="9" t="s">
        <v>55</v>
      </c>
      <c r="C134" s="9" t="s">
        <v>56</v>
      </c>
      <c r="D134" s="10"/>
      <c r="E134" s="11" t="n">
        <f>16211</f>
        <v>16211.0</v>
      </c>
      <c r="F134" s="10"/>
      <c r="G134" s="11" t="n">
        <f>31255596000</f>
        <v>3.1255596E10</v>
      </c>
      <c r="H134" s="10"/>
      <c r="I134" s="11" t="str">
        <f>"－"</f>
        <v>－</v>
      </c>
      <c r="J134" s="10"/>
      <c r="K134" s="11" t="n">
        <f>31304</f>
        <v>31304.0</v>
      </c>
    </row>
    <row r="135">
      <c r="A135" s="8" t="s">
        <v>38</v>
      </c>
      <c r="B135" s="9" t="s">
        <v>55</v>
      </c>
      <c r="C135" s="9" t="s">
        <v>56</v>
      </c>
      <c r="D135" s="10"/>
      <c r="E135" s="11" t="n">
        <f>15722</f>
        <v>15722.0</v>
      </c>
      <c r="F135" s="10"/>
      <c r="G135" s="11" t="n">
        <f>31174867000</f>
        <v>3.1174867E10</v>
      </c>
      <c r="H135" s="10"/>
      <c r="I135" s="11" t="str">
        <f>"－"</f>
        <v>－</v>
      </c>
      <c r="J135" s="10"/>
      <c r="K135" s="11" t="n">
        <f>30623</f>
        <v>30623.0</v>
      </c>
    </row>
    <row r="136">
      <c r="A136" s="8" t="s">
        <v>39</v>
      </c>
      <c r="B136" s="9" t="s">
        <v>55</v>
      </c>
      <c r="C136" s="9" t="s">
        <v>56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40</v>
      </c>
      <c r="B137" s="9" t="s">
        <v>55</v>
      </c>
      <c r="C137" s="9" t="s">
        <v>56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41</v>
      </c>
      <c r="B138" s="9" t="s">
        <v>55</v>
      </c>
      <c r="C138" s="9" t="s">
        <v>56</v>
      </c>
      <c r="D138" s="10"/>
      <c r="E138" s="11" t="n">
        <f>11527</f>
        <v>11527.0</v>
      </c>
      <c r="F138" s="10"/>
      <c r="G138" s="11" t="n">
        <f>22690566500</f>
        <v>2.26905665E10</v>
      </c>
      <c r="H138" s="10"/>
      <c r="I138" s="11" t="str">
        <f>"－"</f>
        <v>－</v>
      </c>
      <c r="J138" s="10"/>
      <c r="K138" s="11" t="n">
        <f>30362</f>
        <v>30362.0</v>
      </c>
    </row>
    <row r="139">
      <c r="A139" s="8" t="s">
        <v>42</v>
      </c>
      <c r="B139" s="9" t="s">
        <v>55</v>
      </c>
      <c r="C139" s="9" t="s">
        <v>56</v>
      </c>
      <c r="D139" s="10"/>
      <c r="E139" s="11" t="n">
        <f>7719</f>
        <v>7719.0</v>
      </c>
      <c r="F139" s="10"/>
      <c r="G139" s="11" t="n">
        <f>15217824500</f>
        <v>1.52178245E10</v>
      </c>
      <c r="H139" s="10"/>
      <c r="I139" s="11" t="str">
        <f>"－"</f>
        <v>－</v>
      </c>
      <c r="J139" s="10"/>
      <c r="K139" s="11" t="n">
        <f>30587</f>
        <v>30587.0</v>
      </c>
    </row>
    <row r="140">
      <c r="A140" s="8" t="s">
        <v>43</v>
      </c>
      <c r="B140" s="9" t="s">
        <v>55</v>
      </c>
      <c r="C140" s="9" t="s">
        <v>56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44</v>
      </c>
      <c r="B141" s="9" t="s">
        <v>55</v>
      </c>
      <c r="C141" s="9" t="s">
        <v>56</v>
      </c>
      <c r="D141" s="10"/>
      <c r="E141" s="11" t="n">
        <f>14730</f>
        <v>14730.0</v>
      </c>
      <c r="F141" s="10"/>
      <c r="G141" s="11" t="n">
        <f>29392942000</f>
        <v>2.9392942E10</v>
      </c>
      <c r="H141" s="10"/>
      <c r="I141" s="11" t="str">
        <f>"－"</f>
        <v>－</v>
      </c>
      <c r="J141" s="10" t="s">
        <v>21</v>
      </c>
      <c r="K141" s="11" t="n">
        <f>29672</f>
        <v>29672.0</v>
      </c>
    </row>
    <row r="142">
      <c r="A142" s="8" t="s">
        <v>45</v>
      </c>
      <c r="B142" s="9" t="s">
        <v>55</v>
      </c>
      <c r="C142" s="9" t="s">
        <v>56</v>
      </c>
      <c r="D142" s="10" t="s">
        <v>24</v>
      </c>
      <c r="E142" s="11" t="n">
        <f>23856</f>
        <v>23856.0</v>
      </c>
      <c r="F142" s="10" t="s">
        <v>24</v>
      </c>
      <c r="G142" s="11" t="n">
        <f>47337998000</f>
        <v>4.7337998E10</v>
      </c>
      <c r="H142" s="10"/>
      <c r="I142" s="11" t="str">
        <f>"－"</f>
        <v>－</v>
      </c>
      <c r="J142" s="10"/>
      <c r="K142" s="11" t="n">
        <f>29950</f>
        <v>29950.0</v>
      </c>
    </row>
    <row r="143">
      <c r="A143" s="8" t="s">
        <v>46</v>
      </c>
      <c r="B143" s="9" t="s">
        <v>55</v>
      </c>
      <c r="C143" s="9" t="s">
        <v>56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47</v>
      </c>
      <c r="B144" s="9" t="s">
        <v>55</v>
      </c>
      <c r="C144" s="9" t="s">
        <v>56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48</v>
      </c>
      <c r="B145" s="9" t="s">
        <v>55</v>
      </c>
      <c r="C145" s="9" t="s">
        <v>56</v>
      </c>
      <c r="D145" s="10"/>
      <c r="E145" s="11" t="n">
        <f>10103</f>
        <v>10103.0</v>
      </c>
      <c r="F145" s="10"/>
      <c r="G145" s="11" t="n">
        <f>19575628000</f>
        <v>1.9575628E10</v>
      </c>
      <c r="H145" s="10"/>
      <c r="I145" s="11" t="n">
        <f>1</f>
        <v>1.0</v>
      </c>
      <c r="J145" s="10"/>
      <c r="K145" s="11" t="n">
        <f>29711</f>
        <v>29711.0</v>
      </c>
    </row>
    <row r="146">
      <c r="A146" s="8" t="s">
        <v>16</v>
      </c>
      <c r="B146" s="9" t="s">
        <v>57</v>
      </c>
      <c r="C146" s="9" t="s">
        <v>58</v>
      </c>
      <c r="D146" s="10"/>
      <c r="E146" s="11" t="n">
        <f>2356</f>
        <v>2356.0</v>
      </c>
      <c r="F146" s="10"/>
      <c r="G146" s="11" t="n">
        <f>882637000</f>
        <v>8.82637E8</v>
      </c>
      <c r="H146" s="10" t="s">
        <v>19</v>
      </c>
      <c r="I146" s="11" t="str">
        <f>"－"</f>
        <v>－</v>
      </c>
      <c r="J146" s="10"/>
      <c r="K146" s="11" t="n">
        <f>3332</f>
        <v>3332.0</v>
      </c>
    </row>
    <row r="147">
      <c r="A147" s="8" t="s">
        <v>20</v>
      </c>
      <c r="B147" s="9" t="s">
        <v>57</v>
      </c>
      <c r="C147" s="9" t="s">
        <v>58</v>
      </c>
      <c r="D147" s="10"/>
      <c r="E147" s="11" t="n">
        <f>1369</f>
        <v>1369.0</v>
      </c>
      <c r="F147" s="10"/>
      <c r="G147" s="11" t="n">
        <f>516863400</f>
        <v>5.168634E8</v>
      </c>
      <c r="H147" s="10"/>
      <c r="I147" s="11" t="str">
        <f>"－"</f>
        <v>－</v>
      </c>
      <c r="J147" s="10"/>
      <c r="K147" s="11" t="n">
        <f>3394</f>
        <v>3394.0</v>
      </c>
    </row>
    <row r="148">
      <c r="A148" s="8" t="s">
        <v>22</v>
      </c>
      <c r="B148" s="9" t="s">
        <v>57</v>
      </c>
      <c r="C148" s="9" t="s">
        <v>58</v>
      </c>
      <c r="D148" s="10"/>
      <c r="E148" s="11" t="n">
        <f>2703</f>
        <v>2703.0</v>
      </c>
      <c r="F148" s="10"/>
      <c r="G148" s="11" t="n">
        <f>1018493100</f>
        <v>1.0184931E9</v>
      </c>
      <c r="H148" s="10"/>
      <c r="I148" s="11" t="str">
        <f>"－"</f>
        <v>－</v>
      </c>
      <c r="J148" s="10"/>
      <c r="K148" s="11" t="n">
        <f>3325</f>
        <v>3325.0</v>
      </c>
    </row>
    <row r="149">
      <c r="A149" s="8" t="s">
        <v>23</v>
      </c>
      <c r="B149" s="9" t="s">
        <v>57</v>
      </c>
      <c r="C149" s="9" t="s">
        <v>58</v>
      </c>
      <c r="D149" s="10"/>
      <c r="E149" s="11" t="n">
        <f>3317</f>
        <v>3317.0</v>
      </c>
      <c r="F149" s="10"/>
      <c r="G149" s="11" t="n">
        <f>1248686200</f>
        <v>1.2486862E9</v>
      </c>
      <c r="H149" s="10"/>
      <c r="I149" s="11" t="str">
        <f>"－"</f>
        <v>－</v>
      </c>
      <c r="J149" s="10" t="s">
        <v>24</v>
      </c>
      <c r="K149" s="11" t="n">
        <f>3421</f>
        <v>3421.0</v>
      </c>
    </row>
    <row r="150">
      <c r="A150" s="8" t="s">
        <v>25</v>
      </c>
      <c r="B150" s="9" t="s">
        <v>57</v>
      </c>
      <c r="C150" s="9" t="s">
        <v>58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26</v>
      </c>
      <c r="B151" s="9" t="s">
        <v>57</v>
      </c>
      <c r="C151" s="9" t="s">
        <v>58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27</v>
      </c>
      <c r="B152" s="9" t="s">
        <v>57</v>
      </c>
      <c r="C152" s="9" t="s">
        <v>58</v>
      </c>
      <c r="D152" s="10"/>
      <c r="E152" s="11" t="n">
        <f>3095</f>
        <v>3095.0</v>
      </c>
      <c r="F152" s="10"/>
      <c r="G152" s="11" t="n">
        <f>1161678600</f>
        <v>1.1616786E9</v>
      </c>
      <c r="H152" s="10"/>
      <c r="I152" s="11" t="str">
        <f>"－"</f>
        <v>－</v>
      </c>
      <c r="J152" s="10"/>
      <c r="K152" s="11" t="n">
        <f>3222</f>
        <v>3222.0</v>
      </c>
    </row>
    <row r="153">
      <c r="A153" s="8" t="s">
        <v>28</v>
      </c>
      <c r="B153" s="9" t="s">
        <v>57</v>
      </c>
      <c r="C153" s="9" t="s">
        <v>58</v>
      </c>
      <c r="D153" s="10"/>
      <c r="E153" s="11" t="n">
        <f>1738</f>
        <v>1738.0</v>
      </c>
      <c r="F153" s="10"/>
      <c r="G153" s="11" t="n">
        <f>649794300</f>
        <v>6.497943E8</v>
      </c>
      <c r="H153" s="10"/>
      <c r="I153" s="11" t="str">
        <f>"－"</f>
        <v>－</v>
      </c>
      <c r="J153" s="10"/>
      <c r="K153" s="11" t="n">
        <f>3308</f>
        <v>3308.0</v>
      </c>
    </row>
    <row r="154">
      <c r="A154" s="8" t="s">
        <v>29</v>
      </c>
      <c r="B154" s="9" t="s">
        <v>57</v>
      </c>
      <c r="C154" s="9" t="s">
        <v>58</v>
      </c>
      <c r="D154" s="10"/>
      <c r="E154" s="11" t="n">
        <f>2510</f>
        <v>2510.0</v>
      </c>
      <c r="F154" s="10"/>
      <c r="G154" s="11" t="n">
        <f>945428200</f>
        <v>9.454282E8</v>
      </c>
      <c r="H154" s="10"/>
      <c r="I154" s="11" t="str">
        <f>"－"</f>
        <v>－</v>
      </c>
      <c r="J154" s="10"/>
      <c r="K154" s="11" t="n">
        <f>3387</f>
        <v>3387.0</v>
      </c>
    </row>
    <row r="155">
      <c r="A155" s="8" t="s">
        <v>30</v>
      </c>
      <c r="B155" s="9" t="s">
        <v>57</v>
      </c>
      <c r="C155" s="9" t="s">
        <v>58</v>
      </c>
      <c r="D155" s="10" t="s">
        <v>21</v>
      </c>
      <c r="E155" s="11" t="n">
        <f>1293</f>
        <v>1293.0</v>
      </c>
      <c r="F155" s="10" t="s">
        <v>21</v>
      </c>
      <c r="G155" s="11" t="n">
        <f>490017800</f>
        <v>4.900178E8</v>
      </c>
      <c r="H155" s="10"/>
      <c r="I155" s="11" t="str">
        <f>"－"</f>
        <v>－</v>
      </c>
      <c r="J155" s="10"/>
      <c r="K155" s="11" t="n">
        <f>3381</f>
        <v>3381.0</v>
      </c>
    </row>
    <row r="156">
      <c r="A156" s="8" t="s">
        <v>31</v>
      </c>
      <c r="B156" s="9" t="s">
        <v>57</v>
      </c>
      <c r="C156" s="9" t="s">
        <v>58</v>
      </c>
      <c r="D156" s="10"/>
      <c r="E156" s="11"/>
      <c r="F156" s="10"/>
      <c r="G156" s="11"/>
      <c r="H156" s="10"/>
      <c r="I156" s="11"/>
      <c r="J156" s="10"/>
      <c r="K156" s="11"/>
    </row>
    <row r="157">
      <c r="A157" s="8" t="s">
        <v>32</v>
      </c>
      <c r="B157" s="9" t="s">
        <v>57</v>
      </c>
      <c r="C157" s="9" t="s">
        <v>58</v>
      </c>
      <c r="D157" s="10"/>
      <c r="E157" s="11"/>
      <c r="F157" s="10"/>
      <c r="G157" s="11"/>
      <c r="H157" s="10"/>
      <c r="I157" s="11"/>
      <c r="J157" s="10"/>
      <c r="K157" s="11"/>
    </row>
    <row r="158">
      <c r="A158" s="8" t="s">
        <v>33</v>
      </c>
      <c r="B158" s="9" t="s">
        <v>57</v>
      </c>
      <c r="C158" s="9" t="s">
        <v>58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34</v>
      </c>
      <c r="B159" s="9" t="s">
        <v>57</v>
      </c>
      <c r="C159" s="9" t="s">
        <v>58</v>
      </c>
      <c r="D159" s="10"/>
      <c r="E159" s="11" t="n">
        <f>2086</f>
        <v>2086.0</v>
      </c>
      <c r="F159" s="10"/>
      <c r="G159" s="11" t="n">
        <f>792123400</f>
        <v>7.921234E8</v>
      </c>
      <c r="H159" s="10"/>
      <c r="I159" s="11" t="str">
        <f>"－"</f>
        <v>－</v>
      </c>
      <c r="J159" s="10"/>
      <c r="K159" s="11" t="n">
        <f>3379</f>
        <v>3379.0</v>
      </c>
    </row>
    <row r="160">
      <c r="A160" s="8" t="s">
        <v>35</v>
      </c>
      <c r="B160" s="9" t="s">
        <v>57</v>
      </c>
      <c r="C160" s="9" t="s">
        <v>58</v>
      </c>
      <c r="D160" s="10"/>
      <c r="E160" s="11" t="n">
        <f>3589</f>
        <v>3589.0</v>
      </c>
      <c r="F160" s="10"/>
      <c r="G160" s="11" t="n">
        <f>1356469300</f>
        <v>1.3564693E9</v>
      </c>
      <c r="H160" s="10"/>
      <c r="I160" s="11" t="str">
        <f>"－"</f>
        <v>－</v>
      </c>
      <c r="J160" s="10"/>
      <c r="K160" s="11" t="n">
        <f>3112</f>
        <v>3112.0</v>
      </c>
    </row>
    <row r="161">
      <c r="A161" s="8" t="s">
        <v>36</v>
      </c>
      <c r="B161" s="9" t="s">
        <v>57</v>
      </c>
      <c r="C161" s="9" t="s">
        <v>58</v>
      </c>
      <c r="D161" s="10"/>
      <c r="E161" s="11" t="n">
        <f>3197</f>
        <v>3197.0</v>
      </c>
      <c r="F161" s="10"/>
      <c r="G161" s="11" t="n">
        <f>1200882100</f>
        <v>1.2008821E9</v>
      </c>
      <c r="H161" s="10"/>
      <c r="I161" s="11" t="str">
        <f>"－"</f>
        <v>－</v>
      </c>
      <c r="J161" s="10"/>
      <c r="K161" s="11" t="n">
        <f>2921</f>
        <v>2921.0</v>
      </c>
    </row>
    <row r="162">
      <c r="A162" s="8" t="s">
        <v>37</v>
      </c>
      <c r="B162" s="9" t="s">
        <v>57</v>
      </c>
      <c r="C162" s="9" t="s">
        <v>58</v>
      </c>
      <c r="D162" s="10"/>
      <c r="E162" s="11" t="n">
        <f>2645</f>
        <v>2645.0</v>
      </c>
      <c r="F162" s="10"/>
      <c r="G162" s="11" t="n">
        <f>1015644700</f>
        <v>1.0156447E9</v>
      </c>
      <c r="H162" s="10"/>
      <c r="I162" s="11" t="str">
        <f>"－"</f>
        <v>－</v>
      </c>
      <c r="J162" s="10"/>
      <c r="K162" s="11" t="n">
        <f>3072</f>
        <v>3072.0</v>
      </c>
    </row>
    <row r="163">
      <c r="A163" s="8" t="s">
        <v>38</v>
      </c>
      <c r="B163" s="9" t="s">
        <v>57</v>
      </c>
      <c r="C163" s="9" t="s">
        <v>58</v>
      </c>
      <c r="D163" s="10"/>
      <c r="E163" s="11" t="n">
        <f>2189</f>
        <v>2189.0</v>
      </c>
      <c r="F163" s="10"/>
      <c r="G163" s="11" t="n">
        <f>866120700</f>
        <v>8.661207E8</v>
      </c>
      <c r="H163" s="10"/>
      <c r="I163" s="11" t="str">
        <f>"－"</f>
        <v>－</v>
      </c>
      <c r="J163" s="10"/>
      <c r="K163" s="11" t="n">
        <f>2948</f>
        <v>2948.0</v>
      </c>
    </row>
    <row r="164">
      <c r="A164" s="8" t="s">
        <v>39</v>
      </c>
      <c r="B164" s="9" t="s">
        <v>57</v>
      </c>
      <c r="C164" s="9" t="s">
        <v>58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40</v>
      </c>
      <c r="B165" s="9" t="s">
        <v>57</v>
      </c>
      <c r="C165" s="9" t="s">
        <v>58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41</v>
      </c>
      <c r="B166" s="9" t="s">
        <v>57</v>
      </c>
      <c r="C166" s="9" t="s">
        <v>58</v>
      </c>
      <c r="D166" s="10"/>
      <c r="E166" s="11" t="n">
        <f>3243</f>
        <v>3243.0</v>
      </c>
      <c r="F166" s="10"/>
      <c r="G166" s="11" t="n">
        <f>1278701400</f>
        <v>1.2787014E9</v>
      </c>
      <c r="H166" s="10"/>
      <c r="I166" s="11" t="str">
        <f>"－"</f>
        <v>－</v>
      </c>
      <c r="J166" s="10"/>
      <c r="K166" s="11" t="n">
        <f>3012</f>
        <v>3012.0</v>
      </c>
    </row>
    <row r="167">
      <c r="A167" s="8" t="s">
        <v>42</v>
      </c>
      <c r="B167" s="9" t="s">
        <v>57</v>
      </c>
      <c r="C167" s="9" t="s">
        <v>58</v>
      </c>
      <c r="D167" s="10"/>
      <c r="E167" s="11" t="n">
        <f>2157</f>
        <v>2157.0</v>
      </c>
      <c r="F167" s="10"/>
      <c r="G167" s="11" t="n">
        <f>849320400</f>
        <v>8.493204E8</v>
      </c>
      <c r="H167" s="10"/>
      <c r="I167" s="11" t="str">
        <f>"－"</f>
        <v>－</v>
      </c>
      <c r="J167" s="10"/>
      <c r="K167" s="11" t="n">
        <f>2925</f>
        <v>2925.0</v>
      </c>
    </row>
    <row r="168">
      <c r="A168" s="8" t="s">
        <v>43</v>
      </c>
      <c r="B168" s="9" t="s">
        <v>57</v>
      </c>
      <c r="C168" s="9" t="s">
        <v>58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44</v>
      </c>
      <c r="B169" s="9" t="s">
        <v>57</v>
      </c>
      <c r="C169" s="9" t="s">
        <v>58</v>
      </c>
      <c r="D169" s="10"/>
      <c r="E169" s="11" t="n">
        <f>3353</f>
        <v>3353.0</v>
      </c>
      <c r="F169" s="10"/>
      <c r="G169" s="11" t="n">
        <f>1334220400</f>
        <v>1.3342204E9</v>
      </c>
      <c r="H169" s="10"/>
      <c r="I169" s="11" t="str">
        <f>"－"</f>
        <v>－</v>
      </c>
      <c r="J169" s="10" t="s">
        <v>21</v>
      </c>
      <c r="K169" s="11" t="n">
        <f>2657</f>
        <v>2657.0</v>
      </c>
    </row>
    <row r="170">
      <c r="A170" s="8" t="s">
        <v>45</v>
      </c>
      <c r="B170" s="9" t="s">
        <v>57</v>
      </c>
      <c r="C170" s="9" t="s">
        <v>58</v>
      </c>
      <c r="D170" s="10" t="s">
        <v>24</v>
      </c>
      <c r="E170" s="11" t="n">
        <f>4485</f>
        <v>4485.0</v>
      </c>
      <c r="F170" s="10" t="s">
        <v>24</v>
      </c>
      <c r="G170" s="11" t="n">
        <f>1792411100</f>
        <v>1.7924111E9</v>
      </c>
      <c r="H170" s="10"/>
      <c r="I170" s="11" t="str">
        <f>"－"</f>
        <v>－</v>
      </c>
      <c r="J170" s="10"/>
      <c r="K170" s="11" t="n">
        <f>2748</f>
        <v>2748.0</v>
      </c>
    </row>
    <row r="171">
      <c r="A171" s="8" t="s">
        <v>46</v>
      </c>
      <c r="B171" s="9" t="s">
        <v>57</v>
      </c>
      <c r="C171" s="9" t="s">
        <v>58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47</v>
      </c>
      <c r="B172" s="9" t="s">
        <v>57</v>
      </c>
      <c r="C172" s="9" t="s">
        <v>58</v>
      </c>
      <c r="D172" s="10"/>
      <c r="E172" s="11"/>
      <c r="F172" s="10"/>
      <c r="G172" s="11"/>
      <c r="H172" s="10"/>
      <c r="I172" s="11"/>
      <c r="J172" s="10"/>
      <c r="K172" s="11"/>
    </row>
    <row r="173">
      <c r="A173" s="8" t="s">
        <v>48</v>
      </c>
      <c r="B173" s="9" t="s">
        <v>57</v>
      </c>
      <c r="C173" s="9" t="s">
        <v>58</v>
      </c>
      <c r="D173" s="10"/>
      <c r="E173" s="11" t="n">
        <f>1810</f>
        <v>1810.0</v>
      </c>
      <c r="F173" s="10"/>
      <c r="G173" s="11" t="n">
        <f>701033400</f>
        <v>7.010334E8</v>
      </c>
      <c r="H173" s="10"/>
      <c r="I173" s="11" t="str">
        <f>"－"</f>
        <v>－</v>
      </c>
      <c r="J173" s="10"/>
      <c r="K173" s="11" t="n">
        <f>2696</f>
        <v>2696.0</v>
      </c>
    </row>
    <row r="174">
      <c r="A174" s="8" t="s">
        <v>16</v>
      </c>
      <c r="B174" s="9" t="s">
        <v>59</v>
      </c>
      <c r="C174" s="9" t="s">
        <v>60</v>
      </c>
      <c r="D174" s="10"/>
      <c r="E174" s="11" t="n">
        <f>224</f>
        <v>224.0</v>
      </c>
      <c r="F174" s="10"/>
      <c r="G174" s="11" t="n">
        <f>85622000</f>
        <v>8.5622E7</v>
      </c>
      <c r="H174" s="10" t="s">
        <v>19</v>
      </c>
      <c r="I174" s="11" t="str">
        <f>"－"</f>
        <v>－</v>
      </c>
      <c r="J174" s="10"/>
      <c r="K174" s="11" t="n">
        <f>13637</f>
        <v>13637.0</v>
      </c>
    </row>
    <row r="175">
      <c r="A175" s="8" t="s">
        <v>20</v>
      </c>
      <c r="B175" s="9" t="s">
        <v>59</v>
      </c>
      <c r="C175" s="9" t="s">
        <v>60</v>
      </c>
      <c r="D175" s="10"/>
      <c r="E175" s="11" t="n">
        <f>221</f>
        <v>221.0</v>
      </c>
      <c r="F175" s="10"/>
      <c r="G175" s="11" t="n">
        <f>84984300</f>
        <v>8.49843E7</v>
      </c>
      <c r="H175" s="10"/>
      <c r="I175" s="11" t="str">
        <f>"－"</f>
        <v>－</v>
      </c>
      <c r="J175" s="10"/>
      <c r="K175" s="11" t="n">
        <f>13675</f>
        <v>13675.0</v>
      </c>
    </row>
    <row r="176">
      <c r="A176" s="8" t="s">
        <v>22</v>
      </c>
      <c r="B176" s="9" t="s">
        <v>59</v>
      </c>
      <c r="C176" s="9" t="s">
        <v>60</v>
      </c>
      <c r="D176" s="10"/>
      <c r="E176" s="11" t="n">
        <f>164</f>
        <v>164.0</v>
      </c>
      <c r="F176" s="10"/>
      <c r="G176" s="11" t="n">
        <f>63145100</f>
        <v>6.31451E7</v>
      </c>
      <c r="H176" s="10"/>
      <c r="I176" s="11" t="str">
        <f>"－"</f>
        <v>－</v>
      </c>
      <c r="J176" s="10"/>
      <c r="K176" s="11" t="n">
        <f>13619</f>
        <v>13619.0</v>
      </c>
    </row>
    <row r="177">
      <c r="A177" s="8" t="s">
        <v>23</v>
      </c>
      <c r="B177" s="9" t="s">
        <v>59</v>
      </c>
      <c r="C177" s="9" t="s">
        <v>60</v>
      </c>
      <c r="D177" s="10"/>
      <c r="E177" s="11" t="n">
        <f>218</f>
        <v>218.0</v>
      </c>
      <c r="F177" s="10"/>
      <c r="G177" s="11" t="n">
        <f>83999400</f>
        <v>8.39994E7</v>
      </c>
      <c r="H177" s="10"/>
      <c r="I177" s="11" t="str">
        <f>"－"</f>
        <v>－</v>
      </c>
      <c r="J177" s="10"/>
      <c r="K177" s="11" t="n">
        <f>13710</f>
        <v>13710.0</v>
      </c>
    </row>
    <row r="178">
      <c r="A178" s="8" t="s">
        <v>25</v>
      </c>
      <c r="B178" s="9" t="s">
        <v>59</v>
      </c>
      <c r="C178" s="9" t="s">
        <v>60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26</v>
      </c>
      <c r="B179" s="9" t="s">
        <v>59</v>
      </c>
      <c r="C179" s="9" t="s">
        <v>60</v>
      </c>
      <c r="D179" s="10"/>
      <c r="E179" s="11"/>
      <c r="F179" s="10"/>
      <c r="G179" s="11"/>
      <c r="H179" s="10"/>
      <c r="I179" s="11"/>
      <c r="J179" s="10"/>
      <c r="K179" s="11"/>
    </row>
    <row r="180">
      <c r="A180" s="8" t="s">
        <v>27</v>
      </c>
      <c r="B180" s="9" t="s">
        <v>59</v>
      </c>
      <c r="C180" s="9" t="s">
        <v>60</v>
      </c>
      <c r="D180" s="10" t="s">
        <v>21</v>
      </c>
      <c r="E180" s="11" t="n">
        <f>124</f>
        <v>124.0</v>
      </c>
      <c r="F180" s="10" t="s">
        <v>21</v>
      </c>
      <c r="G180" s="11" t="n">
        <f>47563600</f>
        <v>4.75636E7</v>
      </c>
      <c r="H180" s="10"/>
      <c r="I180" s="11" t="str">
        <f>"－"</f>
        <v>－</v>
      </c>
      <c r="J180" s="10"/>
      <c r="K180" s="11" t="n">
        <f>13766</f>
        <v>13766.0</v>
      </c>
    </row>
    <row r="181">
      <c r="A181" s="8" t="s">
        <v>28</v>
      </c>
      <c r="B181" s="9" t="s">
        <v>59</v>
      </c>
      <c r="C181" s="9" t="s">
        <v>60</v>
      </c>
      <c r="D181" s="10"/>
      <c r="E181" s="11" t="n">
        <f>287</f>
        <v>287.0</v>
      </c>
      <c r="F181" s="10"/>
      <c r="G181" s="11" t="n">
        <f>109557200</f>
        <v>1.095572E8</v>
      </c>
      <c r="H181" s="10"/>
      <c r="I181" s="11" t="str">
        <f>"－"</f>
        <v>－</v>
      </c>
      <c r="J181" s="10" t="s">
        <v>24</v>
      </c>
      <c r="K181" s="11" t="n">
        <f>13855</f>
        <v>13855.0</v>
      </c>
    </row>
    <row r="182">
      <c r="A182" s="8" t="s">
        <v>29</v>
      </c>
      <c r="B182" s="9" t="s">
        <v>59</v>
      </c>
      <c r="C182" s="9" t="s">
        <v>60</v>
      </c>
      <c r="D182" s="10"/>
      <c r="E182" s="11" t="n">
        <f>530</f>
        <v>530.0</v>
      </c>
      <c r="F182" s="10"/>
      <c r="G182" s="11" t="n">
        <f>203481800</f>
        <v>2.034818E8</v>
      </c>
      <c r="H182" s="10"/>
      <c r="I182" s="11" t="str">
        <f>"－"</f>
        <v>－</v>
      </c>
      <c r="J182" s="10"/>
      <c r="K182" s="11" t="n">
        <f>13740</f>
        <v>13740.0</v>
      </c>
    </row>
    <row r="183">
      <c r="A183" s="8" t="s">
        <v>30</v>
      </c>
      <c r="B183" s="9" t="s">
        <v>59</v>
      </c>
      <c r="C183" s="9" t="s">
        <v>60</v>
      </c>
      <c r="D183" s="10"/>
      <c r="E183" s="11" t="n">
        <f>180</f>
        <v>180.0</v>
      </c>
      <c r="F183" s="10"/>
      <c r="G183" s="11" t="n">
        <f>69528200</f>
        <v>6.95282E7</v>
      </c>
      <c r="H183" s="10"/>
      <c r="I183" s="11" t="str">
        <f>"－"</f>
        <v>－</v>
      </c>
      <c r="J183" s="10"/>
      <c r="K183" s="11" t="n">
        <f>13737</f>
        <v>13737.0</v>
      </c>
    </row>
    <row r="184">
      <c r="A184" s="8" t="s">
        <v>31</v>
      </c>
      <c r="B184" s="9" t="s">
        <v>59</v>
      </c>
      <c r="C184" s="9" t="s">
        <v>60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32</v>
      </c>
      <c r="B185" s="9" t="s">
        <v>59</v>
      </c>
      <c r="C185" s="9" t="s">
        <v>60</v>
      </c>
      <c r="D185" s="10"/>
      <c r="E185" s="11"/>
      <c r="F185" s="10"/>
      <c r="G185" s="11"/>
      <c r="H185" s="10"/>
      <c r="I185" s="11"/>
      <c r="J185" s="10"/>
      <c r="K185" s="11"/>
    </row>
    <row r="186">
      <c r="A186" s="8" t="s">
        <v>33</v>
      </c>
      <c r="B186" s="9" t="s">
        <v>59</v>
      </c>
      <c r="C186" s="9" t="s">
        <v>60</v>
      </c>
      <c r="D186" s="10"/>
      <c r="E186" s="11"/>
      <c r="F186" s="10"/>
      <c r="G186" s="11"/>
      <c r="H186" s="10"/>
      <c r="I186" s="11"/>
      <c r="J186" s="10"/>
      <c r="K186" s="11"/>
    </row>
    <row r="187">
      <c r="A187" s="8" t="s">
        <v>34</v>
      </c>
      <c r="B187" s="9" t="s">
        <v>59</v>
      </c>
      <c r="C187" s="9" t="s">
        <v>60</v>
      </c>
      <c r="D187" s="10"/>
      <c r="E187" s="11" t="n">
        <f>268</f>
        <v>268.0</v>
      </c>
      <c r="F187" s="10"/>
      <c r="G187" s="11" t="n">
        <f>104228600</f>
        <v>1.042286E8</v>
      </c>
      <c r="H187" s="10"/>
      <c r="I187" s="11" t="str">
        <f>"－"</f>
        <v>－</v>
      </c>
      <c r="J187" s="10"/>
      <c r="K187" s="11" t="n">
        <f>13690</f>
        <v>13690.0</v>
      </c>
    </row>
    <row r="188">
      <c r="A188" s="8" t="s">
        <v>35</v>
      </c>
      <c r="B188" s="9" t="s">
        <v>59</v>
      </c>
      <c r="C188" s="9" t="s">
        <v>60</v>
      </c>
      <c r="D188" s="10"/>
      <c r="E188" s="11" t="n">
        <f>283</f>
        <v>283.0</v>
      </c>
      <c r="F188" s="10"/>
      <c r="G188" s="11" t="n">
        <f>108938800</f>
        <v>1.089388E8</v>
      </c>
      <c r="H188" s="10"/>
      <c r="I188" s="11" t="str">
        <f>"－"</f>
        <v>－</v>
      </c>
      <c r="J188" s="10"/>
      <c r="K188" s="11" t="n">
        <f>13623</f>
        <v>13623.0</v>
      </c>
    </row>
    <row r="189">
      <c r="A189" s="8" t="s">
        <v>36</v>
      </c>
      <c r="B189" s="9" t="s">
        <v>59</v>
      </c>
      <c r="C189" s="9" t="s">
        <v>60</v>
      </c>
      <c r="D189" s="10"/>
      <c r="E189" s="11" t="n">
        <f>273</f>
        <v>273.0</v>
      </c>
      <c r="F189" s="10"/>
      <c r="G189" s="11" t="n">
        <f>104785400</f>
        <v>1.047854E8</v>
      </c>
      <c r="H189" s="10"/>
      <c r="I189" s="11" t="str">
        <f>"－"</f>
        <v>－</v>
      </c>
      <c r="J189" s="10"/>
      <c r="K189" s="11" t="n">
        <f>13625</f>
        <v>13625.0</v>
      </c>
    </row>
    <row r="190">
      <c r="A190" s="8" t="s">
        <v>37</v>
      </c>
      <c r="B190" s="9" t="s">
        <v>59</v>
      </c>
      <c r="C190" s="9" t="s">
        <v>60</v>
      </c>
      <c r="D190" s="10"/>
      <c r="E190" s="11" t="n">
        <f>545</f>
        <v>545.0</v>
      </c>
      <c r="F190" s="10"/>
      <c r="G190" s="11" t="n">
        <f>214489600</f>
        <v>2.144896E8</v>
      </c>
      <c r="H190" s="10"/>
      <c r="I190" s="11" t="str">
        <f>"－"</f>
        <v>－</v>
      </c>
      <c r="J190" s="10"/>
      <c r="K190" s="11" t="n">
        <f>13550</f>
        <v>13550.0</v>
      </c>
    </row>
    <row r="191">
      <c r="A191" s="8" t="s">
        <v>38</v>
      </c>
      <c r="B191" s="9" t="s">
        <v>59</v>
      </c>
      <c r="C191" s="9" t="s">
        <v>60</v>
      </c>
      <c r="D191" s="10"/>
      <c r="E191" s="11" t="n">
        <f>847</f>
        <v>847.0</v>
      </c>
      <c r="F191" s="10"/>
      <c r="G191" s="11" t="n">
        <f>340639000</f>
        <v>3.40639E8</v>
      </c>
      <c r="H191" s="10"/>
      <c r="I191" s="11" t="str">
        <f>"－"</f>
        <v>－</v>
      </c>
      <c r="J191" s="10"/>
      <c r="K191" s="11" t="n">
        <f>13213</f>
        <v>13213.0</v>
      </c>
    </row>
    <row r="192">
      <c r="A192" s="8" t="s">
        <v>39</v>
      </c>
      <c r="B192" s="9" t="s">
        <v>59</v>
      </c>
      <c r="C192" s="9" t="s">
        <v>60</v>
      </c>
      <c r="D192" s="10"/>
      <c r="E192" s="11"/>
      <c r="F192" s="10"/>
      <c r="G192" s="11"/>
      <c r="H192" s="10"/>
      <c r="I192" s="11"/>
      <c r="J192" s="10"/>
      <c r="K192" s="11"/>
    </row>
    <row r="193">
      <c r="A193" s="8" t="s">
        <v>40</v>
      </c>
      <c r="B193" s="9" t="s">
        <v>59</v>
      </c>
      <c r="C193" s="9" t="s">
        <v>60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41</v>
      </c>
      <c r="B194" s="9" t="s">
        <v>59</v>
      </c>
      <c r="C194" s="9" t="s">
        <v>60</v>
      </c>
      <c r="D194" s="10"/>
      <c r="E194" s="11" t="n">
        <f>380</f>
        <v>380.0</v>
      </c>
      <c r="F194" s="10"/>
      <c r="G194" s="11" t="n">
        <f>151793800</f>
        <v>1.517938E8</v>
      </c>
      <c r="H194" s="10"/>
      <c r="I194" s="11" t="str">
        <f>"－"</f>
        <v>－</v>
      </c>
      <c r="J194" s="10" t="s">
        <v>21</v>
      </c>
      <c r="K194" s="11" t="n">
        <f>13150</f>
        <v>13150.0</v>
      </c>
    </row>
    <row r="195">
      <c r="A195" s="8" t="s">
        <v>42</v>
      </c>
      <c r="B195" s="9" t="s">
        <v>59</v>
      </c>
      <c r="C195" s="9" t="s">
        <v>60</v>
      </c>
      <c r="D195" s="10"/>
      <c r="E195" s="11" t="n">
        <f>394</f>
        <v>394.0</v>
      </c>
      <c r="F195" s="10"/>
      <c r="G195" s="11" t="n">
        <f>158206200</f>
        <v>1.582062E8</v>
      </c>
      <c r="H195" s="10"/>
      <c r="I195" s="11" t="str">
        <f>"－"</f>
        <v>－</v>
      </c>
      <c r="J195" s="10"/>
      <c r="K195" s="11" t="n">
        <f>13292</f>
        <v>13292.0</v>
      </c>
    </row>
    <row r="196">
      <c r="A196" s="8" t="s">
        <v>43</v>
      </c>
      <c r="B196" s="9" t="s">
        <v>59</v>
      </c>
      <c r="C196" s="9" t="s">
        <v>60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44</v>
      </c>
      <c r="B197" s="9" t="s">
        <v>59</v>
      </c>
      <c r="C197" s="9" t="s">
        <v>60</v>
      </c>
      <c r="D197" s="10"/>
      <c r="E197" s="11" t="n">
        <f>404</f>
        <v>404.0</v>
      </c>
      <c r="F197" s="10"/>
      <c r="G197" s="11" t="n">
        <f>163912200</f>
        <v>1.639122E8</v>
      </c>
      <c r="H197" s="10"/>
      <c r="I197" s="11" t="str">
        <f>"－"</f>
        <v>－</v>
      </c>
      <c r="J197" s="10"/>
      <c r="K197" s="11" t="n">
        <f>13225</f>
        <v>13225.0</v>
      </c>
    </row>
    <row r="198">
      <c r="A198" s="8" t="s">
        <v>45</v>
      </c>
      <c r="B198" s="9" t="s">
        <v>59</v>
      </c>
      <c r="C198" s="9" t="s">
        <v>60</v>
      </c>
      <c r="D198" s="10" t="s">
        <v>24</v>
      </c>
      <c r="E198" s="11" t="n">
        <f>1325</f>
        <v>1325.0</v>
      </c>
      <c r="F198" s="10" t="s">
        <v>24</v>
      </c>
      <c r="G198" s="11" t="n">
        <f>531369000</f>
        <v>5.31369E8</v>
      </c>
      <c r="H198" s="10"/>
      <c r="I198" s="11" t="str">
        <f>"－"</f>
        <v>－</v>
      </c>
      <c r="J198" s="10"/>
      <c r="K198" s="11" t="n">
        <f>13633</f>
        <v>13633.0</v>
      </c>
    </row>
    <row r="199">
      <c r="A199" s="8" t="s">
        <v>46</v>
      </c>
      <c r="B199" s="9" t="s">
        <v>59</v>
      </c>
      <c r="C199" s="9" t="s">
        <v>60</v>
      </c>
      <c r="D199" s="10"/>
      <c r="E199" s="11"/>
      <c r="F199" s="10"/>
      <c r="G199" s="11"/>
      <c r="H199" s="10"/>
      <c r="I199" s="11"/>
      <c r="J199" s="10"/>
      <c r="K199" s="11"/>
    </row>
    <row r="200">
      <c r="A200" s="8" t="s">
        <v>47</v>
      </c>
      <c r="B200" s="9" t="s">
        <v>59</v>
      </c>
      <c r="C200" s="9" t="s">
        <v>60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48</v>
      </c>
      <c r="B201" s="9" t="s">
        <v>59</v>
      </c>
      <c r="C201" s="9" t="s">
        <v>60</v>
      </c>
      <c r="D201" s="10"/>
      <c r="E201" s="11" t="n">
        <f>225</f>
        <v>225.0</v>
      </c>
      <c r="F201" s="10"/>
      <c r="G201" s="11" t="n">
        <f>88835400</f>
        <v>8.88354E7</v>
      </c>
      <c r="H201" s="10"/>
      <c r="I201" s="11" t="str">
        <f>"－"</f>
        <v>－</v>
      </c>
      <c r="J201" s="10"/>
      <c r="K201" s="11" t="n">
        <f>13573</f>
        <v>13573.0</v>
      </c>
    </row>
    <row r="202">
      <c r="A202" s="8" t="s">
        <v>16</v>
      </c>
      <c r="B202" s="9" t="s">
        <v>61</v>
      </c>
      <c r="C202" s="9" t="s">
        <v>62</v>
      </c>
      <c r="D202" s="10" t="s">
        <v>21</v>
      </c>
      <c r="E202" s="11" t="str">
        <f>"－"</f>
        <v>－</v>
      </c>
      <c r="F202" s="10" t="s">
        <v>21</v>
      </c>
      <c r="G202" s="11" t="str">
        <f>"－"</f>
        <v>－</v>
      </c>
      <c r="H202" s="10" t="s">
        <v>19</v>
      </c>
      <c r="I202" s="11" t="str">
        <f>"－"</f>
        <v>－</v>
      </c>
      <c r="J202" s="10"/>
      <c r="K202" s="11" t="n">
        <f>110</f>
        <v>110.0</v>
      </c>
    </row>
    <row r="203">
      <c r="A203" s="8" t="s">
        <v>20</v>
      </c>
      <c r="B203" s="9" t="s">
        <v>61</v>
      </c>
      <c r="C203" s="9" t="s">
        <v>62</v>
      </c>
      <c r="D203" s="10"/>
      <c r="E203" s="11" t="str">
        <f>"－"</f>
        <v>－</v>
      </c>
      <c r="F203" s="10"/>
      <c r="G203" s="11" t="str">
        <f>"－"</f>
        <v>－</v>
      </c>
      <c r="H203" s="10"/>
      <c r="I203" s="11" t="str">
        <f>"－"</f>
        <v>－</v>
      </c>
      <c r="J203" s="10"/>
      <c r="K203" s="11" t="n">
        <f>110</f>
        <v>110.0</v>
      </c>
    </row>
    <row r="204">
      <c r="A204" s="8" t="s">
        <v>22</v>
      </c>
      <c r="B204" s="9" t="s">
        <v>61</v>
      </c>
      <c r="C204" s="9" t="s">
        <v>62</v>
      </c>
      <c r="D204" s="10"/>
      <c r="E204" s="11" t="str">
        <f>"－"</f>
        <v>－</v>
      </c>
      <c r="F204" s="10"/>
      <c r="G204" s="11" t="str">
        <f>"－"</f>
        <v>－</v>
      </c>
      <c r="H204" s="10"/>
      <c r="I204" s="11" t="str">
        <f>"－"</f>
        <v>－</v>
      </c>
      <c r="J204" s="10"/>
      <c r="K204" s="11" t="n">
        <f>110</f>
        <v>110.0</v>
      </c>
    </row>
    <row r="205">
      <c r="A205" s="8" t="s">
        <v>23</v>
      </c>
      <c r="B205" s="9" t="s">
        <v>61</v>
      </c>
      <c r="C205" s="9" t="s">
        <v>62</v>
      </c>
      <c r="D205" s="10"/>
      <c r="E205" s="11" t="n">
        <f>1</f>
        <v>1.0</v>
      </c>
      <c r="F205" s="10"/>
      <c r="G205" s="11" t="n">
        <f>4350000</f>
        <v>4350000.0</v>
      </c>
      <c r="H205" s="10"/>
      <c r="I205" s="11" t="str">
        <f>"－"</f>
        <v>－</v>
      </c>
      <c r="J205" s="10"/>
      <c r="K205" s="11" t="n">
        <f>110</f>
        <v>110.0</v>
      </c>
    </row>
    <row r="206">
      <c r="A206" s="8" t="s">
        <v>25</v>
      </c>
      <c r="B206" s="9" t="s">
        <v>61</v>
      </c>
      <c r="C206" s="9" t="s">
        <v>62</v>
      </c>
      <c r="D206" s="10"/>
      <c r="E206" s="11"/>
      <c r="F206" s="10"/>
      <c r="G206" s="11"/>
      <c r="H206" s="10"/>
      <c r="I206" s="11"/>
      <c r="J206" s="10"/>
      <c r="K206" s="11"/>
    </row>
    <row r="207">
      <c r="A207" s="8" t="s">
        <v>26</v>
      </c>
      <c r="B207" s="9" t="s">
        <v>61</v>
      </c>
      <c r="C207" s="9" t="s">
        <v>62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27</v>
      </c>
      <c r="B208" s="9" t="s">
        <v>61</v>
      </c>
      <c r="C208" s="9" t="s">
        <v>62</v>
      </c>
      <c r="D208" s="10"/>
      <c r="E208" s="11" t="str">
        <f>"－"</f>
        <v>－</v>
      </c>
      <c r="F208" s="10"/>
      <c r="G208" s="11" t="str">
        <f>"－"</f>
        <v>－</v>
      </c>
      <c r="H208" s="10"/>
      <c r="I208" s="11" t="str">
        <f>"－"</f>
        <v>－</v>
      </c>
      <c r="J208" s="10"/>
      <c r="K208" s="11" t="n">
        <f>110</f>
        <v>110.0</v>
      </c>
    </row>
    <row r="209">
      <c r="A209" s="8" t="s">
        <v>28</v>
      </c>
      <c r="B209" s="9" t="s">
        <v>61</v>
      </c>
      <c r="C209" s="9" t="s">
        <v>62</v>
      </c>
      <c r="D209" s="10"/>
      <c r="E209" s="11" t="str">
        <f>"－"</f>
        <v>－</v>
      </c>
      <c r="F209" s="10"/>
      <c r="G209" s="11" t="str">
        <f>"－"</f>
        <v>－</v>
      </c>
      <c r="H209" s="10"/>
      <c r="I209" s="11" t="str">
        <f>"－"</f>
        <v>－</v>
      </c>
      <c r="J209" s="10"/>
      <c r="K209" s="11" t="n">
        <f>110</f>
        <v>110.0</v>
      </c>
    </row>
    <row r="210">
      <c r="A210" s="8" t="s">
        <v>29</v>
      </c>
      <c r="B210" s="9" t="s">
        <v>61</v>
      </c>
      <c r="C210" s="9" t="s">
        <v>62</v>
      </c>
      <c r="D210" s="10"/>
      <c r="E210" s="11" t="str">
        <f>"－"</f>
        <v>－</v>
      </c>
      <c r="F210" s="10"/>
      <c r="G210" s="11" t="str">
        <f>"－"</f>
        <v>－</v>
      </c>
      <c r="H210" s="10"/>
      <c r="I210" s="11" t="str">
        <f>"－"</f>
        <v>－</v>
      </c>
      <c r="J210" s="10"/>
      <c r="K210" s="11" t="n">
        <f>110</f>
        <v>110.0</v>
      </c>
    </row>
    <row r="211">
      <c r="A211" s="8" t="s">
        <v>30</v>
      </c>
      <c r="B211" s="9" t="s">
        <v>61</v>
      </c>
      <c r="C211" s="9" t="s">
        <v>62</v>
      </c>
      <c r="D211" s="10"/>
      <c r="E211" s="11" t="n">
        <f>2</f>
        <v>2.0</v>
      </c>
      <c r="F211" s="10"/>
      <c r="G211" s="11" t="n">
        <f>8700000</f>
        <v>8700000.0</v>
      </c>
      <c r="H211" s="10"/>
      <c r="I211" s="11" t="str">
        <f>"－"</f>
        <v>－</v>
      </c>
      <c r="J211" s="10" t="s">
        <v>24</v>
      </c>
      <c r="K211" s="11" t="n">
        <f>112</f>
        <v>112.0</v>
      </c>
    </row>
    <row r="212">
      <c r="A212" s="8" t="s">
        <v>31</v>
      </c>
      <c r="B212" s="9" t="s">
        <v>61</v>
      </c>
      <c r="C212" s="9" t="s">
        <v>62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32</v>
      </c>
      <c r="B213" s="9" t="s">
        <v>61</v>
      </c>
      <c r="C213" s="9" t="s">
        <v>62</v>
      </c>
      <c r="D213" s="10"/>
      <c r="E213" s="11"/>
      <c r="F213" s="10"/>
      <c r="G213" s="11"/>
      <c r="H213" s="10"/>
      <c r="I213" s="11"/>
      <c r="J213" s="10"/>
      <c r="K213" s="11"/>
    </row>
    <row r="214">
      <c r="A214" s="8" t="s">
        <v>33</v>
      </c>
      <c r="B214" s="9" t="s">
        <v>61</v>
      </c>
      <c r="C214" s="9" t="s">
        <v>62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34</v>
      </c>
      <c r="B215" s="9" t="s">
        <v>61</v>
      </c>
      <c r="C215" s="9" t="s">
        <v>62</v>
      </c>
      <c r="D215" s="10"/>
      <c r="E215" s="11" t="str">
        <f>"－"</f>
        <v>－</v>
      </c>
      <c r="F215" s="10"/>
      <c r="G215" s="11" t="str">
        <f>"－"</f>
        <v>－</v>
      </c>
      <c r="H215" s="10"/>
      <c r="I215" s="11" t="str">
        <f>"－"</f>
        <v>－</v>
      </c>
      <c r="J215" s="10"/>
      <c r="K215" s="11" t="n">
        <f>112</f>
        <v>112.0</v>
      </c>
    </row>
    <row r="216">
      <c r="A216" s="8" t="s">
        <v>35</v>
      </c>
      <c r="B216" s="9" t="s">
        <v>61</v>
      </c>
      <c r="C216" s="9" t="s">
        <v>62</v>
      </c>
      <c r="D216" s="10"/>
      <c r="E216" s="11" t="str">
        <f>"－"</f>
        <v>－</v>
      </c>
      <c r="F216" s="10"/>
      <c r="G216" s="11" t="str">
        <f>"－"</f>
        <v>－</v>
      </c>
      <c r="H216" s="10"/>
      <c r="I216" s="11" t="str">
        <f>"－"</f>
        <v>－</v>
      </c>
      <c r="J216" s="10"/>
      <c r="K216" s="11" t="n">
        <f>112</f>
        <v>112.0</v>
      </c>
    </row>
    <row r="217">
      <c r="A217" s="8" t="s">
        <v>36</v>
      </c>
      <c r="B217" s="9" t="s">
        <v>61</v>
      </c>
      <c r="C217" s="9" t="s">
        <v>62</v>
      </c>
      <c r="D217" s="10"/>
      <c r="E217" s="11" t="n">
        <f>1</f>
        <v>1.0</v>
      </c>
      <c r="F217" s="10"/>
      <c r="G217" s="11" t="n">
        <f>4212500</f>
        <v>4212500.0</v>
      </c>
      <c r="H217" s="10"/>
      <c r="I217" s="11" t="str">
        <f>"－"</f>
        <v>－</v>
      </c>
      <c r="J217" s="10"/>
      <c r="K217" s="11" t="n">
        <f>111</f>
        <v>111.0</v>
      </c>
    </row>
    <row r="218">
      <c r="A218" s="8" t="s">
        <v>37</v>
      </c>
      <c r="B218" s="9" t="s">
        <v>61</v>
      </c>
      <c r="C218" s="9" t="s">
        <v>62</v>
      </c>
      <c r="D218" s="10"/>
      <c r="E218" s="11" t="str">
        <f>"－"</f>
        <v>－</v>
      </c>
      <c r="F218" s="10"/>
      <c r="G218" s="11" t="str">
        <f>"－"</f>
        <v>－</v>
      </c>
      <c r="H218" s="10"/>
      <c r="I218" s="11" t="str">
        <f>"－"</f>
        <v>－</v>
      </c>
      <c r="J218" s="10"/>
      <c r="K218" s="11" t="n">
        <f>111</f>
        <v>111.0</v>
      </c>
    </row>
    <row r="219">
      <c r="A219" s="8" t="s">
        <v>38</v>
      </c>
      <c r="B219" s="9" t="s">
        <v>61</v>
      </c>
      <c r="C219" s="9" t="s">
        <v>62</v>
      </c>
      <c r="D219" s="10"/>
      <c r="E219" s="11" t="str">
        <f>"－"</f>
        <v>－</v>
      </c>
      <c r="F219" s="10"/>
      <c r="G219" s="11" t="str">
        <f>"－"</f>
        <v>－</v>
      </c>
      <c r="H219" s="10"/>
      <c r="I219" s="11" t="str">
        <f>"－"</f>
        <v>－</v>
      </c>
      <c r="J219" s="10"/>
      <c r="K219" s="11" t="n">
        <f>111</f>
        <v>111.0</v>
      </c>
    </row>
    <row r="220">
      <c r="A220" s="8" t="s">
        <v>39</v>
      </c>
      <c r="B220" s="9" t="s">
        <v>61</v>
      </c>
      <c r="C220" s="9" t="s">
        <v>62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40</v>
      </c>
      <c r="B221" s="9" t="s">
        <v>61</v>
      </c>
      <c r="C221" s="9" t="s">
        <v>62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41</v>
      </c>
      <c r="B222" s="9" t="s">
        <v>61</v>
      </c>
      <c r="C222" s="9" t="s">
        <v>62</v>
      </c>
      <c r="D222" s="10"/>
      <c r="E222" s="11" t="str">
        <f>"－"</f>
        <v>－</v>
      </c>
      <c r="F222" s="10"/>
      <c r="G222" s="11" t="str">
        <f>"－"</f>
        <v>－</v>
      </c>
      <c r="H222" s="10"/>
      <c r="I222" s="11" t="str">
        <f>"－"</f>
        <v>－</v>
      </c>
      <c r="J222" s="10"/>
      <c r="K222" s="11" t="n">
        <f>111</f>
        <v>111.0</v>
      </c>
    </row>
    <row r="223">
      <c r="A223" s="8" t="s">
        <v>42</v>
      </c>
      <c r="B223" s="9" t="s">
        <v>61</v>
      </c>
      <c r="C223" s="9" t="s">
        <v>62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111</f>
        <v>111.0</v>
      </c>
    </row>
    <row r="224">
      <c r="A224" s="8" t="s">
        <v>43</v>
      </c>
      <c r="B224" s="9" t="s">
        <v>61</v>
      </c>
      <c r="C224" s="9" t="s">
        <v>62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44</v>
      </c>
      <c r="B225" s="9" t="s">
        <v>61</v>
      </c>
      <c r="C225" s="9" t="s">
        <v>62</v>
      </c>
      <c r="D225" s="10"/>
      <c r="E225" s="11" t="str">
        <f>"－"</f>
        <v>－</v>
      </c>
      <c r="F225" s="10"/>
      <c r="G225" s="11" t="str">
        <f>"－"</f>
        <v>－</v>
      </c>
      <c r="H225" s="10"/>
      <c r="I225" s="11" t="str">
        <f>"－"</f>
        <v>－</v>
      </c>
      <c r="J225" s="10" t="s">
        <v>21</v>
      </c>
      <c r="K225" s="11" t="n">
        <f>39</f>
        <v>39.0</v>
      </c>
    </row>
    <row r="226">
      <c r="A226" s="8" t="s">
        <v>45</v>
      </c>
      <c r="B226" s="9" t="s">
        <v>61</v>
      </c>
      <c r="C226" s="9" t="s">
        <v>62</v>
      </c>
      <c r="D226" s="10"/>
      <c r="E226" s="11" t="str">
        <f>"－"</f>
        <v>－</v>
      </c>
      <c r="F226" s="10"/>
      <c r="G226" s="11" t="str">
        <f>"－"</f>
        <v>－</v>
      </c>
      <c r="H226" s="10"/>
      <c r="I226" s="11" t="str">
        <f>"－"</f>
        <v>－</v>
      </c>
      <c r="J226" s="10"/>
      <c r="K226" s="11" t="n">
        <f>39</f>
        <v>39.0</v>
      </c>
    </row>
    <row r="227">
      <c r="A227" s="8" t="s">
        <v>46</v>
      </c>
      <c r="B227" s="9" t="s">
        <v>61</v>
      </c>
      <c r="C227" s="9" t="s">
        <v>62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47</v>
      </c>
      <c r="B228" s="9" t="s">
        <v>61</v>
      </c>
      <c r="C228" s="9" t="s">
        <v>62</v>
      </c>
      <c r="D228" s="10"/>
      <c r="E228" s="11"/>
      <c r="F228" s="10"/>
      <c r="G228" s="11"/>
      <c r="H228" s="10"/>
      <c r="I228" s="11"/>
      <c r="J228" s="10"/>
      <c r="K228" s="11"/>
    </row>
    <row r="229">
      <c r="A229" s="8" t="s">
        <v>48</v>
      </c>
      <c r="B229" s="9" t="s">
        <v>61</v>
      </c>
      <c r="C229" s="9" t="s">
        <v>62</v>
      </c>
      <c r="D229" s="10" t="s">
        <v>24</v>
      </c>
      <c r="E229" s="11" t="n">
        <f>3</f>
        <v>3.0</v>
      </c>
      <c r="F229" s="10" t="s">
        <v>24</v>
      </c>
      <c r="G229" s="11" t="n">
        <f>13800000</f>
        <v>1.38E7</v>
      </c>
      <c r="H229" s="10"/>
      <c r="I229" s="11" t="str">
        <f>"－"</f>
        <v>－</v>
      </c>
      <c r="J229" s="10"/>
      <c r="K229" s="11" t="n">
        <f>41</f>
        <v>41.0</v>
      </c>
    </row>
    <row r="230">
      <c r="A230" s="8" t="s">
        <v>16</v>
      </c>
      <c r="B230" s="9" t="s">
        <v>63</v>
      </c>
      <c r="C230" s="9" t="s">
        <v>64</v>
      </c>
      <c r="D230" s="10"/>
      <c r="E230" s="11" t="n">
        <f>15</f>
        <v>15.0</v>
      </c>
      <c r="F230" s="10"/>
      <c r="G230" s="11" t="n">
        <f>31331000</f>
        <v>3.1331E7</v>
      </c>
      <c r="H230" s="10" t="s">
        <v>19</v>
      </c>
      <c r="I230" s="11" t="str">
        <f>"－"</f>
        <v>－</v>
      </c>
      <c r="J230" s="10"/>
      <c r="K230" s="11" t="n">
        <f>319</f>
        <v>319.0</v>
      </c>
    </row>
    <row r="231">
      <c r="A231" s="8" t="s">
        <v>20</v>
      </c>
      <c r="B231" s="9" t="s">
        <v>63</v>
      </c>
      <c r="C231" s="9" t="s">
        <v>64</v>
      </c>
      <c r="D231" s="10"/>
      <c r="E231" s="11" t="n">
        <f>7</f>
        <v>7.0</v>
      </c>
      <c r="F231" s="10"/>
      <c r="G231" s="11" t="n">
        <f>14451500</f>
        <v>1.44515E7</v>
      </c>
      <c r="H231" s="10"/>
      <c r="I231" s="11" t="str">
        <f>"－"</f>
        <v>－</v>
      </c>
      <c r="J231" s="10"/>
      <c r="K231" s="11" t="n">
        <f>320</f>
        <v>320.0</v>
      </c>
    </row>
    <row r="232">
      <c r="A232" s="8" t="s">
        <v>22</v>
      </c>
      <c r="B232" s="9" t="s">
        <v>63</v>
      </c>
      <c r="C232" s="9" t="s">
        <v>64</v>
      </c>
      <c r="D232" s="10"/>
      <c r="E232" s="11" t="n">
        <f>13</f>
        <v>13.0</v>
      </c>
      <c r="F232" s="10"/>
      <c r="G232" s="11" t="n">
        <f>26273500</f>
        <v>2.62735E7</v>
      </c>
      <c r="H232" s="10"/>
      <c r="I232" s="11" t="str">
        <f>"－"</f>
        <v>－</v>
      </c>
      <c r="J232" s="10"/>
      <c r="K232" s="11" t="n">
        <f>309</f>
        <v>309.0</v>
      </c>
    </row>
    <row r="233">
      <c r="A233" s="8" t="s">
        <v>23</v>
      </c>
      <c r="B233" s="9" t="s">
        <v>63</v>
      </c>
      <c r="C233" s="9" t="s">
        <v>64</v>
      </c>
      <c r="D233" s="10"/>
      <c r="E233" s="11" t="n">
        <f>15</f>
        <v>15.0</v>
      </c>
      <c r="F233" s="10"/>
      <c r="G233" s="11" t="n">
        <f>31350500</f>
        <v>3.13505E7</v>
      </c>
      <c r="H233" s="10"/>
      <c r="I233" s="11" t="str">
        <f>"－"</f>
        <v>－</v>
      </c>
      <c r="J233" s="10"/>
      <c r="K233" s="11" t="n">
        <f>303</f>
        <v>303.0</v>
      </c>
    </row>
    <row r="234">
      <c r="A234" s="8" t="s">
        <v>25</v>
      </c>
      <c r="B234" s="9" t="s">
        <v>63</v>
      </c>
      <c r="C234" s="9" t="s">
        <v>64</v>
      </c>
      <c r="D234" s="10"/>
      <c r="E234" s="11"/>
      <c r="F234" s="10"/>
      <c r="G234" s="11"/>
      <c r="H234" s="10"/>
      <c r="I234" s="11"/>
      <c r="J234" s="10"/>
      <c r="K234" s="11"/>
    </row>
    <row r="235">
      <c r="A235" s="8" t="s">
        <v>26</v>
      </c>
      <c r="B235" s="9" t="s">
        <v>63</v>
      </c>
      <c r="C235" s="9" t="s">
        <v>64</v>
      </c>
      <c r="D235" s="10"/>
      <c r="E235" s="11"/>
      <c r="F235" s="10"/>
      <c r="G235" s="11"/>
      <c r="H235" s="10"/>
      <c r="I235" s="11"/>
      <c r="J235" s="10"/>
      <c r="K235" s="11"/>
    </row>
    <row r="236">
      <c r="A236" s="8" t="s">
        <v>27</v>
      </c>
      <c r="B236" s="9" t="s">
        <v>63</v>
      </c>
      <c r="C236" s="9" t="s">
        <v>64</v>
      </c>
      <c r="D236" s="10"/>
      <c r="E236" s="11" t="n">
        <f>64</f>
        <v>64.0</v>
      </c>
      <c r="F236" s="10"/>
      <c r="G236" s="11" t="n">
        <f>135977500</f>
        <v>1.359775E8</v>
      </c>
      <c r="H236" s="10"/>
      <c r="I236" s="11" t="str">
        <f>"－"</f>
        <v>－</v>
      </c>
      <c r="J236" s="10"/>
      <c r="K236" s="11" t="n">
        <f>322</f>
        <v>322.0</v>
      </c>
    </row>
    <row r="237">
      <c r="A237" s="8" t="s">
        <v>28</v>
      </c>
      <c r="B237" s="9" t="s">
        <v>63</v>
      </c>
      <c r="C237" s="9" t="s">
        <v>64</v>
      </c>
      <c r="D237" s="10"/>
      <c r="E237" s="11" t="n">
        <f>47</f>
        <v>47.0</v>
      </c>
      <c r="F237" s="10"/>
      <c r="G237" s="11" t="n">
        <f>101683500</f>
        <v>1.016835E8</v>
      </c>
      <c r="H237" s="10"/>
      <c r="I237" s="11" t="str">
        <f>"－"</f>
        <v>－</v>
      </c>
      <c r="J237" s="10"/>
      <c r="K237" s="11" t="n">
        <f>288</f>
        <v>288.0</v>
      </c>
    </row>
    <row r="238">
      <c r="A238" s="8" t="s">
        <v>29</v>
      </c>
      <c r="B238" s="9" t="s">
        <v>63</v>
      </c>
      <c r="C238" s="9" t="s">
        <v>64</v>
      </c>
      <c r="D238" s="10"/>
      <c r="E238" s="11" t="n">
        <f>70</f>
        <v>70.0</v>
      </c>
      <c r="F238" s="10"/>
      <c r="G238" s="11" t="n">
        <f>150594000</f>
        <v>1.50594E8</v>
      </c>
      <c r="H238" s="10"/>
      <c r="I238" s="11" t="str">
        <f>"－"</f>
        <v>－</v>
      </c>
      <c r="J238" s="10"/>
      <c r="K238" s="11" t="n">
        <f>275</f>
        <v>275.0</v>
      </c>
    </row>
    <row r="239">
      <c r="A239" s="8" t="s">
        <v>30</v>
      </c>
      <c r="B239" s="9" t="s">
        <v>63</v>
      </c>
      <c r="C239" s="9" t="s">
        <v>64</v>
      </c>
      <c r="D239" s="10" t="s">
        <v>21</v>
      </c>
      <c r="E239" s="11" t="n">
        <f>4</f>
        <v>4.0</v>
      </c>
      <c r="F239" s="10" t="s">
        <v>21</v>
      </c>
      <c r="G239" s="11" t="n">
        <f>8494500</f>
        <v>8494500.0</v>
      </c>
      <c r="H239" s="10"/>
      <c r="I239" s="11" t="str">
        <f>"－"</f>
        <v>－</v>
      </c>
      <c r="J239" s="10"/>
      <c r="K239" s="11" t="n">
        <f>275</f>
        <v>275.0</v>
      </c>
    </row>
    <row r="240">
      <c r="A240" s="8" t="s">
        <v>31</v>
      </c>
      <c r="B240" s="9" t="s">
        <v>63</v>
      </c>
      <c r="C240" s="9" t="s">
        <v>64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32</v>
      </c>
      <c r="B241" s="9" t="s">
        <v>63</v>
      </c>
      <c r="C241" s="9" t="s">
        <v>64</v>
      </c>
      <c r="D241" s="10"/>
      <c r="E241" s="11"/>
      <c r="F241" s="10"/>
      <c r="G241" s="11"/>
      <c r="H241" s="10"/>
      <c r="I241" s="11"/>
      <c r="J241" s="10"/>
      <c r="K241" s="11"/>
    </row>
    <row r="242">
      <c r="A242" s="8" t="s">
        <v>33</v>
      </c>
      <c r="B242" s="9" t="s">
        <v>63</v>
      </c>
      <c r="C242" s="9" t="s">
        <v>64</v>
      </c>
      <c r="D242" s="10"/>
      <c r="E242" s="11"/>
      <c r="F242" s="10"/>
      <c r="G242" s="11"/>
      <c r="H242" s="10"/>
      <c r="I242" s="11"/>
      <c r="J242" s="10"/>
      <c r="K242" s="11"/>
    </row>
    <row r="243">
      <c r="A243" s="8" t="s">
        <v>34</v>
      </c>
      <c r="B243" s="9" t="s">
        <v>63</v>
      </c>
      <c r="C243" s="9" t="s">
        <v>64</v>
      </c>
      <c r="D243" s="10"/>
      <c r="E243" s="11" t="n">
        <f>110</f>
        <v>110.0</v>
      </c>
      <c r="F243" s="10"/>
      <c r="G243" s="11" t="n">
        <f>246872500</f>
        <v>2.468725E8</v>
      </c>
      <c r="H243" s="10"/>
      <c r="I243" s="11" t="str">
        <f>"－"</f>
        <v>－</v>
      </c>
      <c r="J243" s="10"/>
      <c r="K243" s="11" t="n">
        <f>271</f>
        <v>271.0</v>
      </c>
    </row>
    <row r="244">
      <c r="A244" s="8" t="s">
        <v>35</v>
      </c>
      <c r="B244" s="9" t="s">
        <v>63</v>
      </c>
      <c r="C244" s="9" t="s">
        <v>64</v>
      </c>
      <c r="D244" s="10"/>
      <c r="E244" s="11" t="n">
        <f>235</f>
        <v>235.0</v>
      </c>
      <c r="F244" s="10"/>
      <c r="G244" s="11" t="n">
        <f>535519000</f>
        <v>5.35519E8</v>
      </c>
      <c r="H244" s="10"/>
      <c r="I244" s="11" t="str">
        <f>"－"</f>
        <v>－</v>
      </c>
      <c r="J244" s="10" t="s">
        <v>24</v>
      </c>
      <c r="K244" s="11" t="n">
        <f>350</f>
        <v>350.0</v>
      </c>
    </row>
    <row r="245">
      <c r="A245" s="8" t="s">
        <v>36</v>
      </c>
      <c r="B245" s="9" t="s">
        <v>63</v>
      </c>
      <c r="C245" s="9" t="s">
        <v>64</v>
      </c>
      <c r="D245" s="10"/>
      <c r="E245" s="11" t="n">
        <f>49</f>
        <v>49.0</v>
      </c>
      <c r="F245" s="10"/>
      <c r="G245" s="11" t="n">
        <f>108169500</f>
        <v>1.081695E8</v>
      </c>
      <c r="H245" s="10"/>
      <c r="I245" s="11" t="str">
        <f>"－"</f>
        <v>－</v>
      </c>
      <c r="J245" s="10"/>
      <c r="K245" s="11" t="n">
        <f>349</f>
        <v>349.0</v>
      </c>
    </row>
    <row r="246">
      <c r="A246" s="8" t="s">
        <v>37</v>
      </c>
      <c r="B246" s="9" t="s">
        <v>63</v>
      </c>
      <c r="C246" s="9" t="s">
        <v>64</v>
      </c>
      <c r="D246" s="10"/>
      <c r="E246" s="11" t="n">
        <f>148</f>
        <v>148.0</v>
      </c>
      <c r="F246" s="10"/>
      <c r="G246" s="11" t="n">
        <f>328169000</f>
        <v>3.28169E8</v>
      </c>
      <c r="H246" s="10"/>
      <c r="I246" s="11" t="str">
        <f>"－"</f>
        <v>－</v>
      </c>
      <c r="J246" s="10"/>
      <c r="K246" s="11" t="n">
        <f>327</f>
        <v>327.0</v>
      </c>
    </row>
    <row r="247">
      <c r="A247" s="8" t="s">
        <v>38</v>
      </c>
      <c r="B247" s="9" t="s">
        <v>63</v>
      </c>
      <c r="C247" s="9" t="s">
        <v>64</v>
      </c>
      <c r="D247" s="10"/>
      <c r="E247" s="11" t="n">
        <f>119</f>
        <v>119.0</v>
      </c>
      <c r="F247" s="10"/>
      <c r="G247" s="11" t="n">
        <f>256426500</f>
        <v>2.564265E8</v>
      </c>
      <c r="H247" s="10"/>
      <c r="I247" s="11" t="str">
        <f>"－"</f>
        <v>－</v>
      </c>
      <c r="J247" s="10"/>
      <c r="K247" s="11" t="n">
        <f>278</f>
        <v>278.0</v>
      </c>
    </row>
    <row r="248">
      <c r="A248" s="8" t="s">
        <v>39</v>
      </c>
      <c r="B248" s="9" t="s">
        <v>63</v>
      </c>
      <c r="C248" s="9" t="s">
        <v>64</v>
      </c>
      <c r="D248" s="10"/>
      <c r="E248" s="11"/>
      <c r="F248" s="10"/>
      <c r="G248" s="11"/>
      <c r="H248" s="10"/>
      <c r="I248" s="11"/>
      <c r="J248" s="10"/>
      <c r="K248" s="11"/>
    </row>
    <row r="249">
      <c r="A249" s="8" t="s">
        <v>40</v>
      </c>
      <c r="B249" s="9" t="s">
        <v>63</v>
      </c>
      <c r="C249" s="9" t="s">
        <v>64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41</v>
      </c>
      <c r="B250" s="9" t="s">
        <v>63</v>
      </c>
      <c r="C250" s="9" t="s">
        <v>64</v>
      </c>
      <c r="D250" s="10"/>
      <c r="E250" s="11" t="n">
        <f>145</f>
        <v>145.0</v>
      </c>
      <c r="F250" s="10"/>
      <c r="G250" s="11" t="n">
        <f>317736000</f>
        <v>3.17736E8</v>
      </c>
      <c r="H250" s="10"/>
      <c r="I250" s="11" t="str">
        <f>"－"</f>
        <v>－</v>
      </c>
      <c r="J250" s="10"/>
      <c r="K250" s="11" t="n">
        <f>234</f>
        <v>234.0</v>
      </c>
    </row>
    <row r="251">
      <c r="A251" s="8" t="s">
        <v>42</v>
      </c>
      <c r="B251" s="9" t="s">
        <v>63</v>
      </c>
      <c r="C251" s="9" t="s">
        <v>64</v>
      </c>
      <c r="D251" s="10"/>
      <c r="E251" s="11" t="n">
        <f>73</f>
        <v>73.0</v>
      </c>
      <c r="F251" s="10"/>
      <c r="G251" s="11" t="n">
        <f>164611500</f>
        <v>1.646115E8</v>
      </c>
      <c r="H251" s="10"/>
      <c r="I251" s="11" t="str">
        <f>"－"</f>
        <v>－</v>
      </c>
      <c r="J251" s="10"/>
      <c r="K251" s="11" t="n">
        <f>236</f>
        <v>236.0</v>
      </c>
    </row>
    <row r="252">
      <c r="A252" s="8" t="s">
        <v>43</v>
      </c>
      <c r="B252" s="9" t="s">
        <v>63</v>
      </c>
      <c r="C252" s="9" t="s">
        <v>64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44</v>
      </c>
      <c r="B253" s="9" t="s">
        <v>63</v>
      </c>
      <c r="C253" s="9" t="s">
        <v>64</v>
      </c>
      <c r="D253" s="10" t="s">
        <v>24</v>
      </c>
      <c r="E253" s="11" t="n">
        <f>243</f>
        <v>243.0</v>
      </c>
      <c r="F253" s="10" t="s">
        <v>24</v>
      </c>
      <c r="G253" s="11" t="n">
        <f>556331500</f>
        <v>5.563315E8</v>
      </c>
      <c r="H253" s="10"/>
      <c r="I253" s="11" t="str">
        <f>"－"</f>
        <v>－</v>
      </c>
      <c r="J253" s="10" t="s">
        <v>21</v>
      </c>
      <c r="K253" s="11" t="n">
        <f>221</f>
        <v>221.0</v>
      </c>
    </row>
    <row r="254">
      <c r="A254" s="8" t="s">
        <v>45</v>
      </c>
      <c r="B254" s="9" t="s">
        <v>63</v>
      </c>
      <c r="C254" s="9" t="s">
        <v>64</v>
      </c>
      <c r="D254" s="10"/>
      <c r="E254" s="11" t="n">
        <f>88</f>
        <v>88.0</v>
      </c>
      <c r="F254" s="10"/>
      <c r="G254" s="11" t="n">
        <f>201998500</f>
        <v>2.019985E8</v>
      </c>
      <c r="H254" s="10"/>
      <c r="I254" s="11" t="str">
        <f>"－"</f>
        <v>－</v>
      </c>
      <c r="J254" s="10"/>
      <c r="K254" s="11" t="n">
        <f>225</f>
        <v>225.0</v>
      </c>
    </row>
    <row r="255">
      <c r="A255" s="8" t="s">
        <v>46</v>
      </c>
      <c r="B255" s="9" t="s">
        <v>63</v>
      </c>
      <c r="C255" s="9" t="s">
        <v>64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47</v>
      </c>
      <c r="B256" s="9" t="s">
        <v>63</v>
      </c>
      <c r="C256" s="9" t="s">
        <v>64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48</v>
      </c>
      <c r="B257" s="9" t="s">
        <v>63</v>
      </c>
      <c r="C257" s="9" t="s">
        <v>64</v>
      </c>
      <c r="D257" s="10"/>
      <c r="E257" s="11" t="n">
        <f>170</f>
        <v>170.0</v>
      </c>
      <c r="F257" s="10"/>
      <c r="G257" s="11" t="n">
        <f>391532000</f>
        <v>3.91532E8</v>
      </c>
      <c r="H257" s="10"/>
      <c r="I257" s="11" t="str">
        <f>"－"</f>
        <v>－</v>
      </c>
      <c r="J257" s="10"/>
      <c r="K257" s="11" t="n">
        <f>238</f>
        <v>238.0</v>
      </c>
    </row>
    <row r="258">
      <c r="A258" s="8" t="s">
        <v>16</v>
      </c>
      <c r="B258" s="9" t="s">
        <v>65</v>
      </c>
      <c r="C258" s="9" t="s">
        <v>66</v>
      </c>
      <c r="D258" s="10" t="s">
        <v>21</v>
      </c>
      <c r="E258" s="11" t="n">
        <f>1246</f>
        <v>1246.0</v>
      </c>
      <c r="F258" s="10" t="s">
        <v>21</v>
      </c>
      <c r="G258" s="11" t="n">
        <f>1516805500</f>
        <v>1.5168055E9</v>
      </c>
      <c r="H258" s="10" t="s">
        <v>19</v>
      </c>
      <c r="I258" s="11" t="str">
        <f>"－"</f>
        <v>－</v>
      </c>
      <c r="J258" s="10" t="s">
        <v>21</v>
      </c>
      <c r="K258" s="11" t="n">
        <f>9046</f>
        <v>9046.0</v>
      </c>
    </row>
    <row r="259">
      <c r="A259" s="8" t="s">
        <v>20</v>
      </c>
      <c r="B259" s="9" t="s">
        <v>65</v>
      </c>
      <c r="C259" s="9" t="s">
        <v>66</v>
      </c>
      <c r="D259" s="10"/>
      <c r="E259" s="11" t="n">
        <f>3206</f>
        <v>3206.0</v>
      </c>
      <c r="F259" s="10"/>
      <c r="G259" s="11" t="n">
        <f>3928519500</f>
        <v>3.9285195E9</v>
      </c>
      <c r="H259" s="10"/>
      <c r="I259" s="11" t="str">
        <f>"－"</f>
        <v>－</v>
      </c>
      <c r="J259" s="10"/>
      <c r="K259" s="11" t="n">
        <f>9198</f>
        <v>9198.0</v>
      </c>
    </row>
    <row r="260">
      <c r="A260" s="8" t="s">
        <v>22</v>
      </c>
      <c r="B260" s="9" t="s">
        <v>65</v>
      </c>
      <c r="C260" s="9" t="s">
        <v>66</v>
      </c>
      <c r="D260" s="10"/>
      <c r="E260" s="11" t="n">
        <f>3534</f>
        <v>3534.0</v>
      </c>
      <c r="F260" s="10"/>
      <c r="G260" s="11" t="n">
        <f>4272889000</f>
        <v>4.272889E9</v>
      </c>
      <c r="H260" s="10"/>
      <c r="I260" s="11" t="str">
        <f>"－"</f>
        <v>－</v>
      </c>
      <c r="J260" s="10"/>
      <c r="K260" s="11" t="n">
        <f>9338</f>
        <v>9338.0</v>
      </c>
    </row>
    <row r="261">
      <c r="A261" s="8" t="s">
        <v>23</v>
      </c>
      <c r="B261" s="9" t="s">
        <v>65</v>
      </c>
      <c r="C261" s="9" t="s">
        <v>66</v>
      </c>
      <c r="D261" s="10"/>
      <c r="E261" s="11" t="n">
        <f>1282</f>
        <v>1282.0</v>
      </c>
      <c r="F261" s="10"/>
      <c r="G261" s="11" t="n">
        <f>1538042500</f>
        <v>1.5380425E9</v>
      </c>
      <c r="H261" s="10"/>
      <c r="I261" s="11" t="str">
        <f>"－"</f>
        <v>－</v>
      </c>
      <c r="J261" s="10"/>
      <c r="K261" s="11" t="n">
        <f>9295</f>
        <v>9295.0</v>
      </c>
    </row>
    <row r="262">
      <c r="A262" s="8" t="s">
        <v>25</v>
      </c>
      <c r="B262" s="9" t="s">
        <v>65</v>
      </c>
      <c r="C262" s="9" t="s">
        <v>66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26</v>
      </c>
      <c r="B263" s="9" t="s">
        <v>65</v>
      </c>
      <c r="C263" s="9" t="s">
        <v>66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27</v>
      </c>
      <c r="B264" s="9" t="s">
        <v>65</v>
      </c>
      <c r="C264" s="9" t="s">
        <v>66</v>
      </c>
      <c r="D264" s="10"/>
      <c r="E264" s="11" t="n">
        <f>2769</f>
        <v>2769.0</v>
      </c>
      <c r="F264" s="10"/>
      <c r="G264" s="11" t="n">
        <f>3367113000</f>
        <v>3.367113E9</v>
      </c>
      <c r="H264" s="10"/>
      <c r="I264" s="11" t="str">
        <f>"－"</f>
        <v>－</v>
      </c>
      <c r="J264" s="10"/>
      <c r="K264" s="11" t="n">
        <f>9203</f>
        <v>9203.0</v>
      </c>
    </row>
    <row r="265">
      <c r="A265" s="8" t="s">
        <v>28</v>
      </c>
      <c r="B265" s="9" t="s">
        <v>65</v>
      </c>
      <c r="C265" s="9" t="s">
        <v>66</v>
      </c>
      <c r="D265" s="10"/>
      <c r="E265" s="11" t="n">
        <f>2699</f>
        <v>2699.0</v>
      </c>
      <c r="F265" s="10"/>
      <c r="G265" s="11" t="n">
        <f>3328980000</f>
        <v>3.32898E9</v>
      </c>
      <c r="H265" s="10"/>
      <c r="I265" s="11" t="str">
        <f>"－"</f>
        <v>－</v>
      </c>
      <c r="J265" s="10"/>
      <c r="K265" s="11" t="n">
        <f>9133</f>
        <v>9133.0</v>
      </c>
    </row>
    <row r="266">
      <c r="A266" s="8" t="s">
        <v>29</v>
      </c>
      <c r="B266" s="9" t="s">
        <v>65</v>
      </c>
      <c r="C266" s="9" t="s">
        <v>66</v>
      </c>
      <c r="D266" s="10"/>
      <c r="E266" s="11" t="n">
        <f>2632</f>
        <v>2632.0</v>
      </c>
      <c r="F266" s="10"/>
      <c r="G266" s="11" t="n">
        <f>3255180000</f>
        <v>3.25518E9</v>
      </c>
      <c r="H266" s="10"/>
      <c r="I266" s="11" t="str">
        <f>"－"</f>
        <v>－</v>
      </c>
      <c r="J266" s="10"/>
      <c r="K266" s="11" t="n">
        <f>9084</f>
        <v>9084.0</v>
      </c>
    </row>
    <row r="267">
      <c r="A267" s="8" t="s">
        <v>30</v>
      </c>
      <c r="B267" s="9" t="s">
        <v>65</v>
      </c>
      <c r="C267" s="9" t="s">
        <v>66</v>
      </c>
      <c r="D267" s="10"/>
      <c r="E267" s="11" t="n">
        <f>2726</f>
        <v>2726.0</v>
      </c>
      <c r="F267" s="10"/>
      <c r="G267" s="11" t="n">
        <f>3393835500</f>
        <v>3.3938355E9</v>
      </c>
      <c r="H267" s="10"/>
      <c r="I267" s="11" t="str">
        <f>"－"</f>
        <v>－</v>
      </c>
      <c r="J267" s="10"/>
      <c r="K267" s="11" t="n">
        <f>9248</f>
        <v>9248.0</v>
      </c>
    </row>
    <row r="268">
      <c r="A268" s="8" t="s">
        <v>31</v>
      </c>
      <c r="B268" s="9" t="s">
        <v>65</v>
      </c>
      <c r="C268" s="9" t="s">
        <v>66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32</v>
      </c>
      <c r="B269" s="9" t="s">
        <v>65</v>
      </c>
      <c r="C269" s="9" t="s">
        <v>66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33</v>
      </c>
      <c r="B270" s="9" t="s">
        <v>65</v>
      </c>
      <c r="C270" s="9" t="s">
        <v>66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34</v>
      </c>
      <c r="B271" s="9" t="s">
        <v>65</v>
      </c>
      <c r="C271" s="9" t="s">
        <v>66</v>
      </c>
      <c r="D271" s="10"/>
      <c r="E271" s="11" t="n">
        <f>4037</f>
        <v>4037.0</v>
      </c>
      <c r="F271" s="10"/>
      <c r="G271" s="11" t="n">
        <f>5119368500</f>
        <v>5.1193685E9</v>
      </c>
      <c r="H271" s="10"/>
      <c r="I271" s="11" t="str">
        <f>"－"</f>
        <v>－</v>
      </c>
      <c r="J271" s="10"/>
      <c r="K271" s="11" t="n">
        <f>9478</f>
        <v>9478.0</v>
      </c>
    </row>
    <row r="272">
      <c r="A272" s="8" t="s">
        <v>35</v>
      </c>
      <c r="B272" s="9" t="s">
        <v>65</v>
      </c>
      <c r="C272" s="9" t="s">
        <v>66</v>
      </c>
      <c r="D272" s="10"/>
      <c r="E272" s="11" t="n">
        <f>2946</f>
        <v>2946.0</v>
      </c>
      <c r="F272" s="10"/>
      <c r="G272" s="11" t="n">
        <f>3715894500</f>
        <v>3.7158945E9</v>
      </c>
      <c r="H272" s="10"/>
      <c r="I272" s="11" t="str">
        <f>"－"</f>
        <v>－</v>
      </c>
      <c r="J272" s="10"/>
      <c r="K272" s="11" t="n">
        <f>9396</f>
        <v>9396.0</v>
      </c>
    </row>
    <row r="273">
      <c r="A273" s="8" t="s">
        <v>36</v>
      </c>
      <c r="B273" s="9" t="s">
        <v>65</v>
      </c>
      <c r="C273" s="9" t="s">
        <v>66</v>
      </c>
      <c r="D273" s="10"/>
      <c r="E273" s="11" t="n">
        <f>2183</f>
        <v>2183.0</v>
      </c>
      <c r="F273" s="10"/>
      <c r="G273" s="11" t="n">
        <f>2758528500</f>
        <v>2.7585285E9</v>
      </c>
      <c r="H273" s="10"/>
      <c r="I273" s="11" t="str">
        <f>"－"</f>
        <v>－</v>
      </c>
      <c r="J273" s="10"/>
      <c r="K273" s="11" t="n">
        <f>9261</f>
        <v>9261.0</v>
      </c>
    </row>
    <row r="274">
      <c r="A274" s="8" t="s">
        <v>37</v>
      </c>
      <c r="B274" s="9" t="s">
        <v>65</v>
      </c>
      <c r="C274" s="9" t="s">
        <v>66</v>
      </c>
      <c r="D274" s="10"/>
      <c r="E274" s="11" t="n">
        <f>2937</f>
        <v>2937.0</v>
      </c>
      <c r="F274" s="10"/>
      <c r="G274" s="11" t="n">
        <f>3708933000</f>
        <v>3.708933E9</v>
      </c>
      <c r="H274" s="10"/>
      <c r="I274" s="11" t="str">
        <f>"－"</f>
        <v>－</v>
      </c>
      <c r="J274" s="10"/>
      <c r="K274" s="11" t="n">
        <f>9572</f>
        <v>9572.0</v>
      </c>
    </row>
    <row r="275">
      <c r="A275" s="8" t="s">
        <v>38</v>
      </c>
      <c r="B275" s="9" t="s">
        <v>65</v>
      </c>
      <c r="C275" s="9" t="s">
        <v>66</v>
      </c>
      <c r="D275" s="10"/>
      <c r="E275" s="11" t="n">
        <f>2636</f>
        <v>2636.0</v>
      </c>
      <c r="F275" s="10"/>
      <c r="G275" s="11" t="n">
        <f>3352246000</f>
        <v>3.352246E9</v>
      </c>
      <c r="H275" s="10"/>
      <c r="I275" s="11" t="str">
        <f>"－"</f>
        <v>－</v>
      </c>
      <c r="J275" s="10"/>
      <c r="K275" s="11" t="n">
        <f>9570</f>
        <v>9570.0</v>
      </c>
    </row>
    <row r="276">
      <c r="A276" s="8" t="s">
        <v>39</v>
      </c>
      <c r="B276" s="9" t="s">
        <v>65</v>
      </c>
      <c r="C276" s="9" t="s">
        <v>66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40</v>
      </c>
      <c r="B277" s="9" t="s">
        <v>65</v>
      </c>
      <c r="C277" s="9" t="s">
        <v>66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41</v>
      </c>
      <c r="B278" s="9" t="s">
        <v>65</v>
      </c>
      <c r="C278" s="9" t="s">
        <v>66</v>
      </c>
      <c r="D278" s="10"/>
      <c r="E278" s="11" t="n">
        <f>2837</f>
        <v>2837.0</v>
      </c>
      <c r="F278" s="10"/>
      <c r="G278" s="11" t="n">
        <f>3665092500</f>
        <v>3.6650925E9</v>
      </c>
      <c r="H278" s="10"/>
      <c r="I278" s="11" t="str">
        <f>"－"</f>
        <v>－</v>
      </c>
      <c r="J278" s="10"/>
      <c r="K278" s="11" t="n">
        <f>9796</f>
        <v>9796.0</v>
      </c>
    </row>
    <row r="279">
      <c r="A279" s="8" t="s">
        <v>42</v>
      </c>
      <c r="B279" s="9" t="s">
        <v>65</v>
      </c>
      <c r="C279" s="9" t="s">
        <v>66</v>
      </c>
      <c r="D279" s="10"/>
      <c r="E279" s="11" t="n">
        <f>5024</f>
        <v>5024.0</v>
      </c>
      <c r="F279" s="10"/>
      <c r="G279" s="11" t="n">
        <f>6519812000</f>
        <v>6.519812E9</v>
      </c>
      <c r="H279" s="10"/>
      <c r="I279" s="11" t="str">
        <f>"－"</f>
        <v>－</v>
      </c>
      <c r="J279" s="10"/>
      <c r="K279" s="11" t="n">
        <f>10310</f>
        <v>10310.0</v>
      </c>
    </row>
    <row r="280">
      <c r="A280" s="8" t="s">
        <v>43</v>
      </c>
      <c r="B280" s="9" t="s">
        <v>65</v>
      </c>
      <c r="C280" s="9" t="s">
        <v>66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44</v>
      </c>
      <c r="B281" s="9" t="s">
        <v>65</v>
      </c>
      <c r="C281" s="9" t="s">
        <v>66</v>
      </c>
      <c r="D281" s="10" t="s">
        <v>24</v>
      </c>
      <c r="E281" s="11" t="n">
        <f>5172</f>
        <v>5172.0</v>
      </c>
      <c r="F281" s="10" t="s">
        <v>24</v>
      </c>
      <c r="G281" s="11" t="n">
        <f>6732678500</f>
        <v>6.7326785E9</v>
      </c>
      <c r="H281" s="10"/>
      <c r="I281" s="11" t="str">
        <f>"－"</f>
        <v>－</v>
      </c>
      <c r="J281" s="10"/>
      <c r="K281" s="11" t="n">
        <f>10639</f>
        <v>10639.0</v>
      </c>
    </row>
    <row r="282">
      <c r="A282" s="8" t="s">
        <v>45</v>
      </c>
      <c r="B282" s="9" t="s">
        <v>65</v>
      </c>
      <c r="C282" s="9" t="s">
        <v>66</v>
      </c>
      <c r="D282" s="10"/>
      <c r="E282" s="11" t="n">
        <f>3423</f>
        <v>3423.0</v>
      </c>
      <c r="F282" s="10"/>
      <c r="G282" s="11" t="n">
        <f>4491953000</f>
        <v>4.491953E9</v>
      </c>
      <c r="H282" s="10"/>
      <c r="I282" s="11" t="str">
        <f>"－"</f>
        <v>－</v>
      </c>
      <c r="J282" s="10" t="s">
        <v>24</v>
      </c>
      <c r="K282" s="11" t="n">
        <f>11330</f>
        <v>11330.0</v>
      </c>
    </row>
    <row r="283">
      <c r="A283" s="8" t="s">
        <v>46</v>
      </c>
      <c r="B283" s="9" t="s">
        <v>65</v>
      </c>
      <c r="C283" s="9" t="s">
        <v>66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47</v>
      </c>
      <c r="B284" s="9" t="s">
        <v>65</v>
      </c>
      <c r="C284" s="9" t="s">
        <v>66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48</v>
      </c>
      <c r="B285" s="9" t="s">
        <v>65</v>
      </c>
      <c r="C285" s="9" t="s">
        <v>66</v>
      </c>
      <c r="D285" s="10"/>
      <c r="E285" s="11" t="n">
        <f>3988</f>
        <v>3988.0</v>
      </c>
      <c r="F285" s="10"/>
      <c r="G285" s="11" t="n">
        <f>5202444500</f>
        <v>5.2024445E9</v>
      </c>
      <c r="H285" s="10"/>
      <c r="I285" s="11" t="str">
        <f>"－"</f>
        <v>－</v>
      </c>
      <c r="J285" s="10"/>
      <c r="K285" s="11" t="n">
        <f>11260</f>
        <v>11260.0</v>
      </c>
    </row>
    <row r="286">
      <c r="A286" s="8" t="s">
        <v>16</v>
      </c>
      <c r="B286" s="9" t="s">
        <v>67</v>
      </c>
      <c r="C286" s="9" t="s">
        <v>68</v>
      </c>
      <c r="D286" s="10" t="s">
        <v>21</v>
      </c>
      <c r="E286" s="11" t="str">
        <f>"－"</f>
        <v>－</v>
      </c>
      <c r="F286" s="10" t="s">
        <v>21</v>
      </c>
      <c r="G286" s="11" t="str">
        <f>"－"</f>
        <v>－</v>
      </c>
      <c r="H286" s="10" t="s">
        <v>19</v>
      </c>
      <c r="I286" s="11" t="str">
        <f>"－"</f>
        <v>－</v>
      </c>
      <c r="J286" s="10" t="s">
        <v>19</v>
      </c>
      <c r="K286" s="11" t="str">
        <f>"－"</f>
        <v>－</v>
      </c>
    </row>
    <row r="287">
      <c r="A287" s="8" t="s">
        <v>20</v>
      </c>
      <c r="B287" s="9" t="s">
        <v>67</v>
      </c>
      <c r="C287" s="9" t="s">
        <v>68</v>
      </c>
      <c r="D287" s="10"/>
      <c r="E287" s="11" t="str">
        <f>"－"</f>
        <v>－</v>
      </c>
      <c r="F287" s="10"/>
      <c r="G287" s="11" t="str">
        <f>"－"</f>
        <v>－</v>
      </c>
      <c r="H287" s="10"/>
      <c r="I287" s="11" t="str">
        <f>"－"</f>
        <v>－</v>
      </c>
      <c r="J287" s="10"/>
      <c r="K287" s="11" t="str">
        <f>"－"</f>
        <v>－</v>
      </c>
    </row>
    <row r="288">
      <c r="A288" s="8" t="s">
        <v>22</v>
      </c>
      <c r="B288" s="9" t="s">
        <v>67</v>
      </c>
      <c r="C288" s="9" t="s">
        <v>68</v>
      </c>
      <c r="D288" s="10"/>
      <c r="E288" s="11" t="n">
        <f>6</f>
        <v>6.0</v>
      </c>
      <c r="F288" s="10"/>
      <c r="G288" s="11" t="n">
        <f>6004500</f>
        <v>6004500.0</v>
      </c>
      <c r="H288" s="10"/>
      <c r="I288" s="11" t="str">
        <f>"－"</f>
        <v>－</v>
      </c>
      <c r="J288" s="10"/>
      <c r="K288" s="11" t="str">
        <f>"－"</f>
        <v>－</v>
      </c>
    </row>
    <row r="289">
      <c r="A289" s="8" t="s">
        <v>23</v>
      </c>
      <c r="B289" s="9" t="s">
        <v>67</v>
      </c>
      <c r="C289" s="9" t="s">
        <v>68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25</v>
      </c>
      <c r="B290" s="9" t="s">
        <v>67</v>
      </c>
      <c r="C290" s="9" t="s">
        <v>68</v>
      </c>
      <c r="D290" s="10"/>
      <c r="E290" s="11"/>
      <c r="F290" s="10"/>
      <c r="G290" s="11"/>
      <c r="H290" s="10"/>
      <c r="I290" s="11"/>
      <c r="J290" s="10"/>
      <c r="K290" s="11"/>
    </row>
    <row r="291">
      <c r="A291" s="8" t="s">
        <v>26</v>
      </c>
      <c r="B291" s="9" t="s">
        <v>67</v>
      </c>
      <c r="C291" s="9" t="s">
        <v>68</v>
      </c>
      <c r="D291" s="10"/>
      <c r="E291" s="11"/>
      <c r="F291" s="10"/>
      <c r="G291" s="11"/>
      <c r="H291" s="10"/>
      <c r="I291" s="11"/>
      <c r="J291" s="10"/>
      <c r="K291" s="11"/>
    </row>
    <row r="292">
      <c r="A292" s="8" t="s">
        <v>27</v>
      </c>
      <c r="B292" s="9" t="s">
        <v>67</v>
      </c>
      <c r="C292" s="9" t="s">
        <v>68</v>
      </c>
      <c r="D292" s="10"/>
      <c r="E292" s="11" t="str">
        <f>"－"</f>
        <v>－</v>
      </c>
      <c r="F292" s="10"/>
      <c r="G292" s="11" t="str">
        <f>"－"</f>
        <v>－</v>
      </c>
      <c r="H292" s="10"/>
      <c r="I292" s="11" t="str">
        <f>"－"</f>
        <v>－</v>
      </c>
      <c r="J292" s="10"/>
      <c r="K292" s="11" t="str">
        <f>"－"</f>
        <v>－</v>
      </c>
    </row>
    <row r="293">
      <c r="A293" s="8" t="s">
        <v>28</v>
      </c>
      <c r="B293" s="9" t="s">
        <v>67</v>
      </c>
      <c r="C293" s="9" t="s">
        <v>68</v>
      </c>
      <c r="D293" s="10"/>
      <c r="E293" s="11" t="str">
        <f>"－"</f>
        <v>－</v>
      </c>
      <c r="F293" s="10"/>
      <c r="G293" s="11" t="str">
        <f>"－"</f>
        <v>－</v>
      </c>
      <c r="H293" s="10"/>
      <c r="I293" s="11" t="str">
        <f>"－"</f>
        <v>－</v>
      </c>
      <c r="J293" s="10"/>
      <c r="K293" s="11" t="str">
        <f>"－"</f>
        <v>－</v>
      </c>
    </row>
    <row r="294">
      <c r="A294" s="8" t="s">
        <v>29</v>
      </c>
      <c r="B294" s="9" t="s">
        <v>67</v>
      </c>
      <c r="C294" s="9" t="s">
        <v>68</v>
      </c>
      <c r="D294" s="10"/>
      <c r="E294" s="11" t="str">
        <f>"－"</f>
        <v>－</v>
      </c>
      <c r="F294" s="10"/>
      <c r="G294" s="11" t="str">
        <f>"－"</f>
        <v>－</v>
      </c>
      <c r="H294" s="10"/>
      <c r="I294" s="11" t="str">
        <f>"－"</f>
        <v>－</v>
      </c>
      <c r="J294" s="10"/>
      <c r="K294" s="11" t="str">
        <f>"－"</f>
        <v>－</v>
      </c>
    </row>
    <row r="295">
      <c r="A295" s="8" t="s">
        <v>30</v>
      </c>
      <c r="B295" s="9" t="s">
        <v>67</v>
      </c>
      <c r="C295" s="9" t="s">
        <v>68</v>
      </c>
      <c r="D295" s="10"/>
      <c r="E295" s="11" t="str">
        <f>"－"</f>
        <v>－</v>
      </c>
      <c r="F295" s="10"/>
      <c r="G295" s="11" t="str">
        <f>"－"</f>
        <v>－</v>
      </c>
      <c r="H295" s="10"/>
      <c r="I295" s="11" t="str">
        <f>"－"</f>
        <v>－</v>
      </c>
      <c r="J295" s="10"/>
      <c r="K295" s="11" t="str">
        <f>"－"</f>
        <v>－</v>
      </c>
    </row>
    <row r="296">
      <c r="A296" s="8" t="s">
        <v>31</v>
      </c>
      <c r="B296" s="9" t="s">
        <v>67</v>
      </c>
      <c r="C296" s="9" t="s">
        <v>68</v>
      </c>
      <c r="D296" s="10"/>
      <c r="E296" s="11"/>
      <c r="F296" s="10"/>
      <c r="G296" s="11"/>
      <c r="H296" s="10"/>
      <c r="I296" s="11"/>
      <c r="J296" s="10"/>
      <c r="K296" s="11"/>
    </row>
    <row r="297">
      <c r="A297" s="8" t="s">
        <v>32</v>
      </c>
      <c r="B297" s="9" t="s">
        <v>67</v>
      </c>
      <c r="C297" s="9" t="s">
        <v>68</v>
      </c>
      <c r="D297" s="10"/>
      <c r="E297" s="11"/>
      <c r="F297" s="10"/>
      <c r="G297" s="11"/>
      <c r="H297" s="10"/>
      <c r="I297" s="11"/>
      <c r="J297" s="10"/>
      <c r="K297" s="11"/>
    </row>
    <row r="298">
      <c r="A298" s="8" t="s">
        <v>33</v>
      </c>
      <c r="B298" s="9" t="s">
        <v>67</v>
      </c>
      <c r="C298" s="9" t="s">
        <v>68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34</v>
      </c>
      <c r="B299" s="9" t="s">
        <v>67</v>
      </c>
      <c r="C299" s="9" t="s">
        <v>68</v>
      </c>
      <c r="D299" s="10"/>
      <c r="E299" s="11" t="n">
        <f>6</f>
        <v>6.0</v>
      </c>
      <c r="F299" s="10"/>
      <c r="G299" s="11" t="n">
        <f>6208500</f>
        <v>6208500.0</v>
      </c>
      <c r="H299" s="10"/>
      <c r="I299" s="11" t="str">
        <f>"－"</f>
        <v>－</v>
      </c>
      <c r="J299" s="10"/>
      <c r="K299" s="11" t="str">
        <f>"－"</f>
        <v>－</v>
      </c>
    </row>
    <row r="300">
      <c r="A300" s="8" t="s">
        <v>35</v>
      </c>
      <c r="B300" s="9" t="s">
        <v>67</v>
      </c>
      <c r="C300" s="9" t="s">
        <v>68</v>
      </c>
      <c r="D300" s="10"/>
      <c r="E300" s="11" t="n">
        <f>3</f>
        <v>3.0</v>
      </c>
      <c r="F300" s="10"/>
      <c r="G300" s="11" t="n">
        <f>3040500</f>
        <v>3040500.0</v>
      </c>
      <c r="H300" s="10"/>
      <c r="I300" s="11" t="str">
        <f>"－"</f>
        <v>－</v>
      </c>
      <c r="J300" s="10"/>
      <c r="K300" s="11" t="str">
        <f>"－"</f>
        <v>－</v>
      </c>
    </row>
    <row r="301">
      <c r="A301" s="8" t="s">
        <v>36</v>
      </c>
      <c r="B301" s="9" t="s">
        <v>67</v>
      </c>
      <c r="C301" s="9" t="s">
        <v>68</v>
      </c>
      <c r="D301" s="10"/>
      <c r="E301" s="11" t="n">
        <f>12</f>
        <v>12.0</v>
      </c>
      <c r="F301" s="10"/>
      <c r="G301" s="11" t="n">
        <f>12337500</f>
        <v>1.23375E7</v>
      </c>
      <c r="H301" s="10"/>
      <c r="I301" s="11" t="str">
        <f>"－"</f>
        <v>－</v>
      </c>
      <c r="J301" s="10"/>
      <c r="K301" s="11" t="str">
        <f>"－"</f>
        <v>－</v>
      </c>
    </row>
    <row r="302">
      <c r="A302" s="8" t="s">
        <v>37</v>
      </c>
      <c r="B302" s="9" t="s">
        <v>67</v>
      </c>
      <c r="C302" s="9" t="s">
        <v>68</v>
      </c>
      <c r="D302" s="10" t="s">
        <v>24</v>
      </c>
      <c r="E302" s="11" t="n">
        <f>21</f>
        <v>21.0</v>
      </c>
      <c r="F302" s="10"/>
      <c r="G302" s="11" t="n">
        <f>21343500</f>
        <v>2.13435E7</v>
      </c>
      <c r="H302" s="10"/>
      <c r="I302" s="11" t="str">
        <f>"－"</f>
        <v>－</v>
      </c>
      <c r="J302" s="10"/>
      <c r="K302" s="11" t="str">
        <f>"－"</f>
        <v>－</v>
      </c>
    </row>
    <row r="303">
      <c r="A303" s="8" t="s">
        <v>38</v>
      </c>
      <c r="B303" s="9" t="s">
        <v>67</v>
      </c>
      <c r="C303" s="9" t="s">
        <v>68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39</v>
      </c>
      <c r="B304" s="9" t="s">
        <v>67</v>
      </c>
      <c r="C304" s="9" t="s">
        <v>68</v>
      </c>
      <c r="D304" s="10"/>
      <c r="E304" s="11"/>
      <c r="F304" s="10"/>
      <c r="G304" s="11"/>
      <c r="H304" s="10"/>
      <c r="I304" s="11"/>
      <c r="J304" s="10"/>
      <c r="K304" s="11"/>
    </row>
    <row r="305">
      <c r="A305" s="8" t="s">
        <v>40</v>
      </c>
      <c r="B305" s="9" t="s">
        <v>67</v>
      </c>
      <c r="C305" s="9" t="s">
        <v>68</v>
      </c>
      <c r="D305" s="10"/>
      <c r="E305" s="11"/>
      <c r="F305" s="10"/>
      <c r="G305" s="11"/>
      <c r="H305" s="10"/>
      <c r="I305" s="11"/>
      <c r="J305" s="10"/>
      <c r="K305" s="11"/>
    </row>
    <row r="306">
      <c r="A306" s="8" t="s">
        <v>41</v>
      </c>
      <c r="B306" s="9" t="s">
        <v>67</v>
      </c>
      <c r="C306" s="9" t="s">
        <v>68</v>
      </c>
      <c r="D306" s="10"/>
      <c r="E306" s="11" t="str">
        <f>"－"</f>
        <v>－</v>
      </c>
      <c r="F306" s="10"/>
      <c r="G306" s="11" t="str">
        <f>"－"</f>
        <v>－</v>
      </c>
      <c r="H306" s="10"/>
      <c r="I306" s="11" t="str">
        <f>"－"</f>
        <v>－</v>
      </c>
      <c r="J306" s="10"/>
      <c r="K306" s="11" t="str">
        <f>"－"</f>
        <v>－</v>
      </c>
    </row>
    <row r="307">
      <c r="A307" s="8" t="s">
        <v>42</v>
      </c>
      <c r="B307" s="9" t="s">
        <v>67</v>
      </c>
      <c r="C307" s="9" t="s">
        <v>68</v>
      </c>
      <c r="D307" s="10"/>
      <c r="E307" s="11" t="n">
        <f>21</f>
        <v>21.0</v>
      </c>
      <c r="F307" s="10" t="s">
        <v>24</v>
      </c>
      <c r="G307" s="11" t="n">
        <f>21453000</f>
        <v>2.1453E7</v>
      </c>
      <c r="H307" s="10"/>
      <c r="I307" s="11" t="str">
        <f>"－"</f>
        <v>－</v>
      </c>
      <c r="J307" s="10"/>
      <c r="K307" s="11" t="str">
        <f>"－"</f>
        <v>－</v>
      </c>
    </row>
    <row r="308">
      <c r="A308" s="8" t="s">
        <v>43</v>
      </c>
      <c r="B308" s="9" t="s">
        <v>67</v>
      </c>
      <c r="C308" s="9" t="s">
        <v>68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44</v>
      </c>
      <c r="B309" s="9" t="s">
        <v>67</v>
      </c>
      <c r="C309" s="9" t="s">
        <v>68</v>
      </c>
      <c r="D309" s="10"/>
      <c r="E309" s="11" t="str">
        <f>"－"</f>
        <v>－</v>
      </c>
      <c r="F309" s="10"/>
      <c r="G309" s="11" t="str">
        <f>"－"</f>
        <v>－</v>
      </c>
      <c r="H309" s="10"/>
      <c r="I309" s="11" t="str">
        <f>"－"</f>
        <v>－</v>
      </c>
      <c r="J309" s="10"/>
      <c r="K309" s="11" t="str">
        <f>"－"</f>
        <v>－</v>
      </c>
    </row>
    <row r="310">
      <c r="A310" s="8" t="s">
        <v>45</v>
      </c>
      <c r="B310" s="9" t="s">
        <v>67</v>
      </c>
      <c r="C310" s="9" t="s">
        <v>68</v>
      </c>
      <c r="D310" s="10"/>
      <c r="E310" s="11" t="str">
        <f>"－"</f>
        <v>－</v>
      </c>
      <c r="F310" s="10"/>
      <c r="G310" s="11" t="str">
        <f>"－"</f>
        <v>－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46</v>
      </c>
      <c r="B311" s="9" t="s">
        <v>67</v>
      </c>
      <c r="C311" s="9" t="s">
        <v>68</v>
      </c>
      <c r="D311" s="10"/>
      <c r="E311" s="11"/>
      <c r="F311" s="10"/>
      <c r="G311" s="11"/>
      <c r="H311" s="10"/>
      <c r="I311" s="11"/>
      <c r="J311" s="10"/>
      <c r="K311" s="11"/>
    </row>
    <row r="312">
      <c r="A312" s="8" t="s">
        <v>47</v>
      </c>
      <c r="B312" s="9" t="s">
        <v>67</v>
      </c>
      <c r="C312" s="9" t="s">
        <v>68</v>
      </c>
      <c r="D312" s="10"/>
      <c r="E312" s="11"/>
      <c r="F312" s="10"/>
      <c r="G312" s="11"/>
      <c r="H312" s="10"/>
      <c r="I312" s="11"/>
      <c r="J312" s="10"/>
      <c r="K312" s="11"/>
    </row>
    <row r="313">
      <c r="A313" s="8" t="s">
        <v>48</v>
      </c>
      <c r="B313" s="9" t="s">
        <v>67</v>
      </c>
      <c r="C313" s="9" t="s">
        <v>68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16</v>
      </c>
      <c r="B314" s="9" t="s">
        <v>69</v>
      </c>
      <c r="C314" s="9" t="s">
        <v>70</v>
      </c>
      <c r="D314" s="10"/>
      <c r="E314" s="11" t="n">
        <f>285</f>
        <v>285.0</v>
      </c>
      <c r="F314" s="10"/>
      <c r="G314" s="11" t="n">
        <f>593986000</f>
        <v>5.93986E8</v>
      </c>
      <c r="H314" s="10" t="s">
        <v>19</v>
      </c>
      <c r="I314" s="11" t="str">
        <f>"－"</f>
        <v>－</v>
      </c>
      <c r="J314" s="10" t="s">
        <v>21</v>
      </c>
      <c r="K314" s="11" t="n">
        <f>1944</f>
        <v>1944.0</v>
      </c>
    </row>
    <row r="315">
      <c r="A315" s="8" t="s">
        <v>20</v>
      </c>
      <c r="B315" s="9" t="s">
        <v>69</v>
      </c>
      <c r="C315" s="9" t="s">
        <v>70</v>
      </c>
      <c r="D315" s="10"/>
      <c r="E315" s="11" t="n">
        <f>177</f>
        <v>177.0</v>
      </c>
      <c r="F315" s="10"/>
      <c r="G315" s="11" t="n">
        <f>368102500</f>
        <v>3.681025E8</v>
      </c>
      <c r="H315" s="10"/>
      <c r="I315" s="11" t="str">
        <f>"－"</f>
        <v>－</v>
      </c>
      <c r="J315" s="10"/>
      <c r="K315" s="11" t="n">
        <f>1977</f>
        <v>1977.0</v>
      </c>
    </row>
    <row r="316">
      <c r="A316" s="8" t="s">
        <v>22</v>
      </c>
      <c r="B316" s="9" t="s">
        <v>69</v>
      </c>
      <c r="C316" s="9" t="s">
        <v>70</v>
      </c>
      <c r="D316" s="10"/>
      <c r="E316" s="11" t="n">
        <f>168</f>
        <v>168.0</v>
      </c>
      <c r="F316" s="10"/>
      <c r="G316" s="11" t="n">
        <f>345520500</f>
        <v>3.455205E8</v>
      </c>
      <c r="H316" s="10"/>
      <c r="I316" s="11" t="str">
        <f>"－"</f>
        <v>－</v>
      </c>
      <c r="J316" s="10"/>
      <c r="K316" s="11" t="n">
        <f>2002</f>
        <v>2002.0</v>
      </c>
    </row>
    <row r="317">
      <c r="A317" s="8" t="s">
        <v>23</v>
      </c>
      <c r="B317" s="9" t="s">
        <v>69</v>
      </c>
      <c r="C317" s="9" t="s">
        <v>70</v>
      </c>
      <c r="D317" s="10"/>
      <c r="E317" s="11" t="n">
        <f>218</f>
        <v>218.0</v>
      </c>
      <c r="F317" s="10"/>
      <c r="G317" s="11" t="n">
        <f>448279000</f>
        <v>4.48279E8</v>
      </c>
      <c r="H317" s="10"/>
      <c r="I317" s="11" t="str">
        <f>"－"</f>
        <v>－</v>
      </c>
      <c r="J317" s="10"/>
      <c r="K317" s="11" t="n">
        <f>2042</f>
        <v>2042.0</v>
      </c>
    </row>
    <row r="318">
      <c r="A318" s="8" t="s">
        <v>25</v>
      </c>
      <c r="B318" s="9" t="s">
        <v>69</v>
      </c>
      <c r="C318" s="9" t="s">
        <v>70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26</v>
      </c>
      <c r="B319" s="9" t="s">
        <v>69</v>
      </c>
      <c r="C319" s="9" t="s">
        <v>70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27</v>
      </c>
      <c r="B320" s="9" t="s">
        <v>69</v>
      </c>
      <c r="C320" s="9" t="s">
        <v>70</v>
      </c>
      <c r="D320" s="10"/>
      <c r="E320" s="11" t="n">
        <f>130</f>
        <v>130.0</v>
      </c>
      <c r="F320" s="10"/>
      <c r="G320" s="11" t="n">
        <f>268112000</f>
        <v>2.68112E8</v>
      </c>
      <c r="H320" s="10"/>
      <c r="I320" s="11" t="str">
        <f>"－"</f>
        <v>－</v>
      </c>
      <c r="J320" s="10"/>
      <c r="K320" s="11" t="n">
        <f>2036</f>
        <v>2036.0</v>
      </c>
    </row>
    <row r="321">
      <c r="A321" s="8" t="s">
        <v>28</v>
      </c>
      <c r="B321" s="9" t="s">
        <v>69</v>
      </c>
      <c r="C321" s="9" t="s">
        <v>70</v>
      </c>
      <c r="D321" s="10"/>
      <c r="E321" s="11" t="n">
        <f>117</f>
        <v>117.0</v>
      </c>
      <c r="F321" s="10"/>
      <c r="G321" s="11" t="n">
        <f>246002000</f>
        <v>2.46002E8</v>
      </c>
      <c r="H321" s="10"/>
      <c r="I321" s="11" t="str">
        <f>"－"</f>
        <v>－</v>
      </c>
      <c r="J321" s="10"/>
      <c r="K321" s="11" t="n">
        <f>2027</f>
        <v>2027.0</v>
      </c>
    </row>
    <row r="322">
      <c r="A322" s="8" t="s">
        <v>29</v>
      </c>
      <c r="B322" s="9" t="s">
        <v>69</v>
      </c>
      <c r="C322" s="9" t="s">
        <v>70</v>
      </c>
      <c r="D322" s="10"/>
      <c r="E322" s="11" t="n">
        <f>64</f>
        <v>64.0</v>
      </c>
      <c r="F322" s="10"/>
      <c r="G322" s="11" t="n">
        <f>136041000</f>
        <v>1.36041E8</v>
      </c>
      <c r="H322" s="10"/>
      <c r="I322" s="11" t="str">
        <f>"－"</f>
        <v>－</v>
      </c>
      <c r="J322" s="10"/>
      <c r="K322" s="11" t="n">
        <f>2023</f>
        <v>2023.0</v>
      </c>
    </row>
    <row r="323">
      <c r="A323" s="8" t="s">
        <v>30</v>
      </c>
      <c r="B323" s="9" t="s">
        <v>69</v>
      </c>
      <c r="C323" s="9" t="s">
        <v>70</v>
      </c>
      <c r="D323" s="10"/>
      <c r="E323" s="11" t="n">
        <f>281</f>
        <v>281.0</v>
      </c>
      <c r="F323" s="10"/>
      <c r="G323" s="11" t="n">
        <f>596648500</f>
        <v>5.966485E8</v>
      </c>
      <c r="H323" s="10"/>
      <c r="I323" s="11" t="str">
        <f>"－"</f>
        <v>－</v>
      </c>
      <c r="J323" s="10"/>
      <c r="K323" s="11" t="n">
        <f>2054</f>
        <v>2054.0</v>
      </c>
    </row>
    <row r="324">
      <c r="A324" s="8" t="s">
        <v>31</v>
      </c>
      <c r="B324" s="9" t="s">
        <v>69</v>
      </c>
      <c r="C324" s="9" t="s">
        <v>70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32</v>
      </c>
      <c r="B325" s="9" t="s">
        <v>69</v>
      </c>
      <c r="C325" s="9" t="s">
        <v>70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33</v>
      </c>
      <c r="B326" s="9" t="s">
        <v>69</v>
      </c>
      <c r="C326" s="9" t="s">
        <v>70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34</v>
      </c>
      <c r="B327" s="9" t="s">
        <v>69</v>
      </c>
      <c r="C327" s="9" t="s">
        <v>70</v>
      </c>
      <c r="D327" s="10"/>
      <c r="E327" s="11" t="n">
        <f>272</f>
        <v>272.0</v>
      </c>
      <c r="F327" s="10"/>
      <c r="G327" s="11" t="n">
        <f>584334500</f>
        <v>5.843345E8</v>
      </c>
      <c r="H327" s="10"/>
      <c r="I327" s="11" t="str">
        <f>"－"</f>
        <v>－</v>
      </c>
      <c r="J327" s="10" t="s">
        <v>24</v>
      </c>
      <c r="K327" s="11" t="n">
        <f>2068</f>
        <v>2068.0</v>
      </c>
    </row>
    <row r="328">
      <c r="A328" s="8" t="s">
        <v>35</v>
      </c>
      <c r="B328" s="9" t="s">
        <v>69</v>
      </c>
      <c r="C328" s="9" t="s">
        <v>70</v>
      </c>
      <c r="D328" s="10"/>
      <c r="E328" s="11" t="n">
        <f>170</f>
        <v>170.0</v>
      </c>
      <c r="F328" s="10"/>
      <c r="G328" s="11" t="n">
        <f>390455000</f>
        <v>3.90455E8</v>
      </c>
      <c r="H328" s="10"/>
      <c r="I328" s="11" t="str">
        <f>"－"</f>
        <v>－</v>
      </c>
      <c r="J328" s="10"/>
      <c r="K328" s="11" t="n">
        <f>2013</f>
        <v>2013.0</v>
      </c>
    </row>
    <row r="329">
      <c r="A329" s="8" t="s">
        <v>36</v>
      </c>
      <c r="B329" s="9" t="s">
        <v>69</v>
      </c>
      <c r="C329" s="9" t="s">
        <v>70</v>
      </c>
      <c r="D329" s="10"/>
      <c r="E329" s="11" t="n">
        <f>142</f>
        <v>142.0</v>
      </c>
      <c r="F329" s="10"/>
      <c r="G329" s="11" t="n">
        <f>301704000</f>
        <v>3.01704E8</v>
      </c>
      <c r="H329" s="10"/>
      <c r="I329" s="11" t="str">
        <f>"－"</f>
        <v>－</v>
      </c>
      <c r="J329" s="10"/>
      <c r="K329" s="11" t="n">
        <f>2000</f>
        <v>2000.0</v>
      </c>
    </row>
    <row r="330">
      <c r="A330" s="8" t="s">
        <v>37</v>
      </c>
      <c r="B330" s="9" t="s">
        <v>69</v>
      </c>
      <c r="C330" s="9" t="s">
        <v>70</v>
      </c>
      <c r="D330" s="10"/>
      <c r="E330" s="11" t="n">
        <f>104</f>
        <v>104.0</v>
      </c>
      <c r="F330" s="10"/>
      <c r="G330" s="11" t="n">
        <f>222419500</f>
        <v>2.224195E8</v>
      </c>
      <c r="H330" s="10"/>
      <c r="I330" s="11" t="str">
        <f>"－"</f>
        <v>－</v>
      </c>
      <c r="J330" s="10"/>
      <c r="K330" s="11" t="n">
        <f>2008</f>
        <v>2008.0</v>
      </c>
    </row>
    <row r="331">
      <c r="A331" s="8" t="s">
        <v>38</v>
      </c>
      <c r="B331" s="9" t="s">
        <v>69</v>
      </c>
      <c r="C331" s="9" t="s">
        <v>70</v>
      </c>
      <c r="D331" s="10"/>
      <c r="E331" s="11" t="n">
        <f>120</f>
        <v>120.0</v>
      </c>
      <c r="F331" s="10"/>
      <c r="G331" s="11" t="n">
        <f>254961000</f>
        <v>2.54961E8</v>
      </c>
      <c r="H331" s="10"/>
      <c r="I331" s="11" t="str">
        <f>"－"</f>
        <v>－</v>
      </c>
      <c r="J331" s="10"/>
      <c r="K331" s="11" t="n">
        <f>2022</f>
        <v>2022.0</v>
      </c>
    </row>
    <row r="332">
      <c r="A332" s="8" t="s">
        <v>39</v>
      </c>
      <c r="B332" s="9" t="s">
        <v>69</v>
      </c>
      <c r="C332" s="9" t="s">
        <v>70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40</v>
      </c>
      <c r="B333" s="9" t="s">
        <v>69</v>
      </c>
      <c r="C333" s="9" t="s">
        <v>70</v>
      </c>
      <c r="D333" s="10"/>
      <c r="E333" s="11"/>
      <c r="F333" s="10"/>
      <c r="G333" s="11"/>
      <c r="H333" s="10"/>
      <c r="I333" s="11"/>
      <c r="J333" s="10"/>
      <c r="K333" s="11"/>
    </row>
    <row r="334">
      <c r="A334" s="8" t="s">
        <v>41</v>
      </c>
      <c r="B334" s="9" t="s">
        <v>69</v>
      </c>
      <c r="C334" s="9" t="s">
        <v>70</v>
      </c>
      <c r="D334" s="10" t="s">
        <v>21</v>
      </c>
      <c r="E334" s="11" t="n">
        <f>61</f>
        <v>61.0</v>
      </c>
      <c r="F334" s="10" t="s">
        <v>21</v>
      </c>
      <c r="G334" s="11" t="n">
        <f>130001500</f>
        <v>1.300015E8</v>
      </c>
      <c r="H334" s="10"/>
      <c r="I334" s="11" t="str">
        <f>"－"</f>
        <v>－</v>
      </c>
      <c r="J334" s="10"/>
      <c r="K334" s="11" t="n">
        <f>2022</f>
        <v>2022.0</v>
      </c>
    </row>
    <row r="335">
      <c r="A335" s="8" t="s">
        <v>42</v>
      </c>
      <c r="B335" s="9" t="s">
        <v>69</v>
      </c>
      <c r="C335" s="9" t="s">
        <v>70</v>
      </c>
      <c r="D335" s="10"/>
      <c r="E335" s="11" t="n">
        <f>101</f>
        <v>101.0</v>
      </c>
      <c r="F335" s="10"/>
      <c r="G335" s="11" t="n">
        <f>216983500</f>
        <v>2.169835E8</v>
      </c>
      <c r="H335" s="10"/>
      <c r="I335" s="11" t="str">
        <f>"－"</f>
        <v>－</v>
      </c>
      <c r="J335" s="10"/>
      <c r="K335" s="11" t="n">
        <f>2025</f>
        <v>2025.0</v>
      </c>
    </row>
    <row r="336">
      <c r="A336" s="8" t="s">
        <v>43</v>
      </c>
      <c r="B336" s="9" t="s">
        <v>69</v>
      </c>
      <c r="C336" s="9" t="s">
        <v>70</v>
      </c>
      <c r="D336" s="10"/>
      <c r="E336" s="11"/>
      <c r="F336" s="10"/>
      <c r="G336" s="11"/>
      <c r="H336" s="10"/>
      <c r="I336" s="11"/>
      <c r="J336" s="10"/>
      <c r="K336" s="11"/>
    </row>
    <row r="337">
      <c r="A337" s="8" t="s">
        <v>44</v>
      </c>
      <c r="B337" s="9" t="s">
        <v>69</v>
      </c>
      <c r="C337" s="9" t="s">
        <v>70</v>
      </c>
      <c r="D337" s="10"/>
      <c r="E337" s="11" t="n">
        <f>278</f>
        <v>278.0</v>
      </c>
      <c r="F337" s="10"/>
      <c r="G337" s="11" t="n">
        <f>607519000</f>
        <v>6.07519E8</v>
      </c>
      <c r="H337" s="10"/>
      <c r="I337" s="11" t="str">
        <f>"－"</f>
        <v>－</v>
      </c>
      <c r="J337" s="10"/>
      <c r="K337" s="11" t="n">
        <f>2028</f>
        <v>2028.0</v>
      </c>
    </row>
    <row r="338">
      <c r="A338" s="8" t="s">
        <v>45</v>
      </c>
      <c r="B338" s="9" t="s">
        <v>69</v>
      </c>
      <c r="C338" s="9" t="s">
        <v>70</v>
      </c>
      <c r="D338" s="10" t="s">
        <v>24</v>
      </c>
      <c r="E338" s="11" t="n">
        <f>383</f>
        <v>383.0</v>
      </c>
      <c r="F338" s="10" t="s">
        <v>24</v>
      </c>
      <c r="G338" s="11" t="n">
        <f>850877500</f>
        <v>8.508775E8</v>
      </c>
      <c r="H338" s="10"/>
      <c r="I338" s="11" t="str">
        <f>"－"</f>
        <v>－</v>
      </c>
      <c r="J338" s="10"/>
      <c r="K338" s="11" t="n">
        <f>2019</f>
        <v>2019.0</v>
      </c>
    </row>
    <row r="339">
      <c r="A339" s="8" t="s">
        <v>46</v>
      </c>
      <c r="B339" s="9" t="s">
        <v>69</v>
      </c>
      <c r="C339" s="9" t="s">
        <v>70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47</v>
      </c>
      <c r="B340" s="9" t="s">
        <v>69</v>
      </c>
      <c r="C340" s="9" t="s">
        <v>70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48</v>
      </c>
      <c r="B341" s="9" t="s">
        <v>69</v>
      </c>
      <c r="C341" s="9" t="s">
        <v>70</v>
      </c>
      <c r="D341" s="10"/>
      <c r="E341" s="11" t="n">
        <f>278</f>
        <v>278.0</v>
      </c>
      <c r="F341" s="10"/>
      <c r="G341" s="11" t="n">
        <f>603547000</f>
        <v>6.03547E8</v>
      </c>
      <c r="H341" s="10"/>
      <c r="I341" s="11" t="str">
        <f>"－"</f>
        <v>－</v>
      </c>
      <c r="J341" s="10"/>
      <c r="K341" s="11" t="n">
        <f>2011</f>
        <v>2011.0</v>
      </c>
    </row>
    <row r="342">
      <c r="A342" s="8" t="s">
        <v>16</v>
      </c>
      <c r="B342" s="9" t="s">
        <v>71</v>
      </c>
      <c r="C342" s="9" t="s">
        <v>72</v>
      </c>
      <c r="D342" s="10" t="s">
        <v>19</v>
      </c>
      <c r="E342" s="11" t="str">
        <f>"－"</f>
        <v>－</v>
      </c>
      <c r="F342" s="10" t="s">
        <v>19</v>
      </c>
      <c r="G342" s="11" t="str">
        <f>"－"</f>
        <v>－</v>
      </c>
      <c r="H342" s="10" t="s">
        <v>19</v>
      </c>
      <c r="I342" s="11" t="str">
        <f>"－"</f>
        <v>－</v>
      </c>
      <c r="J342" s="10" t="s">
        <v>19</v>
      </c>
      <c r="K342" s="11" t="str">
        <f>"－"</f>
        <v>－</v>
      </c>
    </row>
    <row r="343">
      <c r="A343" s="8" t="s">
        <v>20</v>
      </c>
      <c r="B343" s="9" t="s">
        <v>71</v>
      </c>
      <c r="C343" s="9" t="s">
        <v>72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22</v>
      </c>
      <c r="B344" s="9" t="s">
        <v>71</v>
      </c>
      <c r="C344" s="9" t="s">
        <v>72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23</v>
      </c>
      <c r="B345" s="9" t="s">
        <v>71</v>
      </c>
      <c r="C345" s="9" t="s">
        <v>72</v>
      </c>
      <c r="D345" s="10"/>
      <c r="E345" s="11" t="str">
        <f>"－"</f>
        <v>－</v>
      </c>
      <c r="F345" s="10"/>
      <c r="G345" s="11" t="str">
        <f>"－"</f>
        <v>－</v>
      </c>
      <c r="H345" s="10"/>
      <c r="I345" s="11" t="str">
        <f>"－"</f>
        <v>－</v>
      </c>
      <c r="J345" s="10"/>
      <c r="K345" s="11" t="str">
        <f>"－"</f>
        <v>－</v>
      </c>
    </row>
    <row r="346">
      <c r="A346" s="8" t="s">
        <v>25</v>
      </c>
      <c r="B346" s="9" t="s">
        <v>71</v>
      </c>
      <c r="C346" s="9" t="s">
        <v>72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26</v>
      </c>
      <c r="B347" s="9" t="s">
        <v>71</v>
      </c>
      <c r="C347" s="9" t="s">
        <v>72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27</v>
      </c>
      <c r="B348" s="9" t="s">
        <v>71</v>
      </c>
      <c r="C348" s="9" t="s">
        <v>72</v>
      </c>
      <c r="D348" s="10"/>
      <c r="E348" s="11" t="str">
        <f>"－"</f>
        <v>－</v>
      </c>
      <c r="F348" s="10"/>
      <c r="G348" s="11" t="str">
        <f>"－"</f>
        <v>－</v>
      </c>
      <c r="H348" s="10"/>
      <c r="I348" s="11" t="str">
        <f>"－"</f>
        <v>－</v>
      </c>
      <c r="J348" s="10"/>
      <c r="K348" s="11" t="str">
        <f>"－"</f>
        <v>－</v>
      </c>
    </row>
    <row r="349">
      <c r="A349" s="8" t="s">
        <v>28</v>
      </c>
      <c r="B349" s="9" t="s">
        <v>71</v>
      </c>
      <c r="C349" s="9" t="s">
        <v>72</v>
      </c>
      <c r="D349" s="10"/>
      <c r="E349" s="11" t="str">
        <f>"－"</f>
        <v>－</v>
      </c>
      <c r="F349" s="10"/>
      <c r="G349" s="11" t="str">
        <f>"－"</f>
        <v>－</v>
      </c>
      <c r="H349" s="10"/>
      <c r="I349" s="11" t="str">
        <f>"－"</f>
        <v>－</v>
      </c>
      <c r="J349" s="10"/>
      <c r="K349" s="11" t="str">
        <f>"－"</f>
        <v>－</v>
      </c>
    </row>
    <row r="350">
      <c r="A350" s="8" t="s">
        <v>29</v>
      </c>
      <c r="B350" s="9" t="s">
        <v>71</v>
      </c>
      <c r="C350" s="9" t="s">
        <v>72</v>
      </c>
      <c r="D350" s="10"/>
      <c r="E350" s="11" t="str">
        <f>"－"</f>
        <v>－</v>
      </c>
      <c r="F350" s="10"/>
      <c r="G350" s="11" t="str">
        <f>"－"</f>
        <v>－</v>
      </c>
      <c r="H350" s="10"/>
      <c r="I350" s="11" t="str">
        <f>"－"</f>
        <v>－</v>
      </c>
      <c r="J350" s="10"/>
      <c r="K350" s="11" t="str">
        <f>"－"</f>
        <v>－</v>
      </c>
    </row>
    <row r="351">
      <c r="A351" s="8" t="s">
        <v>30</v>
      </c>
      <c r="B351" s="9" t="s">
        <v>71</v>
      </c>
      <c r="C351" s="9" t="s">
        <v>72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31</v>
      </c>
      <c r="B352" s="9" t="s">
        <v>71</v>
      </c>
      <c r="C352" s="9" t="s">
        <v>72</v>
      </c>
      <c r="D352" s="10"/>
      <c r="E352" s="11"/>
      <c r="F352" s="10"/>
      <c r="G352" s="11"/>
      <c r="H352" s="10"/>
      <c r="I352" s="11"/>
      <c r="J352" s="10"/>
      <c r="K352" s="11"/>
    </row>
    <row r="353">
      <c r="A353" s="8" t="s">
        <v>32</v>
      </c>
      <c r="B353" s="9" t="s">
        <v>71</v>
      </c>
      <c r="C353" s="9" t="s">
        <v>72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33</v>
      </c>
      <c r="B354" s="9" t="s">
        <v>71</v>
      </c>
      <c r="C354" s="9" t="s">
        <v>72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34</v>
      </c>
      <c r="B355" s="9" t="s">
        <v>71</v>
      </c>
      <c r="C355" s="9" t="s">
        <v>72</v>
      </c>
      <c r="D355" s="10"/>
      <c r="E355" s="11" t="str">
        <f>"－"</f>
        <v>－</v>
      </c>
      <c r="F355" s="10"/>
      <c r="G355" s="11" t="str">
        <f>"－"</f>
        <v>－</v>
      </c>
      <c r="H355" s="10"/>
      <c r="I355" s="11" t="str">
        <f>"－"</f>
        <v>－</v>
      </c>
      <c r="J355" s="10"/>
      <c r="K355" s="11" t="str">
        <f>"－"</f>
        <v>－</v>
      </c>
    </row>
    <row r="356">
      <c r="A356" s="8" t="s">
        <v>35</v>
      </c>
      <c r="B356" s="9" t="s">
        <v>71</v>
      </c>
      <c r="C356" s="9" t="s">
        <v>72</v>
      </c>
      <c r="D356" s="10"/>
      <c r="E356" s="11" t="str">
        <f>"－"</f>
        <v>－</v>
      </c>
      <c r="F356" s="10"/>
      <c r="G356" s="11" t="str">
        <f>"－"</f>
        <v>－</v>
      </c>
      <c r="H356" s="10"/>
      <c r="I356" s="11" t="str">
        <f>"－"</f>
        <v>－</v>
      </c>
      <c r="J356" s="10"/>
      <c r="K356" s="11" t="str">
        <f>"－"</f>
        <v>－</v>
      </c>
    </row>
    <row r="357">
      <c r="A357" s="8" t="s">
        <v>36</v>
      </c>
      <c r="B357" s="9" t="s">
        <v>71</v>
      </c>
      <c r="C357" s="9" t="s">
        <v>72</v>
      </c>
      <c r="D357" s="10"/>
      <c r="E357" s="11" t="str">
        <f>"－"</f>
        <v>－</v>
      </c>
      <c r="F357" s="10"/>
      <c r="G357" s="11" t="str">
        <f>"－"</f>
        <v>－</v>
      </c>
      <c r="H357" s="10"/>
      <c r="I357" s="11" t="str">
        <f>"－"</f>
        <v>－</v>
      </c>
      <c r="J357" s="10"/>
      <c r="K357" s="11" t="str">
        <f>"－"</f>
        <v>－</v>
      </c>
    </row>
    <row r="358">
      <c r="A358" s="8" t="s">
        <v>37</v>
      </c>
      <c r="B358" s="9" t="s">
        <v>71</v>
      </c>
      <c r="C358" s="9" t="s">
        <v>72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38</v>
      </c>
      <c r="B359" s="9" t="s">
        <v>71</v>
      </c>
      <c r="C359" s="9" t="s">
        <v>72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str">
        <f>"－"</f>
        <v>－</v>
      </c>
    </row>
    <row r="360">
      <c r="A360" s="8" t="s">
        <v>39</v>
      </c>
      <c r="B360" s="9" t="s">
        <v>71</v>
      </c>
      <c r="C360" s="9" t="s">
        <v>72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40</v>
      </c>
      <c r="B361" s="9" t="s">
        <v>71</v>
      </c>
      <c r="C361" s="9" t="s">
        <v>72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41</v>
      </c>
      <c r="B362" s="9" t="s">
        <v>71</v>
      </c>
      <c r="C362" s="9" t="s">
        <v>72</v>
      </c>
      <c r="D362" s="10"/>
      <c r="E362" s="11" t="str">
        <f>"－"</f>
        <v>－</v>
      </c>
      <c r="F362" s="10"/>
      <c r="G362" s="11" t="str">
        <f>"－"</f>
        <v>－</v>
      </c>
      <c r="H362" s="10"/>
      <c r="I362" s="11" t="str">
        <f>"－"</f>
        <v>－</v>
      </c>
      <c r="J362" s="10"/>
      <c r="K362" s="11" t="str">
        <f>"－"</f>
        <v>－</v>
      </c>
    </row>
    <row r="363">
      <c r="A363" s="8" t="s">
        <v>42</v>
      </c>
      <c r="B363" s="9" t="s">
        <v>71</v>
      </c>
      <c r="C363" s="9" t="s">
        <v>72</v>
      </c>
      <c r="D363" s="10"/>
      <c r="E363" s="11" t="str">
        <f>"－"</f>
        <v>－</v>
      </c>
      <c r="F363" s="10"/>
      <c r="G363" s="11" t="str">
        <f>"－"</f>
        <v>－</v>
      </c>
      <c r="H363" s="10"/>
      <c r="I363" s="11" t="str">
        <f>"－"</f>
        <v>－</v>
      </c>
      <c r="J363" s="10"/>
      <c r="K363" s="11" t="str">
        <f>"－"</f>
        <v>－</v>
      </c>
    </row>
    <row r="364">
      <c r="A364" s="8" t="s">
        <v>43</v>
      </c>
      <c r="B364" s="9" t="s">
        <v>71</v>
      </c>
      <c r="C364" s="9" t="s">
        <v>72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44</v>
      </c>
      <c r="B365" s="9" t="s">
        <v>71</v>
      </c>
      <c r="C365" s="9" t="s">
        <v>72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45</v>
      </c>
      <c r="B366" s="9" t="s">
        <v>71</v>
      </c>
      <c r="C366" s="9" t="s">
        <v>72</v>
      </c>
      <c r="D366" s="10"/>
      <c r="E366" s="11" t="str">
        <f>"－"</f>
        <v>－</v>
      </c>
      <c r="F366" s="10"/>
      <c r="G366" s="11" t="str">
        <f>"－"</f>
        <v>－</v>
      </c>
      <c r="H366" s="10"/>
      <c r="I366" s="11" t="str">
        <f>"－"</f>
        <v>－</v>
      </c>
      <c r="J366" s="10"/>
      <c r="K366" s="11" t="str">
        <f>"－"</f>
        <v>－</v>
      </c>
    </row>
    <row r="367">
      <c r="A367" s="8" t="s">
        <v>46</v>
      </c>
      <c r="B367" s="9" t="s">
        <v>71</v>
      </c>
      <c r="C367" s="9" t="s">
        <v>72</v>
      </c>
      <c r="D367" s="10"/>
      <c r="E367" s="11"/>
      <c r="F367" s="10"/>
      <c r="G367" s="11"/>
      <c r="H367" s="10"/>
      <c r="I367" s="11"/>
      <c r="J367" s="10"/>
      <c r="K367" s="11"/>
    </row>
    <row r="368">
      <c r="A368" s="8" t="s">
        <v>47</v>
      </c>
      <c r="B368" s="9" t="s">
        <v>71</v>
      </c>
      <c r="C368" s="9" t="s">
        <v>72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48</v>
      </c>
      <c r="B369" s="9" t="s">
        <v>71</v>
      </c>
      <c r="C369" s="9" t="s">
        <v>72</v>
      </c>
      <c r="D369" s="10"/>
      <c r="E369" s="11" t="str">
        <f>"－"</f>
        <v>－</v>
      </c>
      <c r="F369" s="10"/>
      <c r="G369" s="11" t="str">
        <f>"－"</f>
        <v>－</v>
      </c>
      <c r="H369" s="10"/>
      <c r="I369" s="11" t="str">
        <f>"－"</f>
        <v>－</v>
      </c>
      <c r="J369" s="10"/>
      <c r="K369" s="11" t="str">
        <f>"－"</f>
        <v>－</v>
      </c>
    </row>
    <row r="370">
      <c r="A370" s="8" t="s">
        <v>16</v>
      </c>
      <c r="B370" s="9" t="s">
        <v>73</v>
      </c>
      <c r="C370" s="9" t="s">
        <v>74</v>
      </c>
      <c r="D370" s="10" t="s">
        <v>19</v>
      </c>
      <c r="E370" s="11" t="str">
        <f>"－"</f>
        <v>－</v>
      </c>
      <c r="F370" s="10" t="s">
        <v>19</v>
      </c>
      <c r="G370" s="11" t="str">
        <f>"－"</f>
        <v>－</v>
      </c>
      <c r="H370" s="10" t="s">
        <v>19</v>
      </c>
      <c r="I370" s="11" t="str">
        <f>"－"</f>
        <v>－</v>
      </c>
      <c r="J370" s="10" t="s">
        <v>19</v>
      </c>
      <c r="K370" s="11" t="str">
        <f>"－"</f>
        <v>－</v>
      </c>
    </row>
    <row r="371">
      <c r="A371" s="8" t="s">
        <v>20</v>
      </c>
      <c r="B371" s="9" t="s">
        <v>73</v>
      </c>
      <c r="C371" s="9" t="s">
        <v>74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22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23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25</v>
      </c>
      <c r="B374" s="9" t="s">
        <v>73</v>
      </c>
      <c r="C374" s="9" t="s">
        <v>74</v>
      </c>
      <c r="D374" s="10"/>
      <c r="E374" s="11"/>
      <c r="F374" s="10"/>
      <c r="G374" s="11"/>
      <c r="H374" s="10"/>
      <c r="I374" s="11"/>
      <c r="J374" s="10"/>
      <c r="K374" s="11"/>
    </row>
    <row r="375">
      <c r="A375" s="8" t="s">
        <v>26</v>
      </c>
      <c r="B375" s="9" t="s">
        <v>73</v>
      </c>
      <c r="C375" s="9" t="s">
        <v>74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27</v>
      </c>
      <c r="B376" s="9" t="s">
        <v>73</v>
      </c>
      <c r="C376" s="9" t="s">
        <v>74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str">
        <f>"－"</f>
        <v>－</v>
      </c>
    </row>
    <row r="377">
      <c r="A377" s="8" t="s">
        <v>28</v>
      </c>
      <c r="B377" s="9" t="s">
        <v>73</v>
      </c>
      <c r="C377" s="9" t="s">
        <v>74</v>
      </c>
      <c r="D377" s="10"/>
      <c r="E377" s="11" t="str">
        <f>"－"</f>
        <v>－</v>
      </c>
      <c r="F377" s="10"/>
      <c r="G377" s="11" t="str">
        <f>"－"</f>
        <v>－</v>
      </c>
      <c r="H377" s="10"/>
      <c r="I377" s="11" t="str">
        <f>"－"</f>
        <v>－</v>
      </c>
      <c r="J377" s="10"/>
      <c r="K377" s="11" t="str">
        <f>"－"</f>
        <v>－</v>
      </c>
    </row>
    <row r="378">
      <c r="A378" s="8" t="s">
        <v>29</v>
      </c>
      <c r="B378" s="9" t="s">
        <v>73</v>
      </c>
      <c r="C378" s="9" t="s">
        <v>74</v>
      </c>
      <c r="D378" s="10"/>
      <c r="E378" s="11" t="str">
        <f>"－"</f>
        <v>－</v>
      </c>
      <c r="F378" s="10"/>
      <c r="G378" s="11" t="str">
        <f>"－"</f>
        <v>－</v>
      </c>
      <c r="H378" s="10"/>
      <c r="I378" s="11" t="str">
        <f>"－"</f>
        <v>－</v>
      </c>
      <c r="J378" s="10"/>
      <c r="K378" s="11" t="str">
        <f>"－"</f>
        <v>－</v>
      </c>
    </row>
    <row r="379">
      <c r="A379" s="8" t="s">
        <v>30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31</v>
      </c>
      <c r="B380" s="9" t="s">
        <v>73</v>
      </c>
      <c r="C380" s="9" t="s">
        <v>74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32</v>
      </c>
      <c r="B381" s="9" t="s">
        <v>73</v>
      </c>
      <c r="C381" s="9" t="s">
        <v>74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33</v>
      </c>
      <c r="B382" s="9" t="s">
        <v>73</v>
      </c>
      <c r="C382" s="9" t="s">
        <v>74</v>
      </c>
      <c r="D382" s="10"/>
      <c r="E382" s="11"/>
      <c r="F382" s="10"/>
      <c r="G382" s="11"/>
      <c r="H382" s="10"/>
      <c r="I382" s="11"/>
      <c r="J382" s="10"/>
      <c r="K382" s="11"/>
    </row>
    <row r="383">
      <c r="A383" s="8" t="s">
        <v>34</v>
      </c>
      <c r="B383" s="9" t="s">
        <v>73</v>
      </c>
      <c r="C383" s="9" t="s">
        <v>74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35</v>
      </c>
      <c r="B384" s="9" t="s">
        <v>73</v>
      </c>
      <c r="C384" s="9" t="s">
        <v>74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36</v>
      </c>
      <c r="B385" s="9" t="s">
        <v>73</v>
      </c>
      <c r="C385" s="9" t="s">
        <v>74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37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38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39</v>
      </c>
      <c r="B388" s="9" t="s">
        <v>73</v>
      </c>
      <c r="C388" s="9" t="s">
        <v>74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40</v>
      </c>
      <c r="B389" s="9" t="s">
        <v>73</v>
      </c>
      <c r="C389" s="9" t="s">
        <v>74</v>
      </c>
      <c r="D389" s="10"/>
      <c r="E389" s="11"/>
      <c r="F389" s="10"/>
      <c r="G389" s="11"/>
      <c r="H389" s="10"/>
      <c r="I389" s="11"/>
      <c r="J389" s="10"/>
      <c r="K389" s="11"/>
    </row>
    <row r="390">
      <c r="A390" s="8" t="s">
        <v>41</v>
      </c>
      <c r="B390" s="9" t="s">
        <v>73</v>
      </c>
      <c r="C390" s="9" t="s">
        <v>74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42</v>
      </c>
      <c r="B391" s="9" t="s">
        <v>73</v>
      </c>
      <c r="C391" s="9" t="s">
        <v>74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43</v>
      </c>
      <c r="B392" s="9" t="s">
        <v>73</v>
      </c>
      <c r="C392" s="9" t="s">
        <v>74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44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45</v>
      </c>
      <c r="B394" s="9" t="s">
        <v>73</v>
      </c>
      <c r="C394" s="9" t="s">
        <v>74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46</v>
      </c>
      <c r="B395" s="9" t="s">
        <v>73</v>
      </c>
      <c r="C395" s="9" t="s">
        <v>74</v>
      </c>
      <c r="D395" s="10"/>
      <c r="E395" s="11"/>
      <c r="F395" s="10"/>
      <c r="G395" s="11"/>
      <c r="H395" s="10"/>
      <c r="I395" s="11"/>
      <c r="J395" s="10"/>
      <c r="K395" s="11"/>
    </row>
    <row r="396">
      <c r="A396" s="8" t="s">
        <v>47</v>
      </c>
      <c r="B396" s="9" t="s">
        <v>73</v>
      </c>
      <c r="C396" s="9" t="s">
        <v>74</v>
      </c>
      <c r="D396" s="10"/>
      <c r="E396" s="11"/>
      <c r="F396" s="10"/>
      <c r="G396" s="11"/>
      <c r="H396" s="10"/>
      <c r="I396" s="11"/>
      <c r="J396" s="10"/>
      <c r="K396" s="11"/>
    </row>
    <row r="397">
      <c r="A397" s="8" t="s">
        <v>48</v>
      </c>
      <c r="B397" s="9" t="s">
        <v>73</v>
      </c>
      <c r="C397" s="9" t="s">
        <v>74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16</v>
      </c>
      <c r="B398" s="9" t="s">
        <v>75</v>
      </c>
      <c r="C398" s="9" t="s">
        <v>76</v>
      </c>
      <c r="D398" s="10"/>
      <c r="E398" s="11" t="n">
        <f>71</f>
        <v>71.0</v>
      </c>
      <c r="F398" s="10"/>
      <c r="G398" s="11" t="n">
        <f>268527000</f>
        <v>2.68527E8</v>
      </c>
      <c r="H398" s="10" t="s">
        <v>19</v>
      </c>
      <c r="I398" s="11" t="str">
        <f>"－"</f>
        <v>－</v>
      </c>
      <c r="J398" s="10"/>
      <c r="K398" s="11" t="n">
        <f>564</f>
        <v>564.0</v>
      </c>
    </row>
    <row r="399">
      <c r="A399" s="8" t="s">
        <v>20</v>
      </c>
      <c r="B399" s="9" t="s">
        <v>75</v>
      </c>
      <c r="C399" s="9" t="s">
        <v>76</v>
      </c>
      <c r="D399" s="10"/>
      <c r="E399" s="11" t="n">
        <f>23</f>
        <v>23.0</v>
      </c>
      <c r="F399" s="10"/>
      <c r="G399" s="11" t="n">
        <f>86476500</f>
        <v>8.64765E7</v>
      </c>
      <c r="H399" s="10"/>
      <c r="I399" s="11" t="str">
        <f>"－"</f>
        <v>－</v>
      </c>
      <c r="J399" s="10"/>
      <c r="K399" s="11" t="n">
        <f>572</f>
        <v>572.0</v>
      </c>
    </row>
    <row r="400">
      <c r="A400" s="8" t="s">
        <v>22</v>
      </c>
      <c r="B400" s="9" t="s">
        <v>75</v>
      </c>
      <c r="C400" s="9" t="s">
        <v>76</v>
      </c>
      <c r="D400" s="10"/>
      <c r="E400" s="11" t="n">
        <f>68</f>
        <v>68.0</v>
      </c>
      <c r="F400" s="10"/>
      <c r="G400" s="11" t="n">
        <f>254299000</f>
        <v>2.54299E8</v>
      </c>
      <c r="H400" s="10"/>
      <c r="I400" s="11" t="str">
        <f>"－"</f>
        <v>－</v>
      </c>
      <c r="J400" s="10"/>
      <c r="K400" s="11" t="n">
        <f>591</f>
        <v>591.0</v>
      </c>
    </row>
    <row r="401">
      <c r="A401" s="8" t="s">
        <v>23</v>
      </c>
      <c r="B401" s="9" t="s">
        <v>75</v>
      </c>
      <c r="C401" s="9" t="s">
        <v>76</v>
      </c>
      <c r="D401" s="10"/>
      <c r="E401" s="11" t="n">
        <f>74</f>
        <v>74.0</v>
      </c>
      <c r="F401" s="10"/>
      <c r="G401" s="11" t="n">
        <f>284333500</f>
        <v>2.843335E8</v>
      </c>
      <c r="H401" s="10"/>
      <c r="I401" s="11" t="str">
        <f>"－"</f>
        <v>－</v>
      </c>
      <c r="J401" s="10"/>
      <c r="K401" s="11" t="n">
        <f>578</f>
        <v>578.0</v>
      </c>
    </row>
    <row r="402">
      <c r="A402" s="8" t="s">
        <v>25</v>
      </c>
      <c r="B402" s="9" t="s">
        <v>75</v>
      </c>
      <c r="C402" s="9" t="s">
        <v>76</v>
      </c>
      <c r="D402" s="10"/>
      <c r="E402" s="11"/>
      <c r="F402" s="10"/>
      <c r="G402" s="11"/>
      <c r="H402" s="10"/>
      <c r="I402" s="11"/>
      <c r="J402" s="10"/>
      <c r="K402" s="11"/>
    </row>
    <row r="403">
      <c r="A403" s="8" t="s">
        <v>26</v>
      </c>
      <c r="B403" s="9" t="s">
        <v>75</v>
      </c>
      <c r="C403" s="9" t="s">
        <v>76</v>
      </c>
      <c r="D403" s="10"/>
      <c r="E403" s="11"/>
      <c r="F403" s="10"/>
      <c r="G403" s="11"/>
      <c r="H403" s="10"/>
      <c r="I403" s="11"/>
      <c r="J403" s="10"/>
      <c r="K403" s="11"/>
    </row>
    <row r="404">
      <c r="A404" s="8" t="s">
        <v>27</v>
      </c>
      <c r="B404" s="9" t="s">
        <v>75</v>
      </c>
      <c r="C404" s="9" t="s">
        <v>76</v>
      </c>
      <c r="D404" s="10" t="s">
        <v>24</v>
      </c>
      <c r="E404" s="11" t="n">
        <f>147</f>
        <v>147.0</v>
      </c>
      <c r="F404" s="10"/>
      <c r="G404" s="11" t="n">
        <f>571130500</f>
        <v>5.711305E8</v>
      </c>
      <c r="H404" s="10"/>
      <c r="I404" s="11" t="str">
        <f>"－"</f>
        <v>－</v>
      </c>
      <c r="J404" s="10"/>
      <c r="K404" s="11" t="n">
        <f>576</f>
        <v>576.0</v>
      </c>
    </row>
    <row r="405">
      <c r="A405" s="8" t="s">
        <v>28</v>
      </c>
      <c r="B405" s="9" t="s">
        <v>75</v>
      </c>
      <c r="C405" s="9" t="s">
        <v>76</v>
      </c>
      <c r="D405" s="10"/>
      <c r="E405" s="11" t="n">
        <f>45</f>
        <v>45.0</v>
      </c>
      <c r="F405" s="10"/>
      <c r="G405" s="11" t="n">
        <f>173860000</f>
        <v>1.7386E8</v>
      </c>
      <c r="H405" s="10"/>
      <c r="I405" s="11" t="str">
        <f>"－"</f>
        <v>－</v>
      </c>
      <c r="J405" s="10"/>
      <c r="K405" s="11" t="n">
        <f>583</f>
        <v>583.0</v>
      </c>
    </row>
    <row r="406">
      <c r="A406" s="8" t="s">
        <v>29</v>
      </c>
      <c r="B406" s="9" t="s">
        <v>75</v>
      </c>
      <c r="C406" s="9" t="s">
        <v>76</v>
      </c>
      <c r="D406" s="10"/>
      <c r="E406" s="11" t="n">
        <f>49</f>
        <v>49.0</v>
      </c>
      <c r="F406" s="10"/>
      <c r="G406" s="11" t="n">
        <f>186863000</f>
        <v>1.86863E8</v>
      </c>
      <c r="H406" s="10"/>
      <c r="I406" s="11" t="str">
        <f>"－"</f>
        <v>－</v>
      </c>
      <c r="J406" s="10"/>
      <c r="K406" s="11" t="n">
        <f>590</f>
        <v>590.0</v>
      </c>
    </row>
    <row r="407">
      <c r="A407" s="8" t="s">
        <v>30</v>
      </c>
      <c r="B407" s="9" t="s">
        <v>75</v>
      </c>
      <c r="C407" s="9" t="s">
        <v>76</v>
      </c>
      <c r="D407" s="10"/>
      <c r="E407" s="11" t="n">
        <f>61</f>
        <v>61.0</v>
      </c>
      <c r="F407" s="10"/>
      <c r="G407" s="11" t="n">
        <f>235847500</f>
        <v>2.358475E8</v>
      </c>
      <c r="H407" s="10"/>
      <c r="I407" s="11" t="str">
        <f>"－"</f>
        <v>－</v>
      </c>
      <c r="J407" s="10"/>
      <c r="K407" s="11" t="n">
        <f>606</f>
        <v>606.0</v>
      </c>
    </row>
    <row r="408">
      <c r="A408" s="8" t="s">
        <v>31</v>
      </c>
      <c r="B408" s="9" t="s">
        <v>75</v>
      </c>
      <c r="C408" s="9" t="s">
        <v>76</v>
      </c>
      <c r="D408" s="10"/>
      <c r="E408" s="11"/>
      <c r="F408" s="10"/>
      <c r="G408" s="11"/>
      <c r="H408" s="10"/>
      <c r="I408" s="11"/>
      <c r="J408" s="10"/>
      <c r="K408" s="11"/>
    </row>
    <row r="409">
      <c r="A409" s="8" t="s">
        <v>32</v>
      </c>
      <c r="B409" s="9" t="s">
        <v>75</v>
      </c>
      <c r="C409" s="9" t="s">
        <v>76</v>
      </c>
      <c r="D409" s="10"/>
      <c r="E409" s="11"/>
      <c r="F409" s="10"/>
      <c r="G409" s="11"/>
      <c r="H409" s="10"/>
      <c r="I409" s="11"/>
      <c r="J409" s="10"/>
      <c r="K409" s="11"/>
    </row>
    <row r="410">
      <c r="A410" s="8" t="s">
        <v>33</v>
      </c>
      <c r="B410" s="9" t="s">
        <v>75</v>
      </c>
      <c r="C410" s="9" t="s">
        <v>76</v>
      </c>
      <c r="D410" s="10"/>
      <c r="E410" s="11"/>
      <c r="F410" s="10"/>
      <c r="G410" s="11"/>
      <c r="H410" s="10"/>
      <c r="I410" s="11"/>
      <c r="J410" s="10"/>
      <c r="K410" s="11"/>
    </row>
    <row r="411">
      <c r="A411" s="8" t="s">
        <v>34</v>
      </c>
      <c r="B411" s="9" t="s">
        <v>75</v>
      </c>
      <c r="C411" s="9" t="s">
        <v>76</v>
      </c>
      <c r="D411" s="10"/>
      <c r="E411" s="11" t="n">
        <f>34</f>
        <v>34.0</v>
      </c>
      <c r="F411" s="10"/>
      <c r="G411" s="11" t="n">
        <f>135375500</f>
        <v>1.353755E8</v>
      </c>
      <c r="H411" s="10"/>
      <c r="I411" s="11" t="str">
        <f>"－"</f>
        <v>－</v>
      </c>
      <c r="J411" s="10"/>
      <c r="K411" s="11" t="n">
        <f>608</f>
        <v>608.0</v>
      </c>
    </row>
    <row r="412">
      <c r="A412" s="8" t="s">
        <v>35</v>
      </c>
      <c r="B412" s="9" t="s">
        <v>75</v>
      </c>
      <c r="C412" s="9" t="s">
        <v>76</v>
      </c>
      <c r="D412" s="10"/>
      <c r="E412" s="11" t="n">
        <f>27</f>
        <v>27.0</v>
      </c>
      <c r="F412" s="10"/>
      <c r="G412" s="11" t="n">
        <f>107740500</f>
        <v>1.077405E8</v>
      </c>
      <c r="H412" s="10"/>
      <c r="I412" s="11" t="str">
        <f>"－"</f>
        <v>－</v>
      </c>
      <c r="J412" s="10"/>
      <c r="K412" s="11" t="n">
        <f>608</f>
        <v>608.0</v>
      </c>
    </row>
    <row r="413">
      <c r="A413" s="8" t="s">
        <v>36</v>
      </c>
      <c r="B413" s="9" t="s">
        <v>75</v>
      </c>
      <c r="C413" s="9" t="s">
        <v>76</v>
      </c>
      <c r="D413" s="10" t="s">
        <v>21</v>
      </c>
      <c r="E413" s="11" t="n">
        <f>18</f>
        <v>18.0</v>
      </c>
      <c r="F413" s="10" t="s">
        <v>21</v>
      </c>
      <c r="G413" s="11" t="n">
        <f>70624000</f>
        <v>7.0624E7</v>
      </c>
      <c r="H413" s="10"/>
      <c r="I413" s="11" t="str">
        <f>"－"</f>
        <v>－</v>
      </c>
      <c r="J413" s="10"/>
      <c r="K413" s="11" t="n">
        <f>610</f>
        <v>610.0</v>
      </c>
    </row>
    <row r="414">
      <c r="A414" s="8" t="s">
        <v>37</v>
      </c>
      <c r="B414" s="9" t="s">
        <v>75</v>
      </c>
      <c r="C414" s="9" t="s">
        <v>76</v>
      </c>
      <c r="D414" s="10"/>
      <c r="E414" s="11" t="n">
        <f>20</f>
        <v>20.0</v>
      </c>
      <c r="F414" s="10"/>
      <c r="G414" s="11" t="n">
        <f>78714000</f>
        <v>7.8714E7</v>
      </c>
      <c r="H414" s="10"/>
      <c r="I414" s="11" t="str">
        <f>"－"</f>
        <v>－</v>
      </c>
      <c r="J414" s="10"/>
      <c r="K414" s="11" t="n">
        <f>610</f>
        <v>610.0</v>
      </c>
    </row>
    <row r="415">
      <c r="A415" s="8" t="s">
        <v>38</v>
      </c>
      <c r="B415" s="9" t="s">
        <v>75</v>
      </c>
      <c r="C415" s="9" t="s">
        <v>76</v>
      </c>
      <c r="D415" s="10"/>
      <c r="E415" s="11" t="n">
        <f>21</f>
        <v>21.0</v>
      </c>
      <c r="F415" s="10"/>
      <c r="G415" s="11" t="n">
        <f>81495500</f>
        <v>8.14955E7</v>
      </c>
      <c r="H415" s="10"/>
      <c r="I415" s="11" t="str">
        <f>"－"</f>
        <v>－</v>
      </c>
      <c r="J415" s="10"/>
      <c r="K415" s="11" t="n">
        <f>610</f>
        <v>610.0</v>
      </c>
    </row>
    <row r="416">
      <c r="A416" s="8" t="s">
        <v>39</v>
      </c>
      <c r="B416" s="9" t="s">
        <v>75</v>
      </c>
      <c r="C416" s="9" t="s">
        <v>76</v>
      </c>
      <c r="D416" s="10"/>
      <c r="E416" s="11"/>
      <c r="F416" s="10"/>
      <c r="G416" s="11"/>
      <c r="H416" s="10"/>
      <c r="I416" s="11"/>
      <c r="J416" s="10"/>
      <c r="K416" s="11"/>
    </row>
    <row r="417">
      <c r="A417" s="8" t="s">
        <v>40</v>
      </c>
      <c r="B417" s="9" t="s">
        <v>75</v>
      </c>
      <c r="C417" s="9" t="s">
        <v>76</v>
      </c>
      <c r="D417" s="10"/>
      <c r="E417" s="11"/>
      <c r="F417" s="10"/>
      <c r="G417" s="11"/>
      <c r="H417" s="10"/>
      <c r="I417" s="11"/>
      <c r="J417" s="10"/>
      <c r="K417" s="11"/>
    </row>
    <row r="418">
      <c r="A418" s="8" t="s">
        <v>41</v>
      </c>
      <c r="B418" s="9" t="s">
        <v>75</v>
      </c>
      <c r="C418" s="9" t="s">
        <v>76</v>
      </c>
      <c r="D418" s="10"/>
      <c r="E418" s="11" t="n">
        <f>86</f>
        <v>86.0</v>
      </c>
      <c r="F418" s="10"/>
      <c r="G418" s="11" t="n">
        <f>335322000</f>
        <v>3.35322E8</v>
      </c>
      <c r="H418" s="10"/>
      <c r="I418" s="11" t="str">
        <f>"－"</f>
        <v>－</v>
      </c>
      <c r="J418" s="10" t="s">
        <v>24</v>
      </c>
      <c r="K418" s="11" t="n">
        <f>615</f>
        <v>615.0</v>
      </c>
    </row>
    <row r="419">
      <c r="A419" s="8" t="s">
        <v>42</v>
      </c>
      <c r="B419" s="9" t="s">
        <v>75</v>
      </c>
      <c r="C419" s="9" t="s">
        <v>76</v>
      </c>
      <c r="D419" s="10"/>
      <c r="E419" s="11" t="n">
        <f>21</f>
        <v>21.0</v>
      </c>
      <c r="F419" s="10"/>
      <c r="G419" s="11" t="n">
        <f>83230500</f>
        <v>8.32305E7</v>
      </c>
      <c r="H419" s="10"/>
      <c r="I419" s="11" t="str">
        <f>"－"</f>
        <v>－</v>
      </c>
      <c r="J419" s="10"/>
      <c r="K419" s="11" t="n">
        <f>614</f>
        <v>614.0</v>
      </c>
    </row>
    <row r="420">
      <c r="A420" s="8" t="s">
        <v>43</v>
      </c>
      <c r="B420" s="9" t="s">
        <v>75</v>
      </c>
      <c r="C420" s="9" t="s">
        <v>76</v>
      </c>
      <c r="D420" s="10"/>
      <c r="E420" s="11"/>
      <c r="F420" s="10"/>
      <c r="G420" s="11"/>
      <c r="H420" s="10"/>
      <c r="I420" s="11"/>
      <c r="J420" s="10"/>
      <c r="K420" s="11"/>
    </row>
    <row r="421">
      <c r="A421" s="8" t="s">
        <v>44</v>
      </c>
      <c r="B421" s="9" t="s">
        <v>75</v>
      </c>
      <c r="C421" s="9" t="s">
        <v>76</v>
      </c>
      <c r="D421" s="10"/>
      <c r="E421" s="11" t="n">
        <f>68</f>
        <v>68.0</v>
      </c>
      <c r="F421" s="10"/>
      <c r="G421" s="11" t="n">
        <f>273341500</f>
        <v>2.733415E8</v>
      </c>
      <c r="H421" s="10"/>
      <c r="I421" s="11" t="str">
        <f>"－"</f>
        <v>－</v>
      </c>
      <c r="J421" s="10"/>
      <c r="K421" s="11" t="n">
        <f>609</f>
        <v>609.0</v>
      </c>
    </row>
    <row r="422">
      <c r="A422" s="8" t="s">
        <v>45</v>
      </c>
      <c r="B422" s="9" t="s">
        <v>75</v>
      </c>
      <c r="C422" s="9" t="s">
        <v>76</v>
      </c>
      <c r="D422" s="10"/>
      <c r="E422" s="11" t="n">
        <f>146</f>
        <v>146.0</v>
      </c>
      <c r="F422" s="10" t="s">
        <v>24</v>
      </c>
      <c r="G422" s="11" t="n">
        <f>586893500</f>
        <v>5.868935E8</v>
      </c>
      <c r="H422" s="10"/>
      <c r="I422" s="11" t="str">
        <f>"－"</f>
        <v>－</v>
      </c>
      <c r="J422" s="10"/>
      <c r="K422" s="11" t="n">
        <f>604</f>
        <v>604.0</v>
      </c>
    </row>
    <row r="423">
      <c r="A423" s="8" t="s">
        <v>46</v>
      </c>
      <c r="B423" s="9" t="s">
        <v>75</v>
      </c>
      <c r="C423" s="9" t="s">
        <v>76</v>
      </c>
      <c r="D423" s="10"/>
      <c r="E423" s="11"/>
      <c r="F423" s="10"/>
      <c r="G423" s="11"/>
      <c r="H423" s="10"/>
      <c r="I423" s="11"/>
      <c r="J423" s="10"/>
      <c r="K423" s="11"/>
    </row>
    <row r="424">
      <c r="A424" s="8" t="s">
        <v>47</v>
      </c>
      <c r="B424" s="9" t="s">
        <v>75</v>
      </c>
      <c r="C424" s="9" t="s">
        <v>76</v>
      </c>
      <c r="D424" s="10"/>
      <c r="E424" s="11"/>
      <c r="F424" s="10"/>
      <c r="G424" s="11"/>
      <c r="H424" s="10"/>
      <c r="I424" s="11"/>
      <c r="J424" s="10"/>
      <c r="K424" s="11"/>
    </row>
    <row r="425">
      <c r="A425" s="8" t="s">
        <v>48</v>
      </c>
      <c r="B425" s="9" t="s">
        <v>75</v>
      </c>
      <c r="C425" s="9" t="s">
        <v>76</v>
      </c>
      <c r="D425" s="10"/>
      <c r="E425" s="11" t="n">
        <f>76</f>
        <v>76.0</v>
      </c>
      <c r="F425" s="10"/>
      <c r="G425" s="11" t="n">
        <f>301660500</f>
        <v>3.016605E8</v>
      </c>
      <c r="H425" s="10"/>
      <c r="I425" s="11" t="str">
        <f>"－"</f>
        <v>－</v>
      </c>
      <c r="J425" s="10" t="s">
        <v>21</v>
      </c>
      <c r="K425" s="11" t="n">
        <f>432</f>
        <v>432.0</v>
      </c>
    </row>
    <row r="426">
      <c r="A426" s="8" t="s">
        <v>16</v>
      </c>
      <c r="B426" s="9" t="s">
        <v>77</v>
      </c>
      <c r="C426" s="9" t="s">
        <v>78</v>
      </c>
      <c r="D426" s="10"/>
      <c r="E426" s="11" t="n">
        <f>62</f>
        <v>62.0</v>
      </c>
      <c r="F426" s="10"/>
      <c r="G426" s="11" t="n">
        <f>240447000</f>
        <v>2.40447E8</v>
      </c>
      <c r="H426" s="10" t="s">
        <v>19</v>
      </c>
      <c r="I426" s="11" t="str">
        <f>"－"</f>
        <v>－</v>
      </c>
      <c r="J426" s="10"/>
      <c r="K426" s="11" t="n">
        <f>242</f>
        <v>242.0</v>
      </c>
    </row>
    <row r="427">
      <c r="A427" s="8" t="s">
        <v>20</v>
      </c>
      <c r="B427" s="9" t="s">
        <v>77</v>
      </c>
      <c r="C427" s="9" t="s">
        <v>78</v>
      </c>
      <c r="D427" s="10"/>
      <c r="E427" s="11" t="n">
        <f>30</f>
        <v>30.0</v>
      </c>
      <c r="F427" s="10"/>
      <c r="G427" s="11" t="n">
        <f>115938000</f>
        <v>1.15938E8</v>
      </c>
      <c r="H427" s="10"/>
      <c r="I427" s="11" t="str">
        <f>"－"</f>
        <v>－</v>
      </c>
      <c r="J427" s="10"/>
      <c r="K427" s="11" t="n">
        <f>246</f>
        <v>246.0</v>
      </c>
    </row>
    <row r="428">
      <c r="A428" s="8" t="s">
        <v>22</v>
      </c>
      <c r="B428" s="9" t="s">
        <v>77</v>
      </c>
      <c r="C428" s="9" t="s">
        <v>78</v>
      </c>
      <c r="D428" s="10"/>
      <c r="E428" s="11" t="n">
        <f>115</f>
        <v>115.0</v>
      </c>
      <c r="F428" s="10"/>
      <c r="G428" s="11" t="n">
        <f>438973500</f>
        <v>4.389735E8</v>
      </c>
      <c r="H428" s="10"/>
      <c r="I428" s="11" t="str">
        <f>"－"</f>
        <v>－</v>
      </c>
      <c r="J428" s="10"/>
      <c r="K428" s="11" t="n">
        <f>260</f>
        <v>260.0</v>
      </c>
    </row>
    <row r="429">
      <c r="A429" s="8" t="s">
        <v>23</v>
      </c>
      <c r="B429" s="9" t="s">
        <v>77</v>
      </c>
      <c r="C429" s="9" t="s">
        <v>78</v>
      </c>
      <c r="D429" s="10"/>
      <c r="E429" s="11" t="n">
        <f>87</f>
        <v>87.0</v>
      </c>
      <c r="F429" s="10"/>
      <c r="G429" s="11" t="n">
        <f>339536000</f>
        <v>3.39536E8</v>
      </c>
      <c r="H429" s="10"/>
      <c r="I429" s="11" t="str">
        <f>"－"</f>
        <v>－</v>
      </c>
      <c r="J429" s="10"/>
      <c r="K429" s="11" t="n">
        <f>275</f>
        <v>275.0</v>
      </c>
    </row>
    <row r="430">
      <c r="A430" s="8" t="s">
        <v>25</v>
      </c>
      <c r="B430" s="9" t="s">
        <v>77</v>
      </c>
      <c r="C430" s="9" t="s">
        <v>78</v>
      </c>
      <c r="D430" s="10"/>
      <c r="E430" s="11"/>
      <c r="F430" s="10"/>
      <c r="G430" s="11"/>
      <c r="H430" s="10"/>
      <c r="I430" s="11"/>
      <c r="J430" s="10"/>
      <c r="K430" s="11"/>
    </row>
    <row r="431">
      <c r="A431" s="8" t="s">
        <v>26</v>
      </c>
      <c r="B431" s="9" t="s">
        <v>77</v>
      </c>
      <c r="C431" s="9" t="s">
        <v>78</v>
      </c>
      <c r="D431" s="10"/>
      <c r="E431" s="11"/>
      <c r="F431" s="10"/>
      <c r="G431" s="11"/>
      <c r="H431" s="10"/>
      <c r="I431" s="11"/>
      <c r="J431" s="10"/>
      <c r="K431" s="11"/>
    </row>
    <row r="432">
      <c r="A432" s="8" t="s">
        <v>27</v>
      </c>
      <c r="B432" s="9" t="s">
        <v>77</v>
      </c>
      <c r="C432" s="9" t="s">
        <v>78</v>
      </c>
      <c r="D432" s="10" t="s">
        <v>24</v>
      </c>
      <c r="E432" s="11" t="n">
        <f>137</f>
        <v>137.0</v>
      </c>
      <c r="F432" s="10" t="s">
        <v>24</v>
      </c>
      <c r="G432" s="11" t="n">
        <f>544950500</f>
        <v>5.449505E8</v>
      </c>
      <c r="H432" s="10"/>
      <c r="I432" s="11" t="str">
        <f>"－"</f>
        <v>－</v>
      </c>
      <c r="J432" s="10"/>
      <c r="K432" s="11" t="n">
        <f>299</f>
        <v>299.0</v>
      </c>
    </row>
    <row r="433">
      <c r="A433" s="8" t="s">
        <v>28</v>
      </c>
      <c r="B433" s="9" t="s">
        <v>77</v>
      </c>
      <c r="C433" s="9" t="s">
        <v>78</v>
      </c>
      <c r="D433" s="10"/>
      <c r="E433" s="11" t="n">
        <f>14</f>
        <v>14.0</v>
      </c>
      <c r="F433" s="10"/>
      <c r="G433" s="11" t="n">
        <f>55206000</f>
        <v>5.5206E7</v>
      </c>
      <c r="H433" s="10"/>
      <c r="I433" s="11" t="str">
        <f>"－"</f>
        <v>－</v>
      </c>
      <c r="J433" s="10"/>
      <c r="K433" s="11" t="n">
        <f>298</f>
        <v>298.0</v>
      </c>
    </row>
    <row r="434">
      <c r="A434" s="8" t="s">
        <v>29</v>
      </c>
      <c r="B434" s="9" t="s">
        <v>77</v>
      </c>
      <c r="C434" s="9" t="s">
        <v>78</v>
      </c>
      <c r="D434" s="10"/>
      <c r="E434" s="11" t="n">
        <f>28</f>
        <v>28.0</v>
      </c>
      <c r="F434" s="10"/>
      <c r="G434" s="11" t="n">
        <f>108765000</f>
        <v>1.08765E8</v>
      </c>
      <c r="H434" s="10"/>
      <c r="I434" s="11" t="str">
        <f>"－"</f>
        <v>－</v>
      </c>
      <c r="J434" s="10"/>
      <c r="K434" s="11" t="n">
        <f>306</f>
        <v>306.0</v>
      </c>
    </row>
    <row r="435">
      <c r="A435" s="8" t="s">
        <v>30</v>
      </c>
      <c r="B435" s="9" t="s">
        <v>77</v>
      </c>
      <c r="C435" s="9" t="s">
        <v>78</v>
      </c>
      <c r="D435" s="10"/>
      <c r="E435" s="11" t="n">
        <f>17</f>
        <v>17.0</v>
      </c>
      <c r="F435" s="10"/>
      <c r="G435" s="11" t="n">
        <f>67939000</f>
        <v>6.7939E7</v>
      </c>
      <c r="H435" s="10"/>
      <c r="I435" s="11" t="str">
        <f>"－"</f>
        <v>－</v>
      </c>
      <c r="J435" s="10"/>
      <c r="K435" s="11" t="n">
        <f>294</f>
        <v>294.0</v>
      </c>
    </row>
    <row r="436">
      <c r="A436" s="8" t="s">
        <v>31</v>
      </c>
      <c r="B436" s="9" t="s">
        <v>77</v>
      </c>
      <c r="C436" s="9" t="s">
        <v>78</v>
      </c>
      <c r="D436" s="10"/>
      <c r="E436" s="11"/>
      <c r="F436" s="10"/>
      <c r="G436" s="11"/>
      <c r="H436" s="10"/>
      <c r="I436" s="11"/>
      <c r="J436" s="10"/>
      <c r="K436" s="11"/>
    </row>
    <row r="437">
      <c r="A437" s="8" t="s">
        <v>32</v>
      </c>
      <c r="B437" s="9" t="s">
        <v>77</v>
      </c>
      <c r="C437" s="9" t="s">
        <v>78</v>
      </c>
      <c r="D437" s="10"/>
      <c r="E437" s="11"/>
      <c r="F437" s="10"/>
      <c r="G437" s="11"/>
      <c r="H437" s="10"/>
      <c r="I437" s="11"/>
      <c r="J437" s="10"/>
      <c r="K437" s="11"/>
    </row>
    <row r="438">
      <c r="A438" s="8" t="s">
        <v>33</v>
      </c>
      <c r="B438" s="9" t="s">
        <v>77</v>
      </c>
      <c r="C438" s="9" t="s">
        <v>78</v>
      </c>
      <c r="D438" s="10"/>
      <c r="E438" s="11"/>
      <c r="F438" s="10"/>
      <c r="G438" s="11"/>
      <c r="H438" s="10"/>
      <c r="I438" s="11"/>
      <c r="J438" s="10"/>
      <c r="K438" s="11"/>
    </row>
    <row r="439">
      <c r="A439" s="8" t="s">
        <v>34</v>
      </c>
      <c r="B439" s="9" t="s">
        <v>77</v>
      </c>
      <c r="C439" s="9" t="s">
        <v>78</v>
      </c>
      <c r="D439" s="10"/>
      <c r="E439" s="11" t="n">
        <f>9</f>
        <v>9.0</v>
      </c>
      <c r="F439" s="10"/>
      <c r="G439" s="11" t="n">
        <f>36097000</f>
        <v>3.6097E7</v>
      </c>
      <c r="H439" s="10"/>
      <c r="I439" s="11" t="str">
        <f>"－"</f>
        <v>－</v>
      </c>
      <c r="J439" s="10"/>
      <c r="K439" s="11" t="n">
        <f>292</f>
        <v>292.0</v>
      </c>
    </row>
    <row r="440">
      <c r="A440" s="8" t="s">
        <v>35</v>
      </c>
      <c r="B440" s="9" t="s">
        <v>77</v>
      </c>
      <c r="C440" s="9" t="s">
        <v>78</v>
      </c>
      <c r="D440" s="10"/>
      <c r="E440" s="11" t="n">
        <f>10</f>
        <v>10.0</v>
      </c>
      <c r="F440" s="10"/>
      <c r="G440" s="11" t="n">
        <f>40862500</f>
        <v>4.08625E7</v>
      </c>
      <c r="H440" s="10"/>
      <c r="I440" s="11" t="str">
        <f>"－"</f>
        <v>－</v>
      </c>
      <c r="J440" s="10"/>
      <c r="K440" s="11" t="n">
        <f>292</f>
        <v>292.0</v>
      </c>
    </row>
    <row r="441">
      <c r="A441" s="8" t="s">
        <v>36</v>
      </c>
      <c r="B441" s="9" t="s">
        <v>77</v>
      </c>
      <c r="C441" s="9" t="s">
        <v>78</v>
      </c>
      <c r="D441" s="10"/>
      <c r="E441" s="11" t="n">
        <f>17</f>
        <v>17.0</v>
      </c>
      <c r="F441" s="10"/>
      <c r="G441" s="11" t="n">
        <f>68197000</f>
        <v>6.8197E7</v>
      </c>
      <c r="H441" s="10"/>
      <c r="I441" s="11" t="str">
        <f>"－"</f>
        <v>－</v>
      </c>
      <c r="J441" s="10"/>
      <c r="K441" s="11" t="n">
        <f>297</f>
        <v>297.0</v>
      </c>
    </row>
    <row r="442">
      <c r="A442" s="8" t="s">
        <v>37</v>
      </c>
      <c r="B442" s="9" t="s">
        <v>77</v>
      </c>
      <c r="C442" s="9" t="s">
        <v>78</v>
      </c>
      <c r="D442" s="10"/>
      <c r="E442" s="11" t="n">
        <f>15</f>
        <v>15.0</v>
      </c>
      <c r="F442" s="10"/>
      <c r="G442" s="11" t="n">
        <f>59503000</f>
        <v>5.9503E7</v>
      </c>
      <c r="H442" s="10"/>
      <c r="I442" s="11" t="str">
        <f>"－"</f>
        <v>－</v>
      </c>
      <c r="J442" s="10"/>
      <c r="K442" s="11" t="n">
        <f>302</f>
        <v>302.0</v>
      </c>
    </row>
    <row r="443">
      <c r="A443" s="8" t="s">
        <v>38</v>
      </c>
      <c r="B443" s="9" t="s">
        <v>77</v>
      </c>
      <c r="C443" s="9" t="s">
        <v>78</v>
      </c>
      <c r="D443" s="10"/>
      <c r="E443" s="11" t="n">
        <f>9</f>
        <v>9.0</v>
      </c>
      <c r="F443" s="10"/>
      <c r="G443" s="11" t="n">
        <f>35155000</f>
        <v>3.5155E7</v>
      </c>
      <c r="H443" s="10"/>
      <c r="I443" s="11" t="str">
        <f>"－"</f>
        <v>－</v>
      </c>
      <c r="J443" s="10"/>
      <c r="K443" s="11" t="n">
        <f>305</f>
        <v>305.0</v>
      </c>
    </row>
    <row r="444">
      <c r="A444" s="8" t="s">
        <v>39</v>
      </c>
      <c r="B444" s="9" t="s">
        <v>77</v>
      </c>
      <c r="C444" s="9" t="s">
        <v>78</v>
      </c>
      <c r="D444" s="10"/>
      <c r="E444" s="11"/>
      <c r="F444" s="10"/>
      <c r="G444" s="11"/>
      <c r="H444" s="10"/>
      <c r="I444" s="11"/>
      <c r="J444" s="10"/>
      <c r="K444" s="11"/>
    </row>
    <row r="445">
      <c r="A445" s="8" t="s">
        <v>40</v>
      </c>
      <c r="B445" s="9" t="s">
        <v>77</v>
      </c>
      <c r="C445" s="9" t="s">
        <v>78</v>
      </c>
      <c r="D445" s="10"/>
      <c r="E445" s="11"/>
      <c r="F445" s="10"/>
      <c r="G445" s="11"/>
      <c r="H445" s="10"/>
      <c r="I445" s="11"/>
      <c r="J445" s="10"/>
      <c r="K445" s="11"/>
    </row>
    <row r="446">
      <c r="A446" s="8" t="s">
        <v>41</v>
      </c>
      <c r="B446" s="9" t="s">
        <v>77</v>
      </c>
      <c r="C446" s="9" t="s">
        <v>78</v>
      </c>
      <c r="D446" s="10" t="s">
        <v>21</v>
      </c>
      <c r="E446" s="11" t="n">
        <f>8</f>
        <v>8.0</v>
      </c>
      <c r="F446" s="10" t="s">
        <v>21</v>
      </c>
      <c r="G446" s="11" t="n">
        <f>31168000</f>
        <v>3.1168E7</v>
      </c>
      <c r="H446" s="10"/>
      <c r="I446" s="11" t="str">
        <f>"－"</f>
        <v>－</v>
      </c>
      <c r="J446" s="10"/>
      <c r="K446" s="11" t="n">
        <f>308</f>
        <v>308.0</v>
      </c>
    </row>
    <row r="447">
      <c r="A447" s="8" t="s">
        <v>42</v>
      </c>
      <c r="B447" s="9" t="s">
        <v>77</v>
      </c>
      <c r="C447" s="9" t="s">
        <v>78</v>
      </c>
      <c r="D447" s="10"/>
      <c r="E447" s="11" t="n">
        <f>14</f>
        <v>14.0</v>
      </c>
      <c r="F447" s="10"/>
      <c r="G447" s="11" t="n">
        <f>55375500</f>
        <v>5.53755E7</v>
      </c>
      <c r="H447" s="10"/>
      <c r="I447" s="11" t="str">
        <f>"－"</f>
        <v>－</v>
      </c>
      <c r="J447" s="10"/>
      <c r="K447" s="11" t="n">
        <f>304</f>
        <v>304.0</v>
      </c>
    </row>
    <row r="448">
      <c r="A448" s="8" t="s">
        <v>43</v>
      </c>
      <c r="B448" s="9" t="s">
        <v>77</v>
      </c>
      <c r="C448" s="9" t="s">
        <v>78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44</v>
      </c>
      <c r="B449" s="9" t="s">
        <v>77</v>
      </c>
      <c r="C449" s="9" t="s">
        <v>78</v>
      </c>
      <c r="D449" s="10"/>
      <c r="E449" s="11" t="n">
        <f>38</f>
        <v>38.0</v>
      </c>
      <c r="F449" s="10"/>
      <c r="G449" s="11" t="n">
        <f>153521000</f>
        <v>1.53521E8</v>
      </c>
      <c r="H449" s="10"/>
      <c r="I449" s="11" t="str">
        <f>"－"</f>
        <v>－</v>
      </c>
      <c r="J449" s="10" t="s">
        <v>24</v>
      </c>
      <c r="K449" s="11" t="n">
        <f>315</f>
        <v>315.0</v>
      </c>
    </row>
    <row r="450">
      <c r="A450" s="8" t="s">
        <v>45</v>
      </c>
      <c r="B450" s="9" t="s">
        <v>77</v>
      </c>
      <c r="C450" s="9" t="s">
        <v>78</v>
      </c>
      <c r="D450" s="10"/>
      <c r="E450" s="11" t="n">
        <f>82</f>
        <v>82.0</v>
      </c>
      <c r="F450" s="10"/>
      <c r="G450" s="11" t="n">
        <f>335401500</f>
        <v>3.354015E8</v>
      </c>
      <c r="H450" s="10"/>
      <c r="I450" s="11" t="str">
        <f>"－"</f>
        <v>－</v>
      </c>
      <c r="J450" s="10"/>
      <c r="K450" s="11" t="n">
        <f>312</f>
        <v>312.0</v>
      </c>
    </row>
    <row r="451">
      <c r="A451" s="8" t="s">
        <v>46</v>
      </c>
      <c r="B451" s="9" t="s">
        <v>77</v>
      </c>
      <c r="C451" s="9" t="s">
        <v>78</v>
      </c>
      <c r="D451" s="10"/>
      <c r="E451" s="11"/>
      <c r="F451" s="10"/>
      <c r="G451" s="11"/>
      <c r="H451" s="10"/>
      <c r="I451" s="11"/>
      <c r="J451" s="10"/>
      <c r="K451" s="11"/>
    </row>
    <row r="452">
      <c r="A452" s="8" t="s">
        <v>47</v>
      </c>
      <c r="B452" s="9" t="s">
        <v>77</v>
      </c>
      <c r="C452" s="9" t="s">
        <v>78</v>
      </c>
      <c r="D452" s="10"/>
      <c r="E452" s="11"/>
      <c r="F452" s="10"/>
      <c r="G452" s="11"/>
      <c r="H452" s="10"/>
      <c r="I452" s="11"/>
      <c r="J452" s="10"/>
      <c r="K452" s="11"/>
    </row>
    <row r="453">
      <c r="A453" s="8" t="s">
        <v>48</v>
      </c>
      <c r="B453" s="9" t="s">
        <v>77</v>
      </c>
      <c r="C453" s="9" t="s">
        <v>78</v>
      </c>
      <c r="D453" s="10"/>
      <c r="E453" s="11" t="n">
        <f>35</f>
        <v>35.0</v>
      </c>
      <c r="F453" s="10"/>
      <c r="G453" s="11" t="n">
        <f>141073500</f>
        <v>1.410735E8</v>
      </c>
      <c r="H453" s="10"/>
      <c r="I453" s="11" t="str">
        <f>"－"</f>
        <v>－</v>
      </c>
      <c r="J453" s="10" t="s">
        <v>21</v>
      </c>
      <c r="K453" s="11" t="n">
        <f>112</f>
        <v>112.0</v>
      </c>
    </row>
    <row r="454">
      <c r="A454" s="8" t="s">
        <v>16</v>
      </c>
      <c r="B454" s="9" t="s">
        <v>79</v>
      </c>
      <c r="C454" s="9" t="s">
        <v>80</v>
      </c>
      <c r="D454" s="10" t="s">
        <v>19</v>
      </c>
      <c r="E454" s="11" t="str">
        <f>"－"</f>
        <v>－</v>
      </c>
      <c r="F454" s="10" t="s">
        <v>19</v>
      </c>
      <c r="G454" s="11" t="str">
        <f>"－"</f>
        <v>－</v>
      </c>
      <c r="H454" s="10" t="s">
        <v>19</v>
      </c>
      <c r="I454" s="11" t="str">
        <f>"－"</f>
        <v>－</v>
      </c>
      <c r="J454" s="10" t="s">
        <v>19</v>
      </c>
      <c r="K454" s="11" t="str">
        <f>"－"</f>
        <v>－</v>
      </c>
    </row>
    <row r="455">
      <c r="A455" s="8" t="s">
        <v>20</v>
      </c>
      <c r="B455" s="9" t="s">
        <v>79</v>
      </c>
      <c r="C455" s="9" t="s">
        <v>80</v>
      </c>
      <c r="D455" s="10"/>
      <c r="E455" s="11" t="str">
        <f>"－"</f>
        <v>－</v>
      </c>
      <c r="F455" s="10"/>
      <c r="G455" s="11" t="str">
        <f>"－"</f>
        <v>－</v>
      </c>
      <c r="H455" s="10"/>
      <c r="I455" s="11" t="str">
        <f>"－"</f>
        <v>－</v>
      </c>
      <c r="J455" s="10"/>
      <c r="K455" s="11" t="str">
        <f>"－"</f>
        <v>－</v>
      </c>
    </row>
    <row r="456">
      <c r="A456" s="8" t="s">
        <v>22</v>
      </c>
      <c r="B456" s="9" t="s">
        <v>79</v>
      </c>
      <c r="C456" s="9" t="s">
        <v>80</v>
      </c>
      <c r="D456" s="10"/>
      <c r="E456" s="11" t="str">
        <f>"－"</f>
        <v>－</v>
      </c>
      <c r="F456" s="10"/>
      <c r="G456" s="11" t="str">
        <f>"－"</f>
        <v>－</v>
      </c>
      <c r="H456" s="10"/>
      <c r="I456" s="11" t="str">
        <f>"－"</f>
        <v>－</v>
      </c>
      <c r="J456" s="10"/>
      <c r="K456" s="11" t="str">
        <f>"－"</f>
        <v>－</v>
      </c>
    </row>
    <row r="457">
      <c r="A457" s="8" t="s">
        <v>23</v>
      </c>
      <c r="B457" s="9" t="s">
        <v>79</v>
      </c>
      <c r="C457" s="9" t="s">
        <v>80</v>
      </c>
      <c r="D457" s="10"/>
      <c r="E457" s="11" t="str">
        <f>"－"</f>
        <v>－</v>
      </c>
      <c r="F457" s="10"/>
      <c r="G457" s="11" t="str">
        <f>"－"</f>
        <v>－</v>
      </c>
      <c r="H457" s="10"/>
      <c r="I457" s="11" t="str">
        <f>"－"</f>
        <v>－</v>
      </c>
      <c r="J457" s="10"/>
      <c r="K457" s="11" t="str">
        <f>"－"</f>
        <v>－</v>
      </c>
    </row>
    <row r="458">
      <c r="A458" s="8" t="s">
        <v>25</v>
      </c>
      <c r="B458" s="9" t="s">
        <v>79</v>
      </c>
      <c r="C458" s="9" t="s">
        <v>80</v>
      </c>
      <c r="D458" s="10"/>
      <c r="E458" s="11"/>
      <c r="F458" s="10"/>
      <c r="G458" s="11"/>
      <c r="H458" s="10"/>
      <c r="I458" s="11"/>
      <c r="J458" s="10"/>
      <c r="K458" s="11"/>
    </row>
    <row r="459">
      <c r="A459" s="8" t="s">
        <v>26</v>
      </c>
      <c r="B459" s="9" t="s">
        <v>79</v>
      </c>
      <c r="C459" s="9" t="s">
        <v>80</v>
      </c>
      <c r="D459" s="10"/>
      <c r="E459" s="11"/>
      <c r="F459" s="10"/>
      <c r="G459" s="11"/>
      <c r="H459" s="10"/>
      <c r="I459" s="11"/>
      <c r="J459" s="10"/>
      <c r="K459" s="11"/>
    </row>
    <row r="460">
      <c r="A460" s="8" t="s">
        <v>27</v>
      </c>
      <c r="B460" s="9" t="s">
        <v>79</v>
      </c>
      <c r="C460" s="9" t="s">
        <v>80</v>
      </c>
      <c r="D460" s="10"/>
      <c r="E460" s="11" t="str">
        <f>"－"</f>
        <v>－</v>
      </c>
      <c r="F460" s="10"/>
      <c r="G460" s="11" t="str">
        <f>"－"</f>
        <v>－</v>
      </c>
      <c r="H460" s="10"/>
      <c r="I460" s="11" t="str">
        <f>"－"</f>
        <v>－</v>
      </c>
      <c r="J460" s="10"/>
      <c r="K460" s="11" t="str">
        <f>"－"</f>
        <v>－</v>
      </c>
    </row>
    <row r="461">
      <c r="A461" s="8" t="s">
        <v>28</v>
      </c>
      <c r="B461" s="9" t="s">
        <v>79</v>
      </c>
      <c r="C461" s="9" t="s">
        <v>80</v>
      </c>
      <c r="D461" s="10"/>
      <c r="E461" s="11" t="str">
        <f>"－"</f>
        <v>－</v>
      </c>
      <c r="F461" s="10"/>
      <c r="G461" s="11" t="str">
        <f>"－"</f>
        <v>－</v>
      </c>
      <c r="H461" s="10"/>
      <c r="I461" s="11" t="str">
        <f>"－"</f>
        <v>－</v>
      </c>
      <c r="J461" s="10"/>
      <c r="K461" s="11" t="str">
        <f>"－"</f>
        <v>－</v>
      </c>
    </row>
    <row r="462">
      <c r="A462" s="8" t="s">
        <v>29</v>
      </c>
      <c r="B462" s="9" t="s">
        <v>79</v>
      </c>
      <c r="C462" s="9" t="s">
        <v>80</v>
      </c>
      <c r="D462" s="10"/>
      <c r="E462" s="11" t="str">
        <f>"－"</f>
        <v>－</v>
      </c>
      <c r="F462" s="10"/>
      <c r="G462" s="11" t="str">
        <f>"－"</f>
        <v>－</v>
      </c>
      <c r="H462" s="10"/>
      <c r="I462" s="11" t="str">
        <f>"－"</f>
        <v>－</v>
      </c>
      <c r="J462" s="10"/>
      <c r="K462" s="11" t="str">
        <f>"－"</f>
        <v>－</v>
      </c>
    </row>
    <row r="463">
      <c r="A463" s="8" t="s">
        <v>30</v>
      </c>
      <c r="B463" s="9" t="s">
        <v>79</v>
      </c>
      <c r="C463" s="9" t="s">
        <v>80</v>
      </c>
      <c r="D463" s="10"/>
      <c r="E463" s="11" t="str">
        <f>"－"</f>
        <v>－</v>
      </c>
      <c r="F463" s="10"/>
      <c r="G463" s="11" t="str">
        <f>"－"</f>
        <v>－</v>
      </c>
      <c r="H463" s="10"/>
      <c r="I463" s="11" t="str">
        <f>"－"</f>
        <v>－</v>
      </c>
      <c r="J463" s="10"/>
      <c r="K463" s="11" t="str">
        <f>"－"</f>
        <v>－</v>
      </c>
    </row>
    <row r="464">
      <c r="A464" s="8" t="s">
        <v>31</v>
      </c>
      <c r="B464" s="9" t="s">
        <v>79</v>
      </c>
      <c r="C464" s="9" t="s">
        <v>80</v>
      </c>
      <c r="D464" s="10"/>
      <c r="E464" s="11"/>
      <c r="F464" s="10"/>
      <c r="G464" s="11"/>
      <c r="H464" s="10"/>
      <c r="I464" s="11"/>
      <c r="J464" s="10"/>
      <c r="K464" s="11"/>
    </row>
    <row r="465">
      <c r="A465" s="8" t="s">
        <v>32</v>
      </c>
      <c r="B465" s="9" t="s">
        <v>79</v>
      </c>
      <c r="C465" s="9" t="s">
        <v>80</v>
      </c>
      <c r="D465" s="10"/>
      <c r="E465" s="11"/>
      <c r="F465" s="10"/>
      <c r="G465" s="11"/>
      <c r="H465" s="10"/>
      <c r="I465" s="11"/>
      <c r="J465" s="10"/>
      <c r="K465" s="11"/>
    </row>
    <row r="466">
      <c r="A466" s="8" t="s">
        <v>33</v>
      </c>
      <c r="B466" s="9" t="s">
        <v>79</v>
      </c>
      <c r="C466" s="9" t="s">
        <v>80</v>
      </c>
      <c r="D466" s="10"/>
      <c r="E466" s="11"/>
      <c r="F466" s="10"/>
      <c r="G466" s="11"/>
      <c r="H466" s="10"/>
      <c r="I466" s="11"/>
      <c r="J466" s="10"/>
      <c r="K466" s="11"/>
    </row>
    <row r="467">
      <c r="A467" s="8" t="s">
        <v>34</v>
      </c>
      <c r="B467" s="9" t="s">
        <v>79</v>
      </c>
      <c r="C467" s="9" t="s">
        <v>80</v>
      </c>
      <c r="D467" s="10"/>
      <c r="E467" s="11" t="str">
        <f>"－"</f>
        <v>－</v>
      </c>
      <c r="F467" s="10"/>
      <c r="G467" s="11" t="str">
        <f>"－"</f>
        <v>－</v>
      </c>
      <c r="H467" s="10"/>
      <c r="I467" s="11" t="str">
        <f>"－"</f>
        <v>－</v>
      </c>
      <c r="J467" s="10"/>
      <c r="K467" s="11" t="str">
        <f>"－"</f>
        <v>－</v>
      </c>
    </row>
    <row r="468">
      <c r="A468" s="8" t="s">
        <v>35</v>
      </c>
      <c r="B468" s="9" t="s">
        <v>79</v>
      </c>
      <c r="C468" s="9" t="s">
        <v>80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str">
        <f>"－"</f>
        <v>－</v>
      </c>
    </row>
    <row r="469">
      <c r="A469" s="8" t="s">
        <v>36</v>
      </c>
      <c r="B469" s="9" t="s">
        <v>79</v>
      </c>
      <c r="C469" s="9" t="s">
        <v>80</v>
      </c>
      <c r="D469" s="10"/>
      <c r="E469" s="11" t="str">
        <f>"－"</f>
        <v>－</v>
      </c>
      <c r="F469" s="10"/>
      <c r="G469" s="11" t="str">
        <f>"－"</f>
        <v>－</v>
      </c>
      <c r="H469" s="10"/>
      <c r="I469" s="11" t="str">
        <f>"－"</f>
        <v>－</v>
      </c>
      <c r="J469" s="10"/>
      <c r="K469" s="11" t="str">
        <f>"－"</f>
        <v>－</v>
      </c>
    </row>
    <row r="470">
      <c r="A470" s="8" t="s">
        <v>37</v>
      </c>
      <c r="B470" s="9" t="s">
        <v>79</v>
      </c>
      <c r="C470" s="9" t="s">
        <v>80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>"－"</f>
        <v>－</v>
      </c>
      <c r="J470" s="10"/>
      <c r="K470" s="11" t="str">
        <f>"－"</f>
        <v>－</v>
      </c>
    </row>
    <row r="471">
      <c r="A471" s="8" t="s">
        <v>38</v>
      </c>
      <c r="B471" s="9" t="s">
        <v>79</v>
      </c>
      <c r="C471" s="9" t="s">
        <v>80</v>
      </c>
      <c r="D471" s="10"/>
      <c r="E471" s="11" t="str">
        <f>"－"</f>
        <v>－</v>
      </c>
      <c r="F471" s="10"/>
      <c r="G471" s="11" t="str">
        <f>"－"</f>
        <v>－</v>
      </c>
      <c r="H471" s="10"/>
      <c r="I471" s="11" t="str">
        <f>"－"</f>
        <v>－</v>
      </c>
      <c r="J471" s="10"/>
      <c r="K471" s="11" t="str">
        <f>"－"</f>
        <v>－</v>
      </c>
    </row>
    <row r="472">
      <c r="A472" s="8" t="s">
        <v>39</v>
      </c>
      <c r="B472" s="9" t="s">
        <v>79</v>
      </c>
      <c r="C472" s="9" t="s">
        <v>80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40</v>
      </c>
      <c r="B473" s="9" t="s">
        <v>79</v>
      </c>
      <c r="C473" s="9" t="s">
        <v>80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41</v>
      </c>
      <c r="B474" s="9" t="s">
        <v>79</v>
      </c>
      <c r="C474" s="9" t="s">
        <v>80</v>
      </c>
      <c r="D474" s="10"/>
      <c r="E474" s="11" t="str">
        <f>"－"</f>
        <v>－</v>
      </c>
      <c r="F474" s="10"/>
      <c r="G474" s="11" t="str">
        <f>"－"</f>
        <v>－</v>
      </c>
      <c r="H474" s="10"/>
      <c r="I474" s="11" t="str">
        <f>"－"</f>
        <v>－</v>
      </c>
      <c r="J474" s="10"/>
      <c r="K474" s="11" t="str">
        <f>"－"</f>
        <v>－</v>
      </c>
    </row>
    <row r="475">
      <c r="A475" s="8" t="s">
        <v>42</v>
      </c>
      <c r="B475" s="9" t="s">
        <v>79</v>
      </c>
      <c r="C475" s="9" t="s">
        <v>80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str">
        <f>"－"</f>
        <v>－</v>
      </c>
    </row>
    <row r="476">
      <c r="A476" s="8" t="s">
        <v>43</v>
      </c>
      <c r="B476" s="9" t="s">
        <v>79</v>
      </c>
      <c r="C476" s="9" t="s">
        <v>80</v>
      </c>
      <c r="D476" s="10"/>
      <c r="E476" s="11"/>
      <c r="F476" s="10"/>
      <c r="G476" s="11"/>
      <c r="H476" s="10"/>
      <c r="I476" s="11"/>
      <c r="J476" s="10"/>
      <c r="K476" s="11"/>
    </row>
    <row r="477">
      <c r="A477" s="8" t="s">
        <v>44</v>
      </c>
      <c r="B477" s="9" t="s">
        <v>79</v>
      </c>
      <c r="C477" s="9" t="s">
        <v>80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str">
        <f>"－"</f>
        <v>－</v>
      </c>
    </row>
    <row r="478">
      <c r="A478" s="8" t="s">
        <v>45</v>
      </c>
      <c r="B478" s="9" t="s">
        <v>79</v>
      </c>
      <c r="C478" s="9" t="s">
        <v>80</v>
      </c>
      <c r="D478" s="10"/>
      <c r="E478" s="11" t="str">
        <f>"－"</f>
        <v>－</v>
      </c>
      <c r="F478" s="10"/>
      <c r="G478" s="11" t="str">
        <f>"－"</f>
        <v>－</v>
      </c>
      <c r="H478" s="10"/>
      <c r="I478" s="11" t="str">
        <f>"－"</f>
        <v>－</v>
      </c>
      <c r="J478" s="10"/>
      <c r="K478" s="11" t="str">
        <f>"－"</f>
        <v>－</v>
      </c>
    </row>
    <row r="479">
      <c r="A479" s="8" t="s">
        <v>46</v>
      </c>
      <c r="B479" s="9" t="s">
        <v>79</v>
      </c>
      <c r="C479" s="9" t="s">
        <v>80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47</v>
      </c>
      <c r="B480" s="9" t="s">
        <v>79</v>
      </c>
      <c r="C480" s="9" t="s">
        <v>80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48</v>
      </c>
      <c r="B481" s="9" t="s">
        <v>79</v>
      </c>
      <c r="C481" s="9" t="s">
        <v>80</v>
      </c>
      <c r="D481" s="10"/>
      <c r="E481" s="11" t="str">
        <f>"－"</f>
        <v>－</v>
      </c>
      <c r="F481" s="10"/>
      <c r="G481" s="11" t="str">
        <f>"－"</f>
        <v>－</v>
      </c>
      <c r="H481" s="10"/>
      <c r="I481" s="11" t="str">
        <f>"－"</f>
        <v>－</v>
      </c>
      <c r="J481" s="10"/>
      <c r="K481" s="11" t="str">
        <f>"－"</f>
        <v>－</v>
      </c>
    </row>
    <row r="482">
      <c r="A482" s="8" t="s">
        <v>16</v>
      </c>
      <c r="B482" s="9" t="s">
        <v>81</v>
      </c>
      <c r="C482" s="9" t="s">
        <v>82</v>
      </c>
      <c r="D482" s="10" t="s">
        <v>21</v>
      </c>
      <c r="E482" s="11" t="n">
        <f>2817</f>
        <v>2817.0</v>
      </c>
      <c r="F482" s="10" t="s">
        <v>21</v>
      </c>
      <c r="G482" s="11" t="n">
        <f>8403972500</f>
        <v>8.4039725E9</v>
      </c>
      <c r="H482" s="10" t="s">
        <v>21</v>
      </c>
      <c r="I482" s="11" t="str">
        <f>"－"</f>
        <v>－</v>
      </c>
      <c r="J482" s="10"/>
      <c r="K482" s="11" t="n">
        <f>87009</f>
        <v>87009.0</v>
      </c>
    </row>
    <row r="483">
      <c r="A483" s="8" t="s">
        <v>20</v>
      </c>
      <c r="B483" s="9" t="s">
        <v>81</v>
      </c>
      <c r="C483" s="9" t="s">
        <v>82</v>
      </c>
      <c r="D483" s="10"/>
      <c r="E483" s="11" t="n">
        <f>3821</f>
        <v>3821.0</v>
      </c>
      <c r="F483" s="10"/>
      <c r="G483" s="11" t="n">
        <f>11307575500</f>
        <v>1.13075755E10</v>
      </c>
      <c r="H483" s="10"/>
      <c r="I483" s="11" t="str">
        <f>"－"</f>
        <v>－</v>
      </c>
      <c r="J483" s="10"/>
      <c r="K483" s="11" t="n">
        <f>82807</f>
        <v>82807.0</v>
      </c>
    </row>
    <row r="484">
      <c r="A484" s="8" t="s">
        <v>22</v>
      </c>
      <c r="B484" s="9" t="s">
        <v>81</v>
      </c>
      <c r="C484" s="9" t="s">
        <v>82</v>
      </c>
      <c r="D484" s="10"/>
      <c r="E484" s="11" t="n">
        <f>4204</f>
        <v>4204.0</v>
      </c>
      <c r="F484" s="10"/>
      <c r="G484" s="11" t="n">
        <f>12429409500</f>
        <v>1.24294095E10</v>
      </c>
      <c r="H484" s="10"/>
      <c r="I484" s="11" t="str">
        <f>"－"</f>
        <v>－</v>
      </c>
      <c r="J484" s="10"/>
      <c r="K484" s="11" t="n">
        <f>82369</f>
        <v>82369.0</v>
      </c>
    </row>
    <row r="485">
      <c r="A485" s="8" t="s">
        <v>23</v>
      </c>
      <c r="B485" s="9" t="s">
        <v>81</v>
      </c>
      <c r="C485" s="9" t="s">
        <v>82</v>
      </c>
      <c r="D485" s="10"/>
      <c r="E485" s="11" t="n">
        <f>13166</f>
        <v>13166.0</v>
      </c>
      <c r="F485" s="10"/>
      <c r="G485" s="11" t="n">
        <f>40013811000</f>
        <v>4.0013811E10</v>
      </c>
      <c r="H485" s="10"/>
      <c r="I485" s="11" t="n">
        <f>300</f>
        <v>300.0</v>
      </c>
      <c r="J485" s="10" t="s">
        <v>21</v>
      </c>
      <c r="K485" s="11" t="n">
        <f>79801</f>
        <v>79801.0</v>
      </c>
    </row>
    <row r="486">
      <c r="A486" s="8" t="s">
        <v>25</v>
      </c>
      <c r="B486" s="9" t="s">
        <v>81</v>
      </c>
      <c r="C486" s="9" t="s">
        <v>82</v>
      </c>
      <c r="D486" s="10"/>
      <c r="E486" s="11"/>
      <c r="F486" s="10"/>
      <c r="G486" s="11"/>
      <c r="H486" s="10"/>
      <c r="I486" s="11"/>
      <c r="J486" s="10"/>
      <c r="K486" s="11"/>
    </row>
    <row r="487">
      <c r="A487" s="8" t="s">
        <v>26</v>
      </c>
      <c r="B487" s="9" t="s">
        <v>81</v>
      </c>
      <c r="C487" s="9" t="s">
        <v>82</v>
      </c>
      <c r="D487" s="10"/>
      <c r="E487" s="11"/>
      <c r="F487" s="10"/>
      <c r="G487" s="11"/>
      <c r="H487" s="10"/>
      <c r="I487" s="11"/>
      <c r="J487" s="10"/>
      <c r="K487" s="11"/>
    </row>
    <row r="488">
      <c r="A488" s="8" t="s">
        <v>27</v>
      </c>
      <c r="B488" s="9" t="s">
        <v>81</v>
      </c>
      <c r="C488" s="9" t="s">
        <v>82</v>
      </c>
      <c r="D488" s="10"/>
      <c r="E488" s="11" t="n">
        <f>30539</f>
        <v>30539.0</v>
      </c>
      <c r="F488" s="10"/>
      <c r="G488" s="11" t="n">
        <f>94512127000</f>
        <v>9.4512127E10</v>
      </c>
      <c r="H488" s="10"/>
      <c r="I488" s="11" t="str">
        <f>"－"</f>
        <v>－</v>
      </c>
      <c r="J488" s="10"/>
      <c r="K488" s="11" t="n">
        <f>80566</f>
        <v>80566.0</v>
      </c>
    </row>
    <row r="489">
      <c r="A489" s="8" t="s">
        <v>28</v>
      </c>
      <c r="B489" s="9" t="s">
        <v>81</v>
      </c>
      <c r="C489" s="9" t="s">
        <v>82</v>
      </c>
      <c r="D489" s="10"/>
      <c r="E489" s="11" t="n">
        <f>30650</f>
        <v>30650.0</v>
      </c>
      <c r="F489" s="10"/>
      <c r="G489" s="11" t="n">
        <f>94350308500</f>
        <v>9.43503085E10</v>
      </c>
      <c r="H489" s="10"/>
      <c r="I489" s="11" t="str">
        <f>"－"</f>
        <v>－</v>
      </c>
      <c r="J489" s="10"/>
      <c r="K489" s="11" t="n">
        <f>81146</f>
        <v>81146.0</v>
      </c>
    </row>
    <row r="490">
      <c r="A490" s="8" t="s">
        <v>29</v>
      </c>
      <c r="B490" s="9" t="s">
        <v>81</v>
      </c>
      <c r="C490" s="9" t="s">
        <v>82</v>
      </c>
      <c r="D490" s="10"/>
      <c r="E490" s="11" t="n">
        <f>31121</f>
        <v>31121.0</v>
      </c>
      <c r="F490" s="10"/>
      <c r="G490" s="11" t="n">
        <f>94103356000</f>
        <v>9.4103356E10</v>
      </c>
      <c r="H490" s="10"/>
      <c r="I490" s="11" t="n">
        <f>150</f>
        <v>150.0</v>
      </c>
      <c r="J490" s="10"/>
      <c r="K490" s="11" t="n">
        <f>81258</f>
        <v>81258.0</v>
      </c>
    </row>
    <row r="491">
      <c r="A491" s="8" t="s">
        <v>30</v>
      </c>
      <c r="B491" s="9" t="s">
        <v>81</v>
      </c>
      <c r="C491" s="9" t="s">
        <v>82</v>
      </c>
      <c r="D491" s="10"/>
      <c r="E491" s="11" t="n">
        <f>29238</f>
        <v>29238.0</v>
      </c>
      <c r="F491" s="10"/>
      <c r="G491" s="11" t="n">
        <f>89105888500</f>
        <v>8.91058885E10</v>
      </c>
      <c r="H491" s="10"/>
      <c r="I491" s="11" t="str">
        <f>"－"</f>
        <v>－</v>
      </c>
      <c r="J491" s="10"/>
      <c r="K491" s="11" t="n">
        <f>83251</f>
        <v>83251.0</v>
      </c>
    </row>
    <row r="492">
      <c r="A492" s="8" t="s">
        <v>31</v>
      </c>
      <c r="B492" s="9" t="s">
        <v>81</v>
      </c>
      <c r="C492" s="9" t="s">
        <v>82</v>
      </c>
      <c r="D492" s="10"/>
      <c r="E492" s="11"/>
      <c r="F492" s="10"/>
      <c r="G492" s="11"/>
      <c r="H492" s="10"/>
      <c r="I492" s="11"/>
      <c r="J492" s="10"/>
      <c r="K492" s="11"/>
    </row>
    <row r="493">
      <c r="A493" s="8" t="s">
        <v>32</v>
      </c>
      <c r="B493" s="9" t="s">
        <v>81</v>
      </c>
      <c r="C493" s="9" t="s">
        <v>82</v>
      </c>
      <c r="D493" s="10"/>
      <c r="E493" s="11"/>
      <c r="F493" s="10"/>
      <c r="G493" s="11"/>
      <c r="H493" s="10"/>
      <c r="I493" s="11"/>
      <c r="J493" s="10"/>
      <c r="K493" s="11"/>
    </row>
    <row r="494">
      <c r="A494" s="8" t="s">
        <v>33</v>
      </c>
      <c r="B494" s="9" t="s">
        <v>81</v>
      </c>
      <c r="C494" s="9" t="s">
        <v>82</v>
      </c>
      <c r="D494" s="10"/>
      <c r="E494" s="11"/>
      <c r="F494" s="10"/>
      <c r="G494" s="11"/>
      <c r="H494" s="10"/>
      <c r="I494" s="11"/>
      <c r="J494" s="10"/>
      <c r="K494" s="11"/>
    </row>
    <row r="495">
      <c r="A495" s="8" t="s">
        <v>34</v>
      </c>
      <c r="B495" s="9" t="s">
        <v>81</v>
      </c>
      <c r="C495" s="9" t="s">
        <v>82</v>
      </c>
      <c r="D495" s="10" t="s">
        <v>24</v>
      </c>
      <c r="E495" s="11" t="n">
        <f>33476</f>
        <v>33476.0</v>
      </c>
      <c r="F495" s="10" t="s">
        <v>24</v>
      </c>
      <c r="G495" s="11" t="n">
        <f>104931902000</f>
        <v>1.04931902E11</v>
      </c>
      <c r="H495" s="10" t="s">
        <v>24</v>
      </c>
      <c r="I495" s="11" t="n">
        <f>500</f>
        <v>500.0</v>
      </c>
      <c r="J495" s="10" t="s">
        <v>24</v>
      </c>
      <c r="K495" s="11" t="n">
        <f>89271</f>
        <v>89271.0</v>
      </c>
    </row>
    <row r="496">
      <c r="A496" s="8" t="s">
        <v>35</v>
      </c>
      <c r="B496" s="9" t="s">
        <v>81</v>
      </c>
      <c r="C496" s="9" t="s">
        <v>82</v>
      </c>
      <c r="D496" s="10"/>
      <c r="E496" s="11" t="n">
        <f>7840</f>
        <v>7840.0</v>
      </c>
      <c r="F496" s="10"/>
      <c r="G496" s="11" t="n">
        <f>24501022000</f>
        <v>2.4501022E10</v>
      </c>
      <c r="H496" s="10"/>
      <c r="I496" s="11" t="str">
        <f>"－"</f>
        <v>－</v>
      </c>
      <c r="J496" s="10"/>
      <c r="K496" s="11" t="n">
        <f>88661</f>
        <v>88661.0</v>
      </c>
    </row>
    <row r="497">
      <c r="A497" s="8" t="s">
        <v>36</v>
      </c>
      <c r="B497" s="9" t="s">
        <v>81</v>
      </c>
      <c r="C497" s="9" t="s">
        <v>82</v>
      </c>
      <c r="D497" s="10"/>
      <c r="E497" s="11" t="n">
        <f>13030</f>
        <v>13030.0</v>
      </c>
      <c r="F497" s="10"/>
      <c r="G497" s="11" t="n">
        <f>40243057000</f>
        <v>4.0243057E10</v>
      </c>
      <c r="H497" s="10"/>
      <c r="I497" s="11" t="n">
        <f>200</f>
        <v>200.0</v>
      </c>
      <c r="J497" s="10"/>
      <c r="K497" s="11" t="n">
        <f>87492</f>
        <v>87492.0</v>
      </c>
    </row>
    <row r="498">
      <c r="A498" s="8" t="s">
        <v>37</v>
      </c>
      <c r="B498" s="9" t="s">
        <v>81</v>
      </c>
      <c r="C498" s="9" t="s">
        <v>82</v>
      </c>
      <c r="D498" s="10"/>
      <c r="E498" s="11" t="n">
        <f>8757</f>
        <v>8757.0</v>
      </c>
      <c r="F498" s="10"/>
      <c r="G498" s="11" t="n">
        <f>26654797500</f>
        <v>2.66547975E10</v>
      </c>
      <c r="H498" s="10"/>
      <c r="I498" s="11" t="str">
        <f>"－"</f>
        <v>－</v>
      </c>
      <c r="J498" s="10"/>
      <c r="K498" s="11" t="n">
        <f>86574</f>
        <v>86574.0</v>
      </c>
    </row>
    <row r="499">
      <c r="A499" s="8" t="s">
        <v>38</v>
      </c>
      <c r="B499" s="9" t="s">
        <v>81</v>
      </c>
      <c r="C499" s="9" t="s">
        <v>82</v>
      </c>
      <c r="D499" s="10"/>
      <c r="E499" s="11" t="n">
        <f>5474</f>
        <v>5474.0</v>
      </c>
      <c r="F499" s="10"/>
      <c r="G499" s="11" t="n">
        <f>16463796500</f>
        <v>1.64637965E10</v>
      </c>
      <c r="H499" s="10"/>
      <c r="I499" s="11" t="str">
        <f>"－"</f>
        <v>－</v>
      </c>
      <c r="J499" s="10"/>
      <c r="K499" s="11" t="n">
        <f>85999</f>
        <v>85999.0</v>
      </c>
    </row>
    <row r="500">
      <c r="A500" s="8" t="s">
        <v>39</v>
      </c>
      <c r="B500" s="9" t="s">
        <v>81</v>
      </c>
      <c r="C500" s="9" t="s">
        <v>82</v>
      </c>
      <c r="D500" s="10"/>
      <c r="E500" s="11"/>
      <c r="F500" s="10"/>
      <c r="G500" s="11"/>
      <c r="H500" s="10"/>
      <c r="I500" s="11"/>
      <c r="J500" s="10"/>
      <c r="K500" s="11"/>
    </row>
    <row r="501">
      <c r="A501" s="8" t="s">
        <v>40</v>
      </c>
      <c r="B501" s="9" t="s">
        <v>81</v>
      </c>
      <c r="C501" s="9" t="s">
        <v>82</v>
      </c>
      <c r="D501" s="10"/>
      <c r="E501" s="11"/>
      <c r="F501" s="10"/>
      <c r="G501" s="11"/>
      <c r="H501" s="10"/>
      <c r="I501" s="11"/>
      <c r="J501" s="10"/>
      <c r="K501" s="11"/>
    </row>
    <row r="502">
      <c r="A502" s="8" t="s">
        <v>41</v>
      </c>
      <c r="B502" s="9" t="s">
        <v>81</v>
      </c>
      <c r="C502" s="9" t="s">
        <v>82</v>
      </c>
      <c r="D502" s="10"/>
      <c r="E502" s="11" t="n">
        <f>8350</f>
        <v>8350.0</v>
      </c>
      <c r="F502" s="10"/>
      <c r="G502" s="11" t="n">
        <f>25189118000</f>
        <v>2.5189118E10</v>
      </c>
      <c r="H502" s="10"/>
      <c r="I502" s="11" t="n">
        <f>83</f>
        <v>83.0</v>
      </c>
      <c r="J502" s="10"/>
      <c r="K502" s="11" t="n">
        <f>84899</f>
        <v>84899.0</v>
      </c>
    </row>
    <row r="503">
      <c r="A503" s="8" t="s">
        <v>42</v>
      </c>
      <c r="B503" s="9" t="s">
        <v>81</v>
      </c>
      <c r="C503" s="9" t="s">
        <v>82</v>
      </c>
      <c r="D503" s="10"/>
      <c r="E503" s="11" t="n">
        <f>11444</f>
        <v>11444.0</v>
      </c>
      <c r="F503" s="10"/>
      <c r="G503" s="11" t="n">
        <f>35493480500</f>
        <v>3.54934805E10</v>
      </c>
      <c r="H503" s="10"/>
      <c r="I503" s="11" t="n">
        <f>250</f>
        <v>250.0</v>
      </c>
      <c r="J503" s="10"/>
      <c r="K503" s="11" t="n">
        <f>86410</f>
        <v>86410.0</v>
      </c>
    </row>
    <row r="504">
      <c r="A504" s="8" t="s">
        <v>43</v>
      </c>
      <c r="B504" s="9" t="s">
        <v>81</v>
      </c>
      <c r="C504" s="9" t="s">
        <v>82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44</v>
      </c>
      <c r="B505" s="9" t="s">
        <v>81</v>
      </c>
      <c r="C505" s="9" t="s">
        <v>82</v>
      </c>
      <c r="D505" s="10"/>
      <c r="E505" s="11" t="n">
        <f>15302</f>
        <v>15302.0</v>
      </c>
      <c r="F505" s="10"/>
      <c r="G505" s="11" t="n">
        <f>48704575500</f>
        <v>4.87045755E10</v>
      </c>
      <c r="H505" s="10"/>
      <c r="I505" s="11" t="n">
        <f>150</f>
        <v>150.0</v>
      </c>
      <c r="J505" s="10"/>
      <c r="K505" s="11" t="n">
        <f>88323</f>
        <v>88323.0</v>
      </c>
    </row>
    <row r="506">
      <c r="A506" s="8" t="s">
        <v>45</v>
      </c>
      <c r="B506" s="9" t="s">
        <v>81</v>
      </c>
      <c r="C506" s="9" t="s">
        <v>82</v>
      </c>
      <c r="D506" s="10"/>
      <c r="E506" s="11" t="n">
        <f>11257</f>
        <v>11257.0</v>
      </c>
      <c r="F506" s="10"/>
      <c r="G506" s="11" t="n">
        <f>35930354000</f>
        <v>3.5930354E10</v>
      </c>
      <c r="H506" s="10"/>
      <c r="I506" s="11" t="str">
        <f>"－"</f>
        <v>－</v>
      </c>
      <c r="J506" s="10"/>
      <c r="K506" s="11" t="n">
        <f>86555</f>
        <v>86555.0</v>
      </c>
    </row>
    <row r="507">
      <c r="A507" s="8" t="s">
        <v>46</v>
      </c>
      <c r="B507" s="9" t="s">
        <v>81</v>
      </c>
      <c r="C507" s="9" t="s">
        <v>82</v>
      </c>
      <c r="D507" s="10"/>
      <c r="E507" s="11"/>
      <c r="F507" s="10"/>
      <c r="G507" s="11"/>
      <c r="H507" s="10"/>
      <c r="I507" s="11"/>
      <c r="J507" s="10"/>
      <c r="K507" s="11"/>
    </row>
    <row r="508">
      <c r="A508" s="8" t="s">
        <v>47</v>
      </c>
      <c r="B508" s="9" t="s">
        <v>81</v>
      </c>
      <c r="C508" s="9" t="s">
        <v>82</v>
      </c>
      <c r="D508" s="10"/>
      <c r="E508" s="11"/>
      <c r="F508" s="10"/>
      <c r="G508" s="11"/>
      <c r="H508" s="10"/>
      <c r="I508" s="11"/>
      <c r="J508" s="10"/>
      <c r="K508" s="11"/>
    </row>
    <row r="509">
      <c r="A509" s="8" t="s">
        <v>48</v>
      </c>
      <c r="B509" s="9" t="s">
        <v>81</v>
      </c>
      <c r="C509" s="9" t="s">
        <v>82</v>
      </c>
      <c r="D509" s="10"/>
      <c r="E509" s="11" t="n">
        <f>8940</f>
        <v>8940.0</v>
      </c>
      <c r="F509" s="10"/>
      <c r="G509" s="11" t="n">
        <f>28495570500</f>
        <v>2.84955705E10</v>
      </c>
      <c r="H509" s="10"/>
      <c r="I509" s="11" t="str">
        <f>"－"</f>
        <v>－</v>
      </c>
      <c r="J509" s="10"/>
      <c r="K509" s="11" t="n">
        <f>86495</f>
        <v>86495.0</v>
      </c>
    </row>
    <row r="510">
      <c r="A510" s="8" t="s">
        <v>16</v>
      </c>
      <c r="B510" s="9" t="s">
        <v>83</v>
      </c>
      <c r="C510" s="9" t="s">
        <v>84</v>
      </c>
      <c r="D510" s="10" t="s">
        <v>21</v>
      </c>
      <c r="E510" s="11" t="str">
        <f>"－"</f>
        <v>－</v>
      </c>
      <c r="F510" s="10" t="s">
        <v>21</v>
      </c>
      <c r="G510" s="11" t="str">
        <f>"－"</f>
        <v>－</v>
      </c>
      <c r="H510" s="10" t="s">
        <v>19</v>
      </c>
      <c r="I510" s="11" t="str">
        <f>"－"</f>
        <v>－</v>
      </c>
      <c r="J510" s="10" t="s">
        <v>24</v>
      </c>
      <c r="K510" s="11" t="n">
        <f>2939</f>
        <v>2939.0</v>
      </c>
    </row>
    <row r="511">
      <c r="A511" s="8" t="s">
        <v>20</v>
      </c>
      <c r="B511" s="9" t="s">
        <v>83</v>
      </c>
      <c r="C511" s="9" t="s">
        <v>84</v>
      </c>
      <c r="D511" s="10"/>
      <c r="E511" s="11" t="n">
        <f>20</f>
        <v>20.0</v>
      </c>
      <c r="F511" s="10"/>
      <c r="G511" s="11" t="n">
        <f>25087680</f>
        <v>2.508768E7</v>
      </c>
      <c r="H511" s="10"/>
      <c r="I511" s="11" t="str">
        <f>"－"</f>
        <v>－</v>
      </c>
      <c r="J511" s="10"/>
      <c r="K511" s="11" t="n">
        <f>2505</f>
        <v>2505.0</v>
      </c>
    </row>
    <row r="512">
      <c r="A512" s="8" t="s">
        <v>22</v>
      </c>
      <c r="B512" s="9" t="s">
        <v>83</v>
      </c>
      <c r="C512" s="9" t="s">
        <v>84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n">
        <f>2505</f>
        <v>2505.0</v>
      </c>
    </row>
    <row r="513">
      <c r="A513" s="8" t="s">
        <v>23</v>
      </c>
      <c r="B513" s="9" t="s">
        <v>83</v>
      </c>
      <c r="C513" s="9" t="s">
        <v>84</v>
      </c>
      <c r="D513" s="10"/>
      <c r="E513" s="11" t="n">
        <f>20</f>
        <v>20.0</v>
      </c>
      <c r="F513" s="10"/>
      <c r="G513" s="11" t="n">
        <f>24849600</f>
        <v>2.48496E7</v>
      </c>
      <c r="H513" s="10"/>
      <c r="I513" s="11" t="str">
        <f>"－"</f>
        <v>－</v>
      </c>
      <c r="J513" s="10"/>
      <c r="K513" s="11" t="n">
        <f>2505</f>
        <v>2505.0</v>
      </c>
    </row>
    <row r="514">
      <c r="A514" s="8" t="s">
        <v>25</v>
      </c>
      <c r="B514" s="9" t="s">
        <v>83</v>
      </c>
      <c r="C514" s="9" t="s">
        <v>84</v>
      </c>
      <c r="D514" s="10"/>
      <c r="E514" s="11"/>
      <c r="F514" s="10"/>
      <c r="G514" s="11"/>
      <c r="H514" s="10"/>
      <c r="I514" s="11"/>
      <c r="J514" s="10"/>
      <c r="K514" s="11"/>
    </row>
    <row r="515">
      <c r="A515" s="8" t="s">
        <v>26</v>
      </c>
      <c r="B515" s="9" t="s">
        <v>83</v>
      </c>
      <c r="C515" s="9" t="s">
        <v>84</v>
      </c>
      <c r="D515" s="10"/>
      <c r="E515" s="11"/>
      <c r="F515" s="10"/>
      <c r="G515" s="11"/>
      <c r="H515" s="10"/>
      <c r="I515" s="11"/>
      <c r="J515" s="10"/>
      <c r="K515" s="11"/>
    </row>
    <row r="516">
      <c r="A516" s="8" t="s">
        <v>27</v>
      </c>
      <c r="B516" s="9" t="s">
        <v>83</v>
      </c>
      <c r="C516" s="9" t="s">
        <v>84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n">
        <f>2505</f>
        <v>2505.0</v>
      </c>
    </row>
    <row r="517">
      <c r="A517" s="8" t="s">
        <v>28</v>
      </c>
      <c r="B517" s="9" t="s">
        <v>83</v>
      </c>
      <c r="C517" s="9" t="s">
        <v>84</v>
      </c>
      <c r="D517" s="10"/>
      <c r="E517" s="11" t="str">
        <f>"－"</f>
        <v>－</v>
      </c>
      <c r="F517" s="10"/>
      <c r="G517" s="11" t="str">
        <f>"－"</f>
        <v>－</v>
      </c>
      <c r="H517" s="10"/>
      <c r="I517" s="11" t="str">
        <f>"－"</f>
        <v>－</v>
      </c>
      <c r="J517" s="10"/>
      <c r="K517" s="11" t="n">
        <f>2505</f>
        <v>2505.0</v>
      </c>
    </row>
    <row r="518">
      <c r="A518" s="8" t="s">
        <v>29</v>
      </c>
      <c r="B518" s="9" t="s">
        <v>83</v>
      </c>
      <c r="C518" s="9" t="s">
        <v>84</v>
      </c>
      <c r="D518" s="10"/>
      <c r="E518" s="11" t="n">
        <f>16</f>
        <v>16.0</v>
      </c>
      <c r="F518" s="10"/>
      <c r="G518" s="11" t="n">
        <f>23452800</f>
        <v>2.34528E7</v>
      </c>
      <c r="H518" s="10"/>
      <c r="I518" s="11" t="str">
        <f>"－"</f>
        <v>－</v>
      </c>
      <c r="J518" s="10" t="s">
        <v>21</v>
      </c>
      <c r="K518" s="11" t="n">
        <f>2499</f>
        <v>2499.0</v>
      </c>
    </row>
    <row r="519">
      <c r="A519" s="8" t="s">
        <v>30</v>
      </c>
      <c r="B519" s="9" t="s">
        <v>83</v>
      </c>
      <c r="C519" s="9" t="s">
        <v>84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n">
        <f>2499</f>
        <v>2499.0</v>
      </c>
    </row>
    <row r="520">
      <c r="A520" s="8" t="s">
        <v>31</v>
      </c>
      <c r="B520" s="9" t="s">
        <v>83</v>
      </c>
      <c r="C520" s="9" t="s">
        <v>84</v>
      </c>
      <c r="D520" s="10"/>
      <c r="E520" s="11"/>
      <c r="F520" s="10"/>
      <c r="G520" s="11"/>
      <c r="H520" s="10"/>
      <c r="I520" s="11"/>
      <c r="J520" s="10"/>
      <c r="K520" s="11"/>
    </row>
    <row r="521">
      <c r="A521" s="8" t="s">
        <v>32</v>
      </c>
      <c r="B521" s="9" t="s">
        <v>83</v>
      </c>
      <c r="C521" s="9" t="s">
        <v>84</v>
      </c>
      <c r="D521" s="10"/>
      <c r="E521" s="11"/>
      <c r="F521" s="10"/>
      <c r="G521" s="11"/>
      <c r="H521" s="10"/>
      <c r="I521" s="11"/>
      <c r="J521" s="10"/>
      <c r="K521" s="11"/>
    </row>
    <row r="522">
      <c r="A522" s="8" t="s">
        <v>33</v>
      </c>
      <c r="B522" s="9" t="s">
        <v>83</v>
      </c>
      <c r="C522" s="9" t="s">
        <v>84</v>
      </c>
      <c r="D522" s="10"/>
      <c r="E522" s="11"/>
      <c r="F522" s="10"/>
      <c r="G522" s="11"/>
      <c r="H522" s="10"/>
      <c r="I522" s="11"/>
      <c r="J522" s="10"/>
      <c r="K522" s="11"/>
    </row>
    <row r="523">
      <c r="A523" s="8" t="s">
        <v>34</v>
      </c>
      <c r="B523" s="9" t="s">
        <v>83</v>
      </c>
      <c r="C523" s="9" t="s">
        <v>84</v>
      </c>
      <c r="D523" s="10"/>
      <c r="E523" s="11" t="n">
        <f>160</f>
        <v>160.0</v>
      </c>
      <c r="F523" s="10"/>
      <c r="G523" s="11" t="n">
        <f>177265200</f>
        <v>1.772652E8</v>
      </c>
      <c r="H523" s="10"/>
      <c r="I523" s="11" t="str">
        <f>"－"</f>
        <v>－</v>
      </c>
      <c r="J523" s="10"/>
      <c r="K523" s="11" t="n">
        <f>2589</f>
        <v>2589.0</v>
      </c>
    </row>
    <row r="524">
      <c r="A524" s="8" t="s">
        <v>35</v>
      </c>
      <c r="B524" s="9" t="s">
        <v>83</v>
      </c>
      <c r="C524" s="9" t="s">
        <v>84</v>
      </c>
      <c r="D524" s="10"/>
      <c r="E524" s="11" t="str">
        <f>"－"</f>
        <v>－</v>
      </c>
      <c r="F524" s="10"/>
      <c r="G524" s="11" t="str">
        <f>"－"</f>
        <v>－</v>
      </c>
      <c r="H524" s="10"/>
      <c r="I524" s="11" t="str">
        <f>"－"</f>
        <v>－</v>
      </c>
      <c r="J524" s="10"/>
      <c r="K524" s="11" t="n">
        <f>2589</f>
        <v>2589.0</v>
      </c>
    </row>
    <row r="525">
      <c r="A525" s="8" t="s">
        <v>36</v>
      </c>
      <c r="B525" s="9" t="s">
        <v>83</v>
      </c>
      <c r="C525" s="9" t="s">
        <v>84</v>
      </c>
      <c r="D525" s="10"/>
      <c r="E525" s="11" t="str">
        <f>"－"</f>
        <v>－</v>
      </c>
      <c r="F525" s="10"/>
      <c r="G525" s="11" t="str">
        <f>"－"</f>
        <v>－</v>
      </c>
      <c r="H525" s="10"/>
      <c r="I525" s="11" t="str">
        <f>"－"</f>
        <v>－</v>
      </c>
      <c r="J525" s="10"/>
      <c r="K525" s="11" t="n">
        <f>2589</f>
        <v>2589.0</v>
      </c>
    </row>
    <row r="526">
      <c r="A526" s="8" t="s">
        <v>37</v>
      </c>
      <c r="B526" s="9" t="s">
        <v>83</v>
      </c>
      <c r="C526" s="9" t="s">
        <v>84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n">
        <f>2589</f>
        <v>2589.0</v>
      </c>
    </row>
    <row r="527">
      <c r="A527" s="8" t="s">
        <v>38</v>
      </c>
      <c r="B527" s="9" t="s">
        <v>83</v>
      </c>
      <c r="C527" s="9" t="s">
        <v>84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n">
        <f>2589</f>
        <v>2589.0</v>
      </c>
    </row>
    <row r="528">
      <c r="A528" s="8" t="s">
        <v>39</v>
      </c>
      <c r="B528" s="9" t="s">
        <v>83</v>
      </c>
      <c r="C528" s="9" t="s">
        <v>84</v>
      </c>
      <c r="D528" s="10"/>
      <c r="E528" s="11"/>
      <c r="F528" s="10"/>
      <c r="G528" s="11"/>
      <c r="H528" s="10"/>
      <c r="I528" s="11"/>
      <c r="J528" s="10"/>
      <c r="K528" s="11"/>
    </row>
    <row r="529">
      <c r="A529" s="8" t="s">
        <v>40</v>
      </c>
      <c r="B529" s="9" t="s">
        <v>83</v>
      </c>
      <c r="C529" s="9" t="s">
        <v>84</v>
      </c>
      <c r="D529" s="10"/>
      <c r="E529" s="11"/>
      <c r="F529" s="10"/>
      <c r="G529" s="11"/>
      <c r="H529" s="10"/>
      <c r="I529" s="11"/>
      <c r="J529" s="10"/>
      <c r="K529" s="11"/>
    </row>
    <row r="530">
      <c r="A530" s="8" t="s">
        <v>41</v>
      </c>
      <c r="B530" s="9" t="s">
        <v>83</v>
      </c>
      <c r="C530" s="9" t="s">
        <v>84</v>
      </c>
      <c r="D530" s="10"/>
      <c r="E530" s="11" t="n">
        <f>30</f>
        <v>30.0</v>
      </c>
      <c r="F530" s="10"/>
      <c r="G530" s="11" t="n">
        <f>39060000</f>
        <v>3.906E7</v>
      </c>
      <c r="H530" s="10"/>
      <c r="I530" s="11" t="str">
        <f>"－"</f>
        <v>－</v>
      </c>
      <c r="J530" s="10"/>
      <c r="K530" s="11" t="n">
        <f>2619</f>
        <v>2619.0</v>
      </c>
    </row>
    <row r="531">
      <c r="A531" s="8" t="s">
        <v>42</v>
      </c>
      <c r="B531" s="9" t="s">
        <v>83</v>
      </c>
      <c r="C531" s="9" t="s">
        <v>84</v>
      </c>
      <c r="D531" s="10" t="s">
        <v>24</v>
      </c>
      <c r="E531" s="11" t="n">
        <f>230</f>
        <v>230.0</v>
      </c>
      <c r="F531" s="10" t="s">
        <v>24</v>
      </c>
      <c r="G531" s="11" t="n">
        <f>303924000</f>
        <v>3.03924E8</v>
      </c>
      <c r="H531" s="10"/>
      <c r="I531" s="11" t="str">
        <f>"－"</f>
        <v>－</v>
      </c>
      <c r="J531" s="10"/>
      <c r="K531" s="11" t="n">
        <f>2589</f>
        <v>2589.0</v>
      </c>
    </row>
    <row r="532">
      <c r="A532" s="8" t="s">
        <v>43</v>
      </c>
      <c r="B532" s="9" t="s">
        <v>83</v>
      </c>
      <c r="C532" s="9" t="s">
        <v>84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44</v>
      </c>
      <c r="B533" s="9" t="s">
        <v>83</v>
      </c>
      <c r="C533" s="9" t="s">
        <v>84</v>
      </c>
      <c r="D533" s="10"/>
      <c r="E533" s="11" t="n">
        <f>5</f>
        <v>5.0</v>
      </c>
      <c r="F533" s="10"/>
      <c r="G533" s="11" t="n">
        <f>6882000</f>
        <v>6882000.0</v>
      </c>
      <c r="H533" s="10"/>
      <c r="I533" s="11" t="str">
        <f>"－"</f>
        <v>－</v>
      </c>
      <c r="J533" s="10"/>
      <c r="K533" s="11" t="n">
        <f>2594</f>
        <v>2594.0</v>
      </c>
    </row>
    <row r="534">
      <c r="A534" s="8" t="s">
        <v>45</v>
      </c>
      <c r="B534" s="9" t="s">
        <v>83</v>
      </c>
      <c r="C534" s="9" t="s">
        <v>84</v>
      </c>
      <c r="D534" s="10"/>
      <c r="E534" s="11" t="str">
        <f>"－"</f>
        <v>－</v>
      </c>
      <c r="F534" s="10"/>
      <c r="G534" s="11" t="str">
        <f>"－"</f>
        <v>－</v>
      </c>
      <c r="H534" s="10"/>
      <c r="I534" s="11" t="str">
        <f>"－"</f>
        <v>－</v>
      </c>
      <c r="J534" s="10"/>
      <c r="K534" s="11" t="n">
        <f>2594</f>
        <v>2594.0</v>
      </c>
    </row>
    <row r="535">
      <c r="A535" s="8" t="s">
        <v>46</v>
      </c>
      <c r="B535" s="9" t="s">
        <v>83</v>
      </c>
      <c r="C535" s="9" t="s">
        <v>84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47</v>
      </c>
      <c r="B536" s="9" t="s">
        <v>83</v>
      </c>
      <c r="C536" s="9" t="s">
        <v>84</v>
      </c>
      <c r="D536" s="10"/>
      <c r="E536" s="11"/>
      <c r="F536" s="10"/>
      <c r="G536" s="11"/>
      <c r="H536" s="10"/>
      <c r="I536" s="11"/>
      <c r="J536" s="10"/>
      <c r="K536" s="11"/>
    </row>
    <row r="537">
      <c r="A537" s="8" t="s">
        <v>48</v>
      </c>
      <c r="B537" s="9" t="s">
        <v>83</v>
      </c>
      <c r="C537" s="9" t="s">
        <v>84</v>
      </c>
      <c r="D537" s="10"/>
      <c r="E537" s="11" t="str">
        <f>"－"</f>
        <v>－</v>
      </c>
      <c r="F537" s="10"/>
      <c r="G537" s="11" t="str">
        <f>"－"</f>
        <v>－</v>
      </c>
      <c r="H537" s="10"/>
      <c r="I537" s="11" t="str">
        <f>"－"</f>
        <v>－</v>
      </c>
      <c r="J537" s="10"/>
      <c r="K537" s="11" t="n">
        <f>2594</f>
        <v>2594.0</v>
      </c>
    </row>
    <row r="538">
      <c r="A538" s="8" t="s">
        <v>16</v>
      </c>
      <c r="B538" s="9" t="s">
        <v>85</v>
      </c>
      <c r="C538" s="9" t="s">
        <v>86</v>
      </c>
      <c r="D538" s="10" t="s">
        <v>21</v>
      </c>
      <c r="E538" s="11" t="str">
        <f>"－"</f>
        <v>－</v>
      </c>
      <c r="F538" s="10" t="s">
        <v>21</v>
      </c>
      <c r="G538" s="11" t="str">
        <f>"－"</f>
        <v>－</v>
      </c>
      <c r="H538" s="10" t="s">
        <v>19</v>
      </c>
      <c r="I538" s="11" t="str">
        <f>"－"</f>
        <v>－</v>
      </c>
      <c r="J538" s="10" t="s">
        <v>24</v>
      </c>
      <c r="K538" s="11" t="n">
        <f>622</f>
        <v>622.0</v>
      </c>
    </row>
    <row r="539">
      <c r="A539" s="8" t="s">
        <v>20</v>
      </c>
      <c r="B539" s="9" t="s">
        <v>85</v>
      </c>
      <c r="C539" s="9" t="s">
        <v>86</v>
      </c>
      <c r="D539" s="10"/>
      <c r="E539" s="11" t="str">
        <f>"－"</f>
        <v>－</v>
      </c>
      <c r="F539" s="10"/>
      <c r="G539" s="11" t="str">
        <f>"－"</f>
        <v>－</v>
      </c>
      <c r="H539" s="10"/>
      <c r="I539" s="11" t="str">
        <f>"－"</f>
        <v>－</v>
      </c>
      <c r="J539" s="10" t="s">
        <v>21</v>
      </c>
      <c r="K539" s="11" t="n">
        <f>372</f>
        <v>372.0</v>
      </c>
    </row>
    <row r="540">
      <c r="A540" s="8" t="s">
        <v>22</v>
      </c>
      <c r="B540" s="9" t="s">
        <v>85</v>
      </c>
      <c r="C540" s="9" t="s">
        <v>86</v>
      </c>
      <c r="D540" s="10"/>
      <c r="E540" s="11" t="str">
        <f>"－"</f>
        <v>－</v>
      </c>
      <c r="F540" s="10"/>
      <c r="G540" s="11" t="str">
        <f>"－"</f>
        <v>－</v>
      </c>
      <c r="H540" s="10"/>
      <c r="I540" s="11" t="str">
        <f>"－"</f>
        <v>－</v>
      </c>
      <c r="J540" s="10"/>
      <c r="K540" s="11" t="n">
        <f>372</f>
        <v>372.0</v>
      </c>
    </row>
    <row r="541">
      <c r="A541" s="8" t="s">
        <v>23</v>
      </c>
      <c r="B541" s="9" t="s">
        <v>85</v>
      </c>
      <c r="C541" s="9" t="s">
        <v>86</v>
      </c>
      <c r="D541" s="10"/>
      <c r="E541" s="11" t="n">
        <f>20</f>
        <v>20.0</v>
      </c>
      <c r="F541" s="10"/>
      <c r="G541" s="11" t="n">
        <f>24849600</f>
        <v>2.48496E7</v>
      </c>
      <c r="H541" s="10"/>
      <c r="I541" s="11" t="str">
        <f>"－"</f>
        <v>－</v>
      </c>
      <c r="J541" s="10"/>
      <c r="K541" s="11" t="n">
        <f>392</f>
        <v>392.0</v>
      </c>
    </row>
    <row r="542">
      <c r="A542" s="8" t="s">
        <v>25</v>
      </c>
      <c r="B542" s="9" t="s">
        <v>85</v>
      </c>
      <c r="C542" s="9" t="s">
        <v>86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26</v>
      </c>
      <c r="B543" s="9" t="s">
        <v>85</v>
      </c>
      <c r="C543" s="9" t="s">
        <v>86</v>
      </c>
      <c r="D543" s="10"/>
      <c r="E543" s="11"/>
      <c r="F543" s="10"/>
      <c r="G543" s="11"/>
      <c r="H543" s="10"/>
      <c r="I543" s="11"/>
      <c r="J543" s="10"/>
      <c r="K543" s="11"/>
    </row>
    <row r="544">
      <c r="A544" s="8" t="s">
        <v>27</v>
      </c>
      <c r="B544" s="9" t="s">
        <v>85</v>
      </c>
      <c r="C544" s="9" t="s">
        <v>86</v>
      </c>
      <c r="D544" s="10"/>
      <c r="E544" s="11" t="str">
        <f>"－"</f>
        <v>－</v>
      </c>
      <c r="F544" s="10"/>
      <c r="G544" s="11" t="str">
        <f>"－"</f>
        <v>－</v>
      </c>
      <c r="H544" s="10"/>
      <c r="I544" s="11" t="str">
        <f>"－"</f>
        <v>－</v>
      </c>
      <c r="J544" s="10"/>
      <c r="K544" s="11" t="n">
        <f>392</f>
        <v>392.0</v>
      </c>
    </row>
    <row r="545">
      <c r="A545" s="8" t="s">
        <v>28</v>
      </c>
      <c r="B545" s="9" t="s">
        <v>85</v>
      </c>
      <c r="C545" s="9" t="s">
        <v>86</v>
      </c>
      <c r="D545" s="10"/>
      <c r="E545" s="11" t="str">
        <f>"－"</f>
        <v>－</v>
      </c>
      <c r="F545" s="10"/>
      <c r="G545" s="11" t="str">
        <f>"－"</f>
        <v>－</v>
      </c>
      <c r="H545" s="10"/>
      <c r="I545" s="11" t="str">
        <f>"－"</f>
        <v>－</v>
      </c>
      <c r="J545" s="10"/>
      <c r="K545" s="11" t="n">
        <f>392</f>
        <v>392.0</v>
      </c>
    </row>
    <row r="546">
      <c r="A546" s="8" t="s">
        <v>29</v>
      </c>
      <c r="B546" s="9" t="s">
        <v>85</v>
      </c>
      <c r="C546" s="9" t="s">
        <v>86</v>
      </c>
      <c r="D546" s="10" t="s">
        <v>24</v>
      </c>
      <c r="E546" s="11" t="n">
        <f>360</f>
        <v>360.0</v>
      </c>
      <c r="F546" s="10" t="s">
        <v>24</v>
      </c>
      <c r="G546" s="11" t="n">
        <f>409773600</f>
        <v>4.097736E8</v>
      </c>
      <c r="H546" s="10"/>
      <c r="I546" s="11" t="str">
        <f>"－"</f>
        <v>－</v>
      </c>
      <c r="J546" s="10"/>
      <c r="K546" s="11" t="n">
        <f>572</f>
        <v>572.0</v>
      </c>
    </row>
    <row r="547">
      <c r="A547" s="8" t="s">
        <v>30</v>
      </c>
      <c r="B547" s="9" t="s">
        <v>85</v>
      </c>
      <c r="C547" s="9" t="s">
        <v>86</v>
      </c>
      <c r="D547" s="10"/>
      <c r="E547" s="11" t="str">
        <f>"－"</f>
        <v>－</v>
      </c>
      <c r="F547" s="10"/>
      <c r="G547" s="11" t="str">
        <f>"－"</f>
        <v>－</v>
      </c>
      <c r="H547" s="10"/>
      <c r="I547" s="11" t="str">
        <f>"－"</f>
        <v>－</v>
      </c>
      <c r="J547" s="10"/>
      <c r="K547" s="11" t="n">
        <f>572</f>
        <v>572.0</v>
      </c>
    </row>
    <row r="548">
      <c r="A548" s="8" t="s">
        <v>31</v>
      </c>
      <c r="B548" s="9" t="s">
        <v>85</v>
      </c>
      <c r="C548" s="9" t="s">
        <v>86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32</v>
      </c>
      <c r="B549" s="9" t="s">
        <v>85</v>
      </c>
      <c r="C549" s="9" t="s">
        <v>86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33</v>
      </c>
      <c r="B550" s="9" t="s">
        <v>85</v>
      </c>
      <c r="C550" s="9" t="s">
        <v>86</v>
      </c>
      <c r="D550" s="10"/>
      <c r="E550" s="11"/>
      <c r="F550" s="10"/>
      <c r="G550" s="11"/>
      <c r="H550" s="10"/>
      <c r="I550" s="11"/>
      <c r="J550" s="10"/>
      <c r="K550" s="11"/>
    </row>
    <row r="551">
      <c r="A551" s="8" t="s">
        <v>34</v>
      </c>
      <c r="B551" s="9" t="s">
        <v>85</v>
      </c>
      <c r="C551" s="9" t="s">
        <v>86</v>
      </c>
      <c r="D551" s="10"/>
      <c r="E551" s="11" t="str">
        <f>"－"</f>
        <v>－</v>
      </c>
      <c r="F551" s="10"/>
      <c r="G551" s="11" t="str">
        <f>"－"</f>
        <v>－</v>
      </c>
      <c r="H551" s="10"/>
      <c r="I551" s="11" t="str">
        <f>"－"</f>
        <v>－</v>
      </c>
      <c r="J551" s="10"/>
      <c r="K551" s="11" t="n">
        <f>572</f>
        <v>572.0</v>
      </c>
    </row>
    <row r="552">
      <c r="A552" s="8" t="s">
        <v>35</v>
      </c>
      <c r="B552" s="9" t="s">
        <v>85</v>
      </c>
      <c r="C552" s="9" t="s">
        <v>86</v>
      </c>
      <c r="D552" s="10"/>
      <c r="E552" s="11" t="str">
        <f>"－"</f>
        <v>－</v>
      </c>
      <c r="F552" s="10"/>
      <c r="G552" s="11" t="str">
        <f>"－"</f>
        <v>－</v>
      </c>
      <c r="H552" s="10"/>
      <c r="I552" s="11" t="str">
        <f>"－"</f>
        <v>－</v>
      </c>
      <c r="J552" s="10"/>
      <c r="K552" s="11" t="n">
        <f>572</f>
        <v>572.0</v>
      </c>
    </row>
    <row r="553">
      <c r="A553" s="8" t="s">
        <v>36</v>
      </c>
      <c r="B553" s="9" t="s">
        <v>85</v>
      </c>
      <c r="C553" s="9" t="s">
        <v>86</v>
      </c>
      <c r="D553" s="10"/>
      <c r="E553" s="11" t="str">
        <f>"－"</f>
        <v>－</v>
      </c>
      <c r="F553" s="10"/>
      <c r="G553" s="11" t="str">
        <f>"－"</f>
        <v>－</v>
      </c>
      <c r="H553" s="10"/>
      <c r="I553" s="11" t="str">
        <f>"－"</f>
        <v>－</v>
      </c>
      <c r="J553" s="10"/>
      <c r="K553" s="11" t="n">
        <f>572</f>
        <v>572.0</v>
      </c>
    </row>
    <row r="554">
      <c r="A554" s="8" t="s">
        <v>37</v>
      </c>
      <c r="B554" s="9" t="s">
        <v>85</v>
      </c>
      <c r="C554" s="9" t="s">
        <v>86</v>
      </c>
      <c r="D554" s="10"/>
      <c r="E554" s="11" t="str">
        <f>"－"</f>
        <v>－</v>
      </c>
      <c r="F554" s="10"/>
      <c r="G554" s="11" t="str">
        <f>"－"</f>
        <v>－</v>
      </c>
      <c r="H554" s="10"/>
      <c r="I554" s="11" t="str">
        <f>"－"</f>
        <v>－</v>
      </c>
      <c r="J554" s="10"/>
      <c r="K554" s="11" t="n">
        <f>572</f>
        <v>572.0</v>
      </c>
    </row>
    <row r="555">
      <c r="A555" s="8" t="s">
        <v>38</v>
      </c>
      <c r="B555" s="9" t="s">
        <v>85</v>
      </c>
      <c r="C555" s="9" t="s">
        <v>86</v>
      </c>
      <c r="D555" s="10"/>
      <c r="E555" s="11" t="str">
        <f>"－"</f>
        <v>－</v>
      </c>
      <c r="F555" s="10"/>
      <c r="G555" s="11" t="str">
        <f>"－"</f>
        <v>－</v>
      </c>
      <c r="H555" s="10"/>
      <c r="I555" s="11" t="str">
        <f>"－"</f>
        <v>－</v>
      </c>
      <c r="J555" s="10"/>
      <c r="K555" s="11" t="n">
        <f>572</f>
        <v>572.0</v>
      </c>
    </row>
    <row r="556">
      <c r="A556" s="8" t="s">
        <v>39</v>
      </c>
      <c r="B556" s="9" t="s">
        <v>85</v>
      </c>
      <c r="C556" s="9" t="s">
        <v>86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40</v>
      </c>
      <c r="B557" s="9" t="s">
        <v>85</v>
      </c>
      <c r="C557" s="9" t="s">
        <v>86</v>
      </c>
      <c r="D557" s="10"/>
      <c r="E557" s="11"/>
      <c r="F557" s="10"/>
      <c r="G557" s="11"/>
      <c r="H557" s="10"/>
      <c r="I557" s="11"/>
      <c r="J557" s="10"/>
      <c r="K557" s="11"/>
    </row>
    <row r="558">
      <c r="A558" s="8" t="s">
        <v>41</v>
      </c>
      <c r="B558" s="9" t="s">
        <v>85</v>
      </c>
      <c r="C558" s="9" t="s">
        <v>86</v>
      </c>
      <c r="D558" s="10"/>
      <c r="E558" s="11" t="str">
        <f>"－"</f>
        <v>－</v>
      </c>
      <c r="F558" s="10"/>
      <c r="G558" s="11" t="str">
        <f>"－"</f>
        <v>－</v>
      </c>
      <c r="H558" s="10"/>
      <c r="I558" s="11" t="str">
        <f>"－"</f>
        <v>－</v>
      </c>
      <c r="J558" s="10"/>
      <c r="K558" s="11" t="n">
        <f>572</f>
        <v>572.0</v>
      </c>
    </row>
    <row r="559">
      <c r="A559" s="8" t="s">
        <v>42</v>
      </c>
      <c r="B559" s="9" t="s">
        <v>85</v>
      </c>
      <c r="C559" s="9" t="s">
        <v>86</v>
      </c>
      <c r="D559" s="10"/>
      <c r="E559" s="11" t="str">
        <f>"－"</f>
        <v>－</v>
      </c>
      <c r="F559" s="10"/>
      <c r="G559" s="11" t="str">
        <f>"－"</f>
        <v>－</v>
      </c>
      <c r="H559" s="10"/>
      <c r="I559" s="11" t="str">
        <f>"－"</f>
        <v>－</v>
      </c>
      <c r="J559" s="10"/>
      <c r="K559" s="11" t="n">
        <f>572</f>
        <v>572.0</v>
      </c>
    </row>
    <row r="560">
      <c r="A560" s="8" t="s">
        <v>43</v>
      </c>
      <c r="B560" s="9" t="s">
        <v>85</v>
      </c>
      <c r="C560" s="9" t="s">
        <v>86</v>
      </c>
      <c r="D560" s="10"/>
      <c r="E560" s="11"/>
      <c r="F560" s="10"/>
      <c r="G560" s="11"/>
      <c r="H560" s="10"/>
      <c r="I560" s="11"/>
      <c r="J560" s="10"/>
      <c r="K560" s="11"/>
    </row>
    <row r="561">
      <c r="A561" s="8" t="s">
        <v>44</v>
      </c>
      <c r="B561" s="9" t="s">
        <v>85</v>
      </c>
      <c r="C561" s="9" t="s">
        <v>86</v>
      </c>
      <c r="D561" s="10"/>
      <c r="E561" s="11" t="str">
        <f>"－"</f>
        <v>－</v>
      </c>
      <c r="F561" s="10"/>
      <c r="G561" s="11" t="str">
        <f>"－"</f>
        <v>－</v>
      </c>
      <c r="H561" s="10"/>
      <c r="I561" s="11" t="str">
        <f>"－"</f>
        <v>－</v>
      </c>
      <c r="J561" s="10"/>
      <c r="K561" s="11" t="n">
        <f>572</f>
        <v>572.0</v>
      </c>
    </row>
    <row r="562">
      <c r="A562" s="8" t="s">
        <v>45</v>
      </c>
      <c r="B562" s="9" t="s">
        <v>85</v>
      </c>
      <c r="C562" s="9" t="s">
        <v>86</v>
      </c>
      <c r="D562" s="10"/>
      <c r="E562" s="11" t="str">
        <f>"－"</f>
        <v>－</v>
      </c>
      <c r="F562" s="10"/>
      <c r="G562" s="11" t="str">
        <f>"－"</f>
        <v>－</v>
      </c>
      <c r="H562" s="10"/>
      <c r="I562" s="11" t="str">
        <f>"－"</f>
        <v>－</v>
      </c>
      <c r="J562" s="10"/>
      <c r="K562" s="11" t="n">
        <f>572</f>
        <v>572.0</v>
      </c>
    </row>
    <row r="563">
      <c r="A563" s="8" t="s">
        <v>46</v>
      </c>
      <c r="B563" s="9" t="s">
        <v>85</v>
      </c>
      <c r="C563" s="9" t="s">
        <v>86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47</v>
      </c>
      <c r="B564" s="9" t="s">
        <v>85</v>
      </c>
      <c r="C564" s="9" t="s">
        <v>86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48</v>
      </c>
      <c r="B565" s="9" t="s">
        <v>85</v>
      </c>
      <c r="C565" s="9" t="s">
        <v>86</v>
      </c>
      <c r="D565" s="10"/>
      <c r="E565" s="11" t="str">
        <f>"－"</f>
        <v>－</v>
      </c>
      <c r="F565" s="10"/>
      <c r="G565" s="11" t="str">
        <f>"－"</f>
        <v>－</v>
      </c>
      <c r="H565" s="10"/>
      <c r="I565" s="11" t="str">
        <f>"－"</f>
        <v>－</v>
      </c>
      <c r="J565" s="10"/>
      <c r="K565" s="11" t="n">
        <f>572</f>
        <v>572.0</v>
      </c>
    </row>
    <row r="566">
      <c r="A566" s="8" t="s">
        <v>16</v>
      </c>
      <c r="B566" s="9" t="s">
        <v>87</v>
      </c>
      <c r="C566" s="9" t="s">
        <v>88</v>
      </c>
      <c r="D566" s="10" t="s">
        <v>21</v>
      </c>
      <c r="E566" s="11" t="str">
        <f>"－"</f>
        <v>－</v>
      </c>
      <c r="F566" s="10" t="s">
        <v>21</v>
      </c>
      <c r="G566" s="11" t="str">
        <f>"－"</f>
        <v>－</v>
      </c>
      <c r="H566" s="10" t="s">
        <v>19</v>
      </c>
      <c r="I566" s="11" t="str">
        <f>"－"</f>
        <v>－</v>
      </c>
      <c r="J566" s="10"/>
      <c r="K566" s="11" t="n">
        <f>440</f>
        <v>440.0</v>
      </c>
    </row>
    <row r="567">
      <c r="A567" s="8" t="s">
        <v>20</v>
      </c>
      <c r="B567" s="9" t="s">
        <v>87</v>
      </c>
      <c r="C567" s="9" t="s">
        <v>88</v>
      </c>
      <c r="D567" s="10"/>
      <c r="E567" s="11" t="str">
        <f>"－"</f>
        <v>－</v>
      </c>
      <c r="F567" s="10"/>
      <c r="G567" s="11" t="str">
        <f>"－"</f>
        <v>－</v>
      </c>
      <c r="H567" s="10"/>
      <c r="I567" s="11" t="str">
        <f>"－"</f>
        <v>－</v>
      </c>
      <c r="J567" s="10" t="s">
        <v>21</v>
      </c>
      <c r="K567" s="11" t="n">
        <f>278</f>
        <v>278.0</v>
      </c>
    </row>
    <row r="568">
      <c r="A568" s="8" t="s">
        <v>22</v>
      </c>
      <c r="B568" s="9" t="s">
        <v>87</v>
      </c>
      <c r="C568" s="9" t="s">
        <v>88</v>
      </c>
      <c r="D568" s="10"/>
      <c r="E568" s="11" t="str">
        <f>"－"</f>
        <v>－</v>
      </c>
      <c r="F568" s="10"/>
      <c r="G568" s="11" t="str">
        <f>"－"</f>
        <v>－</v>
      </c>
      <c r="H568" s="10"/>
      <c r="I568" s="11" t="str">
        <f>"－"</f>
        <v>－</v>
      </c>
      <c r="J568" s="10"/>
      <c r="K568" s="11" t="n">
        <f>278</f>
        <v>278.0</v>
      </c>
    </row>
    <row r="569">
      <c r="A569" s="8" t="s">
        <v>23</v>
      </c>
      <c r="B569" s="9" t="s">
        <v>87</v>
      </c>
      <c r="C569" s="9" t="s">
        <v>88</v>
      </c>
      <c r="D569" s="10"/>
      <c r="E569" s="11" t="str">
        <f>"－"</f>
        <v>－</v>
      </c>
      <c r="F569" s="10"/>
      <c r="G569" s="11" t="str">
        <f>"－"</f>
        <v>－</v>
      </c>
      <c r="H569" s="10"/>
      <c r="I569" s="11" t="str">
        <f>"－"</f>
        <v>－</v>
      </c>
      <c r="J569" s="10"/>
      <c r="K569" s="11" t="n">
        <f>278</f>
        <v>278.0</v>
      </c>
    </row>
    <row r="570">
      <c r="A570" s="8" t="s">
        <v>25</v>
      </c>
      <c r="B570" s="9" t="s">
        <v>87</v>
      </c>
      <c r="C570" s="9" t="s">
        <v>88</v>
      </c>
      <c r="D570" s="10"/>
      <c r="E570" s="11"/>
      <c r="F570" s="10"/>
      <c r="G570" s="11"/>
      <c r="H570" s="10"/>
      <c r="I570" s="11"/>
      <c r="J570" s="10"/>
      <c r="K570" s="11"/>
    </row>
    <row r="571">
      <c r="A571" s="8" t="s">
        <v>26</v>
      </c>
      <c r="B571" s="9" t="s">
        <v>87</v>
      </c>
      <c r="C571" s="9" t="s">
        <v>88</v>
      </c>
      <c r="D571" s="10"/>
      <c r="E571" s="11"/>
      <c r="F571" s="10"/>
      <c r="G571" s="11"/>
      <c r="H571" s="10"/>
      <c r="I571" s="11"/>
      <c r="J571" s="10"/>
      <c r="K571" s="11"/>
    </row>
    <row r="572">
      <c r="A572" s="8" t="s">
        <v>27</v>
      </c>
      <c r="B572" s="9" t="s">
        <v>87</v>
      </c>
      <c r="C572" s="9" t="s">
        <v>88</v>
      </c>
      <c r="D572" s="10"/>
      <c r="E572" s="11" t="str">
        <f>"－"</f>
        <v>－</v>
      </c>
      <c r="F572" s="10"/>
      <c r="G572" s="11" t="str">
        <f>"－"</f>
        <v>－</v>
      </c>
      <c r="H572" s="10"/>
      <c r="I572" s="11" t="str">
        <f>"－"</f>
        <v>－</v>
      </c>
      <c r="J572" s="10"/>
      <c r="K572" s="11" t="n">
        <f>278</f>
        <v>278.0</v>
      </c>
    </row>
    <row r="573">
      <c r="A573" s="8" t="s">
        <v>28</v>
      </c>
      <c r="B573" s="9" t="s">
        <v>87</v>
      </c>
      <c r="C573" s="9" t="s">
        <v>88</v>
      </c>
      <c r="D573" s="10"/>
      <c r="E573" s="11" t="str">
        <f>"－"</f>
        <v>－</v>
      </c>
      <c r="F573" s="10"/>
      <c r="G573" s="11" t="str">
        <f>"－"</f>
        <v>－</v>
      </c>
      <c r="H573" s="10"/>
      <c r="I573" s="11" t="str">
        <f>"－"</f>
        <v>－</v>
      </c>
      <c r="J573" s="10"/>
      <c r="K573" s="11" t="n">
        <f>278</f>
        <v>278.0</v>
      </c>
    </row>
    <row r="574">
      <c r="A574" s="8" t="s">
        <v>29</v>
      </c>
      <c r="B574" s="9" t="s">
        <v>87</v>
      </c>
      <c r="C574" s="9" t="s">
        <v>88</v>
      </c>
      <c r="D574" s="10"/>
      <c r="E574" s="11" t="n">
        <f>6</f>
        <v>6.0</v>
      </c>
      <c r="F574" s="10"/>
      <c r="G574" s="11" t="n">
        <f>2930400</f>
        <v>2930400.0</v>
      </c>
      <c r="H574" s="10"/>
      <c r="I574" s="11" t="str">
        <f>"－"</f>
        <v>－</v>
      </c>
      <c r="J574" s="10"/>
      <c r="K574" s="11" t="n">
        <f>284</f>
        <v>284.0</v>
      </c>
    </row>
    <row r="575">
      <c r="A575" s="8" t="s">
        <v>30</v>
      </c>
      <c r="B575" s="9" t="s">
        <v>87</v>
      </c>
      <c r="C575" s="9" t="s">
        <v>88</v>
      </c>
      <c r="D575" s="10"/>
      <c r="E575" s="11" t="str">
        <f>"－"</f>
        <v>－</v>
      </c>
      <c r="F575" s="10"/>
      <c r="G575" s="11" t="str">
        <f>"－"</f>
        <v>－</v>
      </c>
      <c r="H575" s="10"/>
      <c r="I575" s="11" t="str">
        <f>"－"</f>
        <v>－</v>
      </c>
      <c r="J575" s="10"/>
      <c r="K575" s="11" t="n">
        <f>284</f>
        <v>284.0</v>
      </c>
    </row>
    <row r="576">
      <c r="A576" s="8" t="s">
        <v>31</v>
      </c>
      <c r="B576" s="9" t="s">
        <v>87</v>
      </c>
      <c r="C576" s="9" t="s">
        <v>88</v>
      </c>
      <c r="D576" s="10"/>
      <c r="E576" s="11"/>
      <c r="F576" s="10"/>
      <c r="G576" s="11"/>
      <c r="H576" s="10"/>
      <c r="I576" s="11"/>
      <c r="J576" s="10"/>
      <c r="K576" s="11"/>
    </row>
    <row r="577">
      <c r="A577" s="8" t="s">
        <v>32</v>
      </c>
      <c r="B577" s="9" t="s">
        <v>87</v>
      </c>
      <c r="C577" s="9" t="s">
        <v>88</v>
      </c>
      <c r="D577" s="10"/>
      <c r="E577" s="11"/>
      <c r="F577" s="10"/>
      <c r="G577" s="11"/>
      <c r="H577" s="10"/>
      <c r="I577" s="11"/>
      <c r="J577" s="10"/>
      <c r="K577" s="11"/>
    </row>
    <row r="578">
      <c r="A578" s="8" t="s">
        <v>33</v>
      </c>
      <c r="B578" s="9" t="s">
        <v>87</v>
      </c>
      <c r="C578" s="9" t="s">
        <v>88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34</v>
      </c>
      <c r="B579" s="9" t="s">
        <v>87</v>
      </c>
      <c r="C579" s="9" t="s">
        <v>88</v>
      </c>
      <c r="D579" s="10"/>
      <c r="E579" s="11" t="str">
        <f>"－"</f>
        <v>－</v>
      </c>
      <c r="F579" s="10"/>
      <c r="G579" s="11" t="str">
        <f>"－"</f>
        <v>－</v>
      </c>
      <c r="H579" s="10"/>
      <c r="I579" s="11" t="str">
        <f>"－"</f>
        <v>－</v>
      </c>
      <c r="J579" s="10"/>
      <c r="K579" s="11" t="n">
        <f>284</f>
        <v>284.0</v>
      </c>
    </row>
    <row r="580">
      <c r="A580" s="8" t="s">
        <v>35</v>
      </c>
      <c r="B580" s="9" t="s">
        <v>87</v>
      </c>
      <c r="C580" s="9" t="s">
        <v>88</v>
      </c>
      <c r="D580" s="10"/>
      <c r="E580" s="11" t="n">
        <f>5</f>
        <v>5.0</v>
      </c>
      <c r="F580" s="10"/>
      <c r="G580" s="11" t="n">
        <f>2574000</f>
        <v>2574000.0</v>
      </c>
      <c r="H580" s="10"/>
      <c r="I580" s="11" t="str">
        <f>"－"</f>
        <v>－</v>
      </c>
      <c r="J580" s="10"/>
      <c r="K580" s="11" t="n">
        <f>289</f>
        <v>289.0</v>
      </c>
    </row>
    <row r="581">
      <c r="A581" s="8" t="s">
        <v>36</v>
      </c>
      <c r="B581" s="9" t="s">
        <v>87</v>
      </c>
      <c r="C581" s="9" t="s">
        <v>88</v>
      </c>
      <c r="D581" s="10"/>
      <c r="E581" s="11" t="str">
        <f>"－"</f>
        <v>－</v>
      </c>
      <c r="F581" s="10"/>
      <c r="G581" s="11" t="str">
        <f>"－"</f>
        <v>－</v>
      </c>
      <c r="H581" s="10"/>
      <c r="I581" s="11" t="str">
        <f>"－"</f>
        <v>－</v>
      </c>
      <c r="J581" s="10"/>
      <c r="K581" s="11" t="n">
        <f>289</f>
        <v>289.0</v>
      </c>
    </row>
    <row r="582">
      <c r="A582" s="8" t="s">
        <v>37</v>
      </c>
      <c r="B582" s="9" t="s">
        <v>87</v>
      </c>
      <c r="C582" s="9" t="s">
        <v>88</v>
      </c>
      <c r="D582" s="10"/>
      <c r="E582" s="11" t="str">
        <f>"－"</f>
        <v>－</v>
      </c>
      <c r="F582" s="10"/>
      <c r="G582" s="11" t="str">
        <f>"－"</f>
        <v>－</v>
      </c>
      <c r="H582" s="10"/>
      <c r="I582" s="11" t="str">
        <f>"－"</f>
        <v>－</v>
      </c>
      <c r="J582" s="10"/>
      <c r="K582" s="11" t="n">
        <f>289</f>
        <v>289.0</v>
      </c>
    </row>
    <row r="583">
      <c r="A583" s="8" t="s">
        <v>38</v>
      </c>
      <c r="B583" s="9" t="s">
        <v>87</v>
      </c>
      <c r="C583" s="9" t="s">
        <v>88</v>
      </c>
      <c r="D583" s="10"/>
      <c r="E583" s="11" t="str">
        <f>"－"</f>
        <v>－</v>
      </c>
      <c r="F583" s="10"/>
      <c r="G583" s="11" t="str">
        <f>"－"</f>
        <v>－</v>
      </c>
      <c r="H583" s="10"/>
      <c r="I583" s="11" t="str">
        <f>"－"</f>
        <v>－</v>
      </c>
      <c r="J583" s="10"/>
      <c r="K583" s="11" t="n">
        <f>289</f>
        <v>289.0</v>
      </c>
    </row>
    <row r="584">
      <c r="A584" s="8" t="s">
        <v>39</v>
      </c>
      <c r="B584" s="9" t="s">
        <v>87</v>
      </c>
      <c r="C584" s="9" t="s">
        <v>88</v>
      </c>
      <c r="D584" s="10"/>
      <c r="E584" s="11"/>
      <c r="F584" s="10"/>
      <c r="G584" s="11"/>
      <c r="H584" s="10"/>
      <c r="I584" s="11"/>
      <c r="J584" s="10"/>
      <c r="K584" s="11"/>
    </row>
    <row r="585">
      <c r="A585" s="8" t="s">
        <v>40</v>
      </c>
      <c r="B585" s="9" t="s">
        <v>87</v>
      </c>
      <c r="C585" s="9" t="s">
        <v>88</v>
      </c>
      <c r="D585" s="10"/>
      <c r="E585" s="11"/>
      <c r="F585" s="10"/>
      <c r="G585" s="11"/>
      <c r="H585" s="10"/>
      <c r="I585" s="11"/>
      <c r="J585" s="10"/>
      <c r="K585" s="11"/>
    </row>
    <row r="586">
      <c r="A586" s="8" t="s">
        <v>41</v>
      </c>
      <c r="B586" s="9" t="s">
        <v>87</v>
      </c>
      <c r="C586" s="9" t="s">
        <v>88</v>
      </c>
      <c r="D586" s="10"/>
      <c r="E586" s="11" t="n">
        <f>30</f>
        <v>30.0</v>
      </c>
      <c r="F586" s="10"/>
      <c r="G586" s="11" t="n">
        <f>15048000</f>
        <v>1.5048E7</v>
      </c>
      <c r="H586" s="10"/>
      <c r="I586" s="11" t="str">
        <f>"－"</f>
        <v>－</v>
      </c>
      <c r="J586" s="10"/>
      <c r="K586" s="11" t="n">
        <f>319</f>
        <v>319.0</v>
      </c>
    </row>
    <row r="587">
      <c r="A587" s="8" t="s">
        <v>42</v>
      </c>
      <c r="B587" s="9" t="s">
        <v>87</v>
      </c>
      <c r="C587" s="9" t="s">
        <v>88</v>
      </c>
      <c r="D587" s="10" t="s">
        <v>24</v>
      </c>
      <c r="E587" s="11" t="n">
        <f>300</f>
        <v>300.0</v>
      </c>
      <c r="F587" s="10" t="s">
        <v>24</v>
      </c>
      <c r="G587" s="11" t="n">
        <f>148632000</f>
        <v>1.48632E8</v>
      </c>
      <c r="H587" s="10"/>
      <c r="I587" s="11" t="str">
        <f>"－"</f>
        <v>－</v>
      </c>
      <c r="J587" s="10" t="s">
        <v>24</v>
      </c>
      <c r="K587" s="11" t="n">
        <f>619</f>
        <v>619.0</v>
      </c>
    </row>
    <row r="588">
      <c r="A588" s="8" t="s">
        <v>43</v>
      </c>
      <c r="B588" s="9" t="s">
        <v>87</v>
      </c>
      <c r="C588" s="9" t="s">
        <v>88</v>
      </c>
      <c r="D588" s="10"/>
      <c r="E588" s="11"/>
      <c r="F588" s="10"/>
      <c r="G588" s="11"/>
      <c r="H588" s="10"/>
      <c r="I588" s="11"/>
      <c r="J588" s="10"/>
      <c r="K588" s="11"/>
    </row>
    <row r="589">
      <c r="A589" s="8" t="s">
        <v>44</v>
      </c>
      <c r="B589" s="9" t="s">
        <v>87</v>
      </c>
      <c r="C589" s="9" t="s">
        <v>88</v>
      </c>
      <c r="D589" s="10"/>
      <c r="E589" s="11" t="str">
        <f>"－"</f>
        <v>－</v>
      </c>
      <c r="F589" s="10"/>
      <c r="G589" s="11" t="str">
        <f>"－"</f>
        <v>－</v>
      </c>
      <c r="H589" s="10"/>
      <c r="I589" s="11" t="str">
        <f>"－"</f>
        <v>－</v>
      </c>
      <c r="J589" s="10"/>
      <c r="K589" s="11" t="n">
        <f>619</f>
        <v>619.0</v>
      </c>
    </row>
    <row r="590">
      <c r="A590" s="8" t="s">
        <v>45</v>
      </c>
      <c r="B590" s="9" t="s">
        <v>87</v>
      </c>
      <c r="C590" s="9" t="s">
        <v>88</v>
      </c>
      <c r="D590" s="10"/>
      <c r="E590" s="11" t="str">
        <f>"－"</f>
        <v>－</v>
      </c>
      <c r="F590" s="10"/>
      <c r="G590" s="11" t="str">
        <f>"－"</f>
        <v>－</v>
      </c>
      <c r="H590" s="10"/>
      <c r="I590" s="11" t="str">
        <f>"－"</f>
        <v>－</v>
      </c>
      <c r="J590" s="10"/>
      <c r="K590" s="11" t="n">
        <f>619</f>
        <v>619.0</v>
      </c>
    </row>
    <row r="591">
      <c r="A591" s="8" t="s">
        <v>46</v>
      </c>
      <c r="B591" s="9" t="s">
        <v>87</v>
      </c>
      <c r="C591" s="9" t="s">
        <v>88</v>
      </c>
      <c r="D591" s="10"/>
      <c r="E591" s="11"/>
      <c r="F591" s="10"/>
      <c r="G591" s="11"/>
      <c r="H591" s="10"/>
      <c r="I591" s="11"/>
      <c r="J591" s="10"/>
      <c r="K591" s="11"/>
    </row>
    <row r="592">
      <c r="A592" s="8" t="s">
        <v>47</v>
      </c>
      <c r="B592" s="9" t="s">
        <v>87</v>
      </c>
      <c r="C592" s="9" t="s">
        <v>88</v>
      </c>
      <c r="D592" s="10"/>
      <c r="E592" s="11"/>
      <c r="F592" s="10"/>
      <c r="G592" s="11"/>
      <c r="H592" s="10"/>
      <c r="I592" s="11"/>
      <c r="J592" s="10"/>
      <c r="K592" s="11"/>
    </row>
    <row r="593">
      <c r="A593" s="8" t="s">
        <v>48</v>
      </c>
      <c r="B593" s="9" t="s">
        <v>87</v>
      </c>
      <c r="C593" s="9" t="s">
        <v>88</v>
      </c>
      <c r="D593" s="10"/>
      <c r="E593" s="11" t="str">
        <f>"－"</f>
        <v>－</v>
      </c>
      <c r="F593" s="10"/>
      <c r="G593" s="11" t="str">
        <f>"－"</f>
        <v>－</v>
      </c>
      <c r="H593" s="10"/>
      <c r="I593" s="11" t="str">
        <f>"－"</f>
        <v>－</v>
      </c>
      <c r="J593" s="10"/>
      <c r="K593" s="11" t="n">
        <f>619</f>
        <v>619.0</v>
      </c>
    </row>
    <row r="594">
      <c r="A594" s="8" t="s">
        <v>16</v>
      </c>
      <c r="B594" s="9" t="s">
        <v>89</v>
      </c>
      <c r="C594" s="9" t="s">
        <v>90</v>
      </c>
      <c r="D594" s="10" t="s">
        <v>19</v>
      </c>
      <c r="E594" s="11" t="str">
        <f>"－"</f>
        <v>－</v>
      </c>
      <c r="F594" s="10" t="s">
        <v>19</v>
      </c>
      <c r="G594" s="11" t="str">
        <f>"－"</f>
        <v>－</v>
      </c>
      <c r="H594" s="10" t="s">
        <v>19</v>
      </c>
      <c r="I594" s="11" t="str">
        <f>"－"</f>
        <v>－</v>
      </c>
      <c r="J594" s="10" t="s">
        <v>24</v>
      </c>
      <c r="K594" s="11" t="n">
        <f>85</f>
        <v>85.0</v>
      </c>
    </row>
    <row r="595">
      <c r="A595" s="8" t="s">
        <v>20</v>
      </c>
      <c r="B595" s="9" t="s">
        <v>89</v>
      </c>
      <c r="C595" s="9" t="s">
        <v>90</v>
      </c>
      <c r="D595" s="10"/>
      <c r="E595" s="11" t="str">
        <f>"－"</f>
        <v>－</v>
      </c>
      <c r="F595" s="10"/>
      <c r="G595" s="11" t="str">
        <f>"－"</f>
        <v>－</v>
      </c>
      <c r="H595" s="10"/>
      <c r="I595" s="11" t="str">
        <f>"－"</f>
        <v>－</v>
      </c>
      <c r="J595" s="10" t="s">
        <v>21</v>
      </c>
      <c r="K595" s="11" t="n">
        <f>45</f>
        <v>45.0</v>
      </c>
    </row>
    <row r="596">
      <c r="A596" s="8" t="s">
        <v>22</v>
      </c>
      <c r="B596" s="9" t="s">
        <v>89</v>
      </c>
      <c r="C596" s="9" t="s">
        <v>90</v>
      </c>
      <c r="D596" s="10"/>
      <c r="E596" s="11" t="str">
        <f>"－"</f>
        <v>－</v>
      </c>
      <c r="F596" s="10"/>
      <c r="G596" s="11" t="str">
        <f>"－"</f>
        <v>－</v>
      </c>
      <c r="H596" s="10"/>
      <c r="I596" s="11" t="str">
        <f>"－"</f>
        <v>－</v>
      </c>
      <c r="J596" s="10"/>
      <c r="K596" s="11" t="n">
        <f>45</f>
        <v>45.0</v>
      </c>
    </row>
    <row r="597">
      <c r="A597" s="8" t="s">
        <v>23</v>
      </c>
      <c r="B597" s="9" t="s">
        <v>89</v>
      </c>
      <c r="C597" s="9" t="s">
        <v>90</v>
      </c>
      <c r="D597" s="10"/>
      <c r="E597" s="11" t="str">
        <f>"－"</f>
        <v>－</v>
      </c>
      <c r="F597" s="10"/>
      <c r="G597" s="11" t="str">
        <f>"－"</f>
        <v>－</v>
      </c>
      <c r="H597" s="10"/>
      <c r="I597" s="11" t="str">
        <f>"－"</f>
        <v>－</v>
      </c>
      <c r="J597" s="10"/>
      <c r="K597" s="11" t="n">
        <f>45</f>
        <v>45.0</v>
      </c>
    </row>
    <row r="598">
      <c r="A598" s="8" t="s">
        <v>25</v>
      </c>
      <c r="B598" s="9" t="s">
        <v>89</v>
      </c>
      <c r="C598" s="9" t="s">
        <v>90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26</v>
      </c>
      <c r="B599" s="9" t="s">
        <v>89</v>
      </c>
      <c r="C599" s="9" t="s">
        <v>90</v>
      </c>
      <c r="D599" s="10"/>
      <c r="E599" s="11"/>
      <c r="F599" s="10"/>
      <c r="G599" s="11"/>
      <c r="H599" s="10"/>
      <c r="I599" s="11"/>
      <c r="J599" s="10"/>
      <c r="K599" s="11"/>
    </row>
    <row r="600">
      <c r="A600" s="8" t="s">
        <v>27</v>
      </c>
      <c r="B600" s="9" t="s">
        <v>89</v>
      </c>
      <c r="C600" s="9" t="s">
        <v>90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45</f>
        <v>45.0</v>
      </c>
    </row>
    <row r="601">
      <c r="A601" s="8" t="s">
        <v>28</v>
      </c>
      <c r="B601" s="9" t="s">
        <v>89</v>
      </c>
      <c r="C601" s="9" t="s">
        <v>90</v>
      </c>
      <c r="D601" s="10"/>
      <c r="E601" s="11" t="str">
        <f>"－"</f>
        <v>－</v>
      </c>
      <c r="F601" s="10"/>
      <c r="G601" s="11" t="str">
        <f>"－"</f>
        <v>－</v>
      </c>
      <c r="H601" s="10"/>
      <c r="I601" s="11" t="str">
        <f>"－"</f>
        <v>－</v>
      </c>
      <c r="J601" s="10"/>
      <c r="K601" s="11" t="n">
        <f>45</f>
        <v>45.0</v>
      </c>
    </row>
    <row r="602">
      <c r="A602" s="8" t="s">
        <v>29</v>
      </c>
      <c r="B602" s="9" t="s">
        <v>89</v>
      </c>
      <c r="C602" s="9" t="s">
        <v>90</v>
      </c>
      <c r="D602" s="10"/>
      <c r="E602" s="11" t="str">
        <f>"－"</f>
        <v>－</v>
      </c>
      <c r="F602" s="10"/>
      <c r="G602" s="11" t="str">
        <f>"－"</f>
        <v>－</v>
      </c>
      <c r="H602" s="10"/>
      <c r="I602" s="11" t="str">
        <f>"－"</f>
        <v>－</v>
      </c>
      <c r="J602" s="10"/>
      <c r="K602" s="11" t="n">
        <f>45</f>
        <v>45.0</v>
      </c>
    </row>
    <row r="603">
      <c r="A603" s="8" t="s">
        <v>30</v>
      </c>
      <c r="B603" s="9" t="s">
        <v>89</v>
      </c>
      <c r="C603" s="9" t="s">
        <v>90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45</f>
        <v>45.0</v>
      </c>
    </row>
    <row r="604">
      <c r="A604" s="8" t="s">
        <v>31</v>
      </c>
      <c r="B604" s="9" t="s">
        <v>89</v>
      </c>
      <c r="C604" s="9" t="s">
        <v>90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32</v>
      </c>
      <c r="B605" s="9" t="s">
        <v>89</v>
      </c>
      <c r="C605" s="9" t="s">
        <v>90</v>
      </c>
      <c r="D605" s="10"/>
      <c r="E605" s="11"/>
      <c r="F605" s="10"/>
      <c r="G605" s="11"/>
      <c r="H605" s="10"/>
      <c r="I605" s="11"/>
      <c r="J605" s="10"/>
      <c r="K605" s="11"/>
    </row>
    <row r="606">
      <c r="A606" s="8" t="s">
        <v>33</v>
      </c>
      <c r="B606" s="9" t="s">
        <v>89</v>
      </c>
      <c r="C606" s="9" t="s">
        <v>90</v>
      </c>
      <c r="D606" s="10"/>
      <c r="E606" s="11"/>
      <c r="F606" s="10"/>
      <c r="G606" s="11"/>
      <c r="H606" s="10"/>
      <c r="I606" s="11"/>
      <c r="J606" s="10"/>
      <c r="K606" s="11"/>
    </row>
    <row r="607">
      <c r="A607" s="8" t="s">
        <v>34</v>
      </c>
      <c r="B607" s="9" t="s">
        <v>89</v>
      </c>
      <c r="C607" s="9" t="s">
        <v>90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/>
      <c r="K607" s="11" t="n">
        <f>45</f>
        <v>45.0</v>
      </c>
    </row>
    <row r="608">
      <c r="A608" s="8" t="s">
        <v>35</v>
      </c>
      <c r="B608" s="9" t="s">
        <v>89</v>
      </c>
      <c r="C608" s="9" t="s">
        <v>90</v>
      </c>
      <c r="D608" s="10"/>
      <c r="E608" s="11" t="str">
        <f>"－"</f>
        <v>－</v>
      </c>
      <c r="F608" s="10"/>
      <c r="G608" s="11" t="str">
        <f>"－"</f>
        <v>－</v>
      </c>
      <c r="H608" s="10"/>
      <c r="I608" s="11" t="str">
        <f>"－"</f>
        <v>－</v>
      </c>
      <c r="J608" s="10"/>
      <c r="K608" s="11" t="n">
        <f>45</f>
        <v>45.0</v>
      </c>
    </row>
    <row r="609">
      <c r="A609" s="8" t="s">
        <v>36</v>
      </c>
      <c r="B609" s="9" t="s">
        <v>89</v>
      </c>
      <c r="C609" s="9" t="s">
        <v>90</v>
      </c>
      <c r="D609" s="10"/>
      <c r="E609" s="11" t="str">
        <f>"－"</f>
        <v>－</v>
      </c>
      <c r="F609" s="10"/>
      <c r="G609" s="11" t="str">
        <f>"－"</f>
        <v>－</v>
      </c>
      <c r="H609" s="10"/>
      <c r="I609" s="11" t="str">
        <f>"－"</f>
        <v>－</v>
      </c>
      <c r="J609" s="10"/>
      <c r="K609" s="11" t="n">
        <f>45</f>
        <v>45.0</v>
      </c>
    </row>
    <row r="610">
      <c r="A610" s="8" t="s">
        <v>37</v>
      </c>
      <c r="B610" s="9" t="s">
        <v>89</v>
      </c>
      <c r="C610" s="9" t="s">
        <v>90</v>
      </c>
      <c r="D610" s="10"/>
      <c r="E610" s="11" t="str">
        <f>"－"</f>
        <v>－</v>
      </c>
      <c r="F610" s="10"/>
      <c r="G610" s="11" t="str">
        <f>"－"</f>
        <v>－</v>
      </c>
      <c r="H610" s="10"/>
      <c r="I610" s="11" t="str">
        <f>"－"</f>
        <v>－</v>
      </c>
      <c r="J610" s="10"/>
      <c r="K610" s="11" t="n">
        <f>45</f>
        <v>45.0</v>
      </c>
    </row>
    <row r="611">
      <c r="A611" s="8" t="s">
        <v>38</v>
      </c>
      <c r="B611" s="9" t="s">
        <v>89</v>
      </c>
      <c r="C611" s="9" t="s">
        <v>90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45</f>
        <v>45.0</v>
      </c>
    </row>
    <row r="612">
      <c r="A612" s="8" t="s">
        <v>39</v>
      </c>
      <c r="B612" s="9" t="s">
        <v>89</v>
      </c>
      <c r="C612" s="9" t="s">
        <v>90</v>
      </c>
      <c r="D612" s="10"/>
      <c r="E612" s="11"/>
      <c r="F612" s="10"/>
      <c r="G612" s="11"/>
      <c r="H612" s="10"/>
      <c r="I612" s="11"/>
      <c r="J612" s="10"/>
      <c r="K612" s="11"/>
    </row>
    <row r="613">
      <c r="A613" s="8" t="s">
        <v>40</v>
      </c>
      <c r="B613" s="9" t="s">
        <v>89</v>
      </c>
      <c r="C613" s="9" t="s">
        <v>90</v>
      </c>
      <c r="D613" s="10"/>
      <c r="E613" s="11"/>
      <c r="F613" s="10"/>
      <c r="G613" s="11"/>
      <c r="H613" s="10"/>
      <c r="I613" s="11"/>
      <c r="J613" s="10"/>
      <c r="K613" s="11"/>
    </row>
    <row r="614">
      <c r="A614" s="8" t="s">
        <v>41</v>
      </c>
      <c r="B614" s="9" t="s">
        <v>89</v>
      </c>
      <c r="C614" s="9" t="s">
        <v>90</v>
      </c>
      <c r="D614" s="10"/>
      <c r="E614" s="11" t="str">
        <f>"－"</f>
        <v>－</v>
      </c>
      <c r="F614" s="10"/>
      <c r="G614" s="11" t="str">
        <f>"－"</f>
        <v>－</v>
      </c>
      <c r="H614" s="10"/>
      <c r="I614" s="11" t="str">
        <f>"－"</f>
        <v>－</v>
      </c>
      <c r="J614" s="10"/>
      <c r="K614" s="11" t="n">
        <f>45</f>
        <v>45.0</v>
      </c>
    </row>
    <row r="615">
      <c r="A615" s="8" t="s">
        <v>42</v>
      </c>
      <c r="B615" s="9" t="s">
        <v>89</v>
      </c>
      <c r="C615" s="9" t="s">
        <v>90</v>
      </c>
      <c r="D615" s="10"/>
      <c r="E615" s="11" t="str">
        <f>"－"</f>
        <v>－</v>
      </c>
      <c r="F615" s="10"/>
      <c r="G615" s="11" t="str">
        <f>"－"</f>
        <v>－</v>
      </c>
      <c r="H615" s="10"/>
      <c r="I615" s="11" t="str">
        <f>"－"</f>
        <v>－</v>
      </c>
      <c r="J615" s="10"/>
      <c r="K615" s="11" t="n">
        <f>45</f>
        <v>45.0</v>
      </c>
    </row>
    <row r="616">
      <c r="A616" s="8" t="s">
        <v>43</v>
      </c>
      <c r="B616" s="9" t="s">
        <v>89</v>
      </c>
      <c r="C616" s="9" t="s">
        <v>90</v>
      </c>
      <c r="D616" s="10"/>
      <c r="E616" s="11"/>
      <c r="F616" s="10"/>
      <c r="G616" s="11"/>
      <c r="H616" s="10"/>
      <c r="I616" s="11"/>
      <c r="J616" s="10"/>
      <c r="K616" s="11"/>
    </row>
    <row r="617">
      <c r="A617" s="8" t="s">
        <v>44</v>
      </c>
      <c r="B617" s="9" t="s">
        <v>89</v>
      </c>
      <c r="C617" s="9" t="s">
        <v>90</v>
      </c>
      <c r="D617" s="10"/>
      <c r="E617" s="11" t="str">
        <f>"－"</f>
        <v>－</v>
      </c>
      <c r="F617" s="10"/>
      <c r="G617" s="11" t="str">
        <f>"－"</f>
        <v>－</v>
      </c>
      <c r="H617" s="10"/>
      <c r="I617" s="11" t="str">
        <f>"－"</f>
        <v>－</v>
      </c>
      <c r="J617" s="10"/>
      <c r="K617" s="11" t="n">
        <f>45</f>
        <v>45.0</v>
      </c>
    </row>
    <row r="618">
      <c r="A618" s="8" t="s">
        <v>45</v>
      </c>
      <c r="B618" s="9" t="s">
        <v>89</v>
      </c>
      <c r="C618" s="9" t="s">
        <v>90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 t="n">
        <f>45</f>
        <v>45.0</v>
      </c>
    </row>
    <row r="619">
      <c r="A619" s="8" t="s">
        <v>46</v>
      </c>
      <c r="B619" s="9" t="s">
        <v>89</v>
      </c>
      <c r="C619" s="9" t="s">
        <v>90</v>
      </c>
      <c r="D619" s="10"/>
      <c r="E619" s="11"/>
      <c r="F619" s="10"/>
      <c r="G619" s="11"/>
      <c r="H619" s="10"/>
      <c r="I619" s="11"/>
      <c r="J619" s="10"/>
      <c r="K619" s="11"/>
    </row>
    <row r="620">
      <c r="A620" s="8" t="s">
        <v>47</v>
      </c>
      <c r="B620" s="9" t="s">
        <v>89</v>
      </c>
      <c r="C620" s="9" t="s">
        <v>90</v>
      </c>
      <c r="D620" s="10"/>
      <c r="E620" s="11"/>
      <c r="F620" s="10"/>
      <c r="G620" s="11"/>
      <c r="H620" s="10"/>
      <c r="I620" s="11"/>
      <c r="J620" s="10"/>
      <c r="K620" s="11"/>
    </row>
    <row r="621">
      <c r="A621" s="8" t="s">
        <v>48</v>
      </c>
      <c r="B621" s="9" t="s">
        <v>89</v>
      </c>
      <c r="C621" s="9" t="s">
        <v>90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45</f>
        <v>45.0</v>
      </c>
    </row>
    <row r="622">
      <c r="A622" s="8" t="s">
        <v>16</v>
      </c>
      <c r="B622" s="9" t="s">
        <v>91</v>
      </c>
      <c r="C622" s="9" t="s">
        <v>92</v>
      </c>
      <c r="D622" s="10"/>
      <c r="E622" s="11" t="n">
        <f>12</f>
        <v>12.0</v>
      </c>
      <c r="F622" s="10"/>
      <c r="G622" s="11" t="n">
        <f>9110000</f>
        <v>9110000.0</v>
      </c>
      <c r="H622" s="10" t="s">
        <v>19</v>
      </c>
      <c r="I622" s="11" t="str">
        <f>"－"</f>
        <v>－</v>
      </c>
      <c r="J622" s="10"/>
      <c r="K622" s="11" t="n">
        <f>122</f>
        <v>122.0</v>
      </c>
    </row>
    <row r="623">
      <c r="A623" s="8" t="s">
        <v>20</v>
      </c>
      <c r="B623" s="9" t="s">
        <v>91</v>
      </c>
      <c r="C623" s="9" t="s">
        <v>92</v>
      </c>
      <c r="D623" s="10" t="s">
        <v>21</v>
      </c>
      <c r="E623" s="11" t="str">
        <f>"－"</f>
        <v>－</v>
      </c>
      <c r="F623" s="10" t="s">
        <v>21</v>
      </c>
      <c r="G623" s="11" t="str">
        <f>"－"</f>
        <v>－</v>
      </c>
      <c r="H623" s="10"/>
      <c r="I623" s="11" t="str">
        <f>"－"</f>
        <v>－</v>
      </c>
      <c r="J623" s="10"/>
      <c r="K623" s="11" t="n">
        <f>122</f>
        <v>122.0</v>
      </c>
    </row>
    <row r="624">
      <c r="A624" s="8" t="s">
        <v>22</v>
      </c>
      <c r="B624" s="9" t="s">
        <v>91</v>
      </c>
      <c r="C624" s="9" t="s">
        <v>92</v>
      </c>
      <c r="D624" s="10"/>
      <c r="E624" s="11" t="str">
        <f>"－"</f>
        <v>－</v>
      </c>
      <c r="F624" s="10"/>
      <c r="G624" s="11" t="str">
        <f>"－"</f>
        <v>－</v>
      </c>
      <c r="H624" s="10"/>
      <c r="I624" s="11" t="str">
        <f>"－"</f>
        <v>－</v>
      </c>
      <c r="J624" s="10"/>
      <c r="K624" s="11" t="n">
        <f>122</f>
        <v>122.0</v>
      </c>
    </row>
    <row r="625">
      <c r="A625" s="8" t="s">
        <v>23</v>
      </c>
      <c r="B625" s="9" t="s">
        <v>91</v>
      </c>
      <c r="C625" s="9" t="s">
        <v>92</v>
      </c>
      <c r="D625" s="10"/>
      <c r="E625" s="11" t="n">
        <f>30</f>
        <v>30.0</v>
      </c>
      <c r="F625" s="10"/>
      <c r="G625" s="11" t="n">
        <f>23500000</f>
        <v>2.35E7</v>
      </c>
      <c r="H625" s="10"/>
      <c r="I625" s="11" t="str">
        <f>"－"</f>
        <v>－</v>
      </c>
      <c r="J625" s="10"/>
      <c r="K625" s="11" t="n">
        <f>132</f>
        <v>132.0</v>
      </c>
    </row>
    <row r="626">
      <c r="A626" s="8" t="s">
        <v>25</v>
      </c>
      <c r="B626" s="9" t="s">
        <v>91</v>
      </c>
      <c r="C626" s="9" t="s">
        <v>92</v>
      </c>
      <c r="D626" s="10"/>
      <c r="E626" s="11"/>
      <c r="F626" s="10"/>
      <c r="G626" s="11"/>
      <c r="H626" s="10"/>
      <c r="I626" s="11"/>
      <c r="J626" s="10"/>
      <c r="K626" s="11"/>
    </row>
    <row r="627">
      <c r="A627" s="8" t="s">
        <v>26</v>
      </c>
      <c r="B627" s="9" t="s">
        <v>91</v>
      </c>
      <c r="C627" s="9" t="s">
        <v>92</v>
      </c>
      <c r="D627" s="10"/>
      <c r="E627" s="11"/>
      <c r="F627" s="10"/>
      <c r="G627" s="11"/>
      <c r="H627" s="10"/>
      <c r="I627" s="11"/>
      <c r="J627" s="10"/>
      <c r="K627" s="11"/>
    </row>
    <row r="628">
      <c r="A628" s="8" t="s">
        <v>27</v>
      </c>
      <c r="B628" s="9" t="s">
        <v>91</v>
      </c>
      <c r="C628" s="9" t="s">
        <v>92</v>
      </c>
      <c r="D628" s="10"/>
      <c r="E628" s="11" t="n">
        <f>7</f>
        <v>7.0</v>
      </c>
      <c r="F628" s="10"/>
      <c r="G628" s="11" t="n">
        <f>5516000</f>
        <v>5516000.0</v>
      </c>
      <c r="H628" s="10"/>
      <c r="I628" s="11" t="str">
        <f>"－"</f>
        <v>－</v>
      </c>
      <c r="J628" s="10"/>
      <c r="K628" s="11" t="n">
        <f>132</f>
        <v>132.0</v>
      </c>
    </row>
    <row r="629">
      <c r="A629" s="8" t="s">
        <v>28</v>
      </c>
      <c r="B629" s="9" t="s">
        <v>91</v>
      </c>
      <c r="C629" s="9" t="s">
        <v>92</v>
      </c>
      <c r="D629" s="10"/>
      <c r="E629" s="11" t="str">
        <f>"－"</f>
        <v>－</v>
      </c>
      <c r="F629" s="10"/>
      <c r="G629" s="11" t="str">
        <f>"－"</f>
        <v>－</v>
      </c>
      <c r="H629" s="10"/>
      <c r="I629" s="11" t="str">
        <f>"－"</f>
        <v>－</v>
      </c>
      <c r="J629" s="10"/>
      <c r="K629" s="11" t="n">
        <f>132</f>
        <v>132.0</v>
      </c>
    </row>
    <row r="630">
      <c r="A630" s="8" t="s">
        <v>29</v>
      </c>
      <c r="B630" s="9" t="s">
        <v>91</v>
      </c>
      <c r="C630" s="9" t="s">
        <v>92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132</f>
        <v>132.0</v>
      </c>
    </row>
    <row r="631">
      <c r="A631" s="8" t="s">
        <v>30</v>
      </c>
      <c r="B631" s="9" t="s">
        <v>91</v>
      </c>
      <c r="C631" s="9" t="s">
        <v>92</v>
      </c>
      <c r="D631" s="10"/>
      <c r="E631" s="11" t="n">
        <f>7</f>
        <v>7.0</v>
      </c>
      <c r="F631" s="10"/>
      <c r="G631" s="11" t="n">
        <f>5515000</f>
        <v>5515000.0</v>
      </c>
      <c r="H631" s="10"/>
      <c r="I631" s="11" t="str">
        <f>"－"</f>
        <v>－</v>
      </c>
      <c r="J631" s="10"/>
      <c r="K631" s="11" t="n">
        <f>139</f>
        <v>139.0</v>
      </c>
    </row>
    <row r="632">
      <c r="A632" s="8" t="s">
        <v>31</v>
      </c>
      <c r="B632" s="9" t="s">
        <v>91</v>
      </c>
      <c r="C632" s="9" t="s">
        <v>92</v>
      </c>
      <c r="D632" s="10"/>
      <c r="E632" s="11"/>
      <c r="F632" s="10"/>
      <c r="G632" s="11"/>
      <c r="H632" s="10"/>
      <c r="I632" s="11"/>
      <c r="J632" s="10"/>
      <c r="K632" s="11"/>
    </row>
    <row r="633">
      <c r="A633" s="8" t="s">
        <v>32</v>
      </c>
      <c r="B633" s="9" t="s">
        <v>91</v>
      </c>
      <c r="C633" s="9" t="s">
        <v>92</v>
      </c>
      <c r="D633" s="10"/>
      <c r="E633" s="11"/>
      <c r="F633" s="10"/>
      <c r="G633" s="11"/>
      <c r="H633" s="10"/>
      <c r="I633" s="11"/>
      <c r="J633" s="10"/>
      <c r="K633" s="11"/>
    </row>
    <row r="634">
      <c r="A634" s="8" t="s">
        <v>33</v>
      </c>
      <c r="B634" s="9" t="s">
        <v>91</v>
      </c>
      <c r="C634" s="9" t="s">
        <v>92</v>
      </c>
      <c r="D634" s="10"/>
      <c r="E634" s="11"/>
      <c r="F634" s="10"/>
      <c r="G634" s="11"/>
      <c r="H634" s="10"/>
      <c r="I634" s="11"/>
      <c r="J634" s="10"/>
      <c r="K634" s="11"/>
    </row>
    <row r="635">
      <c r="A635" s="8" t="s">
        <v>34</v>
      </c>
      <c r="B635" s="9" t="s">
        <v>91</v>
      </c>
      <c r="C635" s="9" t="s">
        <v>92</v>
      </c>
      <c r="D635" s="10"/>
      <c r="E635" s="11" t="n">
        <f>5</f>
        <v>5.0</v>
      </c>
      <c r="F635" s="10"/>
      <c r="G635" s="11" t="n">
        <f>4040000</f>
        <v>4040000.0</v>
      </c>
      <c r="H635" s="10"/>
      <c r="I635" s="11" t="str">
        <f>"－"</f>
        <v>－</v>
      </c>
      <c r="J635" s="10"/>
      <c r="K635" s="11" t="n">
        <f>144</f>
        <v>144.0</v>
      </c>
    </row>
    <row r="636">
      <c r="A636" s="8" t="s">
        <v>35</v>
      </c>
      <c r="B636" s="9" t="s">
        <v>91</v>
      </c>
      <c r="C636" s="9" t="s">
        <v>92</v>
      </c>
      <c r="D636" s="10"/>
      <c r="E636" s="11" t="str">
        <f>"－"</f>
        <v>－</v>
      </c>
      <c r="F636" s="10"/>
      <c r="G636" s="11" t="str">
        <f>"－"</f>
        <v>－</v>
      </c>
      <c r="H636" s="10"/>
      <c r="I636" s="11" t="str">
        <f>"－"</f>
        <v>－</v>
      </c>
      <c r="J636" s="10"/>
      <c r="K636" s="11" t="n">
        <f>144</f>
        <v>144.0</v>
      </c>
    </row>
    <row r="637">
      <c r="A637" s="8" t="s">
        <v>36</v>
      </c>
      <c r="B637" s="9" t="s">
        <v>91</v>
      </c>
      <c r="C637" s="9" t="s">
        <v>92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144</f>
        <v>144.0</v>
      </c>
    </row>
    <row r="638">
      <c r="A638" s="8" t="s">
        <v>37</v>
      </c>
      <c r="B638" s="9" t="s">
        <v>91</v>
      </c>
      <c r="C638" s="9" t="s">
        <v>92</v>
      </c>
      <c r="D638" s="10"/>
      <c r="E638" s="11" t="str">
        <f>"－"</f>
        <v>－</v>
      </c>
      <c r="F638" s="10"/>
      <c r="G638" s="11" t="str">
        <f>"－"</f>
        <v>－</v>
      </c>
      <c r="H638" s="10"/>
      <c r="I638" s="11" t="str">
        <f>"－"</f>
        <v>－</v>
      </c>
      <c r="J638" s="10"/>
      <c r="K638" s="11" t="n">
        <f>144</f>
        <v>144.0</v>
      </c>
    </row>
    <row r="639">
      <c r="A639" s="8" t="s">
        <v>38</v>
      </c>
      <c r="B639" s="9" t="s">
        <v>91</v>
      </c>
      <c r="C639" s="9" t="s">
        <v>92</v>
      </c>
      <c r="D639" s="10"/>
      <c r="E639" s="11" t="n">
        <f>47</f>
        <v>47.0</v>
      </c>
      <c r="F639" s="10"/>
      <c r="G639" s="11" t="n">
        <f>37110000</f>
        <v>3.711E7</v>
      </c>
      <c r="H639" s="10"/>
      <c r="I639" s="11" t="str">
        <f>"－"</f>
        <v>－</v>
      </c>
      <c r="J639" s="10"/>
      <c r="K639" s="11" t="n">
        <f>189</f>
        <v>189.0</v>
      </c>
    </row>
    <row r="640">
      <c r="A640" s="8" t="s">
        <v>39</v>
      </c>
      <c r="B640" s="9" t="s">
        <v>91</v>
      </c>
      <c r="C640" s="9" t="s">
        <v>92</v>
      </c>
      <c r="D640" s="10"/>
      <c r="E640" s="11"/>
      <c r="F640" s="10"/>
      <c r="G640" s="11"/>
      <c r="H640" s="10"/>
      <c r="I640" s="11"/>
      <c r="J640" s="10"/>
      <c r="K640" s="11"/>
    </row>
    <row r="641">
      <c r="A641" s="8" t="s">
        <v>40</v>
      </c>
      <c r="B641" s="9" t="s">
        <v>91</v>
      </c>
      <c r="C641" s="9" t="s">
        <v>92</v>
      </c>
      <c r="D641" s="10"/>
      <c r="E641" s="11"/>
      <c r="F641" s="10"/>
      <c r="G641" s="11"/>
      <c r="H641" s="10"/>
      <c r="I641" s="11"/>
      <c r="J641" s="10"/>
      <c r="K641" s="11"/>
    </row>
    <row r="642">
      <c r="A642" s="8" t="s">
        <v>41</v>
      </c>
      <c r="B642" s="9" t="s">
        <v>91</v>
      </c>
      <c r="C642" s="9" t="s">
        <v>92</v>
      </c>
      <c r="D642" s="10"/>
      <c r="E642" s="11" t="n">
        <f>7</f>
        <v>7.0</v>
      </c>
      <c r="F642" s="10"/>
      <c r="G642" s="11" t="n">
        <f>5472000</f>
        <v>5472000.0</v>
      </c>
      <c r="H642" s="10"/>
      <c r="I642" s="11" t="str">
        <f>"－"</f>
        <v>－</v>
      </c>
      <c r="J642" s="10"/>
      <c r="K642" s="11" t="n">
        <f>196</f>
        <v>196.0</v>
      </c>
    </row>
    <row r="643">
      <c r="A643" s="8" t="s">
        <v>42</v>
      </c>
      <c r="B643" s="9" t="s">
        <v>91</v>
      </c>
      <c r="C643" s="9" t="s">
        <v>92</v>
      </c>
      <c r="D643" s="10"/>
      <c r="E643" s="11" t="n">
        <f>34</f>
        <v>34.0</v>
      </c>
      <c r="F643" s="10"/>
      <c r="G643" s="11" t="n">
        <f>26968000</f>
        <v>2.6968E7</v>
      </c>
      <c r="H643" s="10"/>
      <c r="I643" s="11" t="str">
        <f>"－"</f>
        <v>－</v>
      </c>
      <c r="J643" s="10"/>
      <c r="K643" s="11" t="n">
        <f>224</f>
        <v>224.0</v>
      </c>
    </row>
    <row r="644">
      <c r="A644" s="8" t="s">
        <v>43</v>
      </c>
      <c r="B644" s="9" t="s">
        <v>91</v>
      </c>
      <c r="C644" s="9" t="s">
        <v>92</v>
      </c>
      <c r="D644" s="10"/>
      <c r="E644" s="11"/>
      <c r="F644" s="10"/>
      <c r="G644" s="11"/>
      <c r="H644" s="10"/>
      <c r="I644" s="11"/>
      <c r="J644" s="10"/>
      <c r="K644" s="11"/>
    </row>
    <row r="645">
      <c r="A645" s="8" t="s">
        <v>44</v>
      </c>
      <c r="B645" s="9" t="s">
        <v>91</v>
      </c>
      <c r="C645" s="9" t="s">
        <v>92</v>
      </c>
      <c r="D645" s="10"/>
      <c r="E645" s="11" t="n">
        <f>42</f>
        <v>42.0</v>
      </c>
      <c r="F645" s="10"/>
      <c r="G645" s="11" t="n">
        <f>34188000</f>
        <v>3.4188E7</v>
      </c>
      <c r="H645" s="10"/>
      <c r="I645" s="11" t="str">
        <f>"－"</f>
        <v>－</v>
      </c>
      <c r="J645" s="10"/>
      <c r="K645" s="11" t="n">
        <f>255</f>
        <v>255.0</v>
      </c>
    </row>
    <row r="646">
      <c r="A646" s="8" t="s">
        <v>45</v>
      </c>
      <c r="B646" s="9" t="s">
        <v>91</v>
      </c>
      <c r="C646" s="9" t="s">
        <v>92</v>
      </c>
      <c r="D646" s="10" t="s">
        <v>24</v>
      </c>
      <c r="E646" s="11" t="n">
        <f>113</f>
        <v>113.0</v>
      </c>
      <c r="F646" s="10" t="s">
        <v>24</v>
      </c>
      <c r="G646" s="11" t="n">
        <f>92999600</f>
        <v>9.29996E7</v>
      </c>
      <c r="H646" s="10"/>
      <c r="I646" s="11" t="str">
        <f>"－"</f>
        <v>－</v>
      </c>
      <c r="J646" s="10" t="s">
        <v>24</v>
      </c>
      <c r="K646" s="11" t="n">
        <f>311</f>
        <v>311.0</v>
      </c>
    </row>
    <row r="647">
      <c r="A647" s="8" t="s">
        <v>46</v>
      </c>
      <c r="B647" s="9" t="s">
        <v>91</v>
      </c>
      <c r="C647" s="9" t="s">
        <v>92</v>
      </c>
      <c r="D647" s="10"/>
      <c r="E647" s="11"/>
      <c r="F647" s="10"/>
      <c r="G647" s="11"/>
      <c r="H647" s="10"/>
      <c r="I647" s="11"/>
      <c r="J647" s="10"/>
      <c r="K647" s="11"/>
    </row>
    <row r="648">
      <c r="A648" s="8" t="s">
        <v>47</v>
      </c>
      <c r="B648" s="9" t="s">
        <v>91</v>
      </c>
      <c r="C648" s="9" t="s">
        <v>92</v>
      </c>
      <c r="D648" s="10"/>
      <c r="E648" s="11"/>
      <c r="F648" s="10"/>
      <c r="G648" s="11"/>
      <c r="H648" s="10"/>
      <c r="I648" s="11"/>
      <c r="J648" s="10"/>
      <c r="K648" s="11"/>
    </row>
    <row r="649">
      <c r="A649" s="8" t="s">
        <v>48</v>
      </c>
      <c r="B649" s="9" t="s">
        <v>91</v>
      </c>
      <c r="C649" s="9" t="s">
        <v>92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 t="s">
        <v>21</v>
      </c>
      <c r="K649" s="11" t="n">
        <f>13</f>
        <v>13.0</v>
      </c>
    </row>
    <row r="650">
      <c r="A650" s="8" t="s">
        <v>16</v>
      </c>
      <c r="B650" s="9" t="s">
        <v>93</v>
      </c>
      <c r="C650" s="9" t="s">
        <v>94</v>
      </c>
      <c r="D650" s="10"/>
      <c r="E650" s="11" t="n">
        <f>6</f>
        <v>6.0</v>
      </c>
      <c r="F650" s="10"/>
      <c r="G650" s="11" t="n">
        <f>4620000</f>
        <v>4620000.0</v>
      </c>
      <c r="H650" s="10" t="s">
        <v>19</v>
      </c>
      <c r="I650" s="11" t="str">
        <f>"－"</f>
        <v>－</v>
      </c>
      <c r="J650" s="10"/>
      <c r="K650" s="11" t="n">
        <f>35</f>
        <v>35.0</v>
      </c>
    </row>
    <row r="651">
      <c r="A651" s="8" t="s">
        <v>20</v>
      </c>
      <c r="B651" s="9" t="s">
        <v>93</v>
      </c>
      <c r="C651" s="9" t="s">
        <v>94</v>
      </c>
      <c r="D651" s="10"/>
      <c r="E651" s="11" t="n">
        <f>2</f>
        <v>2.0</v>
      </c>
      <c r="F651" s="10"/>
      <c r="G651" s="11" t="n">
        <f>1570000</f>
        <v>1570000.0</v>
      </c>
      <c r="H651" s="10"/>
      <c r="I651" s="11" t="str">
        <f>"－"</f>
        <v>－</v>
      </c>
      <c r="J651" s="10"/>
      <c r="K651" s="11" t="n">
        <f>37</f>
        <v>37.0</v>
      </c>
    </row>
    <row r="652">
      <c r="A652" s="8" t="s">
        <v>22</v>
      </c>
      <c r="B652" s="9" t="s">
        <v>93</v>
      </c>
      <c r="C652" s="9" t="s">
        <v>94</v>
      </c>
      <c r="D652" s="10" t="s">
        <v>21</v>
      </c>
      <c r="E652" s="11" t="str">
        <f>"－"</f>
        <v>－</v>
      </c>
      <c r="F652" s="10" t="s">
        <v>21</v>
      </c>
      <c r="G652" s="11" t="str">
        <f>"－"</f>
        <v>－</v>
      </c>
      <c r="H652" s="10"/>
      <c r="I652" s="11" t="str">
        <f>"－"</f>
        <v>－</v>
      </c>
      <c r="J652" s="10"/>
      <c r="K652" s="11" t="n">
        <f>37</f>
        <v>37.0</v>
      </c>
    </row>
    <row r="653">
      <c r="A653" s="8" t="s">
        <v>23</v>
      </c>
      <c r="B653" s="9" t="s">
        <v>93</v>
      </c>
      <c r="C653" s="9" t="s">
        <v>94</v>
      </c>
      <c r="D653" s="10"/>
      <c r="E653" s="11" t="n">
        <f>3</f>
        <v>3.0</v>
      </c>
      <c r="F653" s="10"/>
      <c r="G653" s="11" t="n">
        <f>2385000</f>
        <v>2385000.0</v>
      </c>
      <c r="H653" s="10"/>
      <c r="I653" s="11" t="str">
        <f>"－"</f>
        <v>－</v>
      </c>
      <c r="J653" s="10"/>
      <c r="K653" s="11" t="n">
        <f>40</f>
        <v>40.0</v>
      </c>
    </row>
    <row r="654">
      <c r="A654" s="8" t="s">
        <v>25</v>
      </c>
      <c r="B654" s="9" t="s">
        <v>93</v>
      </c>
      <c r="C654" s="9" t="s">
        <v>94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26</v>
      </c>
      <c r="B655" s="9" t="s">
        <v>93</v>
      </c>
      <c r="C655" s="9" t="s">
        <v>94</v>
      </c>
      <c r="D655" s="10"/>
      <c r="E655" s="11"/>
      <c r="F655" s="10"/>
      <c r="G655" s="11"/>
      <c r="H655" s="10"/>
      <c r="I655" s="11"/>
      <c r="J655" s="10"/>
      <c r="K655" s="11"/>
    </row>
    <row r="656">
      <c r="A656" s="8" t="s">
        <v>27</v>
      </c>
      <c r="B656" s="9" t="s">
        <v>93</v>
      </c>
      <c r="C656" s="9" t="s">
        <v>94</v>
      </c>
      <c r="D656" s="10"/>
      <c r="E656" s="11" t="n">
        <f>5</f>
        <v>5.0</v>
      </c>
      <c r="F656" s="10"/>
      <c r="G656" s="11" t="n">
        <f>4050000</f>
        <v>4050000.0</v>
      </c>
      <c r="H656" s="10"/>
      <c r="I656" s="11" t="str">
        <f>"－"</f>
        <v>－</v>
      </c>
      <c r="J656" s="10"/>
      <c r="K656" s="11" t="n">
        <f>45</f>
        <v>45.0</v>
      </c>
    </row>
    <row r="657">
      <c r="A657" s="8" t="s">
        <v>28</v>
      </c>
      <c r="B657" s="9" t="s">
        <v>93</v>
      </c>
      <c r="C657" s="9" t="s">
        <v>94</v>
      </c>
      <c r="D657" s="10"/>
      <c r="E657" s="11" t="str">
        <f>"－"</f>
        <v>－</v>
      </c>
      <c r="F657" s="10"/>
      <c r="G657" s="11" t="str">
        <f>"－"</f>
        <v>－</v>
      </c>
      <c r="H657" s="10"/>
      <c r="I657" s="11" t="str">
        <f>"－"</f>
        <v>－</v>
      </c>
      <c r="J657" s="10"/>
      <c r="K657" s="11" t="n">
        <f>45</f>
        <v>45.0</v>
      </c>
    </row>
    <row r="658">
      <c r="A658" s="8" t="s">
        <v>29</v>
      </c>
      <c r="B658" s="9" t="s">
        <v>93</v>
      </c>
      <c r="C658" s="9" t="s">
        <v>94</v>
      </c>
      <c r="D658" s="10"/>
      <c r="E658" s="11" t="n">
        <f>1</f>
        <v>1.0</v>
      </c>
      <c r="F658" s="10"/>
      <c r="G658" s="11" t="n">
        <f>808000</f>
        <v>808000.0</v>
      </c>
      <c r="H658" s="10"/>
      <c r="I658" s="11" t="str">
        <f>"－"</f>
        <v>－</v>
      </c>
      <c r="J658" s="10"/>
      <c r="K658" s="11" t="n">
        <f>46</f>
        <v>46.0</v>
      </c>
    </row>
    <row r="659">
      <c r="A659" s="8" t="s">
        <v>30</v>
      </c>
      <c r="B659" s="9" t="s">
        <v>93</v>
      </c>
      <c r="C659" s="9" t="s">
        <v>94</v>
      </c>
      <c r="D659" s="10"/>
      <c r="E659" s="11" t="n">
        <f>2</f>
        <v>2.0</v>
      </c>
      <c r="F659" s="10"/>
      <c r="G659" s="11" t="n">
        <f>1610000</f>
        <v>1610000.0</v>
      </c>
      <c r="H659" s="10"/>
      <c r="I659" s="11" t="str">
        <f>"－"</f>
        <v>－</v>
      </c>
      <c r="J659" s="10"/>
      <c r="K659" s="11" t="n">
        <f>48</f>
        <v>48.0</v>
      </c>
    </row>
    <row r="660">
      <c r="A660" s="8" t="s">
        <v>31</v>
      </c>
      <c r="B660" s="9" t="s">
        <v>93</v>
      </c>
      <c r="C660" s="9" t="s">
        <v>94</v>
      </c>
      <c r="D660" s="10"/>
      <c r="E660" s="11"/>
      <c r="F660" s="10"/>
      <c r="G660" s="11"/>
      <c r="H660" s="10"/>
      <c r="I660" s="11"/>
      <c r="J660" s="10"/>
      <c r="K660" s="11"/>
    </row>
    <row r="661">
      <c r="A661" s="8" t="s">
        <v>32</v>
      </c>
      <c r="B661" s="9" t="s">
        <v>93</v>
      </c>
      <c r="C661" s="9" t="s">
        <v>94</v>
      </c>
      <c r="D661" s="10"/>
      <c r="E661" s="11"/>
      <c r="F661" s="10"/>
      <c r="G661" s="11"/>
      <c r="H661" s="10"/>
      <c r="I661" s="11"/>
      <c r="J661" s="10"/>
      <c r="K661" s="11"/>
    </row>
    <row r="662">
      <c r="A662" s="8" t="s">
        <v>33</v>
      </c>
      <c r="B662" s="9" t="s">
        <v>93</v>
      </c>
      <c r="C662" s="9" t="s">
        <v>94</v>
      </c>
      <c r="D662" s="10"/>
      <c r="E662" s="11"/>
      <c r="F662" s="10"/>
      <c r="G662" s="11"/>
      <c r="H662" s="10"/>
      <c r="I662" s="11"/>
      <c r="J662" s="10"/>
      <c r="K662" s="11"/>
    </row>
    <row r="663">
      <c r="A663" s="8" t="s">
        <v>34</v>
      </c>
      <c r="B663" s="9" t="s">
        <v>93</v>
      </c>
      <c r="C663" s="9" t="s">
        <v>94</v>
      </c>
      <c r="D663" s="10"/>
      <c r="E663" s="11" t="n">
        <f>7</f>
        <v>7.0</v>
      </c>
      <c r="F663" s="10"/>
      <c r="G663" s="11" t="n">
        <f>5725000</f>
        <v>5725000.0</v>
      </c>
      <c r="H663" s="10"/>
      <c r="I663" s="11" t="str">
        <f>"－"</f>
        <v>－</v>
      </c>
      <c r="J663" s="10"/>
      <c r="K663" s="11" t="n">
        <f>53</f>
        <v>53.0</v>
      </c>
    </row>
    <row r="664">
      <c r="A664" s="8" t="s">
        <v>35</v>
      </c>
      <c r="B664" s="9" t="s">
        <v>93</v>
      </c>
      <c r="C664" s="9" t="s">
        <v>94</v>
      </c>
      <c r="D664" s="10"/>
      <c r="E664" s="11" t="n">
        <f>6</f>
        <v>6.0</v>
      </c>
      <c r="F664" s="10"/>
      <c r="G664" s="11" t="n">
        <f>4955000</f>
        <v>4955000.0</v>
      </c>
      <c r="H664" s="10"/>
      <c r="I664" s="11" t="str">
        <f>"－"</f>
        <v>－</v>
      </c>
      <c r="J664" s="10"/>
      <c r="K664" s="11" t="n">
        <f>55</f>
        <v>55.0</v>
      </c>
    </row>
    <row r="665">
      <c r="A665" s="8" t="s">
        <v>36</v>
      </c>
      <c r="B665" s="9" t="s">
        <v>93</v>
      </c>
      <c r="C665" s="9" t="s">
        <v>94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55</f>
        <v>55.0</v>
      </c>
    </row>
    <row r="666">
      <c r="A666" s="8" t="s">
        <v>37</v>
      </c>
      <c r="B666" s="9" t="s">
        <v>93</v>
      </c>
      <c r="C666" s="9" t="s">
        <v>94</v>
      </c>
      <c r="D666" s="10"/>
      <c r="E666" s="11" t="str">
        <f>"－"</f>
        <v>－</v>
      </c>
      <c r="F666" s="10"/>
      <c r="G666" s="11" t="str">
        <f>"－"</f>
        <v>－</v>
      </c>
      <c r="H666" s="10"/>
      <c r="I666" s="11" t="str">
        <f>"－"</f>
        <v>－</v>
      </c>
      <c r="J666" s="10"/>
      <c r="K666" s="11" t="n">
        <f>55</f>
        <v>55.0</v>
      </c>
    </row>
    <row r="667">
      <c r="A667" s="8" t="s">
        <v>38</v>
      </c>
      <c r="B667" s="9" t="s">
        <v>93</v>
      </c>
      <c r="C667" s="9" t="s">
        <v>94</v>
      </c>
      <c r="D667" s="10"/>
      <c r="E667" s="11" t="n">
        <f>17</f>
        <v>17.0</v>
      </c>
      <c r="F667" s="10"/>
      <c r="G667" s="11" t="n">
        <f>13600000</f>
        <v>1.36E7</v>
      </c>
      <c r="H667" s="10"/>
      <c r="I667" s="11" t="str">
        <f>"－"</f>
        <v>－</v>
      </c>
      <c r="J667" s="10"/>
      <c r="K667" s="11" t="n">
        <f>67</f>
        <v>67.0</v>
      </c>
    </row>
    <row r="668">
      <c r="A668" s="8" t="s">
        <v>39</v>
      </c>
      <c r="B668" s="9" t="s">
        <v>93</v>
      </c>
      <c r="C668" s="9" t="s">
        <v>94</v>
      </c>
      <c r="D668" s="10"/>
      <c r="E668" s="11"/>
      <c r="F668" s="10"/>
      <c r="G668" s="11"/>
      <c r="H668" s="10"/>
      <c r="I668" s="11"/>
      <c r="J668" s="10"/>
      <c r="K668" s="11"/>
    </row>
    <row r="669">
      <c r="A669" s="8" t="s">
        <v>40</v>
      </c>
      <c r="B669" s="9" t="s">
        <v>93</v>
      </c>
      <c r="C669" s="9" t="s">
        <v>94</v>
      </c>
      <c r="D669" s="10"/>
      <c r="E669" s="11"/>
      <c r="F669" s="10"/>
      <c r="G669" s="11"/>
      <c r="H669" s="10"/>
      <c r="I669" s="11"/>
      <c r="J669" s="10"/>
      <c r="K669" s="11"/>
    </row>
    <row r="670">
      <c r="A670" s="8" t="s">
        <v>41</v>
      </c>
      <c r="B670" s="9" t="s">
        <v>93</v>
      </c>
      <c r="C670" s="9" t="s">
        <v>94</v>
      </c>
      <c r="D670" s="10"/>
      <c r="E670" s="11" t="n">
        <f>7</f>
        <v>7.0</v>
      </c>
      <c r="F670" s="10"/>
      <c r="G670" s="11" t="n">
        <f>5610000</f>
        <v>5610000.0</v>
      </c>
      <c r="H670" s="10"/>
      <c r="I670" s="11" t="str">
        <f>"－"</f>
        <v>－</v>
      </c>
      <c r="J670" s="10"/>
      <c r="K670" s="11" t="n">
        <f>74</f>
        <v>74.0</v>
      </c>
    </row>
    <row r="671">
      <c r="A671" s="8" t="s">
        <v>42</v>
      </c>
      <c r="B671" s="9" t="s">
        <v>93</v>
      </c>
      <c r="C671" s="9" t="s">
        <v>94</v>
      </c>
      <c r="D671" s="10"/>
      <c r="E671" s="11" t="n">
        <f>3</f>
        <v>3.0</v>
      </c>
      <c r="F671" s="10"/>
      <c r="G671" s="11" t="n">
        <f>2473000</f>
        <v>2473000.0</v>
      </c>
      <c r="H671" s="10"/>
      <c r="I671" s="11" t="str">
        <f>"－"</f>
        <v>－</v>
      </c>
      <c r="J671" s="10"/>
      <c r="K671" s="11" t="n">
        <f>77</f>
        <v>77.0</v>
      </c>
    </row>
    <row r="672">
      <c r="A672" s="8" t="s">
        <v>43</v>
      </c>
      <c r="B672" s="9" t="s">
        <v>93</v>
      </c>
      <c r="C672" s="9" t="s">
        <v>94</v>
      </c>
      <c r="D672" s="10"/>
      <c r="E672" s="11"/>
      <c r="F672" s="10"/>
      <c r="G672" s="11"/>
      <c r="H672" s="10"/>
      <c r="I672" s="11"/>
      <c r="J672" s="10"/>
      <c r="K672" s="11"/>
    </row>
    <row r="673">
      <c r="A673" s="8" t="s">
        <v>44</v>
      </c>
      <c r="B673" s="9" t="s">
        <v>93</v>
      </c>
      <c r="C673" s="9" t="s">
        <v>94</v>
      </c>
      <c r="D673" s="10"/>
      <c r="E673" s="11" t="n">
        <f>40</f>
        <v>40.0</v>
      </c>
      <c r="F673" s="10"/>
      <c r="G673" s="11" t="n">
        <f>33540000</f>
        <v>3.354E7</v>
      </c>
      <c r="H673" s="10"/>
      <c r="I673" s="11" t="str">
        <f>"－"</f>
        <v>－</v>
      </c>
      <c r="J673" s="10"/>
      <c r="K673" s="11" t="n">
        <f>117</f>
        <v>117.0</v>
      </c>
    </row>
    <row r="674">
      <c r="A674" s="8" t="s">
        <v>45</v>
      </c>
      <c r="B674" s="9" t="s">
        <v>93</v>
      </c>
      <c r="C674" s="9" t="s">
        <v>94</v>
      </c>
      <c r="D674" s="10" t="s">
        <v>24</v>
      </c>
      <c r="E674" s="11" t="n">
        <f>120</f>
        <v>120.0</v>
      </c>
      <c r="F674" s="10" t="s">
        <v>24</v>
      </c>
      <c r="G674" s="11" t="n">
        <f>100313200</f>
        <v>1.003132E8</v>
      </c>
      <c r="H674" s="10"/>
      <c r="I674" s="11" t="str">
        <f>"－"</f>
        <v>－</v>
      </c>
      <c r="J674" s="10" t="s">
        <v>24</v>
      </c>
      <c r="K674" s="11" t="n">
        <f>220</f>
        <v>220.0</v>
      </c>
    </row>
    <row r="675">
      <c r="A675" s="8" t="s">
        <v>46</v>
      </c>
      <c r="B675" s="9" t="s">
        <v>93</v>
      </c>
      <c r="C675" s="9" t="s">
        <v>94</v>
      </c>
      <c r="D675" s="10"/>
      <c r="E675" s="11"/>
      <c r="F675" s="10"/>
      <c r="G675" s="11"/>
      <c r="H675" s="10"/>
      <c r="I675" s="11"/>
      <c r="J675" s="10"/>
      <c r="K675" s="11"/>
    </row>
    <row r="676">
      <c r="A676" s="8" t="s">
        <v>47</v>
      </c>
      <c r="B676" s="9" t="s">
        <v>93</v>
      </c>
      <c r="C676" s="9" t="s">
        <v>94</v>
      </c>
      <c r="D676" s="10"/>
      <c r="E676" s="11"/>
      <c r="F676" s="10"/>
      <c r="G676" s="11"/>
      <c r="H676" s="10"/>
      <c r="I676" s="11"/>
      <c r="J676" s="10"/>
      <c r="K676" s="11"/>
    </row>
    <row r="677">
      <c r="A677" s="8" t="s">
        <v>48</v>
      </c>
      <c r="B677" s="9" t="s">
        <v>93</v>
      </c>
      <c r="C677" s="9" t="s">
        <v>94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 t="s">
        <v>21</v>
      </c>
      <c r="K677" s="11" t="n">
        <f>8</f>
        <v>8.0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