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<sst xmlns="http://schemas.openxmlformats.org/spreadsheetml/2006/main" count="1462" uniqueCount="79">
  <si>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</si>
  <si>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</si>
  <si>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</si>
  <si>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</si>
  <si>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</si>
  <si>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</si>
  <si>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</si>
  <si>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</si>
  <si>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</si>
  <si>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</si>
  <si>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</si>
  <si>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</si>
  <si>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</si>
  <si>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</si>
  <si>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</si>
  <si>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</si>
  <si>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2.1</t>
  </si>
  <si>
    <t>日経225先物</t>
  </si>
  <si>
    <t>Nikkei 225 Futures</t>
  </si>
  <si>
    <t>2</t>
  </si>
  <si>
    <t>3</t>
  </si>
  <si>
    <t>4</t>
  </si>
  <si>
    <t>5</t>
  </si>
  <si>
    <t>6</t>
  </si>
  <si>
    <t>7</t>
  </si>
  <si>
    <t>8</t>
  </si>
  <si>
    <t>●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</si>
  <si>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</si>
  <si>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</si>
  <si>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</si>
  <si>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</si>
  <si>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</si>
  <si>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</si>
  <si>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</si>
  <si>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</si>
  <si>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</si>
  <si>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</si>
  <si>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</si>
  <si>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</si>
  <si>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</si>
  <si>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</si>
  <si>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</si>
  <si>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</si>
  <si>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◎</t>
  </si>
  <si>
    <t>25</t>
  </si>
  <si>
    <t>26</t>
  </si>
  <si>
    <t>27</t>
  </si>
  <si>
    <t>28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</si>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</sst>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453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64831</f>
        <v>64831.0</v>
      </c>
      <c r="F6" s="10"/>
      <c r="G6" s="2" t="n">
        <f>1757576149660</f>
        <v>1.75757614966E12</v>
      </c>
      <c r="H6" s="10"/>
      <c r="I6" s="2" t="n">
        <f>9500</f>
        <v>9500.0</v>
      </c>
      <c r="J6" s="10"/>
      <c r="K6" s="2" t="n">
        <f>299625</f>
        <v>299625.0</v>
      </c>
    </row>
    <row r="7">
      <c r="A7" s="8" t="s">
        <v>19</v>
      </c>
      <c r="B7" s="9" t="s">
        <v>17</v>
      </c>
      <c r="C7" s="9" t="s">
        <v>18</v>
      </c>
      <c r="D7" s="10"/>
      <c r="E7" s="2" t="n">
        <f>60639</f>
        <v>60639.0</v>
      </c>
      <c r="F7" s="10"/>
      <c r="G7" s="2" t="n">
        <f>1656909965550</f>
        <v>1.65690996555E12</v>
      </c>
      <c r="H7" s="10"/>
      <c r="I7" s="2" t="n">
        <f>10840</f>
        <v>10840.0</v>
      </c>
      <c r="J7" s="10"/>
      <c r="K7" s="2" t="n">
        <f>300247</f>
        <v>300247.0</v>
      </c>
    </row>
    <row r="8">
      <c r="A8" s="8" t="s">
        <v>20</v>
      </c>
      <c r="B8" s="9" t="s">
        <v>17</v>
      </c>
      <c r="C8" s="9" t="s">
        <v>18</v>
      </c>
      <c r="D8" s="10"/>
      <c r="E8" s="2" t="n">
        <f>51114</f>
        <v>51114.0</v>
      </c>
      <c r="F8" s="10"/>
      <c r="G8" s="2" t="n">
        <f>1395051550690</f>
        <v>1.39505155069E12</v>
      </c>
      <c r="H8" s="10"/>
      <c r="I8" s="2" t="n">
        <f>7790</f>
        <v>7790.0</v>
      </c>
      <c r="J8" s="10"/>
      <c r="K8" s="2" t="n">
        <f>301939</f>
        <v>301939.0</v>
      </c>
    </row>
    <row r="9">
      <c r="A9" s="8" t="s">
        <v>21</v>
      </c>
      <c r="B9" s="9" t="s">
        <v>17</v>
      </c>
      <c r="C9" s="9" t="s">
        <v>18</v>
      </c>
      <c r="D9" s="10"/>
      <c r="E9" s="2" t="n">
        <f>59737</f>
        <v>59737.0</v>
      </c>
      <c r="F9" s="10"/>
      <c r="G9" s="2" t="n">
        <f>1625748966280</f>
        <v>1.62574896628E12</v>
      </c>
      <c r="H9" s="10"/>
      <c r="I9" s="2" t="n">
        <f>7849</f>
        <v>7849.0</v>
      </c>
      <c r="J9" s="10"/>
      <c r="K9" s="2" t="n">
        <f>302172</f>
        <v>302172.0</v>
      </c>
    </row>
    <row r="10">
      <c r="A10" s="8" t="s">
        <v>22</v>
      </c>
      <c r="B10" s="9" t="s">
        <v>17</v>
      </c>
      <c r="C10" s="9" t="s">
        <v>18</v>
      </c>
      <c r="D10" s="10"/>
      <c r="E10" s="2"/>
      <c r="F10" s="10"/>
      <c r="G10" s="2"/>
      <c r="H10" s="10"/>
      <c r="I10" s="2"/>
      <c r="J10" s="10"/>
      <c r="K10" s="2"/>
    </row>
    <row r="11">
      <c r="A11" s="8" t="s">
        <v>23</v>
      </c>
      <c r="B11" s="9" t="s">
        <v>17</v>
      </c>
      <c r="C11" s="9" t="s">
        <v>18</v>
      </c>
      <c r="D11" s="10"/>
      <c r="E11" s="2"/>
      <c r="F11" s="10"/>
      <c r="G11" s="2"/>
      <c r="H11" s="10"/>
      <c r="I11" s="2"/>
      <c r="J11" s="10"/>
      <c r="K11" s="2"/>
    </row>
    <row r="12">
      <c r="A12" s="8" t="s">
        <v>24</v>
      </c>
      <c r="B12" s="9" t="s">
        <v>17</v>
      </c>
      <c r="C12" s="9" t="s">
        <v>18</v>
      </c>
      <c r="D12" s="10"/>
      <c r="E12" s="2" t="n">
        <f>56271</f>
        <v>56271.0</v>
      </c>
      <c r="F12" s="10"/>
      <c r="G12" s="2" t="n">
        <f>1531510862610</f>
        <v>1.53151086261E12</v>
      </c>
      <c r="H12" s="10"/>
      <c r="I12" s="2" t="n">
        <f>6148</f>
        <v>6148.0</v>
      </c>
      <c r="J12" s="10"/>
      <c r="K12" s="2" t="n">
        <f>303736</f>
        <v>303736.0</v>
      </c>
    </row>
    <row r="13">
      <c r="A13" s="8" t="s">
        <v>25</v>
      </c>
      <c r="B13" s="9" t="s">
        <v>17</v>
      </c>
      <c r="C13" s="9" t="s">
        <v>18</v>
      </c>
      <c r="D13" s="10" t="s">
        <v>26</v>
      </c>
      <c r="E13" s="2" t="n">
        <f>50535</f>
        <v>50535.0</v>
      </c>
      <c r="F13" s="10" t="s">
        <v>26</v>
      </c>
      <c r="G13" s="2" t="n">
        <f>1378001712850</f>
        <v>1.37800171285E12</v>
      </c>
      <c r="H13" s="10" t="s">
        <v>26</v>
      </c>
      <c r="I13" s="2" t="n">
        <f>5127</f>
        <v>5127.0</v>
      </c>
      <c r="J13" s="10"/>
      <c r="K13" s="2" t="n">
        <f>302776</f>
        <v>302776.0</v>
      </c>
    </row>
    <row r="14">
      <c r="A14" s="8" t="s">
        <v>27</v>
      </c>
      <c r="B14" s="9" t="s">
        <v>17</v>
      </c>
      <c r="C14" s="9" t="s">
        <v>18</v>
      </c>
      <c r="D14" s="10"/>
      <c r="E14" s="2" t="n">
        <f>65697</f>
        <v>65697.0</v>
      </c>
      <c r="F14" s="10"/>
      <c r="G14" s="2" t="n">
        <f>1803478952135</f>
        <v>1.803478952135E12</v>
      </c>
      <c r="H14" s="10"/>
      <c r="I14" s="2" t="n">
        <f>8683</f>
        <v>8683.0</v>
      </c>
      <c r="J14" s="10"/>
      <c r="K14" s="2" t="n">
        <f>296659</f>
        <v>296659.0</v>
      </c>
    </row>
    <row r="15">
      <c r="A15" s="8" t="s">
        <v>28</v>
      </c>
      <c r="B15" s="9" t="s">
        <v>17</v>
      </c>
      <c r="C15" s="9" t="s">
        <v>18</v>
      </c>
      <c r="D15" s="10"/>
      <c r="E15" s="2" t="n">
        <f>58139</f>
        <v>58139.0</v>
      </c>
      <c r="F15" s="10"/>
      <c r="G15" s="2" t="n">
        <f>1609739517805</f>
        <v>1.609739517805E12</v>
      </c>
      <c r="H15" s="10"/>
      <c r="I15" s="2" t="n">
        <f>9573</f>
        <v>9573.0</v>
      </c>
      <c r="J15" s="10" t="s">
        <v>26</v>
      </c>
      <c r="K15" s="2" t="n">
        <f>293523</f>
        <v>293523.0</v>
      </c>
    </row>
    <row r="16">
      <c r="A16" s="8" t="s">
        <v>29</v>
      </c>
      <c r="B16" s="9" t="s">
        <v>17</v>
      </c>
      <c r="C16" s="9" t="s">
        <v>18</v>
      </c>
      <c r="D16" s="10"/>
      <c r="E16" s="2"/>
      <c r="F16" s="10"/>
      <c r="G16" s="2"/>
      <c r="H16" s="10"/>
      <c r="I16" s="2"/>
      <c r="J16" s="10"/>
      <c r="K16" s="2"/>
    </row>
    <row r="17">
      <c r="A17" s="8" t="s">
        <v>30</v>
      </c>
      <c r="B17" s="9" t="s">
        <v>17</v>
      </c>
      <c r="C17" s="9" t="s">
        <v>18</v>
      </c>
      <c r="D17" s="10"/>
      <c r="E17" s="2"/>
      <c r="F17" s="10"/>
      <c r="G17" s="2"/>
      <c r="H17" s="10"/>
      <c r="I17" s="2"/>
      <c r="J17" s="10"/>
      <c r="K17" s="2"/>
    </row>
    <row r="18">
      <c r="A18" s="8" t="s">
        <v>31</v>
      </c>
      <c r="B18" s="9" t="s">
        <v>17</v>
      </c>
      <c r="C18" s="9" t="s">
        <v>18</v>
      </c>
      <c r="D18" s="10"/>
      <c r="E18" s="2"/>
      <c r="F18" s="10"/>
      <c r="G18" s="2"/>
      <c r="H18" s="10"/>
      <c r="I18" s="2"/>
      <c r="J18" s="10"/>
      <c r="K18" s="2"/>
    </row>
    <row r="19">
      <c r="A19" s="8" t="s">
        <v>32</v>
      </c>
      <c r="B19" s="9" t="s">
        <v>17</v>
      </c>
      <c r="C19" s="9" t="s">
        <v>18</v>
      </c>
      <c r="D19" s="10"/>
      <c r="E19" s="2" t="n">
        <f>81275</f>
        <v>81275.0</v>
      </c>
      <c r="F19" s="10"/>
      <c r="G19" s="2" t="n">
        <f>2213742373460</f>
        <v>2.21374237346E12</v>
      </c>
      <c r="H19" s="10"/>
      <c r="I19" s="2" t="n">
        <f>13677</f>
        <v>13677.0</v>
      </c>
      <c r="J19" s="10"/>
      <c r="K19" s="2" t="n">
        <f>294081</f>
        <v>294081.0</v>
      </c>
    </row>
    <row r="20">
      <c r="A20" s="8" t="s">
        <v>33</v>
      </c>
      <c r="B20" s="9" t="s">
        <v>17</v>
      </c>
      <c r="C20" s="9" t="s">
        <v>18</v>
      </c>
      <c r="D20" s="10"/>
      <c r="E20" s="2" t="n">
        <f>76575</f>
        <v>76575.0</v>
      </c>
      <c r="F20" s="10"/>
      <c r="G20" s="2" t="n">
        <f>2061107798790</f>
        <v>2.06110779879E12</v>
      </c>
      <c r="H20" s="10"/>
      <c r="I20" s="2" t="n">
        <f>10628</f>
        <v>10628.0</v>
      </c>
      <c r="J20" s="10"/>
      <c r="K20" s="2" t="n">
        <f>298475</f>
        <v>298475.0</v>
      </c>
    </row>
    <row r="21">
      <c r="A21" s="8" t="s">
        <v>34</v>
      </c>
      <c r="B21" s="9" t="s">
        <v>17</v>
      </c>
      <c r="C21" s="9" t="s">
        <v>18</v>
      </c>
      <c r="D21" s="10"/>
      <c r="E21" s="2" t="n">
        <f>66026</f>
        <v>66026.0</v>
      </c>
      <c r="F21" s="10"/>
      <c r="G21" s="2" t="n">
        <f>1802022615180</f>
        <v>1.80202261518E12</v>
      </c>
      <c r="H21" s="10"/>
      <c r="I21" s="2" t="n">
        <f>8164</f>
        <v>8164.0</v>
      </c>
      <c r="J21" s="10"/>
      <c r="K21" s="2" t="n">
        <f>298764</f>
        <v>298764.0</v>
      </c>
    </row>
    <row r="22">
      <c r="A22" s="8" t="s">
        <v>35</v>
      </c>
      <c r="B22" s="9" t="s">
        <v>17</v>
      </c>
      <c r="C22" s="9" t="s">
        <v>18</v>
      </c>
      <c r="D22" s="10"/>
      <c r="E22" s="2" t="n">
        <f>68877</f>
        <v>68877.0</v>
      </c>
      <c r="F22" s="10"/>
      <c r="G22" s="2" t="n">
        <f>1878507025130</f>
        <v>1.87850702513E12</v>
      </c>
      <c r="H22" s="10"/>
      <c r="I22" s="2" t="n">
        <f>8352</f>
        <v>8352.0</v>
      </c>
      <c r="J22" s="10"/>
      <c r="K22" s="2" t="n">
        <f>296610</f>
        <v>296610.0</v>
      </c>
    </row>
    <row r="23">
      <c r="A23" s="8" t="s">
        <v>36</v>
      </c>
      <c r="B23" s="9" t="s">
        <v>17</v>
      </c>
      <c r="C23" s="9" t="s">
        <v>18</v>
      </c>
      <c r="D23" s="10"/>
      <c r="E23" s="2" t="n">
        <f>79422</f>
        <v>79422.0</v>
      </c>
      <c r="F23" s="10"/>
      <c r="G23" s="2" t="n">
        <f>2145677219260</f>
        <v>2.14567721926E12</v>
      </c>
      <c r="H23" s="10"/>
      <c r="I23" s="2" t="n">
        <f>10662</f>
        <v>10662.0</v>
      </c>
      <c r="J23" s="10"/>
      <c r="K23" s="2" t="n">
        <f>299967</f>
        <v>299967.0</v>
      </c>
    </row>
    <row r="24">
      <c r="A24" s="8" t="s">
        <v>37</v>
      </c>
      <c r="B24" s="9" t="s">
        <v>17</v>
      </c>
      <c r="C24" s="9" t="s">
        <v>18</v>
      </c>
      <c r="D24" s="10"/>
      <c r="E24" s="2"/>
      <c r="F24" s="10"/>
      <c r="G24" s="2"/>
      <c r="H24" s="10"/>
      <c r="I24" s="2"/>
      <c r="J24" s="10"/>
      <c r="K24" s="2"/>
    </row>
    <row r="25">
      <c r="A25" s="8" t="s">
        <v>38</v>
      </c>
      <c r="B25" s="9" t="s">
        <v>17</v>
      </c>
      <c r="C25" s="9" t="s">
        <v>18</v>
      </c>
      <c r="D25" s="10"/>
      <c r="E25" s="2"/>
      <c r="F25" s="10"/>
      <c r="G25" s="2"/>
      <c r="H25" s="10"/>
      <c r="I25" s="2"/>
      <c r="J25" s="10"/>
      <c r="K25" s="2"/>
    </row>
    <row r="26">
      <c r="A26" s="8" t="s">
        <v>39</v>
      </c>
      <c r="B26" s="9" t="s">
        <v>17</v>
      </c>
      <c r="C26" s="9" t="s">
        <v>18</v>
      </c>
      <c r="D26" s="10"/>
      <c r="E26" s="2" t="n">
        <f>71837</f>
        <v>71837.0</v>
      </c>
      <c r="F26" s="10"/>
      <c r="G26" s="2" t="n">
        <f>1927428063070</f>
        <v>1.92742806307E12</v>
      </c>
      <c r="H26" s="10"/>
      <c r="I26" s="2" t="n">
        <f>10930</f>
        <v>10930.0</v>
      </c>
      <c r="J26" s="10"/>
      <c r="K26" s="2" t="n">
        <f>301613</f>
        <v>301613.0</v>
      </c>
    </row>
    <row r="27">
      <c r="A27" s="8" t="s">
        <v>40</v>
      </c>
      <c r="B27" s="9" t="s">
        <v>17</v>
      </c>
      <c r="C27" s="9" t="s">
        <v>18</v>
      </c>
      <c r="D27" s="10"/>
      <c r="E27" s="2" t="n">
        <f>83364</f>
        <v>83364.0</v>
      </c>
      <c r="F27" s="10"/>
      <c r="G27" s="2" t="n">
        <f>2207336193620</f>
        <v>2.20733619362E12</v>
      </c>
      <c r="H27" s="10"/>
      <c r="I27" s="2" t="n">
        <f>14413</f>
        <v>14413.0</v>
      </c>
      <c r="J27" s="10"/>
      <c r="K27" s="2" t="n">
        <f>304557</f>
        <v>304557.0</v>
      </c>
    </row>
    <row r="28">
      <c r="A28" s="8" t="s">
        <v>41</v>
      </c>
      <c r="B28" s="9" t="s">
        <v>17</v>
      </c>
      <c r="C28" s="9" t="s">
        <v>18</v>
      </c>
      <c r="D28" s="10"/>
      <c r="E28" s="2"/>
      <c r="F28" s="10"/>
      <c r="G28" s="2"/>
      <c r="H28" s="10"/>
      <c r="I28" s="2"/>
      <c r="J28" s="10"/>
      <c r="K28" s="2"/>
    </row>
    <row r="29">
      <c r="A29" s="8" t="s">
        <v>42</v>
      </c>
      <c r="B29" s="9" t="s">
        <v>17</v>
      </c>
      <c r="C29" s="9" t="s">
        <v>18</v>
      </c>
      <c r="D29" s="10" t="s">
        <v>43</v>
      </c>
      <c r="E29" s="2" t="n">
        <f>149820</f>
        <v>149820.0</v>
      </c>
      <c r="F29" s="10" t="s">
        <v>43</v>
      </c>
      <c r="G29" s="2" t="n">
        <f>3927416197432</f>
        <v>3.927416197432E12</v>
      </c>
      <c r="H29" s="10" t="s">
        <v>43</v>
      </c>
      <c r="I29" s="2" t="n">
        <f>24343</f>
        <v>24343.0</v>
      </c>
      <c r="J29" s="10"/>
      <c r="K29" s="2" t="n">
        <f>309332</f>
        <v>309332.0</v>
      </c>
    </row>
    <row r="30">
      <c r="A30" s="8" t="s">
        <v>44</v>
      </c>
      <c r="B30" s="9" t="s">
        <v>17</v>
      </c>
      <c r="C30" s="9" t="s">
        <v>18</v>
      </c>
      <c r="D30" s="10"/>
      <c r="E30" s="2" t="n">
        <f>131024</f>
        <v>131024.0</v>
      </c>
      <c r="F30" s="10"/>
      <c r="G30" s="2" t="n">
        <f>3418434040100</f>
        <v>3.4184340401E12</v>
      </c>
      <c r="H30" s="10"/>
      <c r="I30" s="2" t="n">
        <f>18707</f>
        <v>18707.0</v>
      </c>
      <c r="J30" s="10"/>
      <c r="K30" s="2" t="n">
        <f>312575</f>
        <v>312575.0</v>
      </c>
    </row>
    <row r="31">
      <c r="A31" s="8" t="s">
        <v>45</v>
      </c>
      <c r="B31" s="9" t="s">
        <v>17</v>
      </c>
      <c r="C31" s="9" t="s">
        <v>18</v>
      </c>
      <c r="D31" s="10"/>
      <c r="E31" s="2"/>
      <c r="F31" s="10"/>
      <c r="G31" s="2"/>
      <c r="H31" s="10"/>
      <c r="I31" s="2"/>
      <c r="J31" s="10"/>
      <c r="K31" s="2"/>
    </row>
    <row r="32">
      <c r="A32" s="8" t="s">
        <v>46</v>
      </c>
      <c r="B32" s="9" t="s">
        <v>17</v>
      </c>
      <c r="C32" s="9" t="s">
        <v>18</v>
      </c>
      <c r="D32" s="10"/>
      <c r="E32" s="2"/>
      <c r="F32" s="10"/>
      <c r="G32" s="2"/>
      <c r="H32" s="10"/>
      <c r="I32" s="2"/>
      <c r="J32" s="10"/>
      <c r="K32" s="2"/>
    </row>
    <row r="33">
      <c r="A33" s="8" t="s">
        <v>47</v>
      </c>
      <c r="B33" s="9" t="s">
        <v>17</v>
      </c>
      <c r="C33" s="9" t="s">
        <v>18</v>
      </c>
      <c r="D33" s="10"/>
      <c r="E33" s="2" t="n">
        <f>107089</f>
        <v>107089.0</v>
      </c>
      <c r="F33" s="10"/>
      <c r="G33" s="2" t="n">
        <f>2834255786060</f>
        <v>2.83425578606E12</v>
      </c>
      <c r="H33" s="10"/>
      <c r="I33" s="2" t="n">
        <f>13665</f>
        <v>13665.0</v>
      </c>
      <c r="J33" s="10" t="s">
        <v>43</v>
      </c>
      <c r="K33" s="2" t="n">
        <f>316638</f>
        <v>316638.0</v>
      </c>
    </row>
    <row r="34">
      <c r="A34" s="8" t="s">
        <v>16</v>
      </c>
      <c r="B34" s="9" t="s">
        <v>48</v>
      </c>
      <c r="C34" s="9" t="s">
        <v>49</v>
      </c>
      <c r="D34" s="10"/>
      <c r="E34" s="2" t="n">
        <f>1159676</f>
        <v>1159676.0</v>
      </c>
      <c r="F34" s="10"/>
      <c r="G34" s="2" t="n">
        <f>3141428969530</f>
        <v>3.14142896953E12</v>
      </c>
      <c r="H34" s="10"/>
      <c r="I34" s="2" t="n">
        <f>170276</f>
        <v>170276.0</v>
      </c>
      <c r="J34" s="10"/>
      <c r="K34" s="2" t="n">
        <f>394090</f>
        <v>394090.0</v>
      </c>
    </row>
    <row r="35">
      <c r="A35" s="8" t="s">
        <v>19</v>
      </c>
      <c r="B35" s="9" t="s">
        <v>48</v>
      </c>
      <c r="C35" s="9" t="s">
        <v>49</v>
      </c>
      <c r="D35" s="10"/>
      <c r="E35" s="2" t="n">
        <f>991899</f>
        <v>991899.0</v>
      </c>
      <c r="F35" s="10"/>
      <c r="G35" s="2" t="n">
        <f>2704301901706</f>
        <v>2.704301901706E12</v>
      </c>
      <c r="H35" s="10"/>
      <c r="I35" s="2" t="n">
        <f>138262</f>
        <v>138262.0</v>
      </c>
      <c r="J35" s="10" t="s">
        <v>26</v>
      </c>
      <c r="K35" s="2" t="n">
        <f>384562</f>
        <v>384562.0</v>
      </c>
    </row>
    <row r="36">
      <c r="A36" s="8" t="s">
        <v>20</v>
      </c>
      <c r="B36" s="9" t="s">
        <v>48</v>
      </c>
      <c r="C36" s="9" t="s">
        <v>49</v>
      </c>
      <c r="D36" s="10"/>
      <c r="E36" s="2" t="n">
        <f>841073</f>
        <v>841073.0</v>
      </c>
      <c r="F36" s="10"/>
      <c r="G36" s="2" t="n">
        <f>2297916218300</f>
        <v>2.2979162183E12</v>
      </c>
      <c r="H36" s="10"/>
      <c r="I36" s="2" t="n">
        <f>123375</f>
        <v>123375.0</v>
      </c>
      <c r="J36" s="10"/>
      <c r="K36" s="2" t="n">
        <f>403635</f>
        <v>403635.0</v>
      </c>
    </row>
    <row r="37">
      <c r="A37" s="8" t="s">
        <v>21</v>
      </c>
      <c r="B37" s="9" t="s">
        <v>48</v>
      </c>
      <c r="C37" s="9" t="s">
        <v>49</v>
      </c>
      <c r="D37" s="10"/>
      <c r="E37" s="2" t="n">
        <f>1104487</f>
        <v>1104487.0</v>
      </c>
      <c r="F37" s="10"/>
      <c r="G37" s="2" t="n">
        <f>3005194119907</f>
        <v>3.005194119907E12</v>
      </c>
      <c r="H37" s="10"/>
      <c r="I37" s="2" t="n">
        <f>153081</f>
        <v>153081.0</v>
      </c>
      <c r="J37" s="10"/>
      <c r="K37" s="2" t="n">
        <f>420657</f>
        <v>420657.0</v>
      </c>
    </row>
    <row r="38">
      <c r="A38" s="8" t="s">
        <v>22</v>
      </c>
      <c r="B38" s="9" t="s">
        <v>48</v>
      </c>
      <c r="C38" s="9" t="s">
        <v>49</v>
      </c>
      <c r="D38" s="10"/>
      <c r="E38" s="2"/>
      <c r="F38" s="10"/>
      <c r="G38" s="2"/>
      <c r="H38" s="10"/>
      <c r="I38" s="2"/>
      <c r="J38" s="10"/>
      <c r="K38" s="2"/>
    </row>
    <row r="39">
      <c r="A39" s="8" t="s">
        <v>23</v>
      </c>
      <c r="B39" s="9" t="s">
        <v>48</v>
      </c>
      <c r="C39" s="9" t="s">
        <v>49</v>
      </c>
      <c r="D39" s="10"/>
      <c r="E39" s="2"/>
      <c r="F39" s="10"/>
      <c r="G39" s="2"/>
      <c r="H39" s="10"/>
      <c r="I39" s="2"/>
      <c r="J39" s="10"/>
      <c r="K39" s="2"/>
    </row>
    <row r="40">
      <c r="A40" s="8" t="s">
        <v>24</v>
      </c>
      <c r="B40" s="9" t="s">
        <v>48</v>
      </c>
      <c r="C40" s="9" t="s">
        <v>49</v>
      </c>
      <c r="D40" s="10"/>
      <c r="E40" s="2" t="n">
        <f>1071677</f>
        <v>1071677.0</v>
      </c>
      <c r="F40" s="10"/>
      <c r="G40" s="2" t="n">
        <f>2917621759932</f>
        <v>2.917621759932E12</v>
      </c>
      <c r="H40" s="10"/>
      <c r="I40" s="2" t="n">
        <f>138095</f>
        <v>138095.0</v>
      </c>
      <c r="J40" s="10"/>
      <c r="K40" s="2" t="n">
        <f>428010</f>
        <v>428010.0</v>
      </c>
    </row>
    <row r="41">
      <c r="A41" s="8" t="s">
        <v>25</v>
      </c>
      <c r="B41" s="9" t="s">
        <v>48</v>
      </c>
      <c r="C41" s="9" t="s">
        <v>49</v>
      </c>
      <c r="D41" s="10"/>
      <c r="E41" s="2" t="n">
        <f>836081</f>
        <v>836081.0</v>
      </c>
      <c r="F41" s="10"/>
      <c r="G41" s="2" t="n">
        <f>2280873429540</f>
        <v>2.28087342954E12</v>
      </c>
      <c r="H41" s="10" t="s">
        <v>26</v>
      </c>
      <c r="I41" s="2" t="n">
        <f>105696</f>
        <v>105696.0</v>
      </c>
      <c r="J41" s="10"/>
      <c r="K41" s="2" t="n">
        <f>450985</f>
        <v>450985.0</v>
      </c>
    </row>
    <row r="42">
      <c r="A42" s="8" t="s">
        <v>27</v>
      </c>
      <c r="B42" s="9" t="s">
        <v>48</v>
      </c>
      <c r="C42" s="9" t="s">
        <v>49</v>
      </c>
      <c r="D42" s="10"/>
      <c r="E42" s="2" t="n">
        <f>937000</f>
        <v>937000.0</v>
      </c>
      <c r="F42" s="10"/>
      <c r="G42" s="2" t="n">
        <f>2568471950369</f>
        <v>2.568471950369E12</v>
      </c>
      <c r="H42" s="10"/>
      <c r="I42" s="2" t="n">
        <f>122992</f>
        <v>122992.0</v>
      </c>
      <c r="J42" s="10"/>
      <c r="K42" s="2" t="n">
        <f>493785</f>
        <v>493785.0</v>
      </c>
    </row>
    <row r="43">
      <c r="A43" s="8" t="s">
        <v>28</v>
      </c>
      <c r="B43" s="9" t="s">
        <v>48</v>
      </c>
      <c r="C43" s="9" t="s">
        <v>49</v>
      </c>
      <c r="D43" s="10" t="s">
        <v>26</v>
      </c>
      <c r="E43" s="2" t="n">
        <f>747053</f>
        <v>747053.0</v>
      </c>
      <c r="F43" s="10" t="s">
        <v>26</v>
      </c>
      <c r="G43" s="2" t="n">
        <f>2066602044492</f>
        <v>2.066602044492E12</v>
      </c>
      <c r="H43" s="10"/>
      <c r="I43" s="2" t="n">
        <f>119327</f>
        <v>119327.0</v>
      </c>
      <c r="J43" s="10" t="s">
        <v>43</v>
      </c>
      <c r="K43" s="2" t="n">
        <f>505794</f>
        <v>505794.0</v>
      </c>
    </row>
    <row r="44">
      <c r="A44" s="8" t="s">
        <v>29</v>
      </c>
      <c r="B44" s="9" t="s">
        <v>48</v>
      </c>
      <c r="C44" s="9" t="s">
        <v>49</v>
      </c>
      <c r="D44" s="10"/>
      <c r="E44" s="2"/>
      <c r="F44" s="10"/>
      <c r="G44" s="2"/>
      <c r="H44" s="10"/>
      <c r="I44" s="2"/>
      <c r="J44" s="10"/>
      <c r="K44" s="2"/>
    </row>
    <row r="45">
      <c r="A45" s="8" t="s">
        <v>30</v>
      </c>
      <c r="B45" s="9" t="s">
        <v>48</v>
      </c>
      <c r="C45" s="9" t="s">
        <v>49</v>
      </c>
      <c r="D45" s="10"/>
      <c r="E45" s="2"/>
      <c r="F45" s="10"/>
      <c r="G45" s="2"/>
      <c r="H45" s="10"/>
      <c r="I45" s="2"/>
      <c r="J45" s="10"/>
      <c r="K45" s="2"/>
    </row>
    <row r="46">
      <c r="A46" s="8" t="s">
        <v>31</v>
      </c>
      <c r="B46" s="9" t="s">
        <v>48</v>
      </c>
      <c r="C46" s="9" t="s">
        <v>49</v>
      </c>
      <c r="D46" s="10"/>
      <c r="E46" s="2"/>
      <c r="F46" s="10"/>
      <c r="G46" s="2"/>
      <c r="H46" s="10"/>
      <c r="I46" s="2"/>
      <c r="J46" s="10"/>
      <c r="K46" s="2"/>
    </row>
    <row r="47">
      <c r="A47" s="8" t="s">
        <v>32</v>
      </c>
      <c r="B47" s="9" t="s">
        <v>48</v>
      </c>
      <c r="C47" s="9" t="s">
        <v>49</v>
      </c>
      <c r="D47" s="10"/>
      <c r="E47" s="2" t="n">
        <f>1371603</f>
        <v>1371603.0</v>
      </c>
      <c r="F47" s="10"/>
      <c r="G47" s="2" t="n">
        <f>3745554635684</f>
        <v>3.745554635684E12</v>
      </c>
      <c r="H47" s="10"/>
      <c r="I47" s="2" t="n">
        <f>191891</f>
        <v>191891.0</v>
      </c>
      <c r="J47" s="10"/>
      <c r="K47" s="2" t="n">
        <f>423584</f>
        <v>423584.0</v>
      </c>
    </row>
    <row r="48">
      <c r="A48" s="8" t="s">
        <v>33</v>
      </c>
      <c r="B48" s="9" t="s">
        <v>48</v>
      </c>
      <c r="C48" s="9" t="s">
        <v>49</v>
      </c>
      <c r="D48" s="10"/>
      <c r="E48" s="2" t="n">
        <f>1659571</f>
        <v>1659571.0</v>
      </c>
      <c r="F48" s="10"/>
      <c r="G48" s="2" t="n">
        <f>4473444934252</f>
        <v>4.473444934252E12</v>
      </c>
      <c r="H48" s="10"/>
      <c r="I48" s="2" t="n">
        <f>237482</f>
        <v>237482.0</v>
      </c>
      <c r="J48" s="10"/>
      <c r="K48" s="2" t="n">
        <f>417556</f>
        <v>417556.0</v>
      </c>
    </row>
    <row r="49">
      <c r="A49" s="8" t="s">
        <v>34</v>
      </c>
      <c r="B49" s="9" t="s">
        <v>48</v>
      </c>
      <c r="C49" s="9" t="s">
        <v>49</v>
      </c>
      <c r="D49" s="10"/>
      <c r="E49" s="2" t="n">
        <f>1149670</f>
        <v>1149670.0</v>
      </c>
      <c r="F49" s="10"/>
      <c r="G49" s="2" t="n">
        <f>3135117890925</f>
        <v>3.135117890925E12</v>
      </c>
      <c r="H49" s="10"/>
      <c r="I49" s="2" t="n">
        <f>156006</f>
        <v>156006.0</v>
      </c>
      <c r="J49" s="10"/>
      <c r="K49" s="2" t="n">
        <f>419846</f>
        <v>419846.0</v>
      </c>
    </row>
    <row r="50">
      <c r="A50" s="8" t="s">
        <v>35</v>
      </c>
      <c r="B50" s="9" t="s">
        <v>48</v>
      </c>
      <c r="C50" s="9" t="s">
        <v>49</v>
      </c>
      <c r="D50" s="10"/>
      <c r="E50" s="2" t="n">
        <f>1157558</f>
        <v>1157558.0</v>
      </c>
      <c r="F50" s="10"/>
      <c r="G50" s="2" t="n">
        <f>3159753728623</f>
        <v>3.159753728623E12</v>
      </c>
      <c r="H50" s="10"/>
      <c r="I50" s="2" t="n">
        <f>163288</f>
        <v>163288.0</v>
      </c>
      <c r="J50" s="10"/>
      <c r="K50" s="2" t="n">
        <f>412584</f>
        <v>412584.0</v>
      </c>
    </row>
    <row r="51">
      <c r="A51" s="8" t="s">
        <v>36</v>
      </c>
      <c r="B51" s="9" t="s">
        <v>48</v>
      </c>
      <c r="C51" s="9" t="s">
        <v>49</v>
      </c>
      <c r="D51" s="10"/>
      <c r="E51" s="2" t="n">
        <f>1229645</f>
        <v>1229645.0</v>
      </c>
      <c r="F51" s="10"/>
      <c r="G51" s="2" t="n">
        <f>3325432179325</f>
        <v>3.325432179325E12</v>
      </c>
      <c r="H51" s="10"/>
      <c r="I51" s="2" t="n">
        <f>177128</f>
        <v>177128.0</v>
      </c>
      <c r="J51" s="10"/>
      <c r="K51" s="2" t="n">
        <f>407030</f>
        <v>407030.0</v>
      </c>
    </row>
    <row r="52">
      <c r="A52" s="8" t="s">
        <v>37</v>
      </c>
      <c r="B52" s="9" t="s">
        <v>48</v>
      </c>
      <c r="C52" s="9" t="s">
        <v>49</v>
      </c>
      <c r="D52" s="10"/>
      <c r="E52" s="2"/>
      <c r="F52" s="10"/>
      <c r="G52" s="2"/>
      <c r="H52" s="10"/>
      <c r="I52" s="2"/>
      <c r="J52" s="10"/>
      <c r="K52" s="2"/>
    </row>
    <row r="53">
      <c r="A53" s="8" t="s">
        <v>38</v>
      </c>
      <c r="B53" s="9" t="s">
        <v>48</v>
      </c>
      <c r="C53" s="9" t="s">
        <v>49</v>
      </c>
      <c r="D53" s="10"/>
      <c r="E53" s="2"/>
      <c r="F53" s="10"/>
      <c r="G53" s="2"/>
      <c r="H53" s="10"/>
      <c r="I53" s="2"/>
      <c r="J53" s="10"/>
      <c r="K53" s="2"/>
    </row>
    <row r="54">
      <c r="A54" s="8" t="s">
        <v>39</v>
      </c>
      <c r="B54" s="9" t="s">
        <v>48</v>
      </c>
      <c r="C54" s="9" t="s">
        <v>49</v>
      </c>
      <c r="D54" s="10"/>
      <c r="E54" s="2" t="n">
        <f>1328083</f>
        <v>1328083.0</v>
      </c>
      <c r="F54" s="10"/>
      <c r="G54" s="2" t="n">
        <f>3566468758469</f>
        <v>3.566468758469E12</v>
      </c>
      <c r="H54" s="10"/>
      <c r="I54" s="2" t="n">
        <f>190514</f>
        <v>190514.0</v>
      </c>
      <c r="J54" s="10"/>
      <c r="K54" s="2" t="n">
        <f>406103</f>
        <v>406103.0</v>
      </c>
    </row>
    <row r="55">
      <c r="A55" s="8" t="s">
        <v>40</v>
      </c>
      <c r="B55" s="9" t="s">
        <v>48</v>
      </c>
      <c r="C55" s="9" t="s">
        <v>49</v>
      </c>
      <c r="D55" s="10"/>
      <c r="E55" s="2" t="n">
        <f>1325822</f>
        <v>1325822.0</v>
      </c>
      <c r="F55" s="10"/>
      <c r="G55" s="2" t="n">
        <f>3516745350250</f>
        <v>3.51674535025E12</v>
      </c>
      <c r="H55" s="10"/>
      <c r="I55" s="2" t="n">
        <f>182088</f>
        <v>182088.0</v>
      </c>
      <c r="J55" s="10"/>
      <c r="K55" s="2" t="n">
        <f>431640</f>
        <v>431640.0</v>
      </c>
    </row>
    <row r="56">
      <c r="A56" s="8" t="s">
        <v>41</v>
      </c>
      <c r="B56" s="9" t="s">
        <v>48</v>
      </c>
      <c r="C56" s="9" t="s">
        <v>49</v>
      </c>
      <c r="D56" s="10"/>
      <c r="E56" s="2"/>
      <c r="F56" s="10"/>
      <c r="G56" s="2"/>
      <c r="H56" s="10"/>
      <c r="I56" s="2"/>
      <c r="J56" s="10"/>
      <c r="K56" s="2"/>
    </row>
    <row r="57">
      <c r="A57" s="8" t="s">
        <v>42</v>
      </c>
      <c r="B57" s="9" t="s">
        <v>48</v>
      </c>
      <c r="C57" s="9" t="s">
        <v>49</v>
      </c>
      <c r="D57" s="10" t="s">
        <v>43</v>
      </c>
      <c r="E57" s="2" t="n">
        <f>2182987</f>
        <v>2182987.0</v>
      </c>
      <c r="F57" s="10" t="s">
        <v>43</v>
      </c>
      <c r="G57" s="2" t="n">
        <f>5738581346082</f>
        <v>5.738581346082E12</v>
      </c>
      <c r="H57" s="10" t="s">
        <v>43</v>
      </c>
      <c r="I57" s="2" t="n">
        <f>302542</f>
        <v>302542.0</v>
      </c>
      <c r="J57" s="10"/>
      <c r="K57" s="2" t="n">
        <f>457224</f>
        <v>457224.0</v>
      </c>
    </row>
    <row r="58">
      <c r="A58" s="8" t="s">
        <v>44</v>
      </c>
      <c r="B58" s="9" t="s">
        <v>48</v>
      </c>
      <c r="C58" s="9" t="s">
        <v>49</v>
      </c>
      <c r="D58" s="10"/>
      <c r="E58" s="2" t="n">
        <f>1996253</f>
        <v>1996253.0</v>
      </c>
      <c r="F58" s="10"/>
      <c r="G58" s="2" t="n">
        <f>5186027792201</f>
        <v>5.186027792201E12</v>
      </c>
      <c r="H58" s="10"/>
      <c r="I58" s="2" t="n">
        <f>226171</f>
        <v>226171.0</v>
      </c>
      <c r="J58" s="10"/>
      <c r="K58" s="2" t="n">
        <f>451909</f>
        <v>451909.0</v>
      </c>
    </row>
    <row r="59">
      <c r="A59" s="8" t="s">
        <v>45</v>
      </c>
      <c r="B59" s="9" t="s">
        <v>48</v>
      </c>
      <c r="C59" s="9" t="s">
        <v>49</v>
      </c>
      <c r="D59" s="10"/>
      <c r="E59" s="2"/>
      <c r="F59" s="10"/>
      <c r="G59" s="2"/>
      <c r="H59" s="10"/>
      <c r="I59" s="2"/>
      <c r="J59" s="10"/>
      <c r="K59" s="2"/>
    </row>
    <row r="60">
      <c r="A60" s="8" t="s">
        <v>46</v>
      </c>
      <c r="B60" s="9" t="s">
        <v>48</v>
      </c>
      <c r="C60" s="9" t="s">
        <v>49</v>
      </c>
      <c r="D60" s="10"/>
      <c r="E60" s="2"/>
      <c r="F60" s="10"/>
      <c r="G60" s="2"/>
      <c r="H60" s="10"/>
      <c r="I60" s="2"/>
      <c r="J60" s="10"/>
      <c r="K60" s="2"/>
    </row>
    <row r="61">
      <c r="A61" s="8" t="s">
        <v>47</v>
      </c>
      <c r="B61" s="9" t="s">
        <v>48</v>
      </c>
      <c r="C61" s="9" t="s">
        <v>49</v>
      </c>
      <c r="D61" s="10"/>
      <c r="E61" s="2" t="n">
        <f>1685965</f>
        <v>1685965.0</v>
      </c>
      <c r="F61" s="10"/>
      <c r="G61" s="2" t="n">
        <f>4467868672800</f>
        <v>4.4678686728E12</v>
      </c>
      <c r="H61" s="10"/>
      <c r="I61" s="2" t="n">
        <f>202827</f>
        <v>202827.0</v>
      </c>
      <c r="J61" s="10"/>
      <c r="K61" s="2" t="n">
        <f>453862</f>
        <v>453862.0</v>
      </c>
    </row>
    <row r="62">
      <c r="A62" s="8" t="s">
        <v>16</v>
      </c>
      <c r="B62" s="9" t="s">
        <v>50</v>
      </c>
      <c r="C62" s="9" t="s">
        <v>51</v>
      </c>
      <c r="D62" s="10"/>
      <c r="E62" s="2" t="n">
        <f>69411</f>
        <v>69411.0</v>
      </c>
      <c r="F62" s="10"/>
      <c r="G62" s="2" t="n">
        <f>1319478322700</f>
        <v>1.3194783227E12</v>
      </c>
      <c r="H62" s="10"/>
      <c r="I62" s="2" t="n">
        <f>17412</f>
        <v>17412.0</v>
      </c>
      <c r="J62" s="10" t="s">
        <v>26</v>
      </c>
      <c r="K62" s="2" t="n">
        <f>440474</f>
        <v>440474.0</v>
      </c>
    </row>
    <row r="63">
      <c r="A63" s="8" t="s">
        <v>19</v>
      </c>
      <c r="B63" s="9" t="s">
        <v>50</v>
      </c>
      <c r="C63" s="9" t="s">
        <v>51</v>
      </c>
      <c r="D63" s="10"/>
      <c r="E63" s="2" t="n">
        <f>59044</f>
        <v>59044.0</v>
      </c>
      <c r="F63" s="10"/>
      <c r="G63" s="2" t="n">
        <f>1132913205632</f>
        <v>1.132913205632E12</v>
      </c>
      <c r="H63" s="10"/>
      <c r="I63" s="2" t="n">
        <f>15308</f>
        <v>15308.0</v>
      </c>
      <c r="J63" s="10"/>
      <c r="K63" s="2" t="n">
        <f>440817</f>
        <v>440817.0</v>
      </c>
    </row>
    <row r="64">
      <c r="A64" s="8" t="s">
        <v>20</v>
      </c>
      <c r="B64" s="9" t="s">
        <v>50</v>
      </c>
      <c r="C64" s="9" t="s">
        <v>51</v>
      </c>
      <c r="D64" s="10"/>
      <c r="E64" s="2" t="n">
        <f>51702</f>
        <v>51702.0</v>
      </c>
      <c r="F64" s="10"/>
      <c r="G64" s="2" t="n">
        <f>994600224500</f>
        <v>9.946002245E11</v>
      </c>
      <c r="H64" s="10"/>
      <c r="I64" s="2" t="n">
        <f>10850</f>
        <v>10850.0</v>
      </c>
      <c r="J64" s="10"/>
      <c r="K64" s="2" t="n">
        <f>440949</f>
        <v>440949.0</v>
      </c>
    </row>
    <row r="65">
      <c r="A65" s="8" t="s">
        <v>21</v>
      </c>
      <c r="B65" s="9" t="s">
        <v>50</v>
      </c>
      <c r="C65" s="9" t="s">
        <v>51</v>
      </c>
      <c r="D65" s="10"/>
      <c r="E65" s="2" t="n">
        <f>59305</f>
        <v>59305.0</v>
      </c>
      <c r="F65" s="10"/>
      <c r="G65" s="2" t="n">
        <f>1139125104050</f>
        <v>1.13912510405E12</v>
      </c>
      <c r="H65" s="10"/>
      <c r="I65" s="2" t="n">
        <f>15605</f>
        <v>15605.0</v>
      </c>
      <c r="J65" s="10"/>
      <c r="K65" s="2" t="n">
        <f>444120</f>
        <v>444120.0</v>
      </c>
    </row>
    <row r="66">
      <c r="A66" s="8" t="s">
        <v>22</v>
      </c>
      <c r="B66" s="9" t="s">
        <v>50</v>
      </c>
      <c r="C66" s="9" t="s">
        <v>51</v>
      </c>
      <c r="D66" s="10"/>
      <c r="E66" s="2"/>
      <c r="F66" s="10"/>
      <c r="G66" s="2"/>
      <c r="H66" s="10"/>
      <c r="I66" s="2"/>
      <c r="J66" s="10"/>
      <c r="K66" s="2"/>
    </row>
    <row r="67">
      <c r="A67" s="8" t="s">
        <v>23</v>
      </c>
      <c r="B67" s="9" t="s">
        <v>50</v>
      </c>
      <c r="C67" s="9" t="s">
        <v>51</v>
      </c>
      <c r="D67" s="10"/>
      <c r="E67" s="2"/>
      <c r="F67" s="10"/>
      <c r="G67" s="2"/>
      <c r="H67" s="10"/>
      <c r="I67" s="2"/>
      <c r="J67" s="10"/>
      <c r="K67" s="2"/>
    </row>
    <row r="68">
      <c r="A68" s="8" t="s">
        <v>24</v>
      </c>
      <c r="B68" s="9" t="s">
        <v>50</v>
      </c>
      <c r="C68" s="9" t="s">
        <v>51</v>
      </c>
      <c r="D68" s="10"/>
      <c r="E68" s="2" t="n">
        <f>54232</f>
        <v>54232.0</v>
      </c>
      <c r="F68" s="10"/>
      <c r="G68" s="2" t="n">
        <f>1040947960400</f>
        <v>1.0409479604E12</v>
      </c>
      <c r="H68" s="10"/>
      <c r="I68" s="2" t="n">
        <f>13270</f>
        <v>13270.0</v>
      </c>
      <c r="J68" s="10"/>
      <c r="K68" s="2" t="n">
        <f>444020</f>
        <v>444020.0</v>
      </c>
    </row>
    <row r="69">
      <c r="A69" s="8" t="s">
        <v>25</v>
      </c>
      <c r="B69" s="9" t="s">
        <v>50</v>
      </c>
      <c r="C69" s="9" t="s">
        <v>51</v>
      </c>
      <c r="D69" s="10" t="s">
        <v>26</v>
      </c>
      <c r="E69" s="2" t="n">
        <f>49452</f>
        <v>49452.0</v>
      </c>
      <c r="F69" s="10" t="s">
        <v>26</v>
      </c>
      <c r="G69" s="2" t="n">
        <f>955490488400</f>
        <v>9.554904884E11</v>
      </c>
      <c r="H69" s="10"/>
      <c r="I69" s="2" t="n">
        <f>13138</f>
        <v>13138.0</v>
      </c>
      <c r="J69" s="10"/>
      <c r="K69" s="2" t="n">
        <f>446670</f>
        <v>446670.0</v>
      </c>
    </row>
    <row r="70">
      <c r="A70" s="8" t="s">
        <v>27</v>
      </c>
      <c r="B70" s="9" t="s">
        <v>50</v>
      </c>
      <c r="C70" s="9" t="s">
        <v>51</v>
      </c>
      <c r="D70" s="10"/>
      <c r="E70" s="2" t="n">
        <f>59040</f>
        <v>59040.0</v>
      </c>
      <c r="F70" s="10"/>
      <c r="G70" s="2" t="n">
        <f>1149742505042</f>
        <v>1.149742505042E12</v>
      </c>
      <c r="H70" s="10"/>
      <c r="I70" s="2" t="n">
        <f>11861</f>
        <v>11861.0</v>
      </c>
      <c r="J70" s="10"/>
      <c r="K70" s="2" t="n">
        <f>443382</f>
        <v>443382.0</v>
      </c>
    </row>
    <row r="71">
      <c r="A71" s="8" t="s">
        <v>28</v>
      </c>
      <c r="B71" s="9" t="s">
        <v>50</v>
      </c>
      <c r="C71" s="9" t="s">
        <v>51</v>
      </c>
      <c r="D71" s="10"/>
      <c r="E71" s="2" t="n">
        <f>53403</f>
        <v>53403.0</v>
      </c>
      <c r="F71" s="10"/>
      <c r="G71" s="2" t="n">
        <f>1046769781650</f>
        <v>1.04676978165E12</v>
      </c>
      <c r="H71" s="10"/>
      <c r="I71" s="2" t="n">
        <f>10949</f>
        <v>10949.0</v>
      </c>
      <c r="J71" s="10"/>
      <c r="K71" s="2" t="n">
        <f>448232</f>
        <v>448232.0</v>
      </c>
    </row>
    <row r="72">
      <c r="A72" s="8" t="s">
        <v>29</v>
      </c>
      <c r="B72" s="9" t="s">
        <v>50</v>
      </c>
      <c r="C72" s="9" t="s">
        <v>51</v>
      </c>
      <c r="D72" s="10"/>
      <c r="E72" s="2"/>
      <c r="F72" s="10"/>
      <c r="G72" s="2"/>
      <c r="H72" s="10"/>
      <c r="I72" s="2"/>
      <c r="J72" s="10"/>
      <c r="K72" s="2"/>
    </row>
    <row r="73">
      <c r="A73" s="8" t="s">
        <v>30</v>
      </c>
      <c r="B73" s="9" t="s">
        <v>50</v>
      </c>
      <c r="C73" s="9" t="s">
        <v>51</v>
      </c>
      <c r="D73" s="10"/>
      <c r="E73" s="2"/>
      <c r="F73" s="10"/>
      <c r="G73" s="2"/>
      <c r="H73" s="10"/>
      <c r="I73" s="2"/>
      <c r="J73" s="10"/>
      <c r="K73" s="2"/>
    </row>
    <row r="74">
      <c r="A74" s="8" t="s">
        <v>31</v>
      </c>
      <c r="B74" s="9" t="s">
        <v>50</v>
      </c>
      <c r="C74" s="9" t="s">
        <v>51</v>
      </c>
      <c r="D74" s="10"/>
      <c r="E74" s="2"/>
      <c r="F74" s="10"/>
      <c r="G74" s="2"/>
      <c r="H74" s="10"/>
      <c r="I74" s="2"/>
      <c r="J74" s="10"/>
      <c r="K74" s="2"/>
    </row>
    <row r="75">
      <c r="A75" s="8" t="s">
        <v>32</v>
      </c>
      <c r="B75" s="9" t="s">
        <v>50</v>
      </c>
      <c r="C75" s="9" t="s">
        <v>51</v>
      </c>
      <c r="D75" s="10"/>
      <c r="E75" s="2" t="n">
        <f>85851</f>
        <v>85851.0</v>
      </c>
      <c r="F75" s="10"/>
      <c r="G75" s="2" t="n">
        <f>1661084457350</f>
        <v>1.66108445735E12</v>
      </c>
      <c r="H75" s="10"/>
      <c r="I75" s="2" t="n">
        <f>19783</f>
        <v>19783.0</v>
      </c>
      <c r="J75" s="10"/>
      <c r="K75" s="2" t="n">
        <f>451246</f>
        <v>451246.0</v>
      </c>
    </row>
    <row r="76">
      <c r="A76" s="8" t="s">
        <v>33</v>
      </c>
      <c r="B76" s="9" t="s">
        <v>50</v>
      </c>
      <c r="C76" s="9" t="s">
        <v>51</v>
      </c>
      <c r="D76" s="10"/>
      <c r="E76" s="2" t="n">
        <f>76683</f>
        <v>76683.0</v>
      </c>
      <c r="F76" s="10"/>
      <c r="G76" s="2" t="n">
        <f>1472950704150</f>
        <v>1.47295070415E12</v>
      </c>
      <c r="H76" s="10"/>
      <c r="I76" s="2" t="n">
        <f>16676</f>
        <v>16676.0</v>
      </c>
      <c r="J76" s="10"/>
      <c r="K76" s="2" t="n">
        <f>455431</f>
        <v>455431.0</v>
      </c>
    </row>
    <row r="77">
      <c r="A77" s="8" t="s">
        <v>34</v>
      </c>
      <c r="B77" s="9" t="s">
        <v>50</v>
      </c>
      <c r="C77" s="9" t="s">
        <v>51</v>
      </c>
      <c r="D77" s="10"/>
      <c r="E77" s="2" t="n">
        <f>67881</f>
        <v>67881.0</v>
      </c>
      <c r="F77" s="10"/>
      <c r="G77" s="2" t="n">
        <f>1318690607650</f>
        <v>1.31869060765E12</v>
      </c>
      <c r="H77" s="10"/>
      <c r="I77" s="2" t="n">
        <f>18886</f>
        <v>18886.0</v>
      </c>
      <c r="J77" s="10"/>
      <c r="K77" s="2" t="n">
        <f>456130</f>
        <v>456130.0</v>
      </c>
    </row>
    <row r="78">
      <c r="A78" s="8" t="s">
        <v>35</v>
      </c>
      <c r="B78" s="9" t="s">
        <v>50</v>
      </c>
      <c r="C78" s="9" t="s">
        <v>51</v>
      </c>
      <c r="D78" s="10"/>
      <c r="E78" s="2" t="n">
        <f>56578</f>
        <v>56578.0</v>
      </c>
      <c r="F78" s="10"/>
      <c r="G78" s="2" t="n">
        <f>1094897713100</f>
        <v>1.0948977131E12</v>
      </c>
      <c r="H78" s="10"/>
      <c r="I78" s="2" t="n">
        <f>14888</f>
        <v>14888.0</v>
      </c>
      <c r="J78" s="10"/>
      <c r="K78" s="2" t="n">
        <f>457206</f>
        <v>457206.0</v>
      </c>
    </row>
    <row r="79">
      <c r="A79" s="8" t="s">
        <v>36</v>
      </c>
      <c r="B79" s="9" t="s">
        <v>50</v>
      </c>
      <c r="C79" s="9" t="s">
        <v>51</v>
      </c>
      <c r="D79" s="10"/>
      <c r="E79" s="2" t="n">
        <f>60611</f>
        <v>60611.0</v>
      </c>
      <c r="F79" s="10"/>
      <c r="G79" s="2" t="n">
        <f>1163716471830</f>
        <v>1.16371647183E12</v>
      </c>
      <c r="H79" s="10"/>
      <c r="I79" s="2" t="n">
        <f>14794</f>
        <v>14794.0</v>
      </c>
      <c r="J79" s="10"/>
      <c r="K79" s="2" t="n">
        <f>458601</f>
        <v>458601.0</v>
      </c>
    </row>
    <row r="80">
      <c r="A80" s="8" t="s">
        <v>37</v>
      </c>
      <c r="B80" s="9" t="s">
        <v>50</v>
      </c>
      <c r="C80" s="9" t="s">
        <v>51</v>
      </c>
      <c r="D80" s="10"/>
      <c r="E80" s="2"/>
      <c r="F80" s="10"/>
      <c r="G80" s="2"/>
      <c r="H80" s="10"/>
      <c r="I80" s="2"/>
      <c r="J80" s="10"/>
      <c r="K80" s="2"/>
    </row>
    <row r="81">
      <c r="A81" s="8" t="s">
        <v>38</v>
      </c>
      <c r="B81" s="9" t="s">
        <v>50</v>
      </c>
      <c r="C81" s="9" t="s">
        <v>51</v>
      </c>
      <c r="D81" s="10"/>
      <c r="E81" s="2"/>
      <c r="F81" s="10"/>
      <c r="G81" s="2"/>
      <c r="H81" s="10"/>
      <c r="I81" s="2"/>
      <c r="J81" s="10"/>
      <c r="K81" s="2"/>
    </row>
    <row r="82">
      <c r="A82" s="8" t="s">
        <v>39</v>
      </c>
      <c r="B82" s="9" t="s">
        <v>50</v>
      </c>
      <c r="C82" s="9" t="s">
        <v>51</v>
      </c>
      <c r="D82" s="10"/>
      <c r="E82" s="2" t="n">
        <f>58979</f>
        <v>58979.0</v>
      </c>
      <c r="F82" s="10"/>
      <c r="G82" s="2" t="n">
        <f>1125228836500</f>
        <v>1.1252288365E12</v>
      </c>
      <c r="H82" s="10" t="s">
        <v>26</v>
      </c>
      <c r="I82" s="2" t="n">
        <f>9776</f>
        <v>9776.0</v>
      </c>
      <c r="J82" s="10"/>
      <c r="K82" s="2" t="n">
        <f>456226</f>
        <v>456226.0</v>
      </c>
    </row>
    <row r="83">
      <c r="A83" s="8" t="s">
        <v>40</v>
      </c>
      <c r="B83" s="9" t="s">
        <v>50</v>
      </c>
      <c r="C83" s="9" t="s">
        <v>51</v>
      </c>
      <c r="D83" s="10"/>
      <c r="E83" s="2" t="n">
        <f>65379</f>
        <v>65379.0</v>
      </c>
      <c r="F83" s="10"/>
      <c r="G83" s="2" t="n">
        <f>1233372126500</f>
        <v>1.2333721265E12</v>
      </c>
      <c r="H83" s="10"/>
      <c r="I83" s="2" t="n">
        <f>16652</f>
        <v>16652.0</v>
      </c>
      <c r="J83" s="10"/>
      <c r="K83" s="2" t="n">
        <f>456854</f>
        <v>456854.0</v>
      </c>
    </row>
    <row r="84">
      <c r="A84" s="8" t="s">
        <v>41</v>
      </c>
      <c r="B84" s="9" t="s">
        <v>50</v>
      </c>
      <c r="C84" s="9" t="s">
        <v>51</v>
      </c>
      <c r="D84" s="10"/>
      <c r="E84" s="2"/>
      <c r="F84" s="10"/>
      <c r="G84" s="2"/>
      <c r="H84" s="10"/>
      <c r="I84" s="2"/>
      <c r="J84" s="10"/>
      <c r="K84" s="2"/>
    </row>
    <row r="85">
      <c r="A85" s="8" t="s">
        <v>42</v>
      </c>
      <c r="B85" s="9" t="s">
        <v>50</v>
      </c>
      <c r="C85" s="9" t="s">
        <v>51</v>
      </c>
      <c r="D85" s="10" t="s">
        <v>43</v>
      </c>
      <c r="E85" s="2" t="n">
        <f>109137</f>
        <v>109137.0</v>
      </c>
      <c r="F85" s="10" t="s">
        <v>43</v>
      </c>
      <c r="G85" s="2" t="n">
        <f>2040854996650</f>
        <v>2.04085499665E12</v>
      </c>
      <c r="H85" s="10" t="s">
        <v>43</v>
      </c>
      <c r="I85" s="2" t="n">
        <f>26832</f>
        <v>26832.0</v>
      </c>
      <c r="J85" s="10"/>
      <c r="K85" s="2" t="n">
        <f>467467</f>
        <v>467467.0</v>
      </c>
    </row>
    <row r="86">
      <c r="A86" s="8" t="s">
        <v>44</v>
      </c>
      <c r="B86" s="9" t="s">
        <v>50</v>
      </c>
      <c r="C86" s="9" t="s">
        <v>51</v>
      </c>
      <c r="D86" s="10"/>
      <c r="E86" s="2" t="n">
        <f>98903</f>
        <v>98903.0</v>
      </c>
      <c r="F86" s="10"/>
      <c r="G86" s="2" t="n">
        <f>1837499731027</f>
        <v>1.837499731027E12</v>
      </c>
      <c r="H86" s="10"/>
      <c r="I86" s="2" t="n">
        <f>24575</f>
        <v>24575.0</v>
      </c>
      <c r="J86" s="10"/>
      <c r="K86" s="2" t="n">
        <f>466981</f>
        <v>466981.0</v>
      </c>
    </row>
    <row r="87">
      <c r="A87" s="8" t="s">
        <v>45</v>
      </c>
      <c r="B87" s="9" t="s">
        <v>50</v>
      </c>
      <c r="C87" s="9" t="s">
        <v>51</v>
      </c>
      <c r="D87" s="10"/>
      <c r="E87" s="2"/>
      <c r="F87" s="10"/>
      <c r="G87" s="2"/>
      <c r="H87" s="10"/>
      <c r="I87" s="2"/>
      <c r="J87" s="10"/>
      <c r="K87" s="2"/>
    </row>
    <row r="88">
      <c r="A88" s="8" t="s">
        <v>46</v>
      </c>
      <c r="B88" s="9" t="s">
        <v>50</v>
      </c>
      <c r="C88" s="9" t="s">
        <v>51</v>
      </c>
      <c r="D88" s="10"/>
      <c r="E88" s="2"/>
      <c r="F88" s="10"/>
      <c r="G88" s="2"/>
      <c r="H88" s="10"/>
      <c r="I88" s="2"/>
      <c r="J88" s="10"/>
      <c r="K88" s="2"/>
    </row>
    <row r="89">
      <c r="A89" s="8" t="s">
        <v>47</v>
      </c>
      <c r="B89" s="9" t="s">
        <v>50</v>
      </c>
      <c r="C89" s="9" t="s">
        <v>51</v>
      </c>
      <c r="D89" s="10"/>
      <c r="E89" s="2" t="n">
        <f>88679</f>
        <v>88679.0</v>
      </c>
      <c r="F89" s="10"/>
      <c r="G89" s="2" t="n">
        <f>1671092475827</f>
        <v>1.671092475827E12</v>
      </c>
      <c r="H89" s="10"/>
      <c r="I89" s="2" t="n">
        <f>22582</f>
        <v>22582.0</v>
      </c>
      <c r="J89" s="10" t="s">
        <v>43</v>
      </c>
      <c r="K89" s="2" t="n">
        <f>467618</f>
        <v>467618.0</v>
      </c>
    </row>
    <row r="90">
      <c r="A90" s="8" t="s">
        <v>16</v>
      </c>
      <c r="B90" s="9" t="s">
        <v>52</v>
      </c>
      <c r="C90" s="9" t="s">
        <v>53</v>
      </c>
      <c r="D90" s="10"/>
      <c r="E90" s="2" t="n">
        <f>38988</f>
        <v>38988.0</v>
      </c>
      <c r="F90" s="10"/>
      <c r="G90" s="2" t="n">
        <f>74153845850</f>
        <v>7.415384585E10</v>
      </c>
      <c r="H90" s="10"/>
      <c r="I90" s="2" t="n">
        <f>5088</f>
        <v>5088.0</v>
      </c>
      <c r="J90" s="10" t="s">
        <v>43</v>
      </c>
      <c r="K90" s="2" t="n">
        <f>39944</f>
        <v>39944.0</v>
      </c>
    </row>
    <row r="91">
      <c r="A91" s="8" t="s">
        <v>19</v>
      </c>
      <c r="B91" s="9" t="s">
        <v>52</v>
      </c>
      <c r="C91" s="9" t="s">
        <v>53</v>
      </c>
      <c r="D91" s="10"/>
      <c r="E91" s="2" t="n">
        <f>34817</f>
        <v>34817.0</v>
      </c>
      <c r="F91" s="10"/>
      <c r="G91" s="2" t="n">
        <f>66791971550</f>
        <v>6.679197155E10</v>
      </c>
      <c r="H91" s="10"/>
      <c r="I91" s="2" t="n">
        <f>5030</f>
        <v>5030.0</v>
      </c>
      <c r="J91" s="10"/>
      <c r="K91" s="2" t="n">
        <f>37373</f>
        <v>37373.0</v>
      </c>
    </row>
    <row r="92">
      <c r="A92" s="8" t="s">
        <v>20</v>
      </c>
      <c r="B92" s="9" t="s">
        <v>52</v>
      </c>
      <c r="C92" s="9" t="s">
        <v>53</v>
      </c>
      <c r="D92" s="10"/>
      <c r="E92" s="2" t="n">
        <f>28471</f>
        <v>28471.0</v>
      </c>
      <c r="F92" s="10"/>
      <c r="G92" s="2" t="n">
        <f>54795559450</f>
        <v>5.479555945E10</v>
      </c>
      <c r="H92" s="10"/>
      <c r="I92" s="2" t="n">
        <f>3708</f>
        <v>3708.0</v>
      </c>
      <c r="J92" s="10"/>
      <c r="K92" s="2" t="n">
        <f>38510</f>
        <v>38510.0</v>
      </c>
    </row>
    <row r="93">
      <c r="A93" s="8" t="s">
        <v>21</v>
      </c>
      <c r="B93" s="9" t="s">
        <v>52</v>
      </c>
      <c r="C93" s="9" t="s">
        <v>53</v>
      </c>
      <c r="D93" s="10"/>
      <c r="E93" s="2" t="n">
        <f>33740</f>
        <v>33740.0</v>
      </c>
      <c r="F93" s="10"/>
      <c r="G93" s="2" t="n">
        <f>64743509350</f>
        <v>6.474350935E10</v>
      </c>
      <c r="H93" s="10"/>
      <c r="I93" s="2" t="n">
        <f>4732</f>
        <v>4732.0</v>
      </c>
      <c r="J93" s="10"/>
      <c r="K93" s="2" t="n">
        <f>38011</f>
        <v>38011.0</v>
      </c>
    </row>
    <row r="94">
      <c r="A94" s="8" t="s">
        <v>22</v>
      </c>
      <c r="B94" s="9" t="s">
        <v>52</v>
      </c>
      <c r="C94" s="9" t="s">
        <v>53</v>
      </c>
      <c r="D94" s="10"/>
      <c r="E94" s="2"/>
      <c r="F94" s="10"/>
      <c r="G94" s="2"/>
      <c r="H94" s="10"/>
      <c r="I94" s="2"/>
      <c r="J94" s="10"/>
      <c r="K94" s="2"/>
    </row>
    <row r="95">
      <c r="A95" s="8" t="s">
        <v>23</v>
      </c>
      <c r="B95" s="9" t="s">
        <v>52</v>
      </c>
      <c r="C95" s="9" t="s">
        <v>53</v>
      </c>
      <c r="D95" s="10"/>
      <c r="E95" s="2"/>
      <c r="F95" s="10"/>
      <c r="G95" s="2"/>
      <c r="H95" s="10"/>
      <c r="I95" s="2"/>
      <c r="J95" s="10"/>
      <c r="K95" s="2"/>
    </row>
    <row r="96">
      <c r="A96" s="8" t="s">
        <v>24</v>
      </c>
      <c r="B96" s="9" t="s">
        <v>52</v>
      </c>
      <c r="C96" s="9" t="s">
        <v>53</v>
      </c>
      <c r="D96" s="10"/>
      <c r="E96" s="2" t="n">
        <f>33183</f>
        <v>33183.0</v>
      </c>
      <c r="F96" s="10"/>
      <c r="G96" s="2" t="n">
        <f>63669013300</f>
        <v>6.36690133E10</v>
      </c>
      <c r="H96" s="10"/>
      <c r="I96" s="2" t="n">
        <f>4517</f>
        <v>4517.0</v>
      </c>
      <c r="J96" s="10"/>
      <c r="K96" s="2" t="n">
        <f>39269</f>
        <v>39269.0</v>
      </c>
    </row>
    <row r="97">
      <c r="A97" s="8" t="s">
        <v>25</v>
      </c>
      <c r="B97" s="9" t="s">
        <v>52</v>
      </c>
      <c r="C97" s="9" t="s">
        <v>53</v>
      </c>
      <c r="D97" s="10" t="s">
        <v>26</v>
      </c>
      <c r="E97" s="2" t="n">
        <f>27289</f>
        <v>27289.0</v>
      </c>
      <c r="F97" s="10" t="s">
        <v>26</v>
      </c>
      <c r="G97" s="2" t="n">
        <f>52719434630</f>
        <v>5.271943463E10</v>
      </c>
      <c r="H97" s="10" t="s">
        <v>26</v>
      </c>
      <c r="I97" s="2" t="n">
        <f>3294</f>
        <v>3294.0</v>
      </c>
      <c r="J97" s="10"/>
      <c r="K97" s="2" t="n">
        <f>37852</f>
        <v>37852.0</v>
      </c>
    </row>
    <row r="98">
      <c r="A98" s="8" t="s">
        <v>27</v>
      </c>
      <c r="B98" s="9" t="s">
        <v>52</v>
      </c>
      <c r="C98" s="9" t="s">
        <v>53</v>
      </c>
      <c r="D98" s="10"/>
      <c r="E98" s="2" t="n">
        <f>30070</f>
        <v>30070.0</v>
      </c>
      <c r="F98" s="10"/>
      <c r="G98" s="2" t="n">
        <f>58525306760</f>
        <v>5.852530676E10</v>
      </c>
      <c r="H98" s="10"/>
      <c r="I98" s="2" t="n">
        <f>3969</f>
        <v>3969.0</v>
      </c>
      <c r="J98" s="10"/>
      <c r="K98" s="2" t="n">
        <f>35704</f>
        <v>35704.0</v>
      </c>
    </row>
    <row r="99">
      <c r="A99" s="8" t="s">
        <v>28</v>
      </c>
      <c r="B99" s="9" t="s">
        <v>52</v>
      </c>
      <c r="C99" s="9" t="s">
        <v>53</v>
      </c>
      <c r="D99" s="10"/>
      <c r="E99" s="2" t="n">
        <f>29824</f>
        <v>29824.0</v>
      </c>
      <c r="F99" s="10"/>
      <c r="G99" s="2" t="n">
        <f>58459526410</f>
        <v>5.845952641E10</v>
      </c>
      <c r="H99" s="10"/>
      <c r="I99" s="2" t="n">
        <f>4305</f>
        <v>4305.0</v>
      </c>
      <c r="J99" s="10" t="s">
        <v>26</v>
      </c>
      <c r="K99" s="2" t="n">
        <f>34470</f>
        <v>34470.0</v>
      </c>
    </row>
    <row r="100">
      <c r="A100" s="8" t="s">
        <v>29</v>
      </c>
      <c r="B100" s="9" t="s">
        <v>52</v>
      </c>
      <c r="C100" s="9" t="s">
        <v>53</v>
      </c>
      <c r="D100" s="10"/>
      <c r="E100" s="2"/>
      <c r="F100" s="10"/>
      <c r="G100" s="2"/>
      <c r="H100" s="10"/>
      <c r="I100" s="2"/>
      <c r="J100" s="10"/>
      <c r="K100" s="2"/>
    </row>
    <row r="101">
      <c r="A101" s="8" t="s">
        <v>30</v>
      </c>
      <c r="B101" s="9" t="s">
        <v>52</v>
      </c>
      <c r="C101" s="9" t="s">
        <v>53</v>
      </c>
      <c r="D101" s="10"/>
      <c r="E101" s="2"/>
      <c r="F101" s="10"/>
      <c r="G101" s="2"/>
      <c r="H101" s="10"/>
      <c r="I101" s="2"/>
      <c r="J101" s="10"/>
      <c r="K101" s="2"/>
    </row>
    <row r="102">
      <c r="A102" s="8" t="s">
        <v>31</v>
      </c>
      <c r="B102" s="9" t="s">
        <v>52</v>
      </c>
      <c r="C102" s="9" t="s">
        <v>53</v>
      </c>
      <c r="D102" s="10"/>
      <c r="E102" s="2"/>
      <c r="F102" s="10"/>
      <c r="G102" s="2"/>
      <c r="H102" s="10"/>
      <c r="I102" s="2"/>
      <c r="J102" s="10"/>
      <c r="K102" s="2"/>
    </row>
    <row r="103">
      <c r="A103" s="8" t="s">
        <v>32</v>
      </c>
      <c r="B103" s="9" t="s">
        <v>52</v>
      </c>
      <c r="C103" s="9" t="s">
        <v>53</v>
      </c>
      <c r="D103" s="10"/>
      <c r="E103" s="2" t="n">
        <f>47739</f>
        <v>47739.0</v>
      </c>
      <c r="F103" s="10"/>
      <c r="G103" s="2" t="n">
        <f>92402532075</f>
        <v>9.2402532075E10</v>
      </c>
      <c r="H103" s="10"/>
      <c r="I103" s="2" t="n">
        <f>6826</f>
        <v>6826.0</v>
      </c>
      <c r="J103" s="10"/>
      <c r="K103" s="2" t="n">
        <f>36270</f>
        <v>36270.0</v>
      </c>
    </row>
    <row r="104">
      <c r="A104" s="8" t="s">
        <v>33</v>
      </c>
      <c r="B104" s="9" t="s">
        <v>52</v>
      </c>
      <c r="C104" s="9" t="s">
        <v>53</v>
      </c>
      <c r="D104" s="10"/>
      <c r="E104" s="2" t="n">
        <f>46295</f>
        <v>46295.0</v>
      </c>
      <c r="F104" s="10"/>
      <c r="G104" s="2" t="n">
        <f>88955896600</f>
        <v>8.89558966E10</v>
      </c>
      <c r="H104" s="10"/>
      <c r="I104" s="2" t="n">
        <f>5629</f>
        <v>5629.0</v>
      </c>
      <c r="J104" s="10"/>
      <c r="K104" s="2" t="n">
        <f>36328</f>
        <v>36328.0</v>
      </c>
    </row>
    <row r="105">
      <c r="A105" s="8" t="s">
        <v>34</v>
      </c>
      <c r="B105" s="9" t="s">
        <v>52</v>
      </c>
      <c r="C105" s="9" t="s">
        <v>53</v>
      </c>
      <c r="D105" s="10"/>
      <c r="E105" s="2" t="n">
        <f>38409</f>
        <v>38409.0</v>
      </c>
      <c r="F105" s="10"/>
      <c r="G105" s="2" t="n">
        <f>74524734475</f>
        <v>7.4524734475E10</v>
      </c>
      <c r="H105" s="10"/>
      <c r="I105" s="2" t="n">
        <f>5738</f>
        <v>5738.0</v>
      </c>
      <c r="J105" s="10"/>
      <c r="K105" s="2" t="n">
        <f>35611</f>
        <v>35611.0</v>
      </c>
    </row>
    <row r="106">
      <c r="A106" s="8" t="s">
        <v>35</v>
      </c>
      <c r="B106" s="9" t="s">
        <v>52</v>
      </c>
      <c r="C106" s="9" t="s">
        <v>53</v>
      </c>
      <c r="D106" s="10"/>
      <c r="E106" s="2" t="n">
        <f>34410</f>
        <v>34410.0</v>
      </c>
      <c r="F106" s="10"/>
      <c r="G106" s="2" t="n">
        <f>66615778800</f>
        <v>6.66157788E10</v>
      </c>
      <c r="H106" s="10"/>
      <c r="I106" s="2" t="n">
        <f>4621</f>
        <v>4621.0</v>
      </c>
      <c r="J106" s="10"/>
      <c r="K106" s="2" t="n">
        <f>35906</f>
        <v>35906.0</v>
      </c>
    </row>
    <row r="107">
      <c r="A107" s="8" t="s">
        <v>36</v>
      </c>
      <c r="B107" s="9" t="s">
        <v>52</v>
      </c>
      <c r="C107" s="9" t="s">
        <v>53</v>
      </c>
      <c r="D107" s="10"/>
      <c r="E107" s="2" t="n">
        <f>34503</f>
        <v>34503.0</v>
      </c>
      <c r="F107" s="10"/>
      <c r="G107" s="2" t="n">
        <f>66241669175</f>
        <v>6.6241669175E10</v>
      </c>
      <c r="H107" s="10"/>
      <c r="I107" s="2" t="n">
        <f>4546</f>
        <v>4546.0</v>
      </c>
      <c r="J107" s="10"/>
      <c r="K107" s="2" t="n">
        <f>36202</f>
        <v>36202.0</v>
      </c>
    </row>
    <row r="108">
      <c r="A108" s="8" t="s">
        <v>37</v>
      </c>
      <c r="B108" s="9" t="s">
        <v>52</v>
      </c>
      <c r="C108" s="9" t="s">
        <v>53</v>
      </c>
      <c r="D108" s="10"/>
      <c r="E108" s="2"/>
      <c r="F108" s="10"/>
      <c r="G108" s="2"/>
      <c r="H108" s="10"/>
      <c r="I108" s="2"/>
      <c r="J108" s="10"/>
      <c r="K108" s="2"/>
    </row>
    <row r="109">
      <c r="A109" s="8" t="s">
        <v>38</v>
      </c>
      <c r="B109" s="9" t="s">
        <v>52</v>
      </c>
      <c r="C109" s="9" t="s">
        <v>53</v>
      </c>
      <c r="D109" s="10"/>
      <c r="E109" s="2"/>
      <c r="F109" s="10"/>
      <c r="G109" s="2"/>
      <c r="H109" s="10"/>
      <c r="I109" s="2"/>
      <c r="J109" s="10"/>
      <c r="K109" s="2"/>
    </row>
    <row r="110">
      <c r="A110" s="8" t="s">
        <v>39</v>
      </c>
      <c r="B110" s="9" t="s">
        <v>52</v>
      </c>
      <c r="C110" s="9" t="s">
        <v>53</v>
      </c>
      <c r="D110" s="10"/>
      <c r="E110" s="2" t="n">
        <f>33423</f>
        <v>33423.0</v>
      </c>
      <c r="F110" s="10"/>
      <c r="G110" s="2" t="n">
        <f>63721839340</f>
        <v>6.372183934E10</v>
      </c>
      <c r="H110" s="10"/>
      <c r="I110" s="2" t="n">
        <f>3946</f>
        <v>3946.0</v>
      </c>
      <c r="J110" s="10"/>
      <c r="K110" s="2" t="n">
        <f>36247</f>
        <v>36247.0</v>
      </c>
    </row>
    <row r="111">
      <c r="A111" s="8" t="s">
        <v>40</v>
      </c>
      <c r="B111" s="9" t="s">
        <v>52</v>
      </c>
      <c r="C111" s="9" t="s">
        <v>53</v>
      </c>
      <c r="D111" s="10"/>
      <c r="E111" s="2" t="n">
        <f>41814</f>
        <v>41814.0</v>
      </c>
      <c r="F111" s="10"/>
      <c r="G111" s="2" t="n">
        <f>78838689750</f>
        <v>7.883868975E10</v>
      </c>
      <c r="H111" s="10"/>
      <c r="I111" s="2" t="n">
        <f>5468</f>
        <v>5468.0</v>
      </c>
      <c r="J111" s="10"/>
      <c r="K111" s="2" t="n">
        <f>36515</f>
        <v>36515.0</v>
      </c>
    </row>
    <row r="112">
      <c r="A112" s="8" t="s">
        <v>41</v>
      </c>
      <c r="B112" s="9" t="s">
        <v>52</v>
      </c>
      <c r="C112" s="9" t="s">
        <v>53</v>
      </c>
      <c r="D112" s="10"/>
      <c r="E112" s="2"/>
      <c r="F112" s="10"/>
      <c r="G112" s="2"/>
      <c r="H112" s="10"/>
      <c r="I112" s="2"/>
      <c r="J112" s="10"/>
      <c r="K112" s="2"/>
    </row>
    <row r="113">
      <c r="A113" s="8" t="s">
        <v>42</v>
      </c>
      <c r="B113" s="9" t="s">
        <v>52</v>
      </c>
      <c r="C113" s="9" t="s">
        <v>53</v>
      </c>
      <c r="D113" s="10" t="s">
        <v>43</v>
      </c>
      <c r="E113" s="2" t="n">
        <f>66353</f>
        <v>66353.0</v>
      </c>
      <c r="F113" s="10" t="s">
        <v>43</v>
      </c>
      <c r="G113" s="2" t="n">
        <f>124282102260</f>
        <v>1.2428210226E11</v>
      </c>
      <c r="H113" s="10" t="s">
        <v>43</v>
      </c>
      <c r="I113" s="2" t="n">
        <f>8064</f>
        <v>8064.0</v>
      </c>
      <c r="J113" s="10"/>
      <c r="K113" s="2" t="n">
        <f>36974</f>
        <v>36974.0</v>
      </c>
    </row>
    <row r="114">
      <c r="A114" s="8" t="s">
        <v>44</v>
      </c>
      <c r="B114" s="9" t="s">
        <v>52</v>
      </c>
      <c r="C114" s="9" t="s">
        <v>53</v>
      </c>
      <c r="D114" s="10"/>
      <c r="E114" s="2" t="n">
        <f>58146</f>
        <v>58146.0</v>
      </c>
      <c r="F114" s="10"/>
      <c r="G114" s="2" t="n">
        <f>108001212070</f>
        <v>1.0800121207E11</v>
      </c>
      <c r="H114" s="10"/>
      <c r="I114" s="2" t="n">
        <f>7417</f>
        <v>7417.0</v>
      </c>
      <c r="J114" s="10"/>
      <c r="K114" s="2" t="n">
        <f>37598</f>
        <v>37598.0</v>
      </c>
    </row>
    <row r="115">
      <c r="A115" s="8" t="s">
        <v>45</v>
      </c>
      <c r="B115" s="9" t="s">
        <v>52</v>
      </c>
      <c r="C115" s="9" t="s">
        <v>53</v>
      </c>
      <c r="D115" s="10"/>
      <c r="E115" s="2"/>
      <c r="F115" s="10"/>
      <c r="G115" s="2"/>
      <c r="H115" s="10"/>
      <c r="I115" s="2"/>
      <c r="J115" s="10"/>
      <c r="K115" s="2"/>
    </row>
    <row r="116">
      <c r="A116" s="8" t="s">
        <v>46</v>
      </c>
      <c r="B116" s="9" t="s">
        <v>52</v>
      </c>
      <c r="C116" s="9" t="s">
        <v>53</v>
      </c>
      <c r="D116" s="10"/>
      <c r="E116" s="2"/>
      <c r="F116" s="10"/>
      <c r="G116" s="2"/>
      <c r="H116" s="10"/>
      <c r="I116" s="2"/>
      <c r="J116" s="10"/>
      <c r="K116" s="2"/>
    </row>
    <row r="117">
      <c r="A117" s="8" t="s">
        <v>47</v>
      </c>
      <c r="B117" s="9" t="s">
        <v>52</v>
      </c>
      <c r="C117" s="9" t="s">
        <v>53</v>
      </c>
      <c r="D117" s="10"/>
      <c r="E117" s="2" t="n">
        <f>55339</f>
        <v>55339.0</v>
      </c>
      <c r="F117" s="10"/>
      <c r="G117" s="2" t="n">
        <f>104200105710</f>
        <v>1.0420010571E11</v>
      </c>
      <c r="H117" s="10"/>
      <c r="I117" s="2" t="n">
        <f>6686</f>
        <v>6686.0</v>
      </c>
      <c r="J117" s="10"/>
      <c r="K117" s="2" t="n">
        <f>36939</f>
        <v>36939.0</v>
      </c>
    </row>
    <row r="118">
      <c r="A118" s="8" t="s">
        <v>16</v>
      </c>
      <c r="B118" s="9" t="s">
        <v>54</v>
      </c>
      <c r="C118" s="9" t="s">
        <v>55</v>
      </c>
      <c r="D118" s="10"/>
      <c r="E118" s="2" t="n">
        <f>11503</f>
        <v>11503.0</v>
      </c>
      <c r="F118" s="10"/>
      <c r="G118" s="2" t="n">
        <f>19704724398</f>
        <v>1.9704724398E10</v>
      </c>
      <c r="H118" s="10"/>
      <c r="I118" s="2" t="n">
        <f>268</f>
        <v>268.0</v>
      </c>
      <c r="J118" s="10" t="s">
        <v>26</v>
      </c>
      <c r="K118" s="2" t="n">
        <f>49712</f>
        <v>49712.0</v>
      </c>
    </row>
    <row r="119">
      <c r="A119" s="8" t="s">
        <v>19</v>
      </c>
      <c r="B119" s="9" t="s">
        <v>54</v>
      </c>
      <c r="C119" s="9" t="s">
        <v>55</v>
      </c>
      <c r="D119" s="10"/>
      <c r="E119" s="2" t="n">
        <f>11969</f>
        <v>11969.0</v>
      </c>
      <c r="F119" s="10"/>
      <c r="G119" s="2" t="n">
        <f>20686455000</f>
        <v>2.0686455E10</v>
      </c>
      <c r="H119" s="10"/>
      <c r="I119" s="2" t="n">
        <f>1398</f>
        <v>1398.0</v>
      </c>
      <c r="J119" s="10"/>
      <c r="K119" s="2" t="n">
        <f>49778</f>
        <v>49778.0</v>
      </c>
    </row>
    <row r="120">
      <c r="A120" s="8" t="s">
        <v>20</v>
      </c>
      <c r="B120" s="9" t="s">
        <v>54</v>
      </c>
      <c r="C120" s="9" t="s">
        <v>55</v>
      </c>
      <c r="D120" s="10"/>
      <c r="E120" s="2" t="n">
        <f>10412</f>
        <v>10412.0</v>
      </c>
      <c r="F120" s="10"/>
      <c r="G120" s="2" t="n">
        <f>18059233000</f>
        <v>1.8059233E10</v>
      </c>
      <c r="H120" s="10"/>
      <c r="I120" s="2" t="n">
        <f>754</f>
        <v>754.0</v>
      </c>
      <c r="J120" s="10"/>
      <c r="K120" s="2" t="n">
        <f>50384</f>
        <v>50384.0</v>
      </c>
    </row>
    <row r="121">
      <c r="A121" s="8" t="s">
        <v>21</v>
      </c>
      <c r="B121" s="9" t="s">
        <v>54</v>
      </c>
      <c r="C121" s="9" t="s">
        <v>55</v>
      </c>
      <c r="D121" s="10" t="s">
        <v>26</v>
      </c>
      <c r="E121" s="2" t="n">
        <f>7991</f>
        <v>7991.0</v>
      </c>
      <c r="F121" s="10" t="s">
        <v>26</v>
      </c>
      <c r="G121" s="2" t="n">
        <f>13807648000</f>
        <v>1.3807648E10</v>
      </c>
      <c r="H121" s="10"/>
      <c r="I121" s="2" t="n">
        <f>287</f>
        <v>287.0</v>
      </c>
      <c r="J121" s="10"/>
      <c r="K121" s="2" t="n">
        <f>50658</f>
        <v>50658.0</v>
      </c>
    </row>
    <row r="122">
      <c r="A122" s="8" t="s">
        <v>22</v>
      </c>
      <c r="B122" s="9" t="s">
        <v>54</v>
      </c>
      <c r="C122" s="9" t="s">
        <v>55</v>
      </c>
      <c r="D122" s="10"/>
      <c r="E122" s="2"/>
      <c r="F122" s="10"/>
      <c r="G122" s="2"/>
      <c r="H122" s="10"/>
      <c r="I122" s="2"/>
      <c r="J122" s="10"/>
      <c r="K122" s="2"/>
    </row>
    <row r="123">
      <c r="A123" s="8" t="s">
        <v>23</v>
      </c>
      <c r="B123" s="9" t="s">
        <v>54</v>
      </c>
      <c r="C123" s="9" t="s">
        <v>55</v>
      </c>
      <c r="D123" s="10"/>
      <c r="E123" s="2"/>
      <c r="F123" s="10"/>
      <c r="G123" s="2"/>
      <c r="H123" s="10"/>
      <c r="I123" s="2"/>
      <c r="J123" s="10"/>
      <c r="K123" s="2"/>
    </row>
    <row r="124">
      <c r="A124" s="8" t="s">
        <v>24</v>
      </c>
      <c r="B124" s="9" t="s">
        <v>54</v>
      </c>
      <c r="C124" s="9" t="s">
        <v>55</v>
      </c>
      <c r="D124" s="10"/>
      <c r="E124" s="2" t="n">
        <f>8071</f>
        <v>8071.0</v>
      </c>
      <c r="F124" s="10"/>
      <c r="G124" s="2" t="n">
        <f>13941325012</f>
        <v>1.3941325012E10</v>
      </c>
      <c r="H124" s="10" t="s">
        <v>26</v>
      </c>
      <c r="I124" s="2" t="n">
        <f>126</f>
        <v>126.0</v>
      </c>
      <c r="J124" s="10"/>
      <c r="K124" s="2" t="n">
        <f>51171</f>
        <v>51171.0</v>
      </c>
    </row>
    <row r="125">
      <c r="A125" s="8" t="s">
        <v>25</v>
      </c>
      <c r="B125" s="9" t="s">
        <v>54</v>
      </c>
      <c r="C125" s="9" t="s">
        <v>55</v>
      </c>
      <c r="D125" s="10"/>
      <c r="E125" s="2" t="n">
        <f>8926</f>
        <v>8926.0</v>
      </c>
      <c r="F125" s="10"/>
      <c r="G125" s="2" t="n">
        <f>15517245500</f>
        <v>1.55172455E10</v>
      </c>
      <c r="H125" s="10"/>
      <c r="I125" s="2" t="n">
        <f>468</f>
        <v>468.0</v>
      </c>
      <c r="J125" s="10"/>
      <c r="K125" s="2" t="n">
        <f>51270</f>
        <v>51270.0</v>
      </c>
    </row>
    <row r="126">
      <c r="A126" s="8" t="s">
        <v>27</v>
      </c>
      <c r="B126" s="9" t="s">
        <v>54</v>
      </c>
      <c r="C126" s="9" t="s">
        <v>55</v>
      </c>
      <c r="D126" s="10"/>
      <c r="E126" s="2" t="n">
        <f>9478</f>
        <v>9478.0</v>
      </c>
      <c r="F126" s="10"/>
      <c r="G126" s="2" t="n">
        <f>16588640350</f>
        <v>1.658864035E10</v>
      </c>
      <c r="H126" s="10"/>
      <c r="I126" s="2" t="n">
        <f>223</f>
        <v>223.0</v>
      </c>
      <c r="J126" s="10" t="s">
        <v>43</v>
      </c>
      <c r="K126" s="2" t="n">
        <f>51971</f>
        <v>51971.0</v>
      </c>
    </row>
    <row r="127">
      <c r="A127" s="8" t="s">
        <v>28</v>
      </c>
      <c r="B127" s="9" t="s">
        <v>54</v>
      </c>
      <c r="C127" s="9" t="s">
        <v>55</v>
      </c>
      <c r="D127" s="10"/>
      <c r="E127" s="2" t="n">
        <f>9954</f>
        <v>9954.0</v>
      </c>
      <c r="F127" s="10"/>
      <c r="G127" s="2" t="n">
        <f>17549238000</f>
        <v>1.7549238E10</v>
      </c>
      <c r="H127" s="10"/>
      <c r="I127" s="2" t="n">
        <f>472</f>
        <v>472.0</v>
      </c>
      <c r="J127" s="10"/>
      <c r="K127" s="2" t="n">
        <f>51260</f>
        <v>51260.0</v>
      </c>
    </row>
    <row r="128">
      <c r="A128" s="8" t="s">
        <v>29</v>
      </c>
      <c r="B128" s="9" t="s">
        <v>54</v>
      </c>
      <c r="C128" s="9" t="s">
        <v>55</v>
      </c>
      <c r="D128" s="10"/>
      <c r="E128" s="2"/>
      <c r="F128" s="10"/>
      <c r="G128" s="2"/>
      <c r="H128" s="10"/>
      <c r="I128" s="2"/>
      <c r="J128" s="10"/>
      <c r="K128" s="2"/>
    </row>
    <row r="129">
      <c r="A129" s="8" t="s">
        <v>30</v>
      </c>
      <c r="B129" s="9" t="s">
        <v>54</v>
      </c>
      <c r="C129" s="9" t="s">
        <v>55</v>
      </c>
      <c r="D129" s="10"/>
      <c r="E129" s="2"/>
      <c r="F129" s="10"/>
      <c r="G129" s="2"/>
      <c r="H129" s="10"/>
      <c r="I129" s="2"/>
      <c r="J129" s="10"/>
      <c r="K129" s="2"/>
    </row>
    <row r="130">
      <c r="A130" s="8" t="s">
        <v>31</v>
      </c>
      <c r="B130" s="9" t="s">
        <v>54</v>
      </c>
      <c r="C130" s="9" t="s">
        <v>55</v>
      </c>
      <c r="D130" s="10"/>
      <c r="E130" s="2"/>
      <c r="F130" s="10"/>
      <c r="G130" s="2"/>
      <c r="H130" s="10"/>
      <c r="I130" s="2"/>
      <c r="J130" s="10"/>
      <c r="K130" s="2"/>
    </row>
    <row r="131">
      <c r="A131" s="8" t="s">
        <v>32</v>
      </c>
      <c r="B131" s="9" t="s">
        <v>54</v>
      </c>
      <c r="C131" s="9" t="s">
        <v>55</v>
      </c>
      <c r="D131" s="10"/>
      <c r="E131" s="2" t="n">
        <f>13770</f>
        <v>13770.0</v>
      </c>
      <c r="F131" s="10"/>
      <c r="G131" s="2" t="n">
        <f>24009603445</f>
        <v>2.4009603445E10</v>
      </c>
      <c r="H131" s="10"/>
      <c r="I131" s="2" t="n">
        <f>719</f>
        <v>719.0</v>
      </c>
      <c r="J131" s="10"/>
      <c r="K131" s="2" t="n">
        <f>51082</f>
        <v>51082.0</v>
      </c>
    </row>
    <row r="132">
      <c r="A132" s="8" t="s">
        <v>33</v>
      </c>
      <c r="B132" s="9" t="s">
        <v>54</v>
      </c>
      <c r="C132" s="9" t="s">
        <v>55</v>
      </c>
      <c r="D132" s="10"/>
      <c r="E132" s="2" t="n">
        <f>18806</f>
        <v>18806.0</v>
      </c>
      <c r="F132" s="10"/>
      <c r="G132" s="2" t="n">
        <f>32517032879</f>
        <v>3.2517032879E10</v>
      </c>
      <c r="H132" s="10"/>
      <c r="I132" s="2" t="n">
        <f>1038</f>
        <v>1038.0</v>
      </c>
      <c r="J132" s="10"/>
      <c r="K132" s="2" t="n">
        <f>50562</f>
        <v>50562.0</v>
      </c>
    </row>
    <row r="133">
      <c r="A133" s="8" t="s">
        <v>34</v>
      </c>
      <c r="B133" s="9" t="s">
        <v>54</v>
      </c>
      <c r="C133" s="9" t="s">
        <v>55</v>
      </c>
      <c r="D133" s="10"/>
      <c r="E133" s="2" t="n">
        <f>12404</f>
        <v>12404.0</v>
      </c>
      <c r="F133" s="10"/>
      <c r="G133" s="2" t="n">
        <f>21686975000</f>
        <v>2.1686975E10</v>
      </c>
      <c r="H133" s="10"/>
      <c r="I133" s="2" t="n">
        <f>661</f>
        <v>661.0</v>
      </c>
      <c r="J133" s="10"/>
      <c r="K133" s="2" t="n">
        <f>51177</f>
        <v>51177.0</v>
      </c>
    </row>
    <row r="134">
      <c r="A134" s="8" t="s">
        <v>35</v>
      </c>
      <c r="B134" s="9" t="s">
        <v>54</v>
      </c>
      <c r="C134" s="9" t="s">
        <v>55</v>
      </c>
      <c r="D134" s="10"/>
      <c r="E134" s="2" t="n">
        <f>10423</f>
        <v>10423.0</v>
      </c>
      <c r="F134" s="10"/>
      <c r="G134" s="2" t="n">
        <f>18179226000</f>
        <v>1.8179226E10</v>
      </c>
      <c r="H134" s="10"/>
      <c r="I134" s="2" t="n">
        <f>347</f>
        <v>347.0</v>
      </c>
      <c r="J134" s="10"/>
      <c r="K134" s="2" t="n">
        <f>50788</f>
        <v>50788.0</v>
      </c>
    </row>
    <row r="135">
      <c r="A135" s="8" t="s">
        <v>36</v>
      </c>
      <c r="B135" s="9" t="s">
        <v>54</v>
      </c>
      <c r="C135" s="9" t="s">
        <v>55</v>
      </c>
      <c r="D135" s="10"/>
      <c r="E135" s="2" t="n">
        <f>10886</f>
        <v>10886.0</v>
      </c>
      <c r="F135" s="10"/>
      <c r="G135" s="2" t="n">
        <f>18837567500</f>
        <v>1.88375675E10</v>
      </c>
      <c r="H135" s="10"/>
      <c r="I135" s="2" t="n">
        <f>477</f>
        <v>477.0</v>
      </c>
      <c r="J135" s="10"/>
      <c r="K135" s="2" t="n">
        <f>51033</f>
        <v>51033.0</v>
      </c>
    </row>
    <row r="136">
      <c r="A136" s="8" t="s">
        <v>37</v>
      </c>
      <c r="B136" s="9" t="s">
        <v>54</v>
      </c>
      <c r="C136" s="9" t="s">
        <v>55</v>
      </c>
      <c r="D136" s="10"/>
      <c r="E136" s="2"/>
      <c r="F136" s="10"/>
      <c r="G136" s="2"/>
      <c r="H136" s="10"/>
      <c r="I136" s="2"/>
      <c r="J136" s="10"/>
      <c r="K136" s="2"/>
    </row>
    <row r="137">
      <c r="A137" s="8" t="s">
        <v>38</v>
      </c>
      <c r="B137" s="9" t="s">
        <v>54</v>
      </c>
      <c r="C137" s="9" t="s">
        <v>55</v>
      </c>
      <c r="D137" s="10"/>
      <c r="E137" s="2"/>
      <c r="F137" s="10"/>
      <c r="G137" s="2"/>
      <c r="H137" s="10"/>
      <c r="I137" s="2"/>
      <c r="J137" s="10"/>
      <c r="K137" s="2"/>
    </row>
    <row r="138">
      <c r="A138" s="8" t="s">
        <v>39</v>
      </c>
      <c r="B138" s="9" t="s">
        <v>54</v>
      </c>
      <c r="C138" s="9" t="s">
        <v>55</v>
      </c>
      <c r="D138" s="10"/>
      <c r="E138" s="2" t="n">
        <f>11794</f>
        <v>11794.0</v>
      </c>
      <c r="F138" s="10"/>
      <c r="G138" s="2" t="n">
        <f>20259881500</f>
        <v>2.02598815E10</v>
      </c>
      <c r="H138" s="10"/>
      <c r="I138" s="2" t="n">
        <f>589</f>
        <v>589.0</v>
      </c>
      <c r="J138" s="10"/>
      <c r="K138" s="2" t="n">
        <f>50876</f>
        <v>50876.0</v>
      </c>
    </row>
    <row r="139">
      <c r="A139" s="8" t="s">
        <v>40</v>
      </c>
      <c r="B139" s="9" t="s">
        <v>54</v>
      </c>
      <c r="C139" s="9" t="s">
        <v>55</v>
      </c>
      <c r="D139" s="10"/>
      <c r="E139" s="2" t="n">
        <f>16603</f>
        <v>16603.0</v>
      </c>
      <c r="F139" s="10"/>
      <c r="G139" s="2" t="n">
        <f>28190068676</f>
        <v>2.8190068676E10</v>
      </c>
      <c r="H139" s="10" t="s">
        <v>43</v>
      </c>
      <c r="I139" s="2" t="n">
        <f>1442</f>
        <v>1442.0</v>
      </c>
      <c r="J139" s="10"/>
      <c r="K139" s="2" t="n">
        <f>50218</f>
        <v>50218.0</v>
      </c>
    </row>
    <row r="140">
      <c r="A140" s="8" t="s">
        <v>41</v>
      </c>
      <c r="B140" s="9" t="s">
        <v>54</v>
      </c>
      <c r="C140" s="9" t="s">
        <v>55</v>
      </c>
      <c r="D140" s="10"/>
      <c r="E140" s="2"/>
      <c r="F140" s="10"/>
      <c r="G140" s="2"/>
      <c r="H140" s="10"/>
      <c r="I140" s="2"/>
      <c r="J140" s="10"/>
      <c r="K140" s="2"/>
    </row>
    <row r="141">
      <c r="A141" s="8" t="s">
        <v>42</v>
      </c>
      <c r="B141" s="9" t="s">
        <v>54</v>
      </c>
      <c r="C141" s="9" t="s">
        <v>55</v>
      </c>
      <c r="D141" s="10" t="s">
        <v>43</v>
      </c>
      <c r="E141" s="2" t="n">
        <f>27479</f>
        <v>27479.0</v>
      </c>
      <c r="F141" s="10" t="s">
        <v>43</v>
      </c>
      <c r="G141" s="2" t="n">
        <f>46307227000</f>
        <v>4.6307227E10</v>
      </c>
      <c r="H141" s="10"/>
      <c r="I141" s="2" t="n">
        <f>986</f>
        <v>986.0</v>
      </c>
      <c r="J141" s="10"/>
      <c r="K141" s="2" t="n">
        <f>50054</f>
        <v>50054.0</v>
      </c>
    </row>
    <row r="142">
      <c r="A142" s="8" t="s">
        <v>44</v>
      </c>
      <c r="B142" s="9" t="s">
        <v>54</v>
      </c>
      <c r="C142" s="9" t="s">
        <v>55</v>
      </c>
      <c r="D142" s="10"/>
      <c r="E142" s="2" t="n">
        <f>20703</f>
        <v>20703.0</v>
      </c>
      <c r="F142" s="10"/>
      <c r="G142" s="2" t="n">
        <f>34695928661</f>
        <v>3.4695928661E10</v>
      </c>
      <c r="H142" s="10"/>
      <c r="I142" s="2" t="n">
        <f>947</f>
        <v>947.0</v>
      </c>
      <c r="J142" s="10"/>
      <c r="K142" s="2" t="n">
        <f>50840</f>
        <v>50840.0</v>
      </c>
    </row>
    <row r="143">
      <c r="A143" s="8" t="s">
        <v>45</v>
      </c>
      <c r="B143" s="9" t="s">
        <v>54</v>
      </c>
      <c r="C143" s="9" t="s">
        <v>55</v>
      </c>
      <c r="D143" s="10"/>
      <c r="E143" s="2"/>
      <c r="F143" s="10"/>
      <c r="G143" s="2"/>
      <c r="H143" s="10"/>
      <c r="I143" s="2"/>
      <c r="J143" s="10"/>
      <c r="K143" s="2"/>
    </row>
    <row r="144">
      <c r="A144" s="8" t="s">
        <v>46</v>
      </c>
      <c r="B144" s="9" t="s">
        <v>54</v>
      </c>
      <c r="C144" s="9" t="s">
        <v>55</v>
      </c>
      <c r="D144" s="10"/>
      <c r="E144" s="2"/>
      <c r="F144" s="10"/>
      <c r="G144" s="2"/>
      <c r="H144" s="10"/>
      <c r="I144" s="2"/>
      <c r="J144" s="10"/>
      <c r="K144" s="2"/>
    </row>
    <row r="145">
      <c r="A145" s="8" t="s">
        <v>47</v>
      </c>
      <c r="B145" s="9" t="s">
        <v>54</v>
      </c>
      <c r="C145" s="9" t="s">
        <v>55</v>
      </c>
      <c r="D145" s="10"/>
      <c r="E145" s="2" t="n">
        <f>15628</f>
        <v>15628.0</v>
      </c>
      <c r="F145" s="10"/>
      <c r="G145" s="2" t="n">
        <f>26478468000</f>
        <v>2.6478468E10</v>
      </c>
      <c r="H145" s="10"/>
      <c r="I145" s="2" t="n">
        <f>421</f>
        <v>421.0</v>
      </c>
      <c r="J145" s="10"/>
      <c r="K145" s="2" t="n">
        <f>50652</f>
        <v>50652.0</v>
      </c>
    </row>
    <row r="146">
      <c r="A146" s="8" t="s">
        <v>16</v>
      </c>
      <c r="B146" s="9" t="s">
        <v>56</v>
      </c>
      <c r="C146" s="9" t="s">
        <v>57</v>
      </c>
      <c r="D146" s="10" t="s">
        <v>58</v>
      </c>
      <c r="E146" s="2" t="str">
        <f>"－"</f>
        <v>－</v>
      </c>
      <c r="F146" s="10" t="s">
        <v>58</v>
      </c>
      <c r="G146" s="2" t="str">
        <f>"－"</f>
        <v>－</v>
      </c>
      <c r="H146" s="10" t="s">
        <v>58</v>
      </c>
      <c r="I146" s="2" t="str">
        <f>"－"</f>
        <v>－</v>
      </c>
      <c r="J146" s="10" t="s">
        <v>58</v>
      </c>
      <c r="K146" s="2" t="n">
        <f>46</f>
        <v>46.0</v>
      </c>
    </row>
    <row r="147">
      <c r="A147" s="8" t="s">
        <v>19</v>
      </c>
      <c r="B147" s="9" t="s">
        <v>56</v>
      </c>
      <c r="C147" s="9" t="s">
        <v>57</v>
      </c>
      <c r="D147" s="10"/>
      <c r="E147" s="2" t="str">
        <f>"－"</f>
        <v>－</v>
      </c>
      <c r="F147" s="10"/>
      <c r="G147" s="2" t="str">
        <f>"－"</f>
        <v>－</v>
      </c>
      <c r="H147" s="10"/>
      <c r="I147" s="2" t="str">
        <f>"－"</f>
        <v>－</v>
      </c>
      <c r="J147" s="10"/>
      <c r="K147" s="2" t="n">
        <f>46</f>
        <v>46.0</v>
      </c>
    </row>
    <row r="148">
      <c r="A148" s="8" t="s">
        <v>20</v>
      </c>
      <c r="B148" s="9" t="s">
        <v>56</v>
      </c>
      <c r="C148" s="9" t="s">
        <v>57</v>
      </c>
      <c r="D148" s="10"/>
      <c r="E148" s="2" t="str">
        <f>"－"</f>
        <v>－</v>
      </c>
      <c r="F148" s="10"/>
      <c r="G148" s="2" t="str">
        <f>"－"</f>
        <v>－</v>
      </c>
      <c r="H148" s="10"/>
      <c r="I148" s="2" t="str">
        <f>"－"</f>
        <v>－</v>
      </c>
      <c r="J148" s="10"/>
      <c r="K148" s="2" t="n">
        <f>46</f>
        <v>46.0</v>
      </c>
    </row>
    <row r="149">
      <c r="A149" s="8" t="s">
        <v>21</v>
      </c>
      <c r="B149" s="9" t="s">
        <v>56</v>
      </c>
      <c r="C149" s="9" t="s">
        <v>57</v>
      </c>
      <c r="D149" s="10"/>
      <c r="E149" s="2" t="str">
        <f>"－"</f>
        <v>－</v>
      </c>
      <c r="F149" s="10"/>
      <c r="G149" s="2" t="str">
        <f>"－"</f>
        <v>－</v>
      </c>
      <c r="H149" s="10"/>
      <c r="I149" s="2" t="str">
        <f>"－"</f>
        <v>－</v>
      </c>
      <c r="J149" s="10"/>
      <c r="K149" s="2" t="n">
        <f>46</f>
        <v>46.0</v>
      </c>
    </row>
    <row r="150">
      <c r="A150" s="8" t="s">
        <v>22</v>
      </c>
      <c r="B150" s="9" t="s">
        <v>56</v>
      </c>
      <c r="C150" s="9" t="s">
        <v>57</v>
      </c>
      <c r="D150" s="10"/>
      <c r="E150" s="2"/>
      <c r="F150" s="10"/>
      <c r="G150" s="2"/>
      <c r="H150" s="10"/>
      <c r="I150" s="2"/>
      <c r="J150" s="10"/>
      <c r="K150" s="2"/>
    </row>
    <row r="151">
      <c r="A151" s="8" t="s">
        <v>23</v>
      </c>
      <c r="B151" s="9" t="s">
        <v>56</v>
      </c>
      <c r="C151" s="9" t="s">
        <v>57</v>
      </c>
      <c r="D151" s="10"/>
      <c r="E151" s="2"/>
      <c r="F151" s="10"/>
      <c r="G151" s="2"/>
      <c r="H151" s="10"/>
      <c r="I151" s="2"/>
      <c r="J151" s="10"/>
      <c r="K151" s="2"/>
    </row>
    <row r="152">
      <c r="A152" s="8" t="s">
        <v>24</v>
      </c>
      <c r="B152" s="9" t="s">
        <v>56</v>
      </c>
      <c r="C152" s="9" t="s">
        <v>57</v>
      </c>
      <c r="D152" s="10"/>
      <c r="E152" s="2" t="str">
        <f>"－"</f>
        <v>－</v>
      </c>
      <c r="F152" s="10"/>
      <c r="G152" s="2" t="str">
        <f>"－"</f>
        <v>－</v>
      </c>
      <c r="H152" s="10"/>
      <c r="I152" s="2" t="str">
        <f>"－"</f>
        <v>－</v>
      </c>
      <c r="J152" s="10"/>
      <c r="K152" s="2" t="n">
        <f>46</f>
        <v>46.0</v>
      </c>
    </row>
    <row r="153">
      <c r="A153" s="8" t="s">
        <v>25</v>
      </c>
      <c r="B153" s="9" t="s">
        <v>56</v>
      </c>
      <c r="C153" s="9" t="s">
        <v>57</v>
      </c>
      <c r="D153" s="10"/>
      <c r="E153" s="2" t="str">
        <f>"－"</f>
        <v>－</v>
      </c>
      <c r="F153" s="10"/>
      <c r="G153" s="2" t="str">
        <f>"－"</f>
        <v>－</v>
      </c>
      <c r="H153" s="10"/>
      <c r="I153" s="2" t="str">
        <f>"－"</f>
        <v>－</v>
      </c>
      <c r="J153" s="10"/>
      <c r="K153" s="2" t="n">
        <f>46</f>
        <v>46.0</v>
      </c>
    </row>
    <row r="154">
      <c r="A154" s="8" t="s">
        <v>27</v>
      </c>
      <c r="B154" s="9" t="s">
        <v>56</v>
      </c>
      <c r="C154" s="9" t="s">
        <v>57</v>
      </c>
      <c r="D154" s="10"/>
      <c r="E154" s="2" t="str">
        <f>"－"</f>
        <v>－</v>
      </c>
      <c r="F154" s="10"/>
      <c r="G154" s="2" t="str">
        <f>"－"</f>
        <v>－</v>
      </c>
      <c r="H154" s="10"/>
      <c r="I154" s="2" t="str">
        <f>"－"</f>
        <v>－</v>
      </c>
      <c r="J154" s="10"/>
      <c r="K154" s="2" t="n">
        <f>46</f>
        <v>46.0</v>
      </c>
    </row>
    <row r="155">
      <c r="A155" s="8" t="s">
        <v>28</v>
      </c>
      <c r="B155" s="9" t="s">
        <v>56</v>
      </c>
      <c r="C155" s="9" t="s">
        <v>57</v>
      </c>
      <c r="D155" s="10"/>
      <c r="E155" s="2" t="str">
        <f>"－"</f>
        <v>－</v>
      </c>
      <c r="F155" s="10"/>
      <c r="G155" s="2" t="str">
        <f>"－"</f>
        <v>－</v>
      </c>
      <c r="H155" s="10"/>
      <c r="I155" s="2" t="str">
        <f>"－"</f>
        <v>－</v>
      </c>
      <c r="J155" s="10"/>
      <c r="K155" s="2" t="n">
        <f>46</f>
        <v>46.0</v>
      </c>
    </row>
    <row r="156">
      <c r="A156" s="8" t="s">
        <v>29</v>
      </c>
      <c r="B156" s="9" t="s">
        <v>56</v>
      </c>
      <c r="C156" s="9" t="s">
        <v>57</v>
      </c>
      <c r="D156" s="10"/>
      <c r="E156" s="2"/>
      <c r="F156" s="10"/>
      <c r="G156" s="2"/>
      <c r="H156" s="10"/>
      <c r="I156" s="2"/>
      <c r="J156" s="10"/>
      <c r="K156" s="2"/>
    </row>
    <row r="157">
      <c r="A157" s="8" t="s">
        <v>30</v>
      </c>
      <c r="B157" s="9" t="s">
        <v>56</v>
      </c>
      <c r="C157" s="9" t="s">
        <v>57</v>
      </c>
      <c r="D157" s="10"/>
      <c r="E157" s="2"/>
      <c r="F157" s="10"/>
      <c r="G157" s="2"/>
      <c r="H157" s="10"/>
      <c r="I157" s="2"/>
      <c r="J157" s="10"/>
      <c r="K157" s="2"/>
    </row>
    <row r="158">
      <c r="A158" s="8" t="s">
        <v>31</v>
      </c>
      <c r="B158" s="9" t="s">
        <v>56</v>
      </c>
      <c r="C158" s="9" t="s">
        <v>57</v>
      </c>
      <c r="D158" s="10"/>
      <c r="E158" s="2"/>
      <c r="F158" s="10"/>
      <c r="G158" s="2"/>
      <c r="H158" s="10"/>
      <c r="I158" s="2"/>
      <c r="J158" s="10"/>
      <c r="K158" s="2"/>
    </row>
    <row r="159">
      <c r="A159" s="8" t="s">
        <v>32</v>
      </c>
      <c r="B159" s="9" t="s">
        <v>56</v>
      </c>
      <c r="C159" s="9" t="s">
        <v>57</v>
      </c>
      <c r="D159" s="10"/>
      <c r="E159" s="2" t="str">
        <f>"－"</f>
        <v>－</v>
      </c>
      <c r="F159" s="10"/>
      <c r="G159" s="2" t="str">
        <f>"－"</f>
        <v>－</v>
      </c>
      <c r="H159" s="10"/>
      <c r="I159" s="2" t="str">
        <f>"－"</f>
        <v>－</v>
      </c>
      <c r="J159" s="10"/>
      <c r="K159" s="2" t="n">
        <f>46</f>
        <v>46.0</v>
      </c>
    </row>
    <row r="160">
      <c r="A160" s="8" t="s">
        <v>33</v>
      </c>
      <c r="B160" s="9" t="s">
        <v>56</v>
      </c>
      <c r="C160" s="9" t="s">
        <v>57</v>
      </c>
      <c r="D160" s="10"/>
      <c r="E160" s="2" t="str">
        <f>"－"</f>
        <v>－</v>
      </c>
      <c r="F160" s="10"/>
      <c r="G160" s="2" t="str">
        <f>"－"</f>
        <v>－</v>
      </c>
      <c r="H160" s="10"/>
      <c r="I160" s="2" t="str">
        <f>"－"</f>
        <v>－</v>
      </c>
      <c r="J160" s="10"/>
      <c r="K160" s="2" t="n">
        <f>46</f>
        <v>46.0</v>
      </c>
    </row>
    <row r="161">
      <c r="A161" s="8" t="s">
        <v>34</v>
      </c>
      <c r="B161" s="9" t="s">
        <v>56</v>
      </c>
      <c r="C161" s="9" t="s">
        <v>57</v>
      </c>
      <c r="D161" s="10"/>
      <c r="E161" s="2" t="str">
        <f>"－"</f>
        <v>－</v>
      </c>
      <c r="F161" s="10"/>
      <c r="G161" s="2" t="str">
        <f>"－"</f>
        <v>－</v>
      </c>
      <c r="H161" s="10"/>
      <c r="I161" s="2" t="str">
        <f>"－"</f>
        <v>－</v>
      </c>
      <c r="J161" s="10"/>
      <c r="K161" s="2" t="n">
        <f>46</f>
        <v>46.0</v>
      </c>
    </row>
    <row r="162">
      <c r="A162" s="8" t="s">
        <v>35</v>
      </c>
      <c r="B162" s="9" t="s">
        <v>56</v>
      </c>
      <c r="C162" s="9" t="s">
        <v>57</v>
      </c>
      <c r="D162" s="10"/>
      <c r="E162" s="2" t="str">
        <f>"－"</f>
        <v>－</v>
      </c>
      <c r="F162" s="10"/>
      <c r="G162" s="2" t="str">
        <f>"－"</f>
        <v>－</v>
      </c>
      <c r="H162" s="10"/>
      <c r="I162" s="2" t="str">
        <f>"－"</f>
        <v>－</v>
      </c>
      <c r="J162" s="10"/>
      <c r="K162" s="2" t="n">
        <f>46</f>
        <v>46.0</v>
      </c>
    </row>
    <row r="163">
      <c r="A163" s="8" t="s">
        <v>36</v>
      </c>
      <c r="B163" s="9" t="s">
        <v>56</v>
      </c>
      <c r="C163" s="9" t="s">
        <v>57</v>
      </c>
      <c r="D163" s="10"/>
      <c r="E163" s="2" t="str">
        <f>"－"</f>
        <v>－</v>
      </c>
      <c r="F163" s="10"/>
      <c r="G163" s="2" t="str">
        <f>"－"</f>
        <v>－</v>
      </c>
      <c r="H163" s="10"/>
      <c r="I163" s="2" t="str">
        <f>"－"</f>
        <v>－</v>
      </c>
      <c r="J163" s="10"/>
      <c r="K163" s="2" t="n">
        <f>46</f>
        <v>46.0</v>
      </c>
    </row>
    <row r="164">
      <c r="A164" s="8" t="s">
        <v>37</v>
      </c>
      <c r="B164" s="9" t="s">
        <v>56</v>
      </c>
      <c r="C164" s="9" t="s">
        <v>57</v>
      </c>
      <c r="D164" s="10"/>
      <c r="E164" s="2"/>
      <c r="F164" s="10"/>
      <c r="G164" s="2"/>
      <c r="H164" s="10"/>
      <c r="I164" s="2"/>
      <c r="J164" s="10"/>
      <c r="K164" s="2"/>
    </row>
    <row r="165">
      <c r="A165" s="8" t="s">
        <v>38</v>
      </c>
      <c r="B165" s="9" t="s">
        <v>56</v>
      </c>
      <c r="C165" s="9" t="s">
        <v>57</v>
      </c>
      <c r="D165" s="10"/>
      <c r="E165" s="2"/>
      <c r="F165" s="10"/>
      <c r="G165" s="2"/>
      <c r="H165" s="10"/>
      <c r="I165" s="2"/>
      <c r="J165" s="10"/>
      <c r="K165" s="2"/>
    </row>
    <row r="166">
      <c r="A166" s="8" t="s">
        <v>39</v>
      </c>
      <c r="B166" s="9" t="s">
        <v>56</v>
      </c>
      <c r="C166" s="9" t="s">
        <v>57</v>
      </c>
      <c r="D166" s="10"/>
      <c r="E166" s="2" t="str">
        <f>"－"</f>
        <v>－</v>
      </c>
      <c r="F166" s="10"/>
      <c r="G166" s="2" t="str">
        <f>"－"</f>
        <v>－</v>
      </c>
      <c r="H166" s="10"/>
      <c r="I166" s="2" t="str">
        <f>"－"</f>
        <v>－</v>
      </c>
      <c r="J166" s="10"/>
      <c r="K166" s="2" t="n">
        <f>46</f>
        <v>46.0</v>
      </c>
    </row>
    <row r="167">
      <c r="A167" s="8" t="s">
        <v>40</v>
      </c>
      <c r="B167" s="9" t="s">
        <v>56</v>
      </c>
      <c r="C167" s="9" t="s">
        <v>57</v>
      </c>
      <c r="D167" s="10"/>
      <c r="E167" s="2" t="str">
        <f>"－"</f>
        <v>－</v>
      </c>
      <c r="F167" s="10"/>
      <c r="G167" s="2" t="str">
        <f>"－"</f>
        <v>－</v>
      </c>
      <c r="H167" s="10"/>
      <c r="I167" s="2" t="str">
        <f>"－"</f>
        <v>－</v>
      </c>
      <c r="J167" s="10"/>
      <c r="K167" s="2" t="n">
        <f>46</f>
        <v>46.0</v>
      </c>
    </row>
    <row r="168">
      <c r="A168" s="8" t="s">
        <v>41</v>
      </c>
      <c r="B168" s="9" t="s">
        <v>56</v>
      </c>
      <c r="C168" s="9" t="s">
        <v>57</v>
      </c>
      <c r="D168" s="10"/>
      <c r="E168" s="2"/>
      <c r="F168" s="10"/>
      <c r="G168" s="2"/>
      <c r="H168" s="10"/>
      <c r="I168" s="2"/>
      <c r="J168" s="10"/>
      <c r="K168" s="2"/>
    </row>
    <row r="169">
      <c r="A169" s="8" t="s">
        <v>42</v>
      </c>
      <c r="B169" s="9" t="s">
        <v>56</v>
      </c>
      <c r="C169" s="9" t="s">
        <v>57</v>
      </c>
      <c r="D169" s="10"/>
      <c r="E169" s="2" t="str">
        <f>"－"</f>
        <v>－</v>
      </c>
      <c r="F169" s="10"/>
      <c r="G169" s="2" t="str">
        <f>"－"</f>
        <v>－</v>
      </c>
      <c r="H169" s="10"/>
      <c r="I169" s="2" t="str">
        <f>"－"</f>
        <v>－</v>
      </c>
      <c r="J169" s="10"/>
      <c r="K169" s="2" t="n">
        <f>46</f>
        <v>46.0</v>
      </c>
    </row>
    <row r="170">
      <c r="A170" s="8" t="s">
        <v>44</v>
      </c>
      <c r="B170" s="9" t="s">
        <v>56</v>
      </c>
      <c r="C170" s="9" t="s">
        <v>57</v>
      </c>
      <c r="D170" s="10"/>
      <c r="E170" s="2" t="str">
        <f>"－"</f>
        <v>－</v>
      </c>
      <c r="F170" s="10"/>
      <c r="G170" s="2" t="str">
        <f>"－"</f>
        <v>－</v>
      </c>
      <c r="H170" s="10"/>
      <c r="I170" s="2" t="str">
        <f>"－"</f>
        <v>－</v>
      </c>
      <c r="J170" s="10"/>
      <c r="K170" s="2" t="n">
        <f>46</f>
        <v>46.0</v>
      </c>
    </row>
    <row r="171">
      <c r="A171" s="8" t="s">
        <v>45</v>
      </c>
      <c r="B171" s="9" t="s">
        <v>56</v>
      </c>
      <c r="C171" s="9" t="s">
        <v>57</v>
      </c>
      <c r="D171" s="10"/>
      <c r="E171" s="2"/>
      <c r="F171" s="10"/>
      <c r="G171" s="2"/>
      <c r="H171" s="10"/>
      <c r="I171" s="2"/>
      <c r="J171" s="10"/>
      <c r="K171" s="2"/>
    </row>
    <row r="172">
      <c r="A172" s="8" t="s">
        <v>46</v>
      </c>
      <c r="B172" s="9" t="s">
        <v>56</v>
      </c>
      <c r="C172" s="9" t="s">
        <v>57</v>
      </c>
      <c r="D172" s="10"/>
      <c r="E172" s="2"/>
      <c r="F172" s="10"/>
      <c r="G172" s="2"/>
      <c r="H172" s="10"/>
      <c r="I172" s="2"/>
      <c r="J172" s="10"/>
      <c r="K172" s="2"/>
    </row>
    <row r="173">
      <c r="A173" s="8" t="s">
        <v>47</v>
      </c>
      <c r="B173" s="9" t="s">
        <v>56</v>
      </c>
      <c r="C173" s="9" t="s">
        <v>57</v>
      </c>
      <c r="D173" s="10"/>
      <c r="E173" s="2" t="str">
        <f>"－"</f>
        <v>－</v>
      </c>
      <c r="F173" s="10"/>
      <c r="G173" s="2" t="str">
        <f>"－"</f>
        <v>－</v>
      </c>
      <c r="H173" s="10"/>
      <c r="I173" s="2" t="str">
        <f>"－"</f>
        <v>－</v>
      </c>
      <c r="J173" s="10"/>
      <c r="K173" s="2" t="n">
        <f>46</f>
        <v>46.0</v>
      </c>
    </row>
    <row r="174">
      <c r="A174" s="8" t="s">
        <v>16</v>
      </c>
      <c r="B174" s="9" t="s">
        <v>59</v>
      </c>
      <c r="C174" s="9" t="s">
        <v>60</v>
      </c>
      <c r="D174" s="10"/>
      <c r="E174" s="2" t="n">
        <f>147</f>
        <v>147.0</v>
      </c>
      <c r="F174" s="10"/>
      <c r="G174" s="2" t="n">
        <f>230016780</f>
        <v>2.3001678E8</v>
      </c>
      <c r="H174" s="10"/>
      <c r="I174" s="2" t="n">
        <f>147</f>
        <v>147.0</v>
      </c>
      <c r="J174" s="10" t="s">
        <v>26</v>
      </c>
      <c r="K174" s="2" t="n">
        <f>31732</f>
        <v>31732.0</v>
      </c>
    </row>
    <row r="175">
      <c r="A175" s="8" t="s">
        <v>19</v>
      </c>
      <c r="B175" s="9" t="s">
        <v>59</v>
      </c>
      <c r="C175" s="9" t="s">
        <v>60</v>
      </c>
      <c r="D175" s="10" t="s">
        <v>26</v>
      </c>
      <c r="E175" s="2" t="str">
        <f>"－"</f>
        <v>－</v>
      </c>
      <c r="F175" s="10" t="s">
        <v>26</v>
      </c>
      <c r="G175" s="2" t="str">
        <f>"－"</f>
        <v>－</v>
      </c>
      <c r="H175" s="10" t="s">
        <v>26</v>
      </c>
      <c r="I175" s="2" t="str">
        <f>"－"</f>
        <v>－</v>
      </c>
      <c r="J175" s="10"/>
      <c r="K175" s="2" t="n">
        <f>31732</f>
        <v>31732.0</v>
      </c>
    </row>
    <row r="176">
      <c r="A176" s="8" t="s">
        <v>20</v>
      </c>
      <c r="B176" s="9" t="s">
        <v>59</v>
      </c>
      <c r="C176" s="9" t="s">
        <v>60</v>
      </c>
      <c r="D176" s="10"/>
      <c r="E176" s="2" t="str">
        <f>"－"</f>
        <v>－</v>
      </c>
      <c r="F176" s="10"/>
      <c r="G176" s="2" t="str">
        <f>"－"</f>
        <v>－</v>
      </c>
      <c r="H176" s="10"/>
      <c r="I176" s="2" t="str">
        <f>"－"</f>
        <v>－</v>
      </c>
      <c r="J176" s="10"/>
      <c r="K176" s="2" t="n">
        <f>31732</f>
        <v>31732.0</v>
      </c>
    </row>
    <row r="177">
      <c r="A177" s="8" t="s">
        <v>21</v>
      </c>
      <c r="B177" s="9" t="s">
        <v>59</v>
      </c>
      <c r="C177" s="9" t="s">
        <v>60</v>
      </c>
      <c r="D177" s="10" t="s">
        <v>43</v>
      </c>
      <c r="E177" s="2" t="n">
        <f>720</f>
        <v>720.0</v>
      </c>
      <c r="F177" s="10" t="s">
        <v>43</v>
      </c>
      <c r="G177" s="2" t="n">
        <f>1160640000</f>
        <v>1.16064E9</v>
      </c>
      <c r="H177" s="10" t="s">
        <v>43</v>
      </c>
      <c r="I177" s="2" t="n">
        <f>720</f>
        <v>720.0</v>
      </c>
      <c r="J177" s="10"/>
      <c r="K177" s="2" t="n">
        <f>32452</f>
        <v>32452.0</v>
      </c>
    </row>
    <row r="178">
      <c r="A178" s="8" t="s">
        <v>22</v>
      </c>
      <c r="B178" s="9" t="s">
        <v>59</v>
      </c>
      <c r="C178" s="9" t="s">
        <v>60</v>
      </c>
      <c r="D178" s="10"/>
      <c r="E178" s="2"/>
      <c r="F178" s="10"/>
      <c r="G178" s="2"/>
      <c r="H178" s="10"/>
      <c r="I178" s="2"/>
      <c r="J178" s="10"/>
      <c r="K178" s="2"/>
    </row>
    <row r="179">
      <c r="A179" s="8" t="s">
        <v>23</v>
      </c>
      <c r="B179" s="9" t="s">
        <v>59</v>
      </c>
      <c r="C179" s="9" t="s">
        <v>60</v>
      </c>
      <c r="D179" s="10"/>
      <c r="E179" s="2"/>
      <c r="F179" s="10"/>
      <c r="G179" s="2"/>
      <c r="H179" s="10"/>
      <c r="I179" s="2"/>
      <c r="J179" s="10"/>
      <c r="K179" s="2"/>
    </row>
    <row r="180">
      <c r="A180" s="8" t="s">
        <v>24</v>
      </c>
      <c r="B180" s="9" t="s">
        <v>59</v>
      </c>
      <c r="C180" s="9" t="s">
        <v>60</v>
      </c>
      <c r="D180" s="10"/>
      <c r="E180" s="2" t="str">
        <f>"－"</f>
        <v>－</v>
      </c>
      <c r="F180" s="10"/>
      <c r="G180" s="2" t="str">
        <f>"－"</f>
        <v>－</v>
      </c>
      <c r="H180" s="10"/>
      <c r="I180" s="2" t="str">
        <f>"－"</f>
        <v>－</v>
      </c>
      <c r="J180" s="10"/>
      <c r="K180" s="2" t="n">
        <f>32452</f>
        <v>32452.0</v>
      </c>
    </row>
    <row r="181">
      <c r="A181" s="8" t="s">
        <v>25</v>
      </c>
      <c r="B181" s="9" t="s">
        <v>59</v>
      </c>
      <c r="C181" s="9" t="s">
        <v>60</v>
      </c>
      <c r="D181" s="10"/>
      <c r="E181" s="2" t="str">
        <f>"－"</f>
        <v>－</v>
      </c>
      <c r="F181" s="10"/>
      <c r="G181" s="2" t="str">
        <f>"－"</f>
        <v>－</v>
      </c>
      <c r="H181" s="10"/>
      <c r="I181" s="2" t="str">
        <f>"－"</f>
        <v>－</v>
      </c>
      <c r="J181" s="10"/>
      <c r="K181" s="2" t="n">
        <f>32452</f>
        <v>32452.0</v>
      </c>
    </row>
    <row r="182">
      <c r="A182" s="8" t="s">
        <v>27</v>
      </c>
      <c r="B182" s="9" t="s">
        <v>59</v>
      </c>
      <c r="C182" s="9" t="s">
        <v>60</v>
      </c>
      <c r="D182" s="10"/>
      <c r="E182" s="2" t="str">
        <f>"－"</f>
        <v>－</v>
      </c>
      <c r="F182" s="10"/>
      <c r="G182" s="2" t="str">
        <f>"－"</f>
        <v>－</v>
      </c>
      <c r="H182" s="10"/>
      <c r="I182" s="2" t="str">
        <f>"－"</f>
        <v>－</v>
      </c>
      <c r="J182" s="10"/>
      <c r="K182" s="2" t="n">
        <f>32452</f>
        <v>32452.0</v>
      </c>
    </row>
    <row r="183">
      <c r="A183" s="8" t="s">
        <v>28</v>
      </c>
      <c r="B183" s="9" t="s">
        <v>59</v>
      </c>
      <c r="C183" s="9" t="s">
        <v>60</v>
      </c>
      <c r="D183" s="10"/>
      <c r="E183" s="2" t="n">
        <f>138</f>
        <v>138.0</v>
      </c>
      <c r="F183" s="10"/>
      <c r="G183" s="2" t="n">
        <f>229742400</f>
        <v>2.297424E8</v>
      </c>
      <c r="H183" s="10"/>
      <c r="I183" s="2" t="n">
        <f>138</f>
        <v>138.0</v>
      </c>
      <c r="J183" s="10"/>
      <c r="K183" s="2" t="n">
        <f>32590</f>
        <v>32590.0</v>
      </c>
    </row>
    <row r="184">
      <c r="A184" s="8" t="s">
        <v>29</v>
      </c>
      <c r="B184" s="9" t="s">
        <v>59</v>
      </c>
      <c r="C184" s="9" t="s">
        <v>60</v>
      </c>
      <c r="D184" s="10"/>
      <c r="E184" s="2"/>
      <c r="F184" s="10"/>
      <c r="G184" s="2"/>
      <c r="H184" s="10"/>
      <c r="I184" s="2"/>
      <c r="J184" s="10"/>
      <c r="K184" s="2"/>
    </row>
    <row r="185">
      <c r="A185" s="8" t="s">
        <v>30</v>
      </c>
      <c r="B185" s="9" t="s">
        <v>59</v>
      </c>
      <c r="C185" s="9" t="s">
        <v>60</v>
      </c>
      <c r="D185" s="10"/>
      <c r="E185" s="2"/>
      <c r="F185" s="10"/>
      <c r="G185" s="2"/>
      <c r="H185" s="10"/>
      <c r="I185" s="2"/>
      <c r="J185" s="10"/>
      <c r="K185" s="2"/>
    </row>
    <row r="186">
      <c r="A186" s="8" t="s">
        <v>31</v>
      </c>
      <c r="B186" s="9" t="s">
        <v>59</v>
      </c>
      <c r="C186" s="9" t="s">
        <v>60</v>
      </c>
      <c r="D186" s="10"/>
      <c r="E186" s="2"/>
      <c r="F186" s="10"/>
      <c r="G186" s="2"/>
      <c r="H186" s="10"/>
      <c r="I186" s="2"/>
      <c r="J186" s="10"/>
      <c r="K186" s="2"/>
    </row>
    <row r="187">
      <c r="A187" s="8" t="s">
        <v>32</v>
      </c>
      <c r="B187" s="9" t="s">
        <v>59</v>
      </c>
      <c r="C187" s="9" t="s">
        <v>60</v>
      </c>
      <c r="D187" s="10"/>
      <c r="E187" s="2" t="str">
        <f>"－"</f>
        <v>－</v>
      </c>
      <c r="F187" s="10"/>
      <c r="G187" s="2" t="str">
        <f>"－"</f>
        <v>－</v>
      </c>
      <c r="H187" s="10"/>
      <c r="I187" s="2" t="str">
        <f>"－"</f>
        <v>－</v>
      </c>
      <c r="J187" s="10"/>
      <c r="K187" s="2" t="n">
        <f>32590</f>
        <v>32590.0</v>
      </c>
    </row>
    <row r="188">
      <c r="A188" s="8" t="s">
        <v>33</v>
      </c>
      <c r="B188" s="9" t="s">
        <v>59</v>
      </c>
      <c r="C188" s="9" t="s">
        <v>60</v>
      </c>
      <c r="D188" s="10"/>
      <c r="E188" s="2" t="str">
        <f>"－"</f>
        <v>－</v>
      </c>
      <c r="F188" s="10"/>
      <c r="G188" s="2" t="str">
        <f>"－"</f>
        <v>－</v>
      </c>
      <c r="H188" s="10"/>
      <c r="I188" s="2" t="str">
        <f>"－"</f>
        <v>－</v>
      </c>
      <c r="J188" s="10"/>
      <c r="K188" s="2" t="n">
        <f>32590</f>
        <v>32590.0</v>
      </c>
    </row>
    <row r="189">
      <c r="A189" s="8" t="s">
        <v>34</v>
      </c>
      <c r="B189" s="9" t="s">
        <v>59</v>
      </c>
      <c r="C189" s="9" t="s">
        <v>60</v>
      </c>
      <c r="D189" s="10"/>
      <c r="E189" s="2" t="str">
        <f>"－"</f>
        <v>－</v>
      </c>
      <c r="F189" s="10"/>
      <c r="G189" s="2" t="str">
        <f>"－"</f>
        <v>－</v>
      </c>
      <c r="H189" s="10"/>
      <c r="I189" s="2" t="str">
        <f>"－"</f>
        <v>－</v>
      </c>
      <c r="J189" s="10"/>
      <c r="K189" s="2" t="n">
        <f>32590</f>
        <v>32590.0</v>
      </c>
    </row>
    <row r="190">
      <c r="A190" s="8" t="s">
        <v>35</v>
      </c>
      <c r="B190" s="9" t="s">
        <v>59</v>
      </c>
      <c r="C190" s="9" t="s">
        <v>60</v>
      </c>
      <c r="D190" s="10"/>
      <c r="E190" s="2" t="n">
        <f>542</f>
        <v>542.0</v>
      </c>
      <c r="F190" s="10"/>
      <c r="G190" s="2" t="n">
        <f>897010000</f>
        <v>8.9701E8</v>
      </c>
      <c r="H190" s="10"/>
      <c r="I190" s="2" t="n">
        <f>217</f>
        <v>217.0</v>
      </c>
      <c r="J190" s="10"/>
      <c r="K190" s="2" t="n">
        <f>32590</f>
        <v>32590.0</v>
      </c>
    </row>
    <row r="191">
      <c r="A191" s="8" t="s">
        <v>36</v>
      </c>
      <c r="B191" s="9" t="s">
        <v>59</v>
      </c>
      <c r="C191" s="9" t="s">
        <v>60</v>
      </c>
      <c r="D191" s="10"/>
      <c r="E191" s="2" t="n">
        <f>142</f>
        <v>142.0</v>
      </c>
      <c r="F191" s="10"/>
      <c r="G191" s="2" t="n">
        <f>230799842</f>
        <v>2.30799842E8</v>
      </c>
      <c r="H191" s="10"/>
      <c r="I191" s="2" t="n">
        <f>142</f>
        <v>142.0</v>
      </c>
      <c r="J191" s="10"/>
      <c r="K191" s="2" t="n">
        <f>32590</f>
        <v>32590.0</v>
      </c>
    </row>
    <row r="192">
      <c r="A192" s="8" t="s">
        <v>37</v>
      </c>
      <c r="B192" s="9" t="s">
        <v>59</v>
      </c>
      <c r="C192" s="9" t="s">
        <v>60</v>
      </c>
      <c r="D192" s="10"/>
      <c r="E192" s="2"/>
      <c r="F192" s="10"/>
      <c r="G192" s="2"/>
      <c r="H192" s="10"/>
      <c r="I192" s="2"/>
      <c r="J192" s="10"/>
      <c r="K192" s="2"/>
    </row>
    <row r="193">
      <c r="A193" s="8" t="s">
        <v>38</v>
      </c>
      <c r="B193" s="9" t="s">
        <v>59</v>
      </c>
      <c r="C193" s="9" t="s">
        <v>60</v>
      </c>
      <c r="D193" s="10"/>
      <c r="E193" s="2"/>
      <c r="F193" s="10"/>
      <c r="G193" s="2"/>
      <c r="H193" s="10"/>
      <c r="I193" s="2"/>
      <c r="J193" s="10"/>
      <c r="K193" s="2"/>
    </row>
    <row r="194">
      <c r="A194" s="8" t="s">
        <v>39</v>
      </c>
      <c r="B194" s="9" t="s">
        <v>59</v>
      </c>
      <c r="C194" s="9" t="s">
        <v>60</v>
      </c>
      <c r="D194" s="10"/>
      <c r="E194" s="2" t="str">
        <f>"－"</f>
        <v>－</v>
      </c>
      <c r="F194" s="10"/>
      <c r="G194" s="2" t="str">
        <f>"－"</f>
        <v>－</v>
      </c>
      <c r="H194" s="10"/>
      <c r="I194" s="2" t="str">
        <f>"－"</f>
        <v>－</v>
      </c>
      <c r="J194" s="10"/>
      <c r="K194" s="2" t="n">
        <f>32590</f>
        <v>32590.0</v>
      </c>
    </row>
    <row r="195">
      <c r="A195" s="8" t="s">
        <v>40</v>
      </c>
      <c r="B195" s="9" t="s">
        <v>59</v>
      </c>
      <c r="C195" s="9" t="s">
        <v>60</v>
      </c>
      <c r="D195" s="10"/>
      <c r="E195" s="2" t="str">
        <f>"－"</f>
        <v>－</v>
      </c>
      <c r="F195" s="10"/>
      <c r="G195" s="2" t="str">
        <f>"－"</f>
        <v>－</v>
      </c>
      <c r="H195" s="10"/>
      <c r="I195" s="2" t="str">
        <f>"－"</f>
        <v>－</v>
      </c>
      <c r="J195" s="10"/>
      <c r="K195" s="2" t="n">
        <f>32590</f>
        <v>32590.0</v>
      </c>
    </row>
    <row r="196">
      <c r="A196" s="8" t="s">
        <v>41</v>
      </c>
      <c r="B196" s="9" t="s">
        <v>59</v>
      </c>
      <c r="C196" s="9" t="s">
        <v>60</v>
      </c>
      <c r="D196" s="10"/>
      <c r="E196" s="2"/>
      <c r="F196" s="10"/>
      <c r="G196" s="2"/>
      <c r="H196" s="10"/>
      <c r="I196" s="2"/>
      <c r="J196" s="10"/>
      <c r="K196" s="2"/>
    </row>
    <row r="197">
      <c r="A197" s="8" t="s">
        <v>42</v>
      </c>
      <c r="B197" s="9" t="s">
        <v>59</v>
      </c>
      <c r="C197" s="9" t="s">
        <v>60</v>
      </c>
      <c r="D197" s="10"/>
      <c r="E197" s="2" t="n">
        <f>65</f>
        <v>65.0</v>
      </c>
      <c r="F197" s="10"/>
      <c r="G197" s="2" t="n">
        <f>105795000</f>
        <v>1.05795E8</v>
      </c>
      <c r="H197" s="10"/>
      <c r="I197" s="2" t="str">
        <f>"－"</f>
        <v>－</v>
      </c>
      <c r="J197" s="10" t="s">
        <v>43</v>
      </c>
      <c r="K197" s="2" t="n">
        <f>32655</f>
        <v>32655.0</v>
      </c>
    </row>
    <row r="198">
      <c r="A198" s="8" t="s">
        <v>44</v>
      </c>
      <c r="B198" s="9" t="s">
        <v>59</v>
      </c>
      <c r="C198" s="9" t="s">
        <v>60</v>
      </c>
      <c r="D198" s="10"/>
      <c r="E198" s="2" t="str">
        <f>"－"</f>
        <v>－</v>
      </c>
      <c r="F198" s="10"/>
      <c r="G198" s="2" t="str">
        <f>"－"</f>
        <v>－</v>
      </c>
      <c r="H198" s="10"/>
      <c r="I198" s="2" t="str">
        <f>"－"</f>
        <v>－</v>
      </c>
      <c r="J198" s="10"/>
      <c r="K198" s="2" t="n">
        <f>32655</f>
        <v>32655.0</v>
      </c>
    </row>
    <row r="199">
      <c r="A199" s="8" t="s">
        <v>45</v>
      </c>
      <c r="B199" s="9" t="s">
        <v>59</v>
      </c>
      <c r="C199" s="9" t="s">
        <v>60</v>
      </c>
      <c r="D199" s="10"/>
      <c r="E199" s="2"/>
      <c r="F199" s="10"/>
      <c r="G199" s="2"/>
      <c r="H199" s="10"/>
      <c r="I199" s="2"/>
      <c r="J199" s="10"/>
      <c r="K199" s="2"/>
    </row>
    <row r="200">
      <c r="A200" s="8" t="s">
        <v>46</v>
      </c>
      <c r="B200" s="9" t="s">
        <v>59</v>
      </c>
      <c r="C200" s="9" t="s">
        <v>60</v>
      </c>
      <c r="D200" s="10"/>
      <c r="E200" s="2"/>
      <c r="F200" s="10"/>
      <c r="G200" s="2"/>
      <c r="H200" s="10"/>
      <c r="I200" s="2"/>
      <c r="J200" s="10"/>
      <c r="K200" s="2"/>
    </row>
    <row r="201">
      <c r="A201" s="8" t="s">
        <v>47</v>
      </c>
      <c r="B201" s="9" t="s">
        <v>59</v>
      </c>
      <c r="C201" s="9" t="s">
        <v>60</v>
      </c>
      <c r="D201" s="10"/>
      <c r="E201" s="2" t="n">
        <f>542</f>
        <v>542.0</v>
      </c>
      <c r="F201" s="10"/>
      <c r="G201" s="2" t="n">
        <f>848772000</f>
        <v>8.48772E8</v>
      </c>
      <c r="H201" s="10"/>
      <c r="I201" s="2" t="n">
        <f>217</f>
        <v>217.0</v>
      </c>
      <c r="J201" s="10"/>
      <c r="K201" s="2" t="n">
        <f>32655</f>
        <v>32655.0</v>
      </c>
    </row>
    <row r="202">
      <c r="A202" s="8" t="s">
        <v>16</v>
      </c>
      <c r="B202" s="9" t="s">
        <v>61</v>
      </c>
      <c r="C202" s="9" t="s">
        <v>62</v>
      </c>
      <c r="D202" s="10"/>
      <c r="E202" s="2" t="n">
        <f>976</f>
        <v>976.0</v>
      </c>
      <c r="F202" s="10"/>
      <c r="G202" s="2" t="n">
        <f>1871541200</f>
        <v>1.8715412E9</v>
      </c>
      <c r="H202" s="10" t="s">
        <v>43</v>
      </c>
      <c r="I202" s="2" t="n">
        <f>76</f>
        <v>76.0</v>
      </c>
      <c r="J202" s="10"/>
      <c r="K202" s="2" t="n">
        <f>81387</f>
        <v>81387.0</v>
      </c>
    </row>
    <row r="203">
      <c r="A203" s="8" t="s">
        <v>19</v>
      </c>
      <c r="B203" s="9" t="s">
        <v>61</v>
      </c>
      <c r="C203" s="9" t="s">
        <v>62</v>
      </c>
      <c r="D203" s="10" t="s">
        <v>26</v>
      </c>
      <c r="E203" s="2" t="n">
        <f>147</f>
        <v>147.0</v>
      </c>
      <c r="F203" s="10" t="s">
        <v>26</v>
      </c>
      <c r="G203" s="2" t="n">
        <f>282016000</f>
        <v>2.82016E8</v>
      </c>
      <c r="H203" s="10" t="s">
        <v>26</v>
      </c>
      <c r="I203" s="2" t="str">
        <f>"－"</f>
        <v>－</v>
      </c>
      <c r="J203" s="10"/>
      <c r="K203" s="2" t="n">
        <f>81400</f>
        <v>81400.0</v>
      </c>
    </row>
    <row r="204">
      <c r="A204" s="8" t="s">
        <v>20</v>
      </c>
      <c r="B204" s="9" t="s">
        <v>61</v>
      </c>
      <c r="C204" s="9" t="s">
        <v>62</v>
      </c>
      <c r="D204" s="10"/>
      <c r="E204" s="2" t="n">
        <f>823</f>
        <v>823.0</v>
      </c>
      <c r="F204" s="10"/>
      <c r="G204" s="2" t="n">
        <f>1589387090</f>
        <v>1.58938709E9</v>
      </c>
      <c r="H204" s="10"/>
      <c r="I204" s="2" t="str">
        <f>"－"</f>
        <v>－</v>
      </c>
      <c r="J204" s="10"/>
      <c r="K204" s="2" t="n">
        <f>81847</f>
        <v>81847.0</v>
      </c>
    </row>
    <row r="205">
      <c r="A205" s="8" t="s">
        <v>21</v>
      </c>
      <c r="B205" s="9" t="s">
        <v>61</v>
      </c>
      <c r="C205" s="9" t="s">
        <v>62</v>
      </c>
      <c r="D205" s="10"/>
      <c r="E205" s="2" t="n">
        <f>428</f>
        <v>428.0</v>
      </c>
      <c r="F205" s="10"/>
      <c r="G205" s="2" t="n">
        <f>821986050</f>
        <v>8.2198605E8</v>
      </c>
      <c r="H205" s="10"/>
      <c r="I205" s="2" t="str">
        <f>"－"</f>
        <v>－</v>
      </c>
      <c r="J205" s="10"/>
      <c r="K205" s="2" t="n">
        <f>81902</f>
        <v>81902.0</v>
      </c>
    </row>
    <row r="206">
      <c r="A206" s="8" t="s">
        <v>22</v>
      </c>
      <c r="B206" s="9" t="s">
        <v>61</v>
      </c>
      <c r="C206" s="9" t="s">
        <v>62</v>
      </c>
      <c r="D206" s="10"/>
      <c r="E206" s="2"/>
      <c r="F206" s="10"/>
      <c r="G206" s="2"/>
      <c r="H206" s="10"/>
      <c r="I206" s="2"/>
      <c r="J206" s="10"/>
      <c r="K206" s="2"/>
    </row>
    <row r="207">
      <c r="A207" s="8" t="s">
        <v>23</v>
      </c>
      <c r="B207" s="9" t="s">
        <v>61</v>
      </c>
      <c r="C207" s="9" t="s">
        <v>62</v>
      </c>
      <c r="D207" s="10"/>
      <c r="E207" s="2"/>
      <c r="F207" s="10"/>
      <c r="G207" s="2"/>
      <c r="H207" s="10"/>
      <c r="I207" s="2"/>
      <c r="J207" s="10"/>
      <c r="K207" s="2"/>
    </row>
    <row r="208">
      <c r="A208" s="8" t="s">
        <v>24</v>
      </c>
      <c r="B208" s="9" t="s">
        <v>61</v>
      </c>
      <c r="C208" s="9" t="s">
        <v>62</v>
      </c>
      <c r="D208" s="10"/>
      <c r="E208" s="2" t="n">
        <f>168</f>
        <v>168.0</v>
      </c>
      <c r="F208" s="10"/>
      <c r="G208" s="2" t="n">
        <f>319223820</f>
        <v>3.1922382E8</v>
      </c>
      <c r="H208" s="10"/>
      <c r="I208" s="2" t="str">
        <f>"－"</f>
        <v>－</v>
      </c>
      <c r="J208" s="10"/>
      <c r="K208" s="2" t="n">
        <f>81936</f>
        <v>81936.0</v>
      </c>
    </row>
    <row r="209">
      <c r="A209" s="8" t="s">
        <v>25</v>
      </c>
      <c r="B209" s="9" t="s">
        <v>61</v>
      </c>
      <c r="C209" s="9" t="s">
        <v>62</v>
      </c>
      <c r="D209" s="10"/>
      <c r="E209" s="2" t="n">
        <f>217</f>
        <v>217.0</v>
      </c>
      <c r="F209" s="10"/>
      <c r="G209" s="2" t="n">
        <f>407414860</f>
        <v>4.0741486E8</v>
      </c>
      <c r="H209" s="10"/>
      <c r="I209" s="2" t="str">
        <f>"－"</f>
        <v>－</v>
      </c>
      <c r="J209" s="10"/>
      <c r="K209" s="2" t="n">
        <f>81986</f>
        <v>81986.0</v>
      </c>
    </row>
    <row r="210">
      <c r="A210" s="8" t="s">
        <v>27</v>
      </c>
      <c r="B210" s="9" t="s">
        <v>61</v>
      </c>
      <c r="C210" s="9" t="s">
        <v>62</v>
      </c>
      <c r="D210" s="10"/>
      <c r="E210" s="2" t="n">
        <f>530</f>
        <v>530.0</v>
      </c>
      <c r="F210" s="10"/>
      <c r="G210" s="2" t="n">
        <f>987059500</f>
        <v>9.870595E8</v>
      </c>
      <c r="H210" s="10"/>
      <c r="I210" s="2" t="n">
        <f>58</f>
        <v>58.0</v>
      </c>
      <c r="J210" s="10"/>
      <c r="K210" s="2" t="n">
        <f>81956</f>
        <v>81956.0</v>
      </c>
    </row>
    <row r="211">
      <c r="A211" s="8" t="s">
        <v>28</v>
      </c>
      <c r="B211" s="9" t="s">
        <v>61</v>
      </c>
      <c r="C211" s="9" t="s">
        <v>62</v>
      </c>
      <c r="D211" s="10"/>
      <c r="E211" s="2" t="n">
        <f>985</f>
        <v>985.0</v>
      </c>
      <c r="F211" s="10"/>
      <c r="G211" s="2" t="n">
        <f>1889066220</f>
        <v>1.88906622E9</v>
      </c>
      <c r="H211" s="10"/>
      <c r="I211" s="2" t="n">
        <f>2</f>
        <v>2.0</v>
      </c>
      <c r="J211" s="10"/>
      <c r="K211" s="2" t="n">
        <f>81593</f>
        <v>81593.0</v>
      </c>
    </row>
    <row r="212">
      <c r="A212" s="8" t="s">
        <v>29</v>
      </c>
      <c r="B212" s="9" t="s">
        <v>61</v>
      </c>
      <c r="C212" s="9" t="s">
        <v>62</v>
      </c>
      <c r="D212" s="10"/>
      <c r="E212" s="2"/>
      <c r="F212" s="10"/>
      <c r="G212" s="2"/>
      <c r="H212" s="10"/>
      <c r="I212" s="2"/>
      <c r="J212" s="10"/>
      <c r="K212" s="2"/>
    </row>
    <row r="213">
      <c r="A213" s="8" t="s">
        <v>30</v>
      </c>
      <c r="B213" s="9" t="s">
        <v>61</v>
      </c>
      <c r="C213" s="9" t="s">
        <v>62</v>
      </c>
      <c r="D213" s="10"/>
      <c r="E213" s="2"/>
      <c r="F213" s="10"/>
      <c r="G213" s="2"/>
      <c r="H213" s="10"/>
      <c r="I213" s="2"/>
      <c r="J213" s="10"/>
      <c r="K213" s="2"/>
    </row>
    <row r="214">
      <c r="A214" s="8" t="s">
        <v>31</v>
      </c>
      <c r="B214" s="9" t="s">
        <v>61</v>
      </c>
      <c r="C214" s="9" t="s">
        <v>62</v>
      </c>
      <c r="D214" s="10"/>
      <c r="E214" s="2"/>
      <c r="F214" s="10"/>
      <c r="G214" s="2"/>
      <c r="H214" s="10"/>
      <c r="I214" s="2"/>
      <c r="J214" s="10"/>
      <c r="K214" s="2"/>
    </row>
    <row r="215">
      <c r="A215" s="8" t="s">
        <v>32</v>
      </c>
      <c r="B215" s="9" t="s">
        <v>61</v>
      </c>
      <c r="C215" s="9" t="s">
        <v>62</v>
      </c>
      <c r="D215" s="10"/>
      <c r="E215" s="2" t="n">
        <f>235</f>
        <v>235.0</v>
      </c>
      <c r="F215" s="10"/>
      <c r="G215" s="2" t="n">
        <f>442499480</f>
        <v>4.4249948E8</v>
      </c>
      <c r="H215" s="10"/>
      <c r="I215" s="2" t="str">
        <f>"－"</f>
        <v>－</v>
      </c>
      <c r="J215" s="10"/>
      <c r="K215" s="2" t="n">
        <f>81704</f>
        <v>81704.0</v>
      </c>
    </row>
    <row r="216">
      <c r="A216" s="8" t="s">
        <v>33</v>
      </c>
      <c r="B216" s="9" t="s">
        <v>61</v>
      </c>
      <c r="C216" s="9" t="s">
        <v>62</v>
      </c>
      <c r="D216" s="10"/>
      <c r="E216" s="2" t="n">
        <f>1779</f>
        <v>1779.0</v>
      </c>
      <c r="F216" s="10"/>
      <c r="G216" s="2" t="n">
        <f>3306150100</f>
        <v>3.3061501E9</v>
      </c>
      <c r="H216" s="10"/>
      <c r="I216" s="2" t="str">
        <f>"－"</f>
        <v>－</v>
      </c>
      <c r="J216" s="10"/>
      <c r="K216" s="2" t="n">
        <f>81754</f>
        <v>81754.0</v>
      </c>
    </row>
    <row r="217">
      <c r="A217" s="8" t="s">
        <v>34</v>
      </c>
      <c r="B217" s="9" t="s">
        <v>61</v>
      </c>
      <c r="C217" s="9" t="s">
        <v>62</v>
      </c>
      <c r="D217" s="10"/>
      <c r="E217" s="2" t="n">
        <f>740</f>
        <v>740.0</v>
      </c>
      <c r="F217" s="10"/>
      <c r="G217" s="2" t="n">
        <f>1394596800</f>
        <v>1.3945968E9</v>
      </c>
      <c r="H217" s="10"/>
      <c r="I217" s="2" t="n">
        <f>10</f>
        <v>10.0</v>
      </c>
      <c r="J217" s="10"/>
      <c r="K217" s="2" t="n">
        <f>82167</f>
        <v>82167.0</v>
      </c>
    </row>
    <row r="218">
      <c r="A218" s="8" t="s">
        <v>35</v>
      </c>
      <c r="B218" s="9" t="s">
        <v>61</v>
      </c>
      <c r="C218" s="9" t="s">
        <v>62</v>
      </c>
      <c r="D218" s="10"/>
      <c r="E218" s="2" t="n">
        <f>499</f>
        <v>499.0</v>
      </c>
      <c r="F218" s="10"/>
      <c r="G218" s="2" t="n">
        <f>947626500</f>
        <v>9.476265E8</v>
      </c>
      <c r="H218" s="10"/>
      <c r="I218" s="2" t="n">
        <f>10</f>
        <v>10.0</v>
      </c>
      <c r="J218" s="10"/>
      <c r="K218" s="2" t="n">
        <f>82588</f>
        <v>82588.0</v>
      </c>
    </row>
    <row r="219">
      <c r="A219" s="8" t="s">
        <v>36</v>
      </c>
      <c r="B219" s="9" t="s">
        <v>61</v>
      </c>
      <c r="C219" s="9" t="s">
        <v>62</v>
      </c>
      <c r="D219" s="10"/>
      <c r="E219" s="2" t="n">
        <f>490</f>
        <v>490.0</v>
      </c>
      <c r="F219" s="10"/>
      <c r="G219" s="2" t="n">
        <f>925327840</f>
        <v>9.2532784E8</v>
      </c>
      <c r="H219" s="10"/>
      <c r="I219" s="2" t="str">
        <f>"－"</f>
        <v>－</v>
      </c>
      <c r="J219" s="10" t="s">
        <v>43</v>
      </c>
      <c r="K219" s="2" t="n">
        <f>82859</f>
        <v>82859.0</v>
      </c>
    </row>
    <row r="220">
      <c r="A220" s="8" t="s">
        <v>37</v>
      </c>
      <c r="B220" s="9" t="s">
        <v>61</v>
      </c>
      <c r="C220" s="9" t="s">
        <v>62</v>
      </c>
      <c r="D220" s="10"/>
      <c r="E220" s="2"/>
      <c r="F220" s="10"/>
      <c r="G220" s="2"/>
      <c r="H220" s="10"/>
      <c r="I220" s="2"/>
      <c r="J220" s="10"/>
      <c r="K220" s="2"/>
    </row>
    <row r="221">
      <c r="A221" s="8" t="s">
        <v>38</v>
      </c>
      <c r="B221" s="9" t="s">
        <v>61</v>
      </c>
      <c r="C221" s="9" t="s">
        <v>62</v>
      </c>
      <c r="D221" s="10"/>
      <c r="E221" s="2"/>
      <c r="F221" s="10"/>
      <c r="G221" s="2"/>
      <c r="H221" s="10"/>
      <c r="I221" s="2"/>
      <c r="J221" s="10"/>
      <c r="K221" s="2"/>
    </row>
    <row r="222">
      <c r="A222" s="8" t="s">
        <v>39</v>
      </c>
      <c r="B222" s="9" t="s">
        <v>61</v>
      </c>
      <c r="C222" s="9" t="s">
        <v>62</v>
      </c>
      <c r="D222" s="10"/>
      <c r="E222" s="2" t="n">
        <f>424</f>
        <v>424.0</v>
      </c>
      <c r="F222" s="10"/>
      <c r="G222" s="2" t="n">
        <f>799515650</f>
        <v>7.9951565E8</v>
      </c>
      <c r="H222" s="10"/>
      <c r="I222" s="2" t="str">
        <f>"－"</f>
        <v>－</v>
      </c>
      <c r="J222" s="10"/>
      <c r="K222" s="2" t="n">
        <f>82604</f>
        <v>82604.0</v>
      </c>
    </row>
    <row r="223">
      <c r="A223" s="8" t="s">
        <v>40</v>
      </c>
      <c r="B223" s="9" t="s">
        <v>61</v>
      </c>
      <c r="C223" s="9" t="s">
        <v>62</v>
      </c>
      <c r="D223" s="10"/>
      <c r="E223" s="2" t="n">
        <f>1760</f>
        <v>1760.0</v>
      </c>
      <c r="F223" s="10"/>
      <c r="G223" s="2" t="n">
        <f>3265596160</f>
        <v>3.26559616E9</v>
      </c>
      <c r="H223" s="10"/>
      <c r="I223" s="2" t="n">
        <f>1</f>
        <v>1.0</v>
      </c>
      <c r="J223" s="10"/>
      <c r="K223" s="2" t="n">
        <f>82467</f>
        <v>82467.0</v>
      </c>
    </row>
    <row r="224">
      <c r="A224" s="8" t="s">
        <v>41</v>
      </c>
      <c r="B224" s="9" t="s">
        <v>61</v>
      </c>
      <c r="C224" s="9" t="s">
        <v>62</v>
      </c>
      <c r="D224" s="10"/>
      <c r="E224" s="2"/>
      <c r="F224" s="10"/>
      <c r="G224" s="2"/>
      <c r="H224" s="10"/>
      <c r="I224" s="2"/>
      <c r="J224" s="10"/>
      <c r="K224" s="2"/>
    </row>
    <row r="225">
      <c r="A225" s="8" t="s">
        <v>42</v>
      </c>
      <c r="B225" s="9" t="s">
        <v>61</v>
      </c>
      <c r="C225" s="9" t="s">
        <v>62</v>
      </c>
      <c r="D225" s="10" t="s">
        <v>43</v>
      </c>
      <c r="E225" s="2" t="n">
        <f>12784</f>
        <v>12784.0</v>
      </c>
      <c r="F225" s="10" t="s">
        <v>43</v>
      </c>
      <c r="G225" s="2" t="n">
        <f>23794832020</f>
        <v>2.379483202E10</v>
      </c>
      <c r="H225" s="10"/>
      <c r="I225" s="2" t="str">
        <f>"－"</f>
        <v>－</v>
      </c>
      <c r="J225" s="10"/>
      <c r="K225" s="2" t="n">
        <f>76636</f>
        <v>76636.0</v>
      </c>
    </row>
    <row r="226">
      <c r="A226" s="8" t="s">
        <v>44</v>
      </c>
      <c r="B226" s="9" t="s">
        <v>61</v>
      </c>
      <c r="C226" s="9" t="s">
        <v>62</v>
      </c>
      <c r="D226" s="10"/>
      <c r="E226" s="2" t="n">
        <f>8806</f>
        <v>8806.0</v>
      </c>
      <c r="F226" s="10"/>
      <c r="G226" s="2" t="n">
        <f>16400080950</f>
        <v>1.640008095E10</v>
      </c>
      <c r="H226" s="10"/>
      <c r="I226" s="2" t="n">
        <f>36</f>
        <v>36.0</v>
      </c>
      <c r="J226" s="10" t="s">
        <v>26</v>
      </c>
      <c r="K226" s="2" t="n">
        <f>74817</f>
        <v>74817.0</v>
      </c>
    </row>
    <row r="227">
      <c r="A227" s="8" t="s">
        <v>45</v>
      </c>
      <c r="B227" s="9" t="s">
        <v>61</v>
      </c>
      <c r="C227" s="9" t="s">
        <v>62</v>
      </c>
      <c r="D227" s="10"/>
      <c r="E227" s="2"/>
      <c r="F227" s="10"/>
      <c r="G227" s="2"/>
      <c r="H227" s="10"/>
      <c r="I227" s="2"/>
      <c r="J227" s="10"/>
      <c r="K227" s="2"/>
    </row>
    <row r="228">
      <c r="A228" s="8" t="s">
        <v>46</v>
      </c>
      <c r="B228" s="9" t="s">
        <v>61</v>
      </c>
      <c r="C228" s="9" t="s">
        <v>62</v>
      </c>
      <c r="D228" s="10"/>
      <c r="E228" s="2"/>
      <c r="F228" s="10"/>
      <c r="G228" s="2"/>
      <c r="H228" s="10"/>
      <c r="I228" s="2"/>
      <c r="J228" s="10"/>
      <c r="K228" s="2"/>
    </row>
    <row r="229">
      <c r="A229" s="8" t="s">
        <v>47</v>
      </c>
      <c r="B229" s="9" t="s">
        <v>61</v>
      </c>
      <c r="C229" s="9" t="s">
        <v>62</v>
      </c>
      <c r="D229" s="10"/>
      <c r="E229" s="2" t="n">
        <f>1374</f>
        <v>1374.0</v>
      </c>
      <c r="F229" s="10"/>
      <c r="G229" s="2" t="n">
        <f>2558371820</f>
        <v>2.55837182E9</v>
      </c>
      <c r="H229" s="10"/>
      <c r="I229" s="2" t="n">
        <f>1</f>
        <v>1.0</v>
      </c>
      <c r="J229" s="10"/>
      <c r="K229" s="2" t="n">
        <f>74926</f>
        <v>74926.0</v>
      </c>
    </row>
    <row r="230">
      <c r="A230" s="8" t="s">
        <v>16</v>
      </c>
      <c r="B230" s="9" t="s">
        <v>63</v>
      </c>
      <c r="C230" s="9" t="s">
        <v>64</v>
      </c>
      <c r="D230" s="10" t="s">
        <v>58</v>
      </c>
      <c r="E230" s="2" t="str">
        <f>"－"</f>
        <v>－</v>
      </c>
      <c r="F230" s="10" t="s">
        <v>58</v>
      </c>
      <c r="G230" s="2" t="str">
        <f>"－"</f>
        <v>－</v>
      </c>
      <c r="H230" s="10" t="s">
        <v>58</v>
      </c>
      <c r="I230" s="2" t="str">
        <f>"－"</f>
        <v>－</v>
      </c>
      <c r="J230" s="10" t="s">
        <v>58</v>
      </c>
      <c r="K230" s="2" t="str">
        <f>"－"</f>
        <v>－</v>
      </c>
    </row>
    <row r="231">
      <c r="A231" s="8" t="s">
        <v>19</v>
      </c>
      <c r="B231" s="9" t="s">
        <v>63</v>
      </c>
      <c r="C231" s="9" t="s">
        <v>64</v>
      </c>
      <c r="D231" s="10"/>
      <c r="E231" s="2" t="str">
        <f>"－"</f>
        <v>－</v>
      </c>
      <c r="F231" s="10"/>
      <c r="G231" s="2" t="str">
        <f>"－"</f>
        <v>－</v>
      </c>
      <c r="H231" s="10"/>
      <c r="I231" s="2" t="str">
        <f>"－"</f>
        <v>－</v>
      </c>
      <c r="J231" s="10"/>
      <c r="K231" s="2" t="str">
        <f>"－"</f>
        <v>－</v>
      </c>
    </row>
    <row r="232">
      <c r="A232" s="8" t="s">
        <v>20</v>
      </c>
      <c r="B232" s="9" t="s">
        <v>63</v>
      </c>
      <c r="C232" s="9" t="s">
        <v>64</v>
      </c>
      <c r="D232" s="10"/>
      <c r="E232" s="2" t="str">
        <f>"－"</f>
        <v>－</v>
      </c>
      <c r="F232" s="10"/>
      <c r="G232" s="2" t="str">
        <f>"－"</f>
        <v>－</v>
      </c>
      <c r="H232" s="10"/>
      <c r="I232" s="2" t="str">
        <f>"－"</f>
        <v>－</v>
      </c>
      <c r="J232" s="10"/>
      <c r="K232" s="2" t="str">
        <f>"－"</f>
        <v>－</v>
      </c>
    </row>
    <row r="233">
      <c r="A233" s="8" t="s">
        <v>21</v>
      </c>
      <c r="B233" s="9" t="s">
        <v>63</v>
      </c>
      <c r="C233" s="9" t="s">
        <v>64</v>
      </c>
      <c r="D233" s="10"/>
      <c r="E233" s="2" t="str">
        <f>"－"</f>
        <v>－</v>
      </c>
      <c r="F233" s="10"/>
      <c r="G233" s="2" t="str">
        <f>"－"</f>
        <v>－</v>
      </c>
      <c r="H233" s="10"/>
      <c r="I233" s="2" t="str">
        <f>"－"</f>
        <v>－</v>
      </c>
      <c r="J233" s="10"/>
      <c r="K233" s="2" t="str">
        <f>"－"</f>
        <v>－</v>
      </c>
    </row>
    <row r="234">
      <c r="A234" s="8" t="s">
        <v>22</v>
      </c>
      <c r="B234" s="9" t="s">
        <v>63</v>
      </c>
      <c r="C234" s="9" t="s">
        <v>64</v>
      </c>
      <c r="D234" s="10"/>
      <c r="E234" s="2"/>
      <c r="F234" s="10"/>
      <c r="G234" s="2"/>
      <c r="H234" s="10"/>
      <c r="I234" s="2"/>
      <c r="J234" s="10"/>
      <c r="K234" s="2"/>
    </row>
    <row r="235">
      <c r="A235" s="8" t="s">
        <v>23</v>
      </c>
      <c r="B235" s="9" t="s">
        <v>63</v>
      </c>
      <c r="C235" s="9" t="s">
        <v>64</v>
      </c>
      <c r="D235" s="10"/>
      <c r="E235" s="2"/>
      <c r="F235" s="10"/>
      <c r="G235" s="2"/>
      <c r="H235" s="10"/>
      <c r="I235" s="2"/>
      <c r="J235" s="10"/>
      <c r="K235" s="2"/>
    </row>
    <row r="236">
      <c r="A236" s="8" t="s">
        <v>24</v>
      </c>
      <c r="B236" s="9" t="s">
        <v>63</v>
      </c>
      <c r="C236" s="9" t="s">
        <v>64</v>
      </c>
      <c r="D236" s="10"/>
      <c r="E236" s="2" t="str">
        <f>"－"</f>
        <v>－</v>
      </c>
      <c r="F236" s="10"/>
      <c r="G236" s="2" t="str">
        <f>"－"</f>
        <v>－</v>
      </c>
      <c r="H236" s="10"/>
      <c r="I236" s="2" t="str">
        <f>"－"</f>
        <v>－</v>
      </c>
      <c r="J236" s="10"/>
      <c r="K236" s="2" t="str">
        <f>"－"</f>
        <v>－</v>
      </c>
    </row>
    <row r="237">
      <c r="A237" s="8" t="s">
        <v>25</v>
      </c>
      <c r="B237" s="9" t="s">
        <v>63</v>
      </c>
      <c r="C237" s="9" t="s">
        <v>64</v>
      </c>
      <c r="D237" s="10"/>
      <c r="E237" s="2" t="str">
        <f>"－"</f>
        <v>－</v>
      </c>
      <c r="F237" s="10"/>
      <c r="G237" s="2" t="str">
        <f>"－"</f>
        <v>－</v>
      </c>
      <c r="H237" s="10"/>
      <c r="I237" s="2" t="str">
        <f>"－"</f>
        <v>－</v>
      </c>
      <c r="J237" s="10"/>
      <c r="K237" s="2" t="str">
        <f>"－"</f>
        <v>－</v>
      </c>
    </row>
    <row r="238">
      <c r="A238" s="8" t="s">
        <v>27</v>
      </c>
      <c r="B238" s="9" t="s">
        <v>63</v>
      </c>
      <c r="C238" s="9" t="s">
        <v>64</v>
      </c>
      <c r="D238" s="10"/>
      <c r="E238" s="2" t="str">
        <f>"－"</f>
        <v>－</v>
      </c>
      <c r="F238" s="10"/>
      <c r="G238" s="2" t="str">
        <f>"－"</f>
        <v>－</v>
      </c>
      <c r="H238" s="10"/>
      <c r="I238" s="2" t="str">
        <f>"－"</f>
        <v>－</v>
      </c>
      <c r="J238" s="10"/>
      <c r="K238" s="2" t="str">
        <f>"－"</f>
        <v>－</v>
      </c>
    </row>
    <row r="239">
      <c r="A239" s="8" t="s">
        <v>28</v>
      </c>
      <c r="B239" s="9" t="s">
        <v>63</v>
      </c>
      <c r="C239" s="9" t="s">
        <v>64</v>
      </c>
      <c r="D239" s="10"/>
      <c r="E239" s="2" t="str">
        <f>"－"</f>
        <v>－</v>
      </c>
      <c r="F239" s="10"/>
      <c r="G239" s="2" t="str">
        <f>"－"</f>
        <v>－</v>
      </c>
      <c r="H239" s="10"/>
      <c r="I239" s="2" t="str">
        <f>"－"</f>
        <v>－</v>
      </c>
      <c r="J239" s="10"/>
      <c r="K239" s="2" t="str">
        <f>"－"</f>
        <v>－</v>
      </c>
    </row>
    <row r="240">
      <c r="A240" s="8" t="s">
        <v>29</v>
      </c>
      <c r="B240" s="9" t="s">
        <v>63</v>
      </c>
      <c r="C240" s="9" t="s">
        <v>64</v>
      </c>
      <c r="D240" s="10"/>
      <c r="E240" s="2"/>
      <c r="F240" s="10"/>
      <c r="G240" s="2"/>
      <c r="H240" s="10"/>
      <c r="I240" s="2"/>
      <c r="J240" s="10"/>
      <c r="K240" s="2"/>
    </row>
    <row r="241">
      <c r="A241" s="8" t="s">
        <v>30</v>
      </c>
      <c r="B241" s="9" t="s">
        <v>63</v>
      </c>
      <c r="C241" s="9" t="s">
        <v>64</v>
      </c>
      <c r="D241" s="10"/>
      <c r="E241" s="2"/>
      <c r="F241" s="10"/>
      <c r="G241" s="2"/>
      <c r="H241" s="10"/>
      <c r="I241" s="2"/>
      <c r="J241" s="10"/>
      <c r="K241" s="2"/>
    </row>
    <row r="242">
      <c r="A242" s="8" t="s">
        <v>31</v>
      </c>
      <c r="B242" s="9" t="s">
        <v>63</v>
      </c>
      <c r="C242" s="9" t="s">
        <v>64</v>
      </c>
      <c r="D242" s="10"/>
      <c r="E242" s="2"/>
      <c r="F242" s="10"/>
      <c r="G242" s="2"/>
      <c r="H242" s="10"/>
      <c r="I242" s="2"/>
      <c r="J242" s="10"/>
      <c r="K242" s="2"/>
    </row>
    <row r="243">
      <c r="A243" s="8" t="s">
        <v>32</v>
      </c>
      <c r="B243" s="9" t="s">
        <v>63</v>
      </c>
      <c r="C243" s="9" t="s">
        <v>64</v>
      </c>
      <c r="D243" s="10"/>
      <c r="E243" s="2" t="str">
        <f>"－"</f>
        <v>－</v>
      </c>
      <c r="F243" s="10"/>
      <c r="G243" s="2" t="str">
        <f>"－"</f>
        <v>－</v>
      </c>
      <c r="H243" s="10"/>
      <c r="I243" s="2" t="str">
        <f>"－"</f>
        <v>－</v>
      </c>
      <c r="J243" s="10"/>
      <c r="K243" s="2" t="str">
        <f>"－"</f>
        <v>－</v>
      </c>
    </row>
    <row r="244">
      <c r="A244" s="8" t="s">
        <v>33</v>
      </c>
      <c r="B244" s="9" t="s">
        <v>63</v>
      </c>
      <c r="C244" s="9" t="s">
        <v>64</v>
      </c>
      <c r="D244" s="10"/>
      <c r="E244" s="2" t="str">
        <f>"－"</f>
        <v>－</v>
      </c>
      <c r="F244" s="10"/>
      <c r="G244" s="2" t="str">
        <f>"－"</f>
        <v>－</v>
      </c>
      <c r="H244" s="10"/>
      <c r="I244" s="2" t="str">
        <f>"－"</f>
        <v>－</v>
      </c>
      <c r="J244" s="10"/>
      <c r="K244" s="2" t="str">
        <f>"－"</f>
        <v>－</v>
      </c>
    </row>
    <row r="245">
      <c r="A245" s="8" t="s">
        <v>34</v>
      </c>
      <c r="B245" s="9" t="s">
        <v>63</v>
      </c>
      <c r="C245" s="9" t="s">
        <v>64</v>
      </c>
      <c r="D245" s="10"/>
      <c r="E245" s="2" t="str">
        <f>"－"</f>
        <v>－</v>
      </c>
      <c r="F245" s="10"/>
      <c r="G245" s="2" t="str">
        <f>"－"</f>
        <v>－</v>
      </c>
      <c r="H245" s="10"/>
      <c r="I245" s="2" t="str">
        <f>"－"</f>
        <v>－</v>
      </c>
      <c r="J245" s="10"/>
      <c r="K245" s="2" t="str">
        <f>"－"</f>
        <v>－</v>
      </c>
    </row>
    <row r="246">
      <c r="A246" s="8" t="s">
        <v>35</v>
      </c>
      <c r="B246" s="9" t="s">
        <v>63</v>
      </c>
      <c r="C246" s="9" t="s">
        <v>64</v>
      </c>
      <c r="D246" s="10"/>
      <c r="E246" s="2" t="str">
        <f>"－"</f>
        <v>－</v>
      </c>
      <c r="F246" s="10"/>
      <c r="G246" s="2" t="str">
        <f>"－"</f>
        <v>－</v>
      </c>
      <c r="H246" s="10"/>
      <c r="I246" s="2" t="str">
        <f>"－"</f>
        <v>－</v>
      </c>
      <c r="J246" s="10"/>
      <c r="K246" s="2" t="str">
        <f>"－"</f>
        <v>－</v>
      </c>
    </row>
    <row r="247">
      <c r="A247" s="8" t="s">
        <v>36</v>
      </c>
      <c r="B247" s="9" t="s">
        <v>63</v>
      </c>
      <c r="C247" s="9" t="s">
        <v>64</v>
      </c>
      <c r="D247" s="10"/>
      <c r="E247" s="2" t="str">
        <f>"－"</f>
        <v>－</v>
      </c>
      <c r="F247" s="10"/>
      <c r="G247" s="2" t="str">
        <f>"－"</f>
        <v>－</v>
      </c>
      <c r="H247" s="10"/>
      <c r="I247" s="2" t="str">
        <f>"－"</f>
        <v>－</v>
      </c>
      <c r="J247" s="10"/>
      <c r="K247" s="2" t="str">
        <f>"－"</f>
        <v>－</v>
      </c>
    </row>
    <row r="248">
      <c r="A248" s="8" t="s">
        <v>37</v>
      </c>
      <c r="B248" s="9" t="s">
        <v>63</v>
      </c>
      <c r="C248" s="9" t="s">
        <v>64</v>
      </c>
      <c r="D248" s="10"/>
      <c r="E248" s="2"/>
      <c r="F248" s="10"/>
      <c r="G248" s="2"/>
      <c r="H248" s="10"/>
      <c r="I248" s="2"/>
      <c r="J248" s="10"/>
      <c r="K248" s="2"/>
    </row>
    <row r="249">
      <c r="A249" s="8" t="s">
        <v>38</v>
      </c>
      <c r="B249" s="9" t="s">
        <v>63</v>
      </c>
      <c r="C249" s="9" t="s">
        <v>64</v>
      </c>
      <c r="D249" s="10"/>
      <c r="E249" s="2"/>
      <c r="F249" s="10"/>
      <c r="G249" s="2"/>
      <c r="H249" s="10"/>
      <c r="I249" s="2"/>
      <c r="J249" s="10"/>
      <c r="K249" s="2"/>
    </row>
    <row r="250">
      <c r="A250" s="8" t="s">
        <v>39</v>
      </c>
      <c r="B250" s="9" t="s">
        <v>63</v>
      </c>
      <c r="C250" s="9" t="s">
        <v>64</v>
      </c>
      <c r="D250" s="10"/>
      <c r="E250" s="2" t="str">
        <f>"－"</f>
        <v>－</v>
      </c>
      <c r="F250" s="10"/>
      <c r="G250" s="2" t="str">
        <f>"－"</f>
        <v>－</v>
      </c>
      <c r="H250" s="10"/>
      <c r="I250" s="2" t="str">
        <f>"－"</f>
        <v>－</v>
      </c>
      <c r="J250" s="10"/>
      <c r="K250" s="2" t="str">
        <f>"－"</f>
        <v>－</v>
      </c>
    </row>
    <row r="251">
      <c r="A251" s="8" t="s">
        <v>40</v>
      </c>
      <c r="B251" s="9" t="s">
        <v>63</v>
      </c>
      <c r="C251" s="9" t="s">
        <v>64</v>
      </c>
      <c r="D251" s="10"/>
      <c r="E251" s="2" t="str">
        <f>"－"</f>
        <v>－</v>
      </c>
      <c r="F251" s="10"/>
      <c r="G251" s="2" t="str">
        <f>"－"</f>
        <v>－</v>
      </c>
      <c r="H251" s="10"/>
      <c r="I251" s="2" t="str">
        <f>"－"</f>
        <v>－</v>
      </c>
      <c r="J251" s="10"/>
      <c r="K251" s="2" t="str">
        <f>"－"</f>
        <v>－</v>
      </c>
    </row>
    <row r="252">
      <c r="A252" s="8" t="s">
        <v>41</v>
      </c>
      <c r="B252" s="9" t="s">
        <v>63</v>
      </c>
      <c r="C252" s="9" t="s">
        <v>64</v>
      </c>
      <c r="D252" s="10"/>
      <c r="E252" s="2"/>
      <c r="F252" s="10"/>
      <c r="G252" s="2"/>
      <c r="H252" s="10"/>
      <c r="I252" s="2"/>
      <c r="J252" s="10"/>
      <c r="K252" s="2"/>
    </row>
    <row r="253">
      <c r="A253" s="8" t="s">
        <v>42</v>
      </c>
      <c r="B253" s="9" t="s">
        <v>63</v>
      </c>
      <c r="C253" s="9" t="s">
        <v>64</v>
      </c>
      <c r="D253" s="10"/>
      <c r="E253" s="2" t="str">
        <f>"－"</f>
        <v>－</v>
      </c>
      <c r="F253" s="10"/>
      <c r="G253" s="2" t="str">
        <f>"－"</f>
        <v>－</v>
      </c>
      <c r="H253" s="10"/>
      <c r="I253" s="2" t="str">
        <f>"－"</f>
        <v>－</v>
      </c>
      <c r="J253" s="10"/>
      <c r="K253" s="2" t="str">
        <f>"－"</f>
        <v>－</v>
      </c>
    </row>
    <row r="254">
      <c r="A254" s="8" t="s">
        <v>44</v>
      </c>
      <c r="B254" s="9" t="s">
        <v>63</v>
      </c>
      <c r="C254" s="9" t="s">
        <v>64</v>
      </c>
      <c r="D254" s="10"/>
      <c r="E254" s="2" t="str">
        <f>"－"</f>
        <v>－</v>
      </c>
      <c r="F254" s="10"/>
      <c r="G254" s="2" t="str">
        <f>"－"</f>
        <v>－</v>
      </c>
      <c r="H254" s="10"/>
      <c r="I254" s="2" t="str">
        <f>"－"</f>
        <v>－</v>
      </c>
      <c r="J254" s="10"/>
      <c r="K254" s="2" t="str">
        <f>"－"</f>
        <v>－</v>
      </c>
    </row>
    <row r="255">
      <c r="A255" s="8" t="s">
        <v>45</v>
      </c>
      <c r="B255" s="9" t="s">
        <v>63</v>
      </c>
      <c r="C255" s="9" t="s">
        <v>64</v>
      </c>
      <c r="D255" s="10"/>
      <c r="E255" s="2"/>
      <c r="F255" s="10"/>
      <c r="G255" s="2"/>
      <c r="H255" s="10"/>
      <c r="I255" s="2"/>
      <c r="J255" s="10"/>
      <c r="K255" s="2"/>
    </row>
    <row r="256">
      <c r="A256" s="8" t="s">
        <v>46</v>
      </c>
      <c r="B256" s="9" t="s">
        <v>63</v>
      </c>
      <c r="C256" s="9" t="s">
        <v>64</v>
      </c>
      <c r="D256" s="10"/>
      <c r="E256" s="2"/>
      <c r="F256" s="10"/>
      <c r="G256" s="2"/>
      <c r="H256" s="10"/>
      <c r="I256" s="2"/>
      <c r="J256" s="10"/>
      <c r="K256" s="2"/>
    </row>
    <row r="257">
      <c r="A257" s="8" t="s">
        <v>47</v>
      </c>
      <c r="B257" s="9" t="s">
        <v>63</v>
      </c>
      <c r="C257" s="9" t="s">
        <v>64</v>
      </c>
      <c r="D257" s="10"/>
      <c r="E257" s="2" t="str">
        <f>"－"</f>
        <v>－</v>
      </c>
      <c r="F257" s="10"/>
      <c r="G257" s="2" t="str">
        <f>"－"</f>
        <v>－</v>
      </c>
      <c r="H257" s="10"/>
      <c r="I257" s="2" t="str">
        <f>"－"</f>
        <v>－</v>
      </c>
      <c r="J257" s="10"/>
      <c r="K257" s="2" t="str">
        <f>"－"</f>
        <v>－</v>
      </c>
    </row>
    <row r="258">
      <c r="A258" s="8" t="s">
        <v>16</v>
      </c>
      <c r="B258" s="9" t="s">
        <v>65</v>
      </c>
      <c r="C258" s="9" t="s">
        <v>66</v>
      </c>
      <c r="D258" s="10"/>
      <c r="E258" s="2" t="n">
        <f>24217</f>
        <v>24217.0</v>
      </c>
      <c r="F258" s="10"/>
      <c r="G258" s="2" t="n">
        <f>18754569240</f>
        <v>1.875456924E10</v>
      </c>
      <c r="H258" s="10"/>
      <c r="I258" s="2" t="n">
        <f>2183</f>
        <v>2183.0</v>
      </c>
      <c r="J258" s="10"/>
      <c r="K258" s="2" t="n">
        <f>37323</f>
        <v>37323.0</v>
      </c>
    </row>
    <row r="259">
      <c r="A259" s="8" t="s">
        <v>19</v>
      </c>
      <c r="B259" s="9" t="s">
        <v>65</v>
      </c>
      <c r="C259" s="9" t="s">
        <v>66</v>
      </c>
      <c r="D259" s="10"/>
      <c r="E259" s="2" t="n">
        <f>21566</f>
        <v>21566.0</v>
      </c>
      <c r="F259" s="10"/>
      <c r="G259" s="2" t="n">
        <f>16993696270</f>
        <v>1.699369627E10</v>
      </c>
      <c r="H259" s="10"/>
      <c r="I259" s="2" t="n">
        <f>2019</f>
        <v>2019.0</v>
      </c>
      <c r="J259" s="10"/>
      <c r="K259" s="2" t="n">
        <f>37280</f>
        <v>37280.0</v>
      </c>
    </row>
    <row r="260">
      <c r="A260" s="8" t="s">
        <v>20</v>
      </c>
      <c r="B260" s="9" t="s">
        <v>65</v>
      </c>
      <c r="C260" s="9" t="s">
        <v>66</v>
      </c>
      <c r="D260" s="10"/>
      <c r="E260" s="2" t="n">
        <f>21834</f>
        <v>21834.0</v>
      </c>
      <c r="F260" s="10"/>
      <c r="G260" s="2" t="n">
        <f>16970617840</f>
        <v>1.697061784E10</v>
      </c>
      <c r="H260" s="10"/>
      <c r="I260" s="2" t="n">
        <f>1367</f>
        <v>1367.0</v>
      </c>
      <c r="J260" s="10"/>
      <c r="K260" s="2" t="n">
        <f>37890</f>
        <v>37890.0</v>
      </c>
    </row>
    <row r="261">
      <c r="A261" s="8" t="s">
        <v>21</v>
      </c>
      <c r="B261" s="9" t="s">
        <v>65</v>
      </c>
      <c r="C261" s="9" t="s">
        <v>66</v>
      </c>
      <c r="D261" s="10"/>
      <c r="E261" s="2" t="n">
        <f>25116</f>
        <v>25116.0</v>
      </c>
      <c r="F261" s="10"/>
      <c r="G261" s="2" t="n">
        <f>18983020720</f>
        <v>1.898302072E10</v>
      </c>
      <c r="H261" s="10"/>
      <c r="I261" s="2" t="n">
        <f>2029</f>
        <v>2029.0</v>
      </c>
      <c r="J261" s="10"/>
      <c r="K261" s="2" t="n">
        <f>37108</f>
        <v>37108.0</v>
      </c>
    </row>
    <row r="262">
      <c r="A262" s="8" t="s">
        <v>22</v>
      </c>
      <c r="B262" s="9" t="s">
        <v>65</v>
      </c>
      <c r="C262" s="9" t="s">
        <v>66</v>
      </c>
      <c r="D262" s="10"/>
      <c r="E262" s="2"/>
      <c r="F262" s="10"/>
      <c r="G262" s="2"/>
      <c r="H262" s="10"/>
      <c r="I262" s="2"/>
      <c r="J262" s="10"/>
      <c r="K262" s="2"/>
    </row>
    <row r="263">
      <c r="A263" s="8" t="s">
        <v>23</v>
      </c>
      <c r="B263" s="9" t="s">
        <v>65</v>
      </c>
      <c r="C263" s="9" t="s">
        <v>66</v>
      </c>
      <c r="D263" s="10"/>
      <c r="E263" s="2"/>
      <c r="F263" s="10"/>
      <c r="G263" s="2"/>
      <c r="H263" s="10"/>
      <c r="I263" s="2"/>
      <c r="J263" s="10"/>
      <c r="K263" s="2"/>
    </row>
    <row r="264">
      <c r="A264" s="8" t="s">
        <v>24</v>
      </c>
      <c r="B264" s="9" t="s">
        <v>65</v>
      </c>
      <c r="C264" s="9" t="s">
        <v>66</v>
      </c>
      <c r="D264" s="10"/>
      <c r="E264" s="2" t="n">
        <f>21747</f>
        <v>21747.0</v>
      </c>
      <c r="F264" s="10"/>
      <c r="G264" s="2" t="n">
        <f>16437555760</f>
        <v>1.643755576E10</v>
      </c>
      <c r="H264" s="10"/>
      <c r="I264" s="2" t="n">
        <f>1563</f>
        <v>1563.0</v>
      </c>
      <c r="J264" s="10"/>
      <c r="K264" s="2" t="n">
        <f>37146</f>
        <v>37146.0</v>
      </c>
    </row>
    <row r="265">
      <c r="A265" s="8" t="s">
        <v>25</v>
      </c>
      <c r="B265" s="9" t="s">
        <v>65</v>
      </c>
      <c r="C265" s="9" t="s">
        <v>66</v>
      </c>
      <c r="D265" s="10"/>
      <c r="E265" s="2" t="n">
        <f>20267</f>
        <v>20267.0</v>
      </c>
      <c r="F265" s="10"/>
      <c r="G265" s="2" t="n">
        <f>15064952400</f>
        <v>1.50649524E10</v>
      </c>
      <c r="H265" s="10"/>
      <c r="I265" s="2" t="n">
        <f>1355</f>
        <v>1355.0</v>
      </c>
      <c r="J265" s="10"/>
      <c r="K265" s="2" t="n">
        <f>36727</f>
        <v>36727.0</v>
      </c>
    </row>
    <row r="266">
      <c r="A266" s="8" t="s">
        <v>27</v>
      </c>
      <c r="B266" s="9" t="s">
        <v>65</v>
      </c>
      <c r="C266" s="9" t="s">
        <v>66</v>
      </c>
      <c r="D266" s="10" t="s">
        <v>26</v>
      </c>
      <c r="E266" s="2" t="n">
        <f>19267</f>
        <v>19267.0</v>
      </c>
      <c r="F266" s="10" t="s">
        <v>26</v>
      </c>
      <c r="G266" s="2" t="n">
        <f>14345803660</f>
        <v>1.434580366E10</v>
      </c>
      <c r="H266" s="10"/>
      <c r="I266" s="2" t="n">
        <f>1105</f>
        <v>1105.0</v>
      </c>
      <c r="J266" s="10" t="s">
        <v>26</v>
      </c>
      <c r="K266" s="2" t="n">
        <f>36347</f>
        <v>36347.0</v>
      </c>
    </row>
    <row r="267">
      <c r="A267" s="8" t="s">
        <v>28</v>
      </c>
      <c r="B267" s="9" t="s">
        <v>65</v>
      </c>
      <c r="C267" s="9" t="s">
        <v>66</v>
      </c>
      <c r="D267" s="10"/>
      <c r="E267" s="2" t="n">
        <f>20888</f>
        <v>20888.0</v>
      </c>
      <c r="F267" s="10"/>
      <c r="G267" s="2" t="n">
        <f>16040826400</f>
        <v>1.60408264E10</v>
      </c>
      <c r="H267" s="10"/>
      <c r="I267" s="2" t="n">
        <f>1466</f>
        <v>1466.0</v>
      </c>
      <c r="J267" s="10"/>
      <c r="K267" s="2" t="n">
        <f>37168</f>
        <v>37168.0</v>
      </c>
    </row>
    <row r="268">
      <c r="A268" s="8" t="s">
        <v>29</v>
      </c>
      <c r="B268" s="9" t="s">
        <v>65</v>
      </c>
      <c r="C268" s="9" t="s">
        <v>66</v>
      </c>
      <c r="D268" s="10"/>
      <c r="E268" s="2"/>
      <c r="F268" s="10"/>
      <c r="G268" s="2"/>
      <c r="H268" s="10"/>
      <c r="I268" s="2"/>
      <c r="J268" s="10"/>
      <c r="K268" s="2"/>
    </row>
    <row r="269">
      <c r="A269" s="8" t="s">
        <v>30</v>
      </c>
      <c r="B269" s="9" t="s">
        <v>65</v>
      </c>
      <c r="C269" s="9" t="s">
        <v>66</v>
      </c>
      <c r="D269" s="10"/>
      <c r="E269" s="2"/>
      <c r="F269" s="10"/>
      <c r="G269" s="2"/>
      <c r="H269" s="10"/>
      <c r="I269" s="2"/>
      <c r="J269" s="10"/>
      <c r="K269" s="2"/>
    </row>
    <row r="270">
      <c r="A270" s="8" t="s">
        <v>31</v>
      </c>
      <c r="B270" s="9" t="s">
        <v>65</v>
      </c>
      <c r="C270" s="9" t="s">
        <v>66</v>
      </c>
      <c r="D270" s="10"/>
      <c r="E270" s="2"/>
      <c r="F270" s="10"/>
      <c r="G270" s="2"/>
      <c r="H270" s="10"/>
      <c r="I270" s="2"/>
      <c r="J270" s="10"/>
      <c r="K270" s="2"/>
    </row>
    <row r="271">
      <c r="A271" s="8" t="s">
        <v>32</v>
      </c>
      <c r="B271" s="9" t="s">
        <v>65</v>
      </c>
      <c r="C271" s="9" t="s">
        <v>66</v>
      </c>
      <c r="D271" s="10"/>
      <c r="E271" s="2" t="n">
        <f>25117</f>
        <v>25117.0</v>
      </c>
      <c r="F271" s="10"/>
      <c r="G271" s="2" t="n">
        <f>18719425520</f>
        <v>1.871942552E10</v>
      </c>
      <c r="H271" s="10"/>
      <c r="I271" s="2" t="n">
        <f>1925</f>
        <v>1925.0</v>
      </c>
      <c r="J271" s="10"/>
      <c r="K271" s="2" t="n">
        <f>37909</f>
        <v>37909.0</v>
      </c>
    </row>
    <row r="272">
      <c r="A272" s="8" t="s">
        <v>33</v>
      </c>
      <c r="B272" s="9" t="s">
        <v>65</v>
      </c>
      <c r="C272" s="9" t="s">
        <v>66</v>
      </c>
      <c r="D272" s="10"/>
      <c r="E272" s="2" t="n">
        <f>22587</f>
        <v>22587.0</v>
      </c>
      <c r="F272" s="10"/>
      <c r="G272" s="2" t="n">
        <f>16560327290</f>
        <v>1.656032729E10</v>
      </c>
      <c r="H272" s="10"/>
      <c r="I272" s="2" t="n">
        <f>1346</f>
        <v>1346.0</v>
      </c>
      <c r="J272" s="10"/>
      <c r="K272" s="2" t="n">
        <f>38138</f>
        <v>38138.0</v>
      </c>
    </row>
    <row r="273">
      <c r="A273" s="8" t="s">
        <v>34</v>
      </c>
      <c r="B273" s="9" t="s">
        <v>65</v>
      </c>
      <c r="C273" s="9" t="s">
        <v>66</v>
      </c>
      <c r="D273" s="10"/>
      <c r="E273" s="2" t="n">
        <f>21652</f>
        <v>21652.0</v>
      </c>
      <c r="F273" s="10"/>
      <c r="G273" s="2" t="n">
        <f>15914801400</f>
        <v>1.59148014E10</v>
      </c>
      <c r="H273" s="10" t="s">
        <v>26</v>
      </c>
      <c r="I273" s="2" t="n">
        <f>886</f>
        <v>886.0</v>
      </c>
      <c r="J273" s="10"/>
      <c r="K273" s="2" t="n">
        <f>36648</f>
        <v>36648.0</v>
      </c>
    </row>
    <row r="274">
      <c r="A274" s="8" t="s">
        <v>35</v>
      </c>
      <c r="B274" s="9" t="s">
        <v>65</v>
      </c>
      <c r="C274" s="9" t="s">
        <v>66</v>
      </c>
      <c r="D274" s="10"/>
      <c r="E274" s="2" t="n">
        <f>28873</f>
        <v>28873.0</v>
      </c>
      <c r="F274" s="10"/>
      <c r="G274" s="2" t="n">
        <f>20682946830</f>
        <v>2.068294683E10</v>
      </c>
      <c r="H274" s="10"/>
      <c r="I274" s="2" t="n">
        <f>1851</f>
        <v>1851.0</v>
      </c>
      <c r="J274" s="10"/>
      <c r="K274" s="2" t="n">
        <f>36620</f>
        <v>36620.0</v>
      </c>
    </row>
    <row r="275">
      <c r="A275" s="8" t="s">
        <v>36</v>
      </c>
      <c r="B275" s="9" t="s">
        <v>65</v>
      </c>
      <c r="C275" s="9" t="s">
        <v>66</v>
      </c>
      <c r="D275" s="10"/>
      <c r="E275" s="2" t="n">
        <f>28853</f>
        <v>28853.0</v>
      </c>
      <c r="F275" s="10"/>
      <c r="G275" s="2" t="n">
        <f>20158505800</f>
        <v>2.01585058E10</v>
      </c>
      <c r="H275" s="10"/>
      <c r="I275" s="2" t="n">
        <f>2053</f>
        <v>2053.0</v>
      </c>
      <c r="J275" s="10"/>
      <c r="K275" s="2" t="n">
        <f>37567</f>
        <v>37567.0</v>
      </c>
    </row>
    <row r="276">
      <c r="A276" s="8" t="s">
        <v>37</v>
      </c>
      <c r="B276" s="9" t="s">
        <v>65</v>
      </c>
      <c r="C276" s="9" t="s">
        <v>66</v>
      </c>
      <c r="D276" s="10"/>
      <c r="E276" s="2"/>
      <c r="F276" s="10"/>
      <c r="G276" s="2"/>
      <c r="H276" s="10"/>
      <c r="I276" s="2"/>
      <c r="J276" s="10"/>
      <c r="K276" s="2"/>
    </row>
    <row r="277">
      <c r="A277" s="8" t="s">
        <v>38</v>
      </c>
      <c r="B277" s="9" t="s">
        <v>65</v>
      </c>
      <c r="C277" s="9" t="s">
        <v>66</v>
      </c>
      <c r="D277" s="10"/>
      <c r="E277" s="2"/>
      <c r="F277" s="10"/>
      <c r="G277" s="2"/>
      <c r="H277" s="10"/>
      <c r="I277" s="2"/>
      <c r="J277" s="10"/>
      <c r="K277" s="2"/>
    </row>
    <row r="278">
      <c r="A278" s="8" t="s">
        <v>39</v>
      </c>
      <c r="B278" s="9" t="s">
        <v>65</v>
      </c>
      <c r="C278" s="9" t="s">
        <v>66</v>
      </c>
      <c r="D278" s="10"/>
      <c r="E278" s="2" t="n">
        <f>23163</f>
        <v>23163.0</v>
      </c>
      <c r="F278" s="10"/>
      <c r="G278" s="2" t="n">
        <f>15841334980</f>
        <v>1.584133498E10</v>
      </c>
      <c r="H278" s="10"/>
      <c r="I278" s="2" t="n">
        <f>1334</f>
        <v>1334.0</v>
      </c>
      <c r="J278" s="10" t="s">
        <v>43</v>
      </c>
      <c r="K278" s="2" t="n">
        <f>38933</f>
        <v>38933.0</v>
      </c>
    </row>
    <row r="279">
      <c r="A279" s="8" t="s">
        <v>40</v>
      </c>
      <c r="B279" s="9" t="s">
        <v>65</v>
      </c>
      <c r="C279" s="9" t="s">
        <v>66</v>
      </c>
      <c r="D279" s="10"/>
      <c r="E279" s="2" t="n">
        <f>30477</f>
        <v>30477.0</v>
      </c>
      <c r="F279" s="10"/>
      <c r="G279" s="2" t="n">
        <f>20757166840</f>
        <v>2.075716684E10</v>
      </c>
      <c r="H279" s="10"/>
      <c r="I279" s="2" t="n">
        <f>1877</f>
        <v>1877.0</v>
      </c>
      <c r="J279" s="10"/>
      <c r="K279" s="2" t="n">
        <f>37649</f>
        <v>37649.0</v>
      </c>
    </row>
    <row r="280">
      <c r="A280" s="8" t="s">
        <v>41</v>
      </c>
      <c r="B280" s="9" t="s">
        <v>65</v>
      </c>
      <c r="C280" s="9" t="s">
        <v>66</v>
      </c>
      <c r="D280" s="10"/>
      <c r="E280" s="2"/>
      <c r="F280" s="10"/>
      <c r="G280" s="2"/>
      <c r="H280" s="10"/>
      <c r="I280" s="2"/>
      <c r="J280" s="10"/>
      <c r="K280" s="2"/>
    </row>
    <row r="281">
      <c r="A281" s="8" t="s">
        <v>42</v>
      </c>
      <c r="B281" s="9" t="s">
        <v>65</v>
      </c>
      <c r="C281" s="9" t="s">
        <v>66</v>
      </c>
      <c r="D281" s="10"/>
      <c r="E281" s="2" t="n">
        <f>35481</f>
        <v>35481.0</v>
      </c>
      <c r="F281" s="10"/>
      <c r="G281" s="2" t="n">
        <f>23605032180</f>
        <v>2.360503218E10</v>
      </c>
      <c r="H281" s="10"/>
      <c r="I281" s="2" t="n">
        <f>1900</f>
        <v>1900.0</v>
      </c>
      <c r="J281" s="10"/>
      <c r="K281" s="2" t="n">
        <f>38525</f>
        <v>38525.0</v>
      </c>
    </row>
    <row r="282">
      <c r="A282" s="8" t="s">
        <v>44</v>
      </c>
      <c r="B282" s="9" t="s">
        <v>65</v>
      </c>
      <c r="C282" s="9" t="s">
        <v>66</v>
      </c>
      <c r="D282" s="10"/>
      <c r="E282" s="2" t="n">
        <f>33061</f>
        <v>33061.0</v>
      </c>
      <c r="F282" s="10"/>
      <c r="G282" s="2" t="n">
        <f>22312608100</f>
        <v>2.23126081E10</v>
      </c>
      <c r="H282" s="10"/>
      <c r="I282" s="2" t="n">
        <f>1888</f>
        <v>1888.0</v>
      </c>
      <c r="J282" s="10"/>
      <c r="K282" s="2" t="n">
        <f>38842</f>
        <v>38842.0</v>
      </c>
    </row>
    <row r="283">
      <c r="A283" s="8" t="s">
        <v>45</v>
      </c>
      <c r="B283" s="9" t="s">
        <v>65</v>
      </c>
      <c r="C283" s="9" t="s">
        <v>66</v>
      </c>
      <c r="D283" s="10"/>
      <c r="E283" s="2"/>
      <c r="F283" s="10"/>
      <c r="G283" s="2"/>
      <c r="H283" s="10"/>
      <c r="I283" s="2"/>
      <c r="J283" s="10"/>
      <c r="K283" s="2"/>
    </row>
    <row r="284">
      <c r="A284" s="8" t="s">
        <v>46</v>
      </c>
      <c r="B284" s="9" t="s">
        <v>65</v>
      </c>
      <c r="C284" s="9" t="s">
        <v>66</v>
      </c>
      <c r="D284" s="10"/>
      <c r="E284" s="2"/>
      <c r="F284" s="10"/>
      <c r="G284" s="2"/>
      <c r="H284" s="10"/>
      <c r="I284" s="2"/>
      <c r="J284" s="10"/>
      <c r="K284" s="2"/>
    </row>
    <row r="285">
      <c r="A285" s="8" t="s">
        <v>47</v>
      </c>
      <c r="B285" s="9" t="s">
        <v>65</v>
      </c>
      <c r="C285" s="9" t="s">
        <v>66</v>
      </c>
      <c r="D285" s="10" t="s">
        <v>43</v>
      </c>
      <c r="E285" s="2" t="n">
        <f>36291</f>
        <v>36291.0</v>
      </c>
      <c r="F285" s="10" t="s">
        <v>43</v>
      </c>
      <c r="G285" s="2" t="n">
        <f>25796536910</f>
        <v>2.579653691E10</v>
      </c>
      <c r="H285" s="10" t="s">
        <v>43</v>
      </c>
      <c r="I285" s="2" t="n">
        <f>2212</f>
        <v>2212.0</v>
      </c>
      <c r="J285" s="10"/>
      <c r="K285" s="2" t="n">
        <f>37939</f>
        <v>37939.0</v>
      </c>
    </row>
    <row r="286">
      <c r="A286" s="8" t="s">
        <v>16</v>
      </c>
      <c r="B286" s="9" t="s">
        <v>67</v>
      </c>
      <c r="C286" s="9" t="s">
        <v>68</v>
      </c>
      <c r="D286" s="10"/>
      <c r="E286" s="2" t="n">
        <f>2052</f>
        <v>2052.0</v>
      </c>
      <c r="F286" s="10"/>
      <c r="G286" s="2" t="n">
        <f>7126010500</f>
        <v>7.1260105E9</v>
      </c>
      <c r="H286" s="10"/>
      <c r="I286" s="2" t="n">
        <f>573</f>
        <v>573.0</v>
      </c>
      <c r="J286" s="10"/>
      <c r="K286" s="2" t="n">
        <f>3713</f>
        <v>3713.0</v>
      </c>
    </row>
    <row r="287">
      <c r="A287" s="8" t="s">
        <v>19</v>
      </c>
      <c r="B287" s="9" t="s">
        <v>67</v>
      </c>
      <c r="C287" s="9" t="s">
        <v>68</v>
      </c>
      <c r="D287" s="10"/>
      <c r="E287" s="2" t="n">
        <f>1982</f>
        <v>1982.0</v>
      </c>
      <c r="F287" s="10"/>
      <c r="G287" s="2" t="n">
        <f>6956431100</f>
        <v>6.9564311E9</v>
      </c>
      <c r="H287" s="10"/>
      <c r="I287" s="2" t="n">
        <f>504</f>
        <v>504.0</v>
      </c>
      <c r="J287" s="10"/>
      <c r="K287" s="2" t="n">
        <f>3650</f>
        <v>3650.0</v>
      </c>
    </row>
    <row r="288">
      <c r="A288" s="8" t="s">
        <v>20</v>
      </c>
      <c r="B288" s="9" t="s">
        <v>67</v>
      </c>
      <c r="C288" s="9" t="s">
        <v>68</v>
      </c>
      <c r="D288" s="10"/>
      <c r="E288" s="2" t="n">
        <f>1662</f>
        <v>1662.0</v>
      </c>
      <c r="F288" s="10"/>
      <c r="G288" s="2" t="n">
        <f>5879931500</f>
        <v>5.8799315E9</v>
      </c>
      <c r="H288" s="10"/>
      <c r="I288" s="2" t="n">
        <f>337</f>
        <v>337.0</v>
      </c>
      <c r="J288" s="10"/>
      <c r="K288" s="2" t="n">
        <f>3905</f>
        <v>3905.0</v>
      </c>
    </row>
    <row r="289">
      <c r="A289" s="8" t="s">
        <v>21</v>
      </c>
      <c r="B289" s="9" t="s">
        <v>67</v>
      </c>
      <c r="C289" s="9" t="s">
        <v>68</v>
      </c>
      <c r="D289" s="10"/>
      <c r="E289" s="2" t="n">
        <f>1840</f>
        <v>1840.0</v>
      </c>
      <c r="F289" s="10"/>
      <c r="G289" s="2" t="n">
        <f>6486921900</f>
        <v>6.4869219E9</v>
      </c>
      <c r="H289" s="10"/>
      <c r="I289" s="2" t="n">
        <f>321</f>
        <v>321.0</v>
      </c>
      <c r="J289" s="10"/>
      <c r="K289" s="2" t="n">
        <f>4040</f>
        <v>4040.0</v>
      </c>
    </row>
    <row r="290">
      <c r="A290" s="8" t="s">
        <v>22</v>
      </c>
      <c r="B290" s="9" t="s">
        <v>67</v>
      </c>
      <c r="C290" s="9" t="s">
        <v>68</v>
      </c>
      <c r="D290" s="10"/>
      <c r="E290" s="2"/>
      <c r="F290" s="10"/>
      <c r="G290" s="2"/>
      <c r="H290" s="10"/>
      <c r="I290" s="2"/>
      <c r="J290" s="10"/>
      <c r="K290" s="2"/>
    </row>
    <row r="291">
      <c r="A291" s="8" t="s">
        <v>23</v>
      </c>
      <c r="B291" s="9" t="s">
        <v>67</v>
      </c>
      <c r="C291" s="9" t="s">
        <v>68</v>
      </c>
      <c r="D291" s="10"/>
      <c r="E291" s="2"/>
      <c r="F291" s="10"/>
      <c r="G291" s="2"/>
      <c r="H291" s="10"/>
      <c r="I291" s="2"/>
      <c r="J291" s="10"/>
      <c r="K291" s="2"/>
    </row>
    <row r="292">
      <c r="A292" s="8" t="s">
        <v>24</v>
      </c>
      <c r="B292" s="9" t="s">
        <v>67</v>
      </c>
      <c r="C292" s="9" t="s">
        <v>68</v>
      </c>
      <c r="D292" s="10"/>
      <c r="E292" s="2" t="n">
        <f>1736</f>
        <v>1736.0</v>
      </c>
      <c r="F292" s="10"/>
      <c r="G292" s="2" t="n">
        <f>6061195500</f>
        <v>6.0611955E9</v>
      </c>
      <c r="H292" s="10"/>
      <c r="I292" s="2" t="n">
        <f>255</f>
        <v>255.0</v>
      </c>
      <c r="J292" s="10"/>
      <c r="K292" s="2" t="n">
        <f>3952</f>
        <v>3952.0</v>
      </c>
    </row>
    <row r="293">
      <c r="A293" s="8" t="s">
        <v>25</v>
      </c>
      <c r="B293" s="9" t="s">
        <v>67</v>
      </c>
      <c r="C293" s="9" t="s">
        <v>68</v>
      </c>
      <c r="D293" s="10" t="s">
        <v>26</v>
      </c>
      <c r="E293" s="2" t="n">
        <f>622</f>
        <v>622.0</v>
      </c>
      <c r="F293" s="10" t="s">
        <v>26</v>
      </c>
      <c r="G293" s="2" t="n">
        <f>2174090200</f>
        <v>2.1740902E9</v>
      </c>
      <c r="H293" s="10"/>
      <c r="I293" s="2" t="n">
        <f>160</f>
        <v>160.0</v>
      </c>
      <c r="J293" s="10"/>
      <c r="K293" s="2" t="n">
        <f>3953</f>
        <v>3953.0</v>
      </c>
    </row>
    <row r="294">
      <c r="A294" s="8" t="s">
        <v>27</v>
      </c>
      <c r="B294" s="9" t="s">
        <v>67</v>
      </c>
      <c r="C294" s="9" t="s">
        <v>68</v>
      </c>
      <c r="D294" s="10"/>
      <c r="E294" s="2" t="n">
        <f>2440</f>
        <v>2440.0</v>
      </c>
      <c r="F294" s="10"/>
      <c r="G294" s="2" t="n">
        <f>8622525800</f>
        <v>8.6225258E9</v>
      </c>
      <c r="H294" s="10"/>
      <c r="I294" s="2" t="n">
        <f>261</f>
        <v>261.0</v>
      </c>
      <c r="J294" s="10"/>
      <c r="K294" s="2" t="n">
        <f>2950</f>
        <v>2950.0</v>
      </c>
    </row>
    <row r="295">
      <c r="A295" s="8" t="s">
        <v>28</v>
      </c>
      <c r="B295" s="9" t="s">
        <v>67</v>
      </c>
      <c r="C295" s="9" t="s">
        <v>68</v>
      </c>
      <c r="D295" s="10"/>
      <c r="E295" s="2" t="n">
        <f>2151</f>
        <v>2151.0</v>
      </c>
      <c r="F295" s="10"/>
      <c r="G295" s="2" t="n">
        <f>7659656100</f>
        <v>7.6596561E9</v>
      </c>
      <c r="H295" s="10" t="s">
        <v>26</v>
      </c>
      <c r="I295" s="2" t="n">
        <f>83</f>
        <v>83.0</v>
      </c>
      <c r="J295" s="10" t="s">
        <v>26</v>
      </c>
      <c r="K295" s="2" t="n">
        <f>1809</f>
        <v>1809.0</v>
      </c>
    </row>
    <row r="296">
      <c r="A296" s="8" t="s">
        <v>29</v>
      </c>
      <c r="B296" s="9" t="s">
        <v>67</v>
      </c>
      <c r="C296" s="9" t="s">
        <v>68</v>
      </c>
      <c r="D296" s="10"/>
      <c r="E296" s="2"/>
      <c r="F296" s="10"/>
      <c r="G296" s="2"/>
      <c r="H296" s="10"/>
      <c r="I296" s="2"/>
      <c r="J296" s="10"/>
      <c r="K296" s="2"/>
    </row>
    <row r="297">
      <c r="A297" s="8" t="s">
        <v>30</v>
      </c>
      <c r="B297" s="9" t="s">
        <v>67</v>
      </c>
      <c r="C297" s="9" t="s">
        <v>68</v>
      </c>
      <c r="D297" s="10"/>
      <c r="E297" s="2"/>
      <c r="F297" s="10"/>
      <c r="G297" s="2"/>
      <c r="H297" s="10"/>
      <c r="I297" s="2"/>
      <c r="J297" s="10"/>
      <c r="K297" s="2"/>
    </row>
    <row r="298">
      <c r="A298" s="8" t="s">
        <v>31</v>
      </c>
      <c r="B298" s="9" t="s">
        <v>67</v>
      </c>
      <c r="C298" s="9" t="s">
        <v>68</v>
      </c>
      <c r="D298" s="10"/>
      <c r="E298" s="2"/>
      <c r="F298" s="10"/>
      <c r="G298" s="2"/>
      <c r="H298" s="10"/>
      <c r="I298" s="2"/>
      <c r="J298" s="10"/>
      <c r="K298" s="2"/>
    </row>
    <row r="299">
      <c r="A299" s="8" t="s">
        <v>32</v>
      </c>
      <c r="B299" s="9" t="s">
        <v>67</v>
      </c>
      <c r="C299" s="9" t="s">
        <v>68</v>
      </c>
      <c r="D299" s="10"/>
      <c r="E299" s="2" t="n">
        <f>4056</f>
        <v>4056.0</v>
      </c>
      <c r="F299" s="10"/>
      <c r="G299" s="2" t="n">
        <f>14245386100</f>
        <v>1.42453861E10</v>
      </c>
      <c r="H299" s="10"/>
      <c r="I299" s="2" t="n">
        <f>647</f>
        <v>647.0</v>
      </c>
      <c r="J299" s="10"/>
      <c r="K299" s="2" t="n">
        <f>3126</f>
        <v>3126.0</v>
      </c>
    </row>
    <row r="300">
      <c r="A300" s="8" t="s">
        <v>33</v>
      </c>
      <c r="B300" s="9" t="s">
        <v>67</v>
      </c>
      <c r="C300" s="9" t="s">
        <v>68</v>
      </c>
      <c r="D300" s="10"/>
      <c r="E300" s="2" t="n">
        <f>2392</f>
        <v>2392.0</v>
      </c>
      <c r="F300" s="10"/>
      <c r="G300" s="2" t="n">
        <f>8242448300</f>
        <v>8.2424483E9</v>
      </c>
      <c r="H300" s="10"/>
      <c r="I300" s="2" t="n">
        <f>390</f>
        <v>390.0</v>
      </c>
      <c r="J300" s="10"/>
      <c r="K300" s="2" t="n">
        <f>3165</f>
        <v>3165.0</v>
      </c>
    </row>
    <row r="301">
      <c r="A301" s="8" t="s">
        <v>34</v>
      </c>
      <c r="B301" s="9" t="s">
        <v>67</v>
      </c>
      <c r="C301" s="9" t="s">
        <v>68</v>
      </c>
      <c r="D301" s="10"/>
      <c r="E301" s="2" t="n">
        <f>1072</f>
        <v>1072.0</v>
      </c>
      <c r="F301" s="10"/>
      <c r="G301" s="2" t="n">
        <f>3728548400</f>
        <v>3.7285484E9</v>
      </c>
      <c r="H301" s="10"/>
      <c r="I301" s="2" t="n">
        <f>154</f>
        <v>154.0</v>
      </c>
      <c r="J301" s="10"/>
      <c r="K301" s="2" t="n">
        <f>3164</f>
        <v>3164.0</v>
      </c>
    </row>
    <row r="302">
      <c r="A302" s="8" t="s">
        <v>35</v>
      </c>
      <c r="B302" s="9" t="s">
        <v>67</v>
      </c>
      <c r="C302" s="9" t="s">
        <v>68</v>
      </c>
      <c r="D302" s="10"/>
      <c r="E302" s="2" t="n">
        <f>1236</f>
        <v>1236.0</v>
      </c>
      <c r="F302" s="10"/>
      <c r="G302" s="2" t="n">
        <f>4299720200</f>
        <v>4.2997202E9</v>
      </c>
      <c r="H302" s="10"/>
      <c r="I302" s="2" t="n">
        <f>156</f>
        <v>156.0</v>
      </c>
      <c r="J302" s="10"/>
      <c r="K302" s="2" t="n">
        <f>3164</f>
        <v>3164.0</v>
      </c>
    </row>
    <row r="303">
      <c r="A303" s="8" t="s">
        <v>36</v>
      </c>
      <c r="B303" s="9" t="s">
        <v>67</v>
      </c>
      <c r="C303" s="9" t="s">
        <v>68</v>
      </c>
      <c r="D303" s="10"/>
      <c r="E303" s="2" t="n">
        <f>2316</f>
        <v>2316.0</v>
      </c>
      <c r="F303" s="10"/>
      <c r="G303" s="2" t="n">
        <f>7976297600</f>
        <v>7.9762976E9</v>
      </c>
      <c r="H303" s="10"/>
      <c r="I303" s="2" t="n">
        <f>124</f>
        <v>124.0</v>
      </c>
      <c r="J303" s="10" t="s">
        <v>43</v>
      </c>
      <c r="K303" s="2" t="n">
        <f>4254</f>
        <v>4254.0</v>
      </c>
    </row>
    <row r="304">
      <c r="A304" s="8" t="s">
        <v>37</v>
      </c>
      <c r="B304" s="9" t="s">
        <v>67</v>
      </c>
      <c r="C304" s="9" t="s">
        <v>68</v>
      </c>
      <c r="D304" s="10"/>
      <c r="E304" s="2"/>
      <c r="F304" s="10"/>
      <c r="G304" s="2"/>
      <c r="H304" s="10"/>
      <c r="I304" s="2"/>
      <c r="J304" s="10"/>
      <c r="K304" s="2"/>
    </row>
    <row r="305">
      <c r="A305" s="8" t="s">
        <v>38</v>
      </c>
      <c r="B305" s="9" t="s">
        <v>67</v>
      </c>
      <c r="C305" s="9" t="s">
        <v>68</v>
      </c>
      <c r="D305" s="10"/>
      <c r="E305" s="2"/>
      <c r="F305" s="10"/>
      <c r="G305" s="2"/>
      <c r="H305" s="10"/>
      <c r="I305" s="2"/>
      <c r="J305" s="10"/>
      <c r="K305" s="2"/>
    </row>
    <row r="306">
      <c r="A306" s="8" t="s">
        <v>39</v>
      </c>
      <c r="B306" s="9" t="s">
        <v>67</v>
      </c>
      <c r="C306" s="9" t="s">
        <v>68</v>
      </c>
      <c r="D306" s="10"/>
      <c r="E306" s="2" t="n">
        <f>2670</f>
        <v>2670.0</v>
      </c>
      <c r="F306" s="10"/>
      <c r="G306" s="2" t="n">
        <f>9116642300</f>
        <v>9.1166423E9</v>
      </c>
      <c r="H306" s="10"/>
      <c r="I306" s="2" t="n">
        <f>103</f>
        <v>103.0</v>
      </c>
      <c r="J306" s="10"/>
      <c r="K306" s="2" t="n">
        <f>3306</f>
        <v>3306.0</v>
      </c>
    </row>
    <row r="307">
      <c r="A307" s="8" t="s">
        <v>40</v>
      </c>
      <c r="B307" s="9" t="s">
        <v>67</v>
      </c>
      <c r="C307" s="9" t="s">
        <v>68</v>
      </c>
      <c r="D307" s="10"/>
      <c r="E307" s="2" t="n">
        <f>1709</f>
        <v>1709.0</v>
      </c>
      <c r="F307" s="10"/>
      <c r="G307" s="2" t="n">
        <f>5763194400</f>
        <v>5.7631944E9</v>
      </c>
      <c r="H307" s="10"/>
      <c r="I307" s="2" t="n">
        <f>90</f>
        <v>90.0</v>
      </c>
      <c r="J307" s="10"/>
      <c r="K307" s="2" t="n">
        <f>3246</f>
        <v>3246.0</v>
      </c>
    </row>
    <row r="308">
      <c r="A308" s="8" t="s">
        <v>41</v>
      </c>
      <c r="B308" s="9" t="s">
        <v>67</v>
      </c>
      <c r="C308" s="9" t="s">
        <v>68</v>
      </c>
      <c r="D308" s="10"/>
      <c r="E308" s="2"/>
      <c r="F308" s="10"/>
      <c r="G308" s="2"/>
      <c r="H308" s="10"/>
      <c r="I308" s="2"/>
      <c r="J308" s="10"/>
      <c r="K308" s="2"/>
    </row>
    <row r="309">
      <c r="A309" s="8" t="s">
        <v>42</v>
      </c>
      <c r="B309" s="9" t="s">
        <v>67</v>
      </c>
      <c r="C309" s="9" t="s">
        <v>68</v>
      </c>
      <c r="D309" s="10" t="s">
        <v>43</v>
      </c>
      <c r="E309" s="2" t="n">
        <f>7173</f>
        <v>7173.0</v>
      </c>
      <c r="F309" s="10" t="s">
        <v>43</v>
      </c>
      <c r="G309" s="2" t="n">
        <f>23776702600</f>
        <v>2.37767026E10</v>
      </c>
      <c r="H309" s="10" t="s">
        <v>43</v>
      </c>
      <c r="I309" s="2" t="n">
        <f>1030</f>
        <v>1030.0</v>
      </c>
      <c r="J309" s="10"/>
      <c r="K309" s="2" t="n">
        <f>2924</f>
        <v>2924.0</v>
      </c>
    </row>
    <row r="310">
      <c r="A310" s="8" t="s">
        <v>44</v>
      </c>
      <c r="B310" s="9" t="s">
        <v>67</v>
      </c>
      <c r="C310" s="9" t="s">
        <v>68</v>
      </c>
      <c r="D310" s="10"/>
      <c r="E310" s="2" t="n">
        <f>4305</f>
        <v>4305.0</v>
      </c>
      <c r="F310" s="10"/>
      <c r="G310" s="2" t="n">
        <f>14042276800</f>
        <v>1.40422768E10</v>
      </c>
      <c r="H310" s="10"/>
      <c r="I310" s="2" t="n">
        <f>347</f>
        <v>347.0</v>
      </c>
      <c r="J310" s="10"/>
      <c r="K310" s="2" t="n">
        <f>3334</f>
        <v>3334.0</v>
      </c>
    </row>
    <row r="311">
      <c r="A311" s="8" t="s">
        <v>45</v>
      </c>
      <c r="B311" s="9" t="s">
        <v>67</v>
      </c>
      <c r="C311" s="9" t="s">
        <v>68</v>
      </c>
      <c r="D311" s="10"/>
      <c r="E311" s="2"/>
      <c r="F311" s="10"/>
      <c r="G311" s="2"/>
      <c r="H311" s="10"/>
      <c r="I311" s="2"/>
      <c r="J311" s="10"/>
      <c r="K311" s="2"/>
    </row>
    <row r="312">
      <c r="A312" s="8" t="s">
        <v>46</v>
      </c>
      <c r="B312" s="9" t="s">
        <v>67</v>
      </c>
      <c r="C312" s="9" t="s">
        <v>68</v>
      </c>
      <c r="D312" s="10"/>
      <c r="E312" s="2"/>
      <c r="F312" s="10"/>
      <c r="G312" s="2"/>
      <c r="H312" s="10"/>
      <c r="I312" s="2"/>
      <c r="J312" s="10"/>
      <c r="K312" s="2"/>
    </row>
    <row r="313">
      <c r="A313" s="8" t="s">
        <v>47</v>
      </c>
      <c r="B313" s="9" t="s">
        <v>67</v>
      </c>
      <c r="C313" s="9" t="s">
        <v>68</v>
      </c>
      <c r="D313" s="10"/>
      <c r="E313" s="2" t="n">
        <f>4398</f>
        <v>4398.0</v>
      </c>
      <c r="F313" s="10"/>
      <c r="G313" s="2" t="n">
        <f>14698597000</f>
        <v>1.4698597E10</v>
      </c>
      <c r="H313" s="10"/>
      <c r="I313" s="2" t="n">
        <f>88</f>
        <v>88.0</v>
      </c>
      <c r="J313" s="10"/>
      <c r="K313" s="2" t="n">
        <f>3181</f>
        <v>3181.0</v>
      </c>
    </row>
    <row r="314">
      <c r="A314" s="8" t="s">
        <v>16</v>
      </c>
      <c r="B314" s="9" t="s">
        <v>69</v>
      </c>
      <c r="C314" s="9" t="s">
        <v>70</v>
      </c>
      <c r="D314" s="10" t="s">
        <v>58</v>
      </c>
      <c r="E314" s="2" t="str">
        <f>"－"</f>
        <v>－</v>
      </c>
      <c r="F314" s="10" t="s">
        <v>58</v>
      </c>
      <c r="G314" s="2" t="str">
        <f>"－"</f>
        <v>－</v>
      </c>
      <c r="H314" s="10" t="s">
        <v>58</v>
      </c>
      <c r="I314" s="2" t="str">
        <f>"－"</f>
        <v>－</v>
      </c>
      <c r="J314" s="10" t="s">
        <v>58</v>
      </c>
      <c r="K314" s="2" t="str">
        <f>"－"</f>
        <v>－</v>
      </c>
    </row>
    <row r="315">
      <c r="A315" s="8" t="s">
        <v>19</v>
      </c>
      <c r="B315" s="9" t="s">
        <v>69</v>
      </c>
      <c r="C315" s="9" t="s">
        <v>70</v>
      </c>
      <c r="D315" s="10"/>
      <c r="E315" s="2" t="str">
        <f>"－"</f>
        <v>－</v>
      </c>
      <c r="F315" s="10"/>
      <c r="G315" s="2" t="str">
        <f>"－"</f>
        <v>－</v>
      </c>
      <c r="H315" s="10"/>
      <c r="I315" s="2" t="str">
        <f>"－"</f>
        <v>－</v>
      </c>
      <c r="J315" s="10"/>
      <c r="K315" s="2" t="str">
        <f>"－"</f>
        <v>－</v>
      </c>
    </row>
    <row r="316">
      <c r="A316" s="8" t="s">
        <v>20</v>
      </c>
      <c r="B316" s="9" t="s">
        <v>69</v>
      </c>
      <c r="C316" s="9" t="s">
        <v>70</v>
      </c>
      <c r="D316" s="10"/>
      <c r="E316" s="2" t="str">
        <f>"－"</f>
        <v>－</v>
      </c>
      <c r="F316" s="10"/>
      <c r="G316" s="2" t="str">
        <f>"－"</f>
        <v>－</v>
      </c>
      <c r="H316" s="10"/>
      <c r="I316" s="2" t="str">
        <f>"－"</f>
        <v>－</v>
      </c>
      <c r="J316" s="10"/>
      <c r="K316" s="2" t="str">
        <f>"－"</f>
        <v>－</v>
      </c>
    </row>
    <row r="317">
      <c r="A317" s="8" t="s">
        <v>21</v>
      </c>
      <c r="B317" s="9" t="s">
        <v>69</v>
      </c>
      <c r="C317" s="9" t="s">
        <v>70</v>
      </c>
      <c r="D317" s="10"/>
      <c r="E317" s="2" t="str">
        <f>"－"</f>
        <v>－</v>
      </c>
      <c r="F317" s="10"/>
      <c r="G317" s="2" t="str">
        <f>"－"</f>
        <v>－</v>
      </c>
      <c r="H317" s="10"/>
      <c r="I317" s="2" t="str">
        <f>"－"</f>
        <v>－</v>
      </c>
      <c r="J317" s="10"/>
      <c r="K317" s="2" t="str">
        <f>"－"</f>
        <v>－</v>
      </c>
    </row>
    <row r="318">
      <c r="A318" s="8" t="s">
        <v>22</v>
      </c>
      <c r="B318" s="9" t="s">
        <v>69</v>
      </c>
      <c r="C318" s="9" t="s">
        <v>70</v>
      </c>
      <c r="D318" s="10"/>
      <c r="E318" s="2"/>
      <c r="F318" s="10"/>
      <c r="G318" s="2"/>
      <c r="H318" s="10"/>
      <c r="I318" s="2"/>
      <c r="J318" s="10"/>
      <c r="K318" s="2"/>
    </row>
    <row r="319">
      <c r="A319" s="8" t="s">
        <v>23</v>
      </c>
      <c r="B319" s="9" t="s">
        <v>69</v>
      </c>
      <c r="C319" s="9" t="s">
        <v>70</v>
      </c>
      <c r="D319" s="10"/>
      <c r="E319" s="2"/>
      <c r="F319" s="10"/>
      <c r="G319" s="2"/>
      <c r="H319" s="10"/>
      <c r="I319" s="2"/>
      <c r="J319" s="10"/>
      <c r="K319" s="2"/>
    </row>
    <row r="320">
      <c r="A320" s="8" t="s">
        <v>24</v>
      </c>
      <c r="B320" s="9" t="s">
        <v>69</v>
      </c>
      <c r="C320" s="9" t="s">
        <v>70</v>
      </c>
      <c r="D320" s="10"/>
      <c r="E320" s="2" t="str">
        <f>"－"</f>
        <v>－</v>
      </c>
      <c r="F320" s="10"/>
      <c r="G320" s="2" t="str">
        <f>"－"</f>
        <v>－</v>
      </c>
      <c r="H320" s="10"/>
      <c r="I320" s="2" t="str">
        <f>"－"</f>
        <v>－</v>
      </c>
      <c r="J320" s="10"/>
      <c r="K320" s="2" t="str">
        <f>"－"</f>
        <v>－</v>
      </c>
    </row>
    <row r="321">
      <c r="A321" s="8" t="s">
        <v>25</v>
      </c>
      <c r="B321" s="9" t="s">
        <v>69</v>
      </c>
      <c r="C321" s="9" t="s">
        <v>70</v>
      </c>
      <c r="D321" s="10"/>
      <c r="E321" s="2" t="str">
        <f>"－"</f>
        <v>－</v>
      </c>
      <c r="F321" s="10"/>
      <c r="G321" s="2" t="str">
        <f>"－"</f>
        <v>－</v>
      </c>
      <c r="H321" s="10"/>
      <c r="I321" s="2" t="str">
        <f>"－"</f>
        <v>－</v>
      </c>
      <c r="J321" s="10"/>
      <c r="K321" s="2" t="str">
        <f>"－"</f>
        <v>－</v>
      </c>
    </row>
    <row r="322">
      <c r="A322" s="8" t="s">
        <v>27</v>
      </c>
      <c r="B322" s="9" t="s">
        <v>69</v>
      </c>
      <c r="C322" s="9" t="s">
        <v>70</v>
      </c>
      <c r="D322" s="10"/>
      <c r="E322" s="2" t="str">
        <f>"－"</f>
        <v>－</v>
      </c>
      <c r="F322" s="10"/>
      <c r="G322" s="2" t="str">
        <f>"－"</f>
        <v>－</v>
      </c>
      <c r="H322" s="10"/>
      <c r="I322" s="2" t="str">
        <f>"－"</f>
        <v>－</v>
      </c>
      <c r="J322" s="10"/>
      <c r="K322" s="2" t="str">
        <f>"－"</f>
        <v>－</v>
      </c>
    </row>
    <row r="323">
      <c r="A323" s="8" t="s">
        <v>28</v>
      </c>
      <c r="B323" s="9" t="s">
        <v>69</v>
      </c>
      <c r="C323" s="9" t="s">
        <v>70</v>
      </c>
      <c r="D323" s="10"/>
      <c r="E323" s="2" t="str">
        <f>"－"</f>
        <v>－</v>
      </c>
      <c r="F323" s="10"/>
      <c r="G323" s="2" t="str">
        <f>"－"</f>
        <v>－</v>
      </c>
      <c r="H323" s="10"/>
      <c r="I323" s="2" t="str">
        <f>"－"</f>
        <v>－</v>
      </c>
      <c r="J323" s="10"/>
      <c r="K323" s="2" t="str">
        <f>"－"</f>
        <v>－</v>
      </c>
    </row>
    <row r="324">
      <c r="A324" s="8" t="s">
        <v>29</v>
      </c>
      <c r="B324" s="9" t="s">
        <v>69</v>
      </c>
      <c r="C324" s="9" t="s">
        <v>70</v>
      </c>
      <c r="D324" s="10"/>
      <c r="E324" s="2"/>
      <c r="F324" s="10"/>
      <c r="G324" s="2"/>
      <c r="H324" s="10"/>
      <c r="I324" s="2"/>
      <c r="J324" s="10"/>
      <c r="K324" s="2"/>
    </row>
    <row r="325">
      <c r="A325" s="8" t="s">
        <v>30</v>
      </c>
      <c r="B325" s="9" t="s">
        <v>69</v>
      </c>
      <c r="C325" s="9" t="s">
        <v>70</v>
      </c>
      <c r="D325" s="10"/>
      <c r="E325" s="2"/>
      <c r="F325" s="10"/>
      <c r="G325" s="2"/>
      <c r="H325" s="10"/>
      <c r="I325" s="2"/>
      <c r="J325" s="10"/>
      <c r="K325" s="2"/>
    </row>
    <row r="326">
      <c r="A326" s="8" t="s">
        <v>31</v>
      </c>
      <c r="B326" s="9" t="s">
        <v>69</v>
      </c>
      <c r="C326" s="9" t="s">
        <v>70</v>
      </c>
      <c r="D326" s="10"/>
      <c r="E326" s="2"/>
      <c r="F326" s="10"/>
      <c r="G326" s="2"/>
      <c r="H326" s="10"/>
      <c r="I326" s="2"/>
      <c r="J326" s="10"/>
      <c r="K326" s="2"/>
    </row>
    <row r="327">
      <c r="A327" s="8" t="s">
        <v>32</v>
      </c>
      <c r="B327" s="9" t="s">
        <v>69</v>
      </c>
      <c r="C327" s="9" t="s">
        <v>70</v>
      </c>
      <c r="D327" s="10"/>
      <c r="E327" s="2" t="str">
        <f>"－"</f>
        <v>－</v>
      </c>
      <c r="F327" s="10"/>
      <c r="G327" s="2" t="str">
        <f>"－"</f>
        <v>－</v>
      </c>
      <c r="H327" s="10"/>
      <c r="I327" s="2" t="str">
        <f>"－"</f>
        <v>－</v>
      </c>
      <c r="J327" s="10"/>
      <c r="K327" s="2" t="str">
        <f>"－"</f>
        <v>－</v>
      </c>
    </row>
    <row r="328">
      <c r="A328" s="8" t="s">
        <v>33</v>
      </c>
      <c r="B328" s="9" t="s">
        <v>69</v>
      </c>
      <c r="C328" s="9" t="s">
        <v>70</v>
      </c>
      <c r="D328" s="10"/>
      <c r="E328" s="2" t="str">
        <f>"－"</f>
        <v>－</v>
      </c>
      <c r="F328" s="10"/>
      <c r="G328" s="2" t="str">
        <f>"－"</f>
        <v>－</v>
      </c>
      <c r="H328" s="10"/>
      <c r="I328" s="2" t="str">
        <f>"－"</f>
        <v>－</v>
      </c>
      <c r="J328" s="10"/>
      <c r="K328" s="2" t="str">
        <f>"－"</f>
        <v>－</v>
      </c>
    </row>
    <row r="329">
      <c r="A329" s="8" t="s">
        <v>34</v>
      </c>
      <c r="B329" s="9" t="s">
        <v>69</v>
      </c>
      <c r="C329" s="9" t="s">
        <v>70</v>
      </c>
      <c r="D329" s="10"/>
      <c r="E329" s="2" t="str">
        <f>"－"</f>
        <v>－</v>
      </c>
      <c r="F329" s="10"/>
      <c r="G329" s="2" t="str">
        <f>"－"</f>
        <v>－</v>
      </c>
      <c r="H329" s="10"/>
      <c r="I329" s="2" t="str">
        <f>"－"</f>
        <v>－</v>
      </c>
      <c r="J329" s="10"/>
      <c r="K329" s="2" t="str">
        <f>"－"</f>
        <v>－</v>
      </c>
    </row>
    <row r="330">
      <c r="A330" s="8" t="s">
        <v>35</v>
      </c>
      <c r="B330" s="9" t="s">
        <v>69</v>
      </c>
      <c r="C330" s="9" t="s">
        <v>70</v>
      </c>
      <c r="D330" s="10"/>
      <c r="E330" s="2" t="str">
        <f>"－"</f>
        <v>－</v>
      </c>
      <c r="F330" s="10"/>
      <c r="G330" s="2" t="str">
        <f>"－"</f>
        <v>－</v>
      </c>
      <c r="H330" s="10"/>
      <c r="I330" s="2" t="str">
        <f>"－"</f>
        <v>－</v>
      </c>
      <c r="J330" s="10"/>
      <c r="K330" s="2" t="str">
        <f>"－"</f>
        <v>－</v>
      </c>
    </row>
    <row r="331">
      <c r="A331" s="8" t="s">
        <v>36</v>
      </c>
      <c r="B331" s="9" t="s">
        <v>69</v>
      </c>
      <c r="C331" s="9" t="s">
        <v>70</v>
      </c>
      <c r="D331" s="10"/>
      <c r="E331" s="2" t="str">
        <f>"－"</f>
        <v>－</v>
      </c>
      <c r="F331" s="10"/>
      <c r="G331" s="2" t="str">
        <f>"－"</f>
        <v>－</v>
      </c>
      <c r="H331" s="10"/>
      <c r="I331" s="2" t="str">
        <f>"－"</f>
        <v>－</v>
      </c>
      <c r="J331" s="10"/>
      <c r="K331" s="2" t="str">
        <f>"－"</f>
        <v>－</v>
      </c>
    </row>
    <row r="332">
      <c r="A332" s="8" t="s">
        <v>37</v>
      </c>
      <c r="B332" s="9" t="s">
        <v>69</v>
      </c>
      <c r="C332" s="9" t="s">
        <v>70</v>
      </c>
      <c r="D332" s="10"/>
      <c r="E332" s="2"/>
      <c r="F332" s="10"/>
      <c r="G332" s="2"/>
      <c r="H332" s="10"/>
      <c r="I332" s="2"/>
      <c r="J332" s="10"/>
      <c r="K332" s="2"/>
    </row>
    <row r="333">
      <c r="A333" s="8" t="s">
        <v>38</v>
      </c>
      <c r="B333" s="9" t="s">
        <v>69</v>
      </c>
      <c r="C333" s="9" t="s">
        <v>70</v>
      </c>
      <c r="D333" s="10"/>
      <c r="E333" s="2"/>
      <c r="F333" s="10"/>
      <c r="G333" s="2"/>
      <c r="H333" s="10"/>
      <c r="I333" s="2"/>
      <c r="J333" s="10"/>
      <c r="K333" s="2"/>
    </row>
    <row r="334">
      <c r="A334" s="8" t="s">
        <v>39</v>
      </c>
      <c r="B334" s="9" t="s">
        <v>69</v>
      </c>
      <c r="C334" s="9" t="s">
        <v>70</v>
      </c>
      <c r="D334" s="10"/>
      <c r="E334" s="2" t="str">
        <f>"－"</f>
        <v>－</v>
      </c>
      <c r="F334" s="10"/>
      <c r="G334" s="2" t="str">
        <f>"－"</f>
        <v>－</v>
      </c>
      <c r="H334" s="10"/>
      <c r="I334" s="2" t="str">
        <f>"－"</f>
        <v>－</v>
      </c>
      <c r="J334" s="10"/>
      <c r="K334" s="2" t="str">
        <f>"－"</f>
        <v>－</v>
      </c>
    </row>
    <row r="335">
      <c r="A335" s="8" t="s">
        <v>40</v>
      </c>
      <c r="B335" s="9" t="s">
        <v>69</v>
      </c>
      <c r="C335" s="9" t="s">
        <v>70</v>
      </c>
      <c r="D335" s="10"/>
      <c r="E335" s="2" t="str">
        <f>"－"</f>
        <v>－</v>
      </c>
      <c r="F335" s="10"/>
      <c r="G335" s="2" t="str">
        <f>"－"</f>
        <v>－</v>
      </c>
      <c r="H335" s="10"/>
      <c r="I335" s="2" t="str">
        <f>"－"</f>
        <v>－</v>
      </c>
      <c r="J335" s="10"/>
      <c r="K335" s="2" t="str">
        <f>"－"</f>
        <v>－</v>
      </c>
    </row>
    <row r="336">
      <c r="A336" s="8" t="s">
        <v>41</v>
      </c>
      <c r="B336" s="9" t="s">
        <v>69</v>
      </c>
      <c r="C336" s="9" t="s">
        <v>70</v>
      </c>
      <c r="D336" s="10"/>
      <c r="E336" s="2"/>
      <c r="F336" s="10"/>
      <c r="G336" s="2"/>
      <c r="H336" s="10"/>
      <c r="I336" s="2"/>
      <c r="J336" s="10"/>
      <c r="K336" s="2"/>
    </row>
    <row r="337">
      <c r="A337" s="8" t="s">
        <v>42</v>
      </c>
      <c r="B337" s="9" t="s">
        <v>69</v>
      </c>
      <c r="C337" s="9" t="s">
        <v>70</v>
      </c>
      <c r="D337" s="10"/>
      <c r="E337" s="2" t="str">
        <f>"－"</f>
        <v>－</v>
      </c>
      <c r="F337" s="10"/>
      <c r="G337" s="2" t="str">
        <f>"－"</f>
        <v>－</v>
      </c>
      <c r="H337" s="10"/>
      <c r="I337" s="2" t="str">
        <f>"－"</f>
        <v>－</v>
      </c>
      <c r="J337" s="10"/>
      <c r="K337" s="2" t="str">
        <f>"－"</f>
        <v>－</v>
      </c>
    </row>
    <row r="338">
      <c r="A338" s="8" t="s">
        <v>44</v>
      </c>
      <c r="B338" s="9" t="s">
        <v>69</v>
      </c>
      <c r="C338" s="9" t="s">
        <v>70</v>
      </c>
      <c r="D338" s="10"/>
      <c r="E338" s="2" t="str">
        <f>"－"</f>
        <v>－</v>
      </c>
      <c r="F338" s="10"/>
      <c r="G338" s="2" t="str">
        <f>"－"</f>
        <v>－</v>
      </c>
      <c r="H338" s="10"/>
      <c r="I338" s="2" t="str">
        <f>"－"</f>
        <v>－</v>
      </c>
      <c r="J338" s="10"/>
      <c r="K338" s="2" t="str">
        <f>"－"</f>
        <v>－</v>
      </c>
    </row>
    <row r="339">
      <c r="A339" s="8" t="s">
        <v>45</v>
      </c>
      <c r="B339" s="9" t="s">
        <v>69</v>
      </c>
      <c r="C339" s="9" t="s">
        <v>70</v>
      </c>
      <c r="D339" s="10"/>
      <c r="E339" s="2"/>
      <c r="F339" s="10"/>
      <c r="G339" s="2"/>
      <c r="H339" s="10"/>
      <c r="I339" s="2"/>
      <c r="J339" s="10"/>
      <c r="K339" s="2"/>
    </row>
    <row r="340">
      <c r="A340" s="8" t="s">
        <v>46</v>
      </c>
      <c r="B340" s="9" t="s">
        <v>69</v>
      </c>
      <c r="C340" s="9" t="s">
        <v>70</v>
      </c>
      <c r="D340" s="10"/>
      <c r="E340" s="2"/>
      <c r="F340" s="10"/>
      <c r="G340" s="2"/>
      <c r="H340" s="10"/>
      <c r="I340" s="2"/>
      <c r="J340" s="10"/>
      <c r="K340" s="2"/>
    </row>
    <row r="341">
      <c r="A341" s="8" t="s">
        <v>47</v>
      </c>
      <c r="B341" s="9" t="s">
        <v>69</v>
      </c>
      <c r="C341" s="9" t="s">
        <v>70</v>
      </c>
      <c r="D341" s="10"/>
      <c r="E341" s="2" t="str">
        <f>"－"</f>
        <v>－</v>
      </c>
      <c r="F341" s="10"/>
      <c r="G341" s="2" t="str">
        <f>"－"</f>
        <v>－</v>
      </c>
      <c r="H341" s="10"/>
      <c r="I341" s="2" t="str">
        <f>"－"</f>
        <v>－</v>
      </c>
      <c r="J341" s="10"/>
      <c r="K341" s="2" t="str">
        <f>"－"</f>
        <v>－</v>
      </c>
    </row>
    <row r="342">
      <c r="A342" s="8" t="s">
        <v>16</v>
      </c>
      <c r="B342" s="9" t="s">
        <v>71</v>
      </c>
      <c r="C342" s="9" t="s">
        <v>72</v>
      </c>
      <c r="D342" s="10" t="s">
        <v>58</v>
      </c>
      <c r="E342" s="2" t="str">
        <f>"－"</f>
        <v>－</v>
      </c>
      <c r="F342" s="10" t="s">
        <v>58</v>
      </c>
      <c r="G342" s="2" t="str">
        <f>"－"</f>
        <v>－</v>
      </c>
      <c r="H342" s="10" t="s">
        <v>58</v>
      </c>
      <c r="I342" s="2" t="str">
        <f>"－"</f>
        <v>－</v>
      </c>
      <c r="J342" s="10" t="s">
        <v>58</v>
      </c>
      <c r="K342" s="2" t="str">
        <f>"－"</f>
        <v>－</v>
      </c>
    </row>
    <row r="343">
      <c r="A343" s="8" t="s">
        <v>19</v>
      </c>
      <c r="B343" s="9" t="s">
        <v>71</v>
      </c>
      <c r="C343" s="9" t="s">
        <v>72</v>
      </c>
      <c r="D343" s="10"/>
      <c r="E343" s="2" t="str">
        <f>"－"</f>
        <v>－</v>
      </c>
      <c r="F343" s="10"/>
      <c r="G343" s="2" t="str">
        <f>"－"</f>
        <v>－</v>
      </c>
      <c r="H343" s="10"/>
      <c r="I343" s="2" t="str">
        <f>"－"</f>
        <v>－</v>
      </c>
      <c r="J343" s="10"/>
      <c r="K343" s="2" t="str">
        <f>"－"</f>
        <v>－</v>
      </c>
    </row>
    <row r="344">
      <c r="A344" s="8" t="s">
        <v>20</v>
      </c>
      <c r="B344" s="9" t="s">
        <v>71</v>
      </c>
      <c r="C344" s="9" t="s">
        <v>72</v>
      </c>
      <c r="D344" s="10"/>
      <c r="E344" s="2" t="str">
        <f>"－"</f>
        <v>－</v>
      </c>
      <c r="F344" s="10"/>
      <c r="G344" s="2" t="str">
        <f>"－"</f>
        <v>－</v>
      </c>
      <c r="H344" s="10"/>
      <c r="I344" s="2" t="str">
        <f>"－"</f>
        <v>－</v>
      </c>
      <c r="J344" s="10"/>
      <c r="K344" s="2" t="str">
        <f>"－"</f>
        <v>－</v>
      </c>
    </row>
    <row r="345">
      <c r="A345" s="8" t="s">
        <v>21</v>
      </c>
      <c r="B345" s="9" t="s">
        <v>71</v>
      </c>
      <c r="C345" s="9" t="s">
        <v>72</v>
      </c>
      <c r="D345" s="10"/>
      <c r="E345" s="2" t="str">
        <f>"－"</f>
        <v>－</v>
      </c>
      <c r="F345" s="10"/>
      <c r="G345" s="2" t="str">
        <f>"－"</f>
        <v>－</v>
      </c>
      <c r="H345" s="10"/>
      <c r="I345" s="2" t="str">
        <f>"－"</f>
        <v>－</v>
      </c>
      <c r="J345" s="10"/>
      <c r="K345" s="2" t="str">
        <f>"－"</f>
        <v>－</v>
      </c>
    </row>
    <row r="346">
      <c r="A346" s="8" t="s">
        <v>22</v>
      </c>
      <c r="B346" s="9" t="s">
        <v>71</v>
      </c>
      <c r="C346" s="9" t="s">
        <v>72</v>
      </c>
      <c r="D346" s="10"/>
      <c r="E346" s="2"/>
      <c r="F346" s="10"/>
      <c r="G346" s="2"/>
      <c r="H346" s="10"/>
      <c r="I346" s="2"/>
      <c r="J346" s="10"/>
      <c r="K346" s="2"/>
    </row>
    <row r="347">
      <c r="A347" s="8" t="s">
        <v>23</v>
      </c>
      <c r="B347" s="9" t="s">
        <v>71</v>
      </c>
      <c r="C347" s="9" t="s">
        <v>72</v>
      </c>
      <c r="D347" s="10"/>
      <c r="E347" s="2"/>
      <c r="F347" s="10"/>
      <c r="G347" s="2"/>
      <c r="H347" s="10"/>
      <c r="I347" s="2"/>
      <c r="J347" s="10"/>
      <c r="K347" s="2"/>
    </row>
    <row r="348">
      <c r="A348" s="8" t="s">
        <v>24</v>
      </c>
      <c r="B348" s="9" t="s">
        <v>71</v>
      </c>
      <c r="C348" s="9" t="s">
        <v>72</v>
      </c>
      <c r="D348" s="10"/>
      <c r="E348" s="2" t="str">
        <f>"－"</f>
        <v>－</v>
      </c>
      <c r="F348" s="10"/>
      <c r="G348" s="2" t="str">
        <f>"－"</f>
        <v>－</v>
      </c>
      <c r="H348" s="10"/>
      <c r="I348" s="2" t="str">
        <f>"－"</f>
        <v>－</v>
      </c>
      <c r="J348" s="10"/>
      <c r="K348" s="2" t="str">
        <f>"－"</f>
        <v>－</v>
      </c>
    </row>
    <row r="349">
      <c r="A349" s="8" t="s">
        <v>25</v>
      </c>
      <c r="B349" s="9" t="s">
        <v>71</v>
      </c>
      <c r="C349" s="9" t="s">
        <v>72</v>
      </c>
      <c r="D349" s="10"/>
      <c r="E349" s="2" t="str">
        <f>"－"</f>
        <v>－</v>
      </c>
      <c r="F349" s="10"/>
      <c r="G349" s="2" t="str">
        <f>"－"</f>
        <v>－</v>
      </c>
      <c r="H349" s="10"/>
      <c r="I349" s="2" t="str">
        <f>"－"</f>
        <v>－</v>
      </c>
      <c r="J349" s="10"/>
      <c r="K349" s="2" t="str">
        <f>"－"</f>
        <v>－</v>
      </c>
    </row>
    <row r="350">
      <c r="A350" s="8" t="s">
        <v>27</v>
      </c>
      <c r="B350" s="9" t="s">
        <v>71</v>
      </c>
      <c r="C350" s="9" t="s">
        <v>72</v>
      </c>
      <c r="D350" s="10"/>
      <c r="E350" s="2" t="str">
        <f>"－"</f>
        <v>－</v>
      </c>
      <c r="F350" s="10"/>
      <c r="G350" s="2" t="str">
        <f>"－"</f>
        <v>－</v>
      </c>
      <c r="H350" s="10"/>
      <c r="I350" s="2" t="str">
        <f>"－"</f>
        <v>－</v>
      </c>
      <c r="J350" s="10"/>
      <c r="K350" s="2" t="str">
        <f>"－"</f>
        <v>－</v>
      </c>
    </row>
    <row r="351">
      <c r="A351" s="8" t="s">
        <v>28</v>
      </c>
      <c r="B351" s="9" t="s">
        <v>71</v>
      </c>
      <c r="C351" s="9" t="s">
        <v>72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str">
        <f>"－"</f>
        <v>－</v>
      </c>
    </row>
    <row r="352">
      <c r="A352" s="8" t="s">
        <v>29</v>
      </c>
      <c r="B352" s="9" t="s">
        <v>71</v>
      </c>
      <c r="C352" s="9" t="s">
        <v>72</v>
      </c>
      <c r="D352" s="10"/>
      <c r="E352" s="2"/>
      <c r="F352" s="10"/>
      <c r="G352" s="2"/>
      <c r="H352" s="10"/>
      <c r="I352" s="2"/>
      <c r="J352" s="10"/>
      <c r="K352" s="2"/>
    </row>
    <row r="353">
      <c r="A353" s="8" t="s">
        <v>30</v>
      </c>
      <c r="B353" s="9" t="s">
        <v>71</v>
      </c>
      <c r="C353" s="9" t="s">
        <v>72</v>
      </c>
      <c r="D353" s="10"/>
      <c r="E353" s="2"/>
      <c r="F353" s="10"/>
      <c r="G353" s="2"/>
      <c r="H353" s="10"/>
      <c r="I353" s="2"/>
      <c r="J353" s="10"/>
      <c r="K353" s="2"/>
    </row>
    <row r="354">
      <c r="A354" s="8" t="s">
        <v>31</v>
      </c>
      <c r="B354" s="9" t="s">
        <v>71</v>
      </c>
      <c r="C354" s="9" t="s">
        <v>72</v>
      </c>
      <c r="D354" s="10"/>
      <c r="E354" s="2"/>
      <c r="F354" s="10"/>
      <c r="G354" s="2"/>
      <c r="H354" s="10"/>
      <c r="I354" s="2"/>
      <c r="J354" s="10"/>
      <c r="K354" s="2"/>
    </row>
    <row r="355">
      <c r="A355" s="8" t="s">
        <v>32</v>
      </c>
      <c r="B355" s="9" t="s">
        <v>71</v>
      </c>
      <c r="C355" s="9" t="s">
        <v>72</v>
      </c>
      <c r="D355" s="10"/>
      <c r="E355" s="2" t="str">
        <f>"－"</f>
        <v>－</v>
      </c>
      <c r="F355" s="10"/>
      <c r="G355" s="2" t="str">
        <f>"－"</f>
        <v>－</v>
      </c>
      <c r="H355" s="10"/>
      <c r="I355" s="2" t="str">
        <f>"－"</f>
        <v>－</v>
      </c>
      <c r="J355" s="10"/>
      <c r="K355" s="2" t="str">
        <f>"－"</f>
        <v>－</v>
      </c>
    </row>
    <row r="356">
      <c r="A356" s="8" t="s">
        <v>33</v>
      </c>
      <c r="B356" s="9" t="s">
        <v>71</v>
      </c>
      <c r="C356" s="9" t="s">
        <v>72</v>
      </c>
      <c r="D356" s="10"/>
      <c r="E356" s="2" t="str">
        <f>"－"</f>
        <v>－</v>
      </c>
      <c r="F356" s="10"/>
      <c r="G356" s="2" t="str">
        <f>"－"</f>
        <v>－</v>
      </c>
      <c r="H356" s="10"/>
      <c r="I356" s="2" t="str">
        <f>"－"</f>
        <v>－</v>
      </c>
      <c r="J356" s="10"/>
      <c r="K356" s="2" t="str">
        <f>"－"</f>
        <v>－</v>
      </c>
    </row>
    <row r="357">
      <c r="A357" s="8" t="s">
        <v>34</v>
      </c>
      <c r="B357" s="9" t="s">
        <v>71</v>
      </c>
      <c r="C357" s="9" t="s">
        <v>72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35</v>
      </c>
      <c r="B358" s="9" t="s">
        <v>71</v>
      </c>
      <c r="C358" s="9" t="s">
        <v>72</v>
      </c>
      <c r="D358" s="10"/>
      <c r="E358" s="2" t="str">
        <f>"－"</f>
        <v>－</v>
      </c>
      <c r="F358" s="10"/>
      <c r="G358" s="2" t="str">
        <f>"－"</f>
        <v>－</v>
      </c>
      <c r="H358" s="10"/>
      <c r="I358" s="2" t="str">
        <f>"－"</f>
        <v>－</v>
      </c>
      <c r="J358" s="10"/>
      <c r="K358" s="2" t="str">
        <f>"－"</f>
        <v>－</v>
      </c>
    </row>
    <row r="359">
      <c r="A359" s="8" t="s">
        <v>36</v>
      </c>
      <c r="B359" s="9" t="s">
        <v>71</v>
      </c>
      <c r="C359" s="9" t="s">
        <v>72</v>
      </c>
      <c r="D359" s="10"/>
      <c r="E359" s="2" t="str">
        <f>"－"</f>
        <v>－</v>
      </c>
      <c r="F359" s="10"/>
      <c r="G359" s="2" t="str">
        <f>"－"</f>
        <v>－</v>
      </c>
      <c r="H359" s="10"/>
      <c r="I359" s="2" t="str">
        <f>"－"</f>
        <v>－</v>
      </c>
      <c r="J359" s="10"/>
      <c r="K359" s="2" t="str">
        <f>"－"</f>
        <v>－</v>
      </c>
    </row>
    <row r="360">
      <c r="A360" s="8" t="s">
        <v>37</v>
      </c>
      <c r="B360" s="9" t="s">
        <v>71</v>
      </c>
      <c r="C360" s="9" t="s">
        <v>72</v>
      </c>
      <c r="D360" s="10"/>
      <c r="E360" s="2"/>
      <c r="F360" s="10"/>
      <c r="G360" s="2"/>
      <c r="H360" s="10"/>
      <c r="I360" s="2"/>
      <c r="J360" s="10"/>
      <c r="K360" s="2"/>
    </row>
    <row r="361">
      <c r="A361" s="8" t="s">
        <v>38</v>
      </c>
      <c r="B361" s="9" t="s">
        <v>71</v>
      </c>
      <c r="C361" s="9" t="s">
        <v>72</v>
      </c>
      <c r="D361" s="10"/>
      <c r="E361" s="2"/>
      <c r="F361" s="10"/>
      <c r="G361" s="2"/>
      <c r="H361" s="10"/>
      <c r="I361" s="2"/>
      <c r="J361" s="10"/>
      <c r="K361" s="2"/>
    </row>
    <row r="362">
      <c r="A362" s="8" t="s">
        <v>39</v>
      </c>
      <c r="B362" s="9" t="s">
        <v>71</v>
      </c>
      <c r="C362" s="9" t="s">
        <v>72</v>
      </c>
      <c r="D362" s="10"/>
      <c r="E362" s="2" t="str">
        <f>"－"</f>
        <v>－</v>
      </c>
      <c r="F362" s="10"/>
      <c r="G362" s="2" t="str">
        <f>"－"</f>
        <v>－</v>
      </c>
      <c r="H362" s="10"/>
      <c r="I362" s="2" t="str">
        <f>"－"</f>
        <v>－</v>
      </c>
      <c r="J362" s="10"/>
      <c r="K362" s="2" t="str">
        <f>"－"</f>
        <v>－</v>
      </c>
    </row>
    <row r="363">
      <c r="A363" s="8" t="s">
        <v>40</v>
      </c>
      <c r="B363" s="9" t="s">
        <v>71</v>
      </c>
      <c r="C363" s="9" t="s">
        <v>72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41</v>
      </c>
      <c r="B364" s="9" t="s">
        <v>71</v>
      </c>
      <c r="C364" s="9" t="s">
        <v>72</v>
      </c>
      <c r="D364" s="10"/>
      <c r="E364" s="2"/>
      <c r="F364" s="10"/>
      <c r="G364" s="2"/>
      <c r="H364" s="10"/>
      <c r="I364" s="2"/>
      <c r="J364" s="10"/>
      <c r="K364" s="2"/>
    </row>
    <row r="365">
      <c r="A365" s="8" t="s">
        <v>42</v>
      </c>
      <c r="B365" s="9" t="s">
        <v>71</v>
      </c>
      <c r="C365" s="9" t="s">
        <v>72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44</v>
      </c>
      <c r="B366" s="9" t="s">
        <v>71</v>
      </c>
      <c r="C366" s="9" t="s">
        <v>72</v>
      </c>
      <c r="D366" s="10"/>
      <c r="E366" s="2" t="str">
        <f>"－"</f>
        <v>－</v>
      </c>
      <c r="F366" s="10"/>
      <c r="G366" s="2" t="str">
        <f>"－"</f>
        <v>－</v>
      </c>
      <c r="H366" s="10"/>
      <c r="I366" s="2" t="str">
        <f>"－"</f>
        <v>－</v>
      </c>
      <c r="J366" s="10"/>
      <c r="K366" s="2" t="str">
        <f>"－"</f>
        <v>－</v>
      </c>
    </row>
    <row r="367">
      <c r="A367" s="8" t="s">
        <v>45</v>
      </c>
      <c r="B367" s="9" t="s">
        <v>71</v>
      </c>
      <c r="C367" s="9" t="s">
        <v>72</v>
      </c>
      <c r="D367" s="10"/>
      <c r="E367" s="2"/>
      <c r="F367" s="10"/>
      <c r="G367" s="2"/>
      <c r="H367" s="10"/>
      <c r="I367" s="2"/>
      <c r="J367" s="10"/>
      <c r="K367" s="2"/>
    </row>
    <row r="368">
      <c r="A368" s="8" t="s">
        <v>46</v>
      </c>
      <c r="B368" s="9" t="s">
        <v>71</v>
      </c>
      <c r="C368" s="9" t="s">
        <v>72</v>
      </c>
      <c r="D368" s="10"/>
      <c r="E368" s="2"/>
      <c r="F368" s="10"/>
      <c r="G368" s="2"/>
      <c r="H368" s="10"/>
      <c r="I368" s="2"/>
      <c r="J368" s="10"/>
      <c r="K368" s="2"/>
    </row>
    <row r="369">
      <c r="A369" s="8" t="s">
        <v>47</v>
      </c>
      <c r="B369" s="9" t="s">
        <v>71</v>
      </c>
      <c r="C369" s="9" t="s">
        <v>72</v>
      </c>
      <c r="D369" s="10"/>
      <c r="E369" s="2" t="str">
        <f>"－"</f>
        <v>－</v>
      </c>
      <c r="F369" s="10"/>
      <c r="G369" s="2" t="str">
        <f>"－"</f>
        <v>－</v>
      </c>
      <c r="H369" s="10"/>
      <c r="I369" s="2" t="str">
        <f>"－"</f>
        <v>－</v>
      </c>
      <c r="J369" s="10"/>
      <c r="K369" s="2" t="str">
        <f>"－"</f>
        <v>－</v>
      </c>
    </row>
    <row r="370">
      <c r="A370" s="8" t="s">
        <v>16</v>
      </c>
      <c r="B370" s="9" t="s">
        <v>73</v>
      </c>
      <c r="C370" s="9" t="s">
        <v>74</v>
      </c>
      <c r="D370" s="10" t="s">
        <v>26</v>
      </c>
      <c r="E370" s="2" t="str">
        <f>"－"</f>
        <v>－</v>
      </c>
      <c r="F370" s="10" t="s">
        <v>26</v>
      </c>
      <c r="G370" s="2" t="str">
        <f>"－"</f>
        <v>－</v>
      </c>
      <c r="H370" s="10" t="s">
        <v>58</v>
      </c>
      <c r="I370" s="2" t="str">
        <f>"－"</f>
        <v>－</v>
      </c>
      <c r="J370" s="10" t="s">
        <v>43</v>
      </c>
      <c r="K370" s="2" t="n">
        <f>34476</f>
        <v>34476.0</v>
      </c>
    </row>
    <row r="371">
      <c r="A371" s="8" t="s">
        <v>19</v>
      </c>
      <c r="B371" s="9" t="s">
        <v>73</v>
      </c>
      <c r="C371" s="9" t="s">
        <v>74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n">
        <f>34476</f>
        <v>34476.0</v>
      </c>
    </row>
    <row r="372">
      <c r="A372" s="8" t="s">
        <v>20</v>
      </c>
      <c r="B372" s="9" t="s">
        <v>73</v>
      </c>
      <c r="C372" s="9" t="s">
        <v>74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n">
        <f>34476</f>
        <v>34476.0</v>
      </c>
    </row>
    <row r="373">
      <c r="A373" s="8" t="s">
        <v>21</v>
      </c>
      <c r="B373" s="9" t="s">
        <v>73</v>
      </c>
      <c r="C373" s="9" t="s">
        <v>74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n">
        <f>34476</f>
        <v>34476.0</v>
      </c>
    </row>
    <row r="374">
      <c r="A374" s="8" t="s">
        <v>22</v>
      </c>
      <c r="B374" s="9" t="s">
        <v>73</v>
      </c>
      <c r="C374" s="9" t="s">
        <v>74</v>
      </c>
      <c r="D374" s="10"/>
      <c r="E374" s="2"/>
      <c r="F374" s="10"/>
      <c r="G374" s="2"/>
      <c r="H374" s="10"/>
      <c r="I374" s="2"/>
      <c r="J374" s="10"/>
      <c r="K374" s="2"/>
    </row>
    <row r="375">
      <c r="A375" s="8" t="s">
        <v>23</v>
      </c>
      <c r="B375" s="9" t="s">
        <v>73</v>
      </c>
      <c r="C375" s="9" t="s">
        <v>74</v>
      </c>
      <c r="D375" s="10"/>
      <c r="E375" s="2"/>
      <c r="F375" s="10"/>
      <c r="G375" s="2"/>
      <c r="H375" s="10"/>
      <c r="I375" s="2"/>
      <c r="J375" s="10"/>
      <c r="K375" s="2"/>
    </row>
    <row r="376">
      <c r="A376" s="8" t="s">
        <v>24</v>
      </c>
      <c r="B376" s="9" t="s">
        <v>73</v>
      </c>
      <c r="C376" s="9" t="s">
        <v>74</v>
      </c>
      <c r="D376" s="10"/>
      <c r="E376" s="2" t="str">
        <f>"－"</f>
        <v>－</v>
      </c>
      <c r="F376" s="10"/>
      <c r="G376" s="2" t="str">
        <f>"－"</f>
        <v>－</v>
      </c>
      <c r="H376" s="10"/>
      <c r="I376" s="2" t="str">
        <f>"－"</f>
        <v>－</v>
      </c>
      <c r="J376" s="10"/>
      <c r="K376" s="2" t="n">
        <f>34476</f>
        <v>34476.0</v>
      </c>
    </row>
    <row r="377">
      <c r="A377" s="8" t="s">
        <v>25</v>
      </c>
      <c r="B377" s="9" t="s">
        <v>73</v>
      </c>
      <c r="C377" s="9" t="s">
        <v>74</v>
      </c>
      <c r="D377" s="10" t="s">
        <v>43</v>
      </c>
      <c r="E377" s="2" t="n">
        <f>64</f>
        <v>64.0</v>
      </c>
      <c r="F377" s="10" t="s">
        <v>43</v>
      </c>
      <c r="G377" s="2" t="n">
        <f>34687500</f>
        <v>3.46875E7</v>
      </c>
      <c r="H377" s="10"/>
      <c r="I377" s="2" t="str">
        <f>"－"</f>
        <v>－</v>
      </c>
      <c r="J377" s="10" t="s">
        <v>26</v>
      </c>
      <c r="K377" s="2" t="n">
        <f>34412</f>
        <v>34412.0</v>
      </c>
    </row>
    <row r="378">
      <c r="A378" s="8" t="s">
        <v>27</v>
      </c>
      <c r="B378" s="9" t="s">
        <v>73</v>
      </c>
      <c r="C378" s="9" t="s">
        <v>74</v>
      </c>
      <c r="D378" s="10"/>
      <c r="E378" s="2" t="str">
        <f>"－"</f>
        <v>－</v>
      </c>
      <c r="F378" s="10"/>
      <c r="G378" s="2" t="str">
        <f>"－"</f>
        <v>－</v>
      </c>
      <c r="H378" s="10"/>
      <c r="I378" s="2" t="str">
        <f>"－"</f>
        <v>－</v>
      </c>
      <c r="J378" s="10"/>
      <c r="K378" s="2" t="n">
        <f>34412</f>
        <v>34412.0</v>
      </c>
    </row>
    <row r="379">
      <c r="A379" s="8" t="s">
        <v>28</v>
      </c>
      <c r="B379" s="9" t="s">
        <v>73</v>
      </c>
      <c r="C379" s="9" t="s">
        <v>74</v>
      </c>
      <c r="D379" s="10"/>
      <c r="E379" s="2" t="str">
        <f>"－"</f>
        <v>－</v>
      </c>
      <c r="F379" s="10"/>
      <c r="G379" s="2" t="str">
        <f>"－"</f>
        <v>－</v>
      </c>
      <c r="H379" s="10"/>
      <c r="I379" s="2" t="str">
        <f>"－"</f>
        <v>－</v>
      </c>
      <c r="J379" s="10"/>
      <c r="K379" s="2" t="n">
        <f>34412</f>
        <v>34412.0</v>
      </c>
    </row>
    <row r="380">
      <c r="A380" s="8" t="s">
        <v>29</v>
      </c>
      <c r="B380" s="9" t="s">
        <v>73</v>
      </c>
      <c r="C380" s="9" t="s">
        <v>74</v>
      </c>
      <c r="D380" s="10"/>
      <c r="E380" s="2"/>
      <c r="F380" s="10"/>
      <c r="G380" s="2"/>
      <c r="H380" s="10"/>
      <c r="I380" s="2"/>
      <c r="J380" s="10"/>
      <c r="K380" s="2"/>
    </row>
    <row r="381">
      <c r="A381" s="8" t="s">
        <v>30</v>
      </c>
      <c r="B381" s="9" t="s">
        <v>73</v>
      </c>
      <c r="C381" s="9" t="s">
        <v>74</v>
      </c>
      <c r="D381" s="10"/>
      <c r="E381" s="2"/>
      <c r="F381" s="10"/>
      <c r="G381" s="2"/>
      <c r="H381" s="10"/>
      <c r="I381" s="2"/>
      <c r="J381" s="10"/>
      <c r="K381" s="2"/>
    </row>
    <row r="382">
      <c r="A382" s="8" t="s">
        <v>31</v>
      </c>
      <c r="B382" s="9" t="s">
        <v>73</v>
      </c>
      <c r="C382" s="9" t="s">
        <v>74</v>
      </c>
      <c r="D382" s="10"/>
      <c r="E382" s="2"/>
      <c r="F382" s="10"/>
      <c r="G382" s="2"/>
      <c r="H382" s="10"/>
      <c r="I382" s="2"/>
      <c r="J382" s="10"/>
      <c r="K382" s="2"/>
    </row>
    <row r="383">
      <c r="A383" s="8" t="s">
        <v>32</v>
      </c>
      <c r="B383" s="9" t="s">
        <v>73</v>
      </c>
      <c r="C383" s="9" t="s">
        <v>74</v>
      </c>
      <c r="D383" s="10"/>
      <c r="E383" s="2" t="str">
        <f>"－"</f>
        <v>－</v>
      </c>
      <c r="F383" s="10"/>
      <c r="G383" s="2" t="str">
        <f>"－"</f>
        <v>－</v>
      </c>
      <c r="H383" s="10"/>
      <c r="I383" s="2" t="str">
        <f>"－"</f>
        <v>－</v>
      </c>
      <c r="J383" s="10"/>
      <c r="K383" s="2" t="n">
        <f>34412</f>
        <v>34412.0</v>
      </c>
    </row>
    <row r="384">
      <c r="A384" s="8" t="s">
        <v>33</v>
      </c>
      <c r="B384" s="9" t="s">
        <v>73</v>
      </c>
      <c r="C384" s="9" t="s">
        <v>74</v>
      </c>
      <c r="D384" s="10"/>
      <c r="E384" s="2" t="str">
        <f>"－"</f>
        <v>－</v>
      </c>
      <c r="F384" s="10"/>
      <c r="G384" s="2" t="str">
        <f>"－"</f>
        <v>－</v>
      </c>
      <c r="H384" s="10"/>
      <c r="I384" s="2" t="str">
        <f>"－"</f>
        <v>－</v>
      </c>
      <c r="J384" s="10"/>
      <c r="K384" s="2" t="n">
        <f>34412</f>
        <v>34412.0</v>
      </c>
    </row>
    <row r="385">
      <c r="A385" s="8" t="s">
        <v>34</v>
      </c>
      <c r="B385" s="9" t="s">
        <v>73</v>
      </c>
      <c r="C385" s="9" t="s">
        <v>74</v>
      </c>
      <c r="D385" s="10"/>
      <c r="E385" s="2" t="str">
        <f>"－"</f>
        <v>－</v>
      </c>
      <c r="F385" s="10"/>
      <c r="G385" s="2" t="str">
        <f>"－"</f>
        <v>－</v>
      </c>
      <c r="H385" s="10"/>
      <c r="I385" s="2" t="str">
        <f>"－"</f>
        <v>－</v>
      </c>
      <c r="J385" s="10"/>
      <c r="K385" s="2" t="n">
        <f>34412</f>
        <v>34412.0</v>
      </c>
    </row>
    <row r="386">
      <c r="A386" s="8" t="s">
        <v>35</v>
      </c>
      <c r="B386" s="9" t="s">
        <v>73</v>
      </c>
      <c r="C386" s="9" t="s">
        <v>74</v>
      </c>
      <c r="D386" s="10"/>
      <c r="E386" s="2" t="str">
        <f>"－"</f>
        <v>－</v>
      </c>
      <c r="F386" s="10"/>
      <c r="G386" s="2" t="str">
        <f>"－"</f>
        <v>－</v>
      </c>
      <c r="H386" s="10"/>
      <c r="I386" s="2" t="str">
        <f>"－"</f>
        <v>－</v>
      </c>
      <c r="J386" s="10"/>
      <c r="K386" s="2" t="n">
        <f>34412</f>
        <v>34412.0</v>
      </c>
    </row>
    <row r="387">
      <c r="A387" s="8" t="s">
        <v>36</v>
      </c>
      <c r="B387" s="9" t="s">
        <v>73</v>
      </c>
      <c r="C387" s="9" t="s">
        <v>74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n">
        <f>34412</f>
        <v>34412.0</v>
      </c>
    </row>
    <row r="388">
      <c r="A388" s="8" t="s">
        <v>37</v>
      </c>
      <c r="B388" s="9" t="s">
        <v>73</v>
      </c>
      <c r="C388" s="9" t="s">
        <v>74</v>
      </c>
      <c r="D388" s="10"/>
      <c r="E388" s="2"/>
      <c r="F388" s="10"/>
      <c r="G388" s="2"/>
      <c r="H388" s="10"/>
      <c r="I388" s="2"/>
      <c r="J388" s="10"/>
      <c r="K388" s="2"/>
    </row>
    <row r="389">
      <c r="A389" s="8" t="s">
        <v>38</v>
      </c>
      <c r="B389" s="9" t="s">
        <v>73</v>
      </c>
      <c r="C389" s="9" t="s">
        <v>74</v>
      </c>
      <c r="D389" s="10"/>
      <c r="E389" s="2"/>
      <c r="F389" s="10"/>
      <c r="G389" s="2"/>
      <c r="H389" s="10"/>
      <c r="I389" s="2"/>
      <c r="J389" s="10"/>
      <c r="K389" s="2"/>
    </row>
    <row r="390">
      <c r="A390" s="8" t="s">
        <v>39</v>
      </c>
      <c r="B390" s="9" t="s">
        <v>73</v>
      </c>
      <c r="C390" s="9" t="s">
        <v>74</v>
      </c>
      <c r="D390" s="10"/>
      <c r="E390" s="2" t="n">
        <f>5</f>
        <v>5.0</v>
      </c>
      <c r="F390" s="10"/>
      <c r="G390" s="2" t="n">
        <f>2442500</f>
        <v>2442500.0</v>
      </c>
      <c r="H390" s="10"/>
      <c r="I390" s="2" t="str">
        <f>"－"</f>
        <v>－</v>
      </c>
      <c r="J390" s="10"/>
      <c r="K390" s="2" t="n">
        <f>34417</f>
        <v>34417.0</v>
      </c>
    </row>
    <row r="391">
      <c r="A391" s="8" t="s">
        <v>40</v>
      </c>
      <c r="B391" s="9" t="s">
        <v>73</v>
      </c>
      <c r="C391" s="9" t="s">
        <v>74</v>
      </c>
      <c r="D391" s="10"/>
      <c r="E391" s="2" t="str">
        <f>"－"</f>
        <v>－</v>
      </c>
      <c r="F391" s="10"/>
      <c r="G391" s="2" t="str">
        <f>"－"</f>
        <v>－</v>
      </c>
      <c r="H391" s="10"/>
      <c r="I391" s="2" t="str">
        <f>"－"</f>
        <v>－</v>
      </c>
      <c r="J391" s="10"/>
      <c r="K391" s="2" t="n">
        <f>34417</f>
        <v>34417.0</v>
      </c>
    </row>
    <row r="392">
      <c r="A392" s="8" t="s">
        <v>41</v>
      </c>
      <c r="B392" s="9" t="s">
        <v>73</v>
      </c>
      <c r="C392" s="9" t="s">
        <v>74</v>
      </c>
      <c r="D392" s="10"/>
      <c r="E392" s="2"/>
      <c r="F392" s="10"/>
      <c r="G392" s="2"/>
      <c r="H392" s="10"/>
      <c r="I392" s="2"/>
      <c r="J392" s="10"/>
      <c r="K392" s="2"/>
    </row>
    <row r="393">
      <c r="A393" s="8" t="s">
        <v>42</v>
      </c>
      <c r="B393" s="9" t="s">
        <v>73</v>
      </c>
      <c r="C393" s="9" t="s">
        <v>74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n">
        <f>34417</f>
        <v>34417.0</v>
      </c>
    </row>
    <row r="394">
      <c r="A394" s="8" t="s">
        <v>44</v>
      </c>
      <c r="B394" s="9" t="s">
        <v>73</v>
      </c>
      <c r="C394" s="9" t="s">
        <v>74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n">
        <f>34417</f>
        <v>34417.0</v>
      </c>
    </row>
    <row r="395">
      <c r="A395" s="8" t="s">
        <v>45</v>
      </c>
      <c r="B395" s="9" t="s">
        <v>73</v>
      </c>
      <c r="C395" s="9" t="s">
        <v>74</v>
      </c>
      <c r="D395" s="10"/>
      <c r="E395" s="2"/>
      <c r="F395" s="10"/>
      <c r="G395" s="2"/>
      <c r="H395" s="10"/>
      <c r="I395" s="2"/>
      <c r="J395" s="10"/>
      <c r="K395" s="2"/>
    </row>
    <row r="396">
      <c r="A396" s="8" t="s">
        <v>46</v>
      </c>
      <c r="B396" s="9" t="s">
        <v>73</v>
      </c>
      <c r="C396" s="9" t="s">
        <v>74</v>
      </c>
      <c r="D396" s="10"/>
      <c r="E396" s="2"/>
      <c r="F396" s="10"/>
      <c r="G396" s="2"/>
      <c r="H396" s="10"/>
      <c r="I396" s="2"/>
      <c r="J396" s="10"/>
      <c r="K396" s="2"/>
    </row>
    <row r="397">
      <c r="A397" s="8" t="s">
        <v>47</v>
      </c>
      <c r="B397" s="9" t="s">
        <v>73</v>
      </c>
      <c r="C397" s="9" t="s">
        <v>74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n">
        <f>34417</f>
        <v>34417.0</v>
      </c>
    </row>
    <row r="398">
      <c r="A398" s="8" t="s">
        <v>16</v>
      </c>
      <c r="B398" s="9" t="s">
        <v>75</v>
      </c>
      <c r="C398" s="9" t="s">
        <v>76</v>
      </c>
      <c r="D398" s="10"/>
      <c r="E398" s="2" t="n">
        <f>209</f>
        <v>209.0</v>
      </c>
      <c r="F398" s="10"/>
      <c r="G398" s="2" t="n">
        <f>47208500</f>
        <v>4.72085E7</v>
      </c>
      <c r="H398" s="10" t="s">
        <v>58</v>
      </c>
      <c r="I398" s="2" t="str">
        <f>"－"</f>
        <v>－</v>
      </c>
      <c r="J398" s="10"/>
      <c r="K398" s="2" t="n">
        <f>618</f>
        <v>618.0</v>
      </c>
    </row>
    <row r="399">
      <c r="A399" s="8" t="s">
        <v>19</v>
      </c>
      <c r="B399" s="9" t="s">
        <v>75</v>
      </c>
      <c r="C399" s="9" t="s">
        <v>76</v>
      </c>
      <c r="D399" s="10"/>
      <c r="E399" s="2" t="n">
        <f>168</f>
        <v>168.0</v>
      </c>
      <c r="F399" s="10"/>
      <c r="G399" s="2" t="n">
        <f>37032000</f>
        <v>3.7032E7</v>
      </c>
      <c r="H399" s="10"/>
      <c r="I399" s="2" t="str">
        <f>"－"</f>
        <v>－</v>
      </c>
      <c r="J399" s="10"/>
      <c r="K399" s="2" t="n">
        <f>675</f>
        <v>675.0</v>
      </c>
    </row>
    <row r="400">
      <c r="A400" s="8" t="s">
        <v>20</v>
      </c>
      <c r="B400" s="9" t="s">
        <v>75</v>
      </c>
      <c r="C400" s="9" t="s">
        <v>76</v>
      </c>
      <c r="D400" s="10"/>
      <c r="E400" s="2" t="n">
        <f>55</f>
        <v>55.0</v>
      </c>
      <c r="F400" s="10"/>
      <c r="G400" s="2" t="n">
        <f>12250500</f>
        <v>1.22505E7</v>
      </c>
      <c r="H400" s="10"/>
      <c r="I400" s="2" t="str">
        <f>"－"</f>
        <v>－</v>
      </c>
      <c r="J400" s="10"/>
      <c r="K400" s="2" t="n">
        <f>662</f>
        <v>662.0</v>
      </c>
    </row>
    <row r="401">
      <c r="A401" s="8" t="s">
        <v>21</v>
      </c>
      <c r="B401" s="9" t="s">
        <v>75</v>
      </c>
      <c r="C401" s="9" t="s">
        <v>76</v>
      </c>
      <c r="D401" s="10"/>
      <c r="E401" s="2" t="n">
        <f>74</f>
        <v>74.0</v>
      </c>
      <c r="F401" s="10"/>
      <c r="G401" s="2" t="n">
        <f>16401500</f>
        <v>1.64015E7</v>
      </c>
      <c r="H401" s="10"/>
      <c r="I401" s="2" t="str">
        <f>"－"</f>
        <v>－</v>
      </c>
      <c r="J401" s="10"/>
      <c r="K401" s="2" t="n">
        <f>697</f>
        <v>697.0</v>
      </c>
    </row>
    <row r="402">
      <c r="A402" s="8" t="s">
        <v>22</v>
      </c>
      <c r="B402" s="9" t="s">
        <v>75</v>
      </c>
      <c r="C402" s="9" t="s">
        <v>76</v>
      </c>
      <c r="D402" s="10"/>
      <c r="E402" s="2"/>
      <c r="F402" s="10"/>
      <c r="G402" s="2"/>
      <c r="H402" s="10"/>
      <c r="I402" s="2"/>
      <c r="J402" s="10"/>
      <c r="K402" s="2"/>
    </row>
    <row r="403">
      <c r="A403" s="8" t="s">
        <v>23</v>
      </c>
      <c r="B403" s="9" t="s">
        <v>75</v>
      </c>
      <c r="C403" s="9" t="s">
        <v>76</v>
      </c>
      <c r="D403" s="10"/>
      <c r="E403" s="2"/>
      <c r="F403" s="10"/>
      <c r="G403" s="2"/>
      <c r="H403" s="10"/>
      <c r="I403" s="2"/>
      <c r="J403" s="10"/>
      <c r="K403" s="2"/>
    </row>
    <row r="404">
      <c r="A404" s="8" t="s">
        <v>24</v>
      </c>
      <c r="B404" s="9" t="s">
        <v>75</v>
      </c>
      <c r="C404" s="9" t="s">
        <v>76</v>
      </c>
      <c r="D404" s="10" t="s">
        <v>26</v>
      </c>
      <c r="E404" s="2" t="n">
        <f>30</f>
        <v>30.0</v>
      </c>
      <c r="F404" s="10" t="s">
        <v>26</v>
      </c>
      <c r="G404" s="2" t="n">
        <f>7012000</f>
        <v>7012000.0</v>
      </c>
      <c r="H404" s="10"/>
      <c r="I404" s="2" t="str">
        <f>"－"</f>
        <v>－</v>
      </c>
      <c r="J404" s="10"/>
      <c r="K404" s="2" t="n">
        <f>689</f>
        <v>689.0</v>
      </c>
    </row>
    <row r="405">
      <c r="A405" s="8" t="s">
        <v>25</v>
      </c>
      <c r="B405" s="9" t="s">
        <v>75</v>
      </c>
      <c r="C405" s="9" t="s">
        <v>76</v>
      </c>
      <c r="D405" s="10"/>
      <c r="E405" s="2" t="n">
        <f>181</f>
        <v>181.0</v>
      </c>
      <c r="F405" s="10"/>
      <c r="G405" s="2" t="n">
        <f>41238500</f>
        <v>4.12385E7</v>
      </c>
      <c r="H405" s="10"/>
      <c r="I405" s="2" t="str">
        <f>"－"</f>
        <v>－</v>
      </c>
      <c r="J405" s="10"/>
      <c r="K405" s="2" t="n">
        <f>719</f>
        <v>719.0</v>
      </c>
    </row>
    <row r="406">
      <c r="A406" s="8" t="s">
        <v>27</v>
      </c>
      <c r="B406" s="9" t="s">
        <v>75</v>
      </c>
      <c r="C406" s="9" t="s">
        <v>76</v>
      </c>
      <c r="D406" s="10"/>
      <c r="E406" s="2" t="n">
        <f>124</f>
        <v>124.0</v>
      </c>
      <c r="F406" s="10"/>
      <c r="G406" s="2" t="n">
        <f>27432500</f>
        <v>2.74325E7</v>
      </c>
      <c r="H406" s="10"/>
      <c r="I406" s="2" t="str">
        <f>"－"</f>
        <v>－</v>
      </c>
      <c r="J406" s="10" t="s">
        <v>43</v>
      </c>
      <c r="K406" s="2" t="n">
        <f>789</f>
        <v>789.0</v>
      </c>
    </row>
    <row r="407">
      <c r="A407" s="8" t="s">
        <v>28</v>
      </c>
      <c r="B407" s="9" t="s">
        <v>75</v>
      </c>
      <c r="C407" s="9" t="s">
        <v>76</v>
      </c>
      <c r="D407" s="10"/>
      <c r="E407" s="2" t="n">
        <f>150</f>
        <v>150.0</v>
      </c>
      <c r="F407" s="10"/>
      <c r="G407" s="2" t="n">
        <f>31689000</f>
        <v>3.1689E7</v>
      </c>
      <c r="H407" s="10"/>
      <c r="I407" s="2" t="str">
        <f>"－"</f>
        <v>－</v>
      </c>
      <c r="J407" s="10"/>
      <c r="K407" s="2" t="n">
        <f>594</f>
        <v>594.0</v>
      </c>
    </row>
    <row r="408">
      <c r="A408" s="8" t="s">
        <v>29</v>
      </c>
      <c r="B408" s="9" t="s">
        <v>75</v>
      </c>
      <c r="C408" s="9" t="s">
        <v>76</v>
      </c>
      <c r="D408" s="10"/>
      <c r="E408" s="2"/>
      <c r="F408" s="10"/>
      <c r="G408" s="2"/>
      <c r="H408" s="10"/>
      <c r="I408" s="2"/>
      <c r="J408" s="10"/>
      <c r="K408" s="2"/>
    </row>
    <row r="409">
      <c r="A409" s="8" t="s">
        <v>30</v>
      </c>
      <c r="B409" s="9" t="s">
        <v>75</v>
      </c>
      <c r="C409" s="9" t="s">
        <v>76</v>
      </c>
      <c r="D409" s="10"/>
      <c r="E409" s="2"/>
      <c r="F409" s="10"/>
      <c r="G409" s="2"/>
      <c r="H409" s="10"/>
      <c r="I409" s="2"/>
      <c r="J409" s="10"/>
      <c r="K409" s="2"/>
    </row>
    <row r="410">
      <c r="A410" s="8" t="s">
        <v>31</v>
      </c>
      <c r="B410" s="9" t="s">
        <v>75</v>
      </c>
      <c r="C410" s="9" t="s">
        <v>76</v>
      </c>
      <c r="D410" s="10"/>
      <c r="E410" s="2"/>
      <c r="F410" s="10"/>
      <c r="G410" s="2"/>
      <c r="H410" s="10"/>
      <c r="I410" s="2"/>
      <c r="J410" s="10"/>
      <c r="K410" s="2"/>
    </row>
    <row r="411">
      <c r="A411" s="8" t="s">
        <v>32</v>
      </c>
      <c r="B411" s="9" t="s">
        <v>75</v>
      </c>
      <c r="C411" s="9" t="s">
        <v>76</v>
      </c>
      <c r="D411" s="10" t="s">
        <v>43</v>
      </c>
      <c r="E411" s="2" t="n">
        <f>374</f>
        <v>374.0</v>
      </c>
      <c r="F411" s="10" t="s">
        <v>43</v>
      </c>
      <c r="G411" s="2" t="n">
        <f>86046500</f>
        <v>8.60465E7</v>
      </c>
      <c r="H411" s="10"/>
      <c r="I411" s="2" t="str">
        <f>"－"</f>
        <v>－</v>
      </c>
      <c r="J411" s="10"/>
      <c r="K411" s="2" t="n">
        <f>370</f>
        <v>370.0</v>
      </c>
    </row>
    <row r="412">
      <c r="A412" s="8" t="s">
        <v>33</v>
      </c>
      <c r="B412" s="9" t="s">
        <v>75</v>
      </c>
      <c r="C412" s="9" t="s">
        <v>76</v>
      </c>
      <c r="D412" s="10"/>
      <c r="E412" s="2" t="n">
        <f>91</f>
        <v>91.0</v>
      </c>
      <c r="F412" s="10"/>
      <c r="G412" s="2" t="n">
        <f>21660000</f>
        <v>2.166E7</v>
      </c>
      <c r="H412" s="10"/>
      <c r="I412" s="2" t="str">
        <f>"－"</f>
        <v>－</v>
      </c>
      <c r="J412" s="10"/>
      <c r="K412" s="2" t="n">
        <f>377</f>
        <v>377.0</v>
      </c>
    </row>
    <row r="413">
      <c r="A413" s="8" t="s">
        <v>34</v>
      </c>
      <c r="B413" s="9" t="s">
        <v>75</v>
      </c>
      <c r="C413" s="9" t="s">
        <v>76</v>
      </c>
      <c r="D413" s="10"/>
      <c r="E413" s="2" t="n">
        <f>234</f>
        <v>234.0</v>
      </c>
      <c r="F413" s="10"/>
      <c r="G413" s="2" t="n">
        <f>53562000</f>
        <v>5.3562E7</v>
      </c>
      <c r="H413" s="10"/>
      <c r="I413" s="2" t="str">
        <f>"－"</f>
        <v>－</v>
      </c>
      <c r="J413" s="10"/>
      <c r="K413" s="2" t="n">
        <f>389</f>
        <v>389.0</v>
      </c>
    </row>
    <row r="414">
      <c r="A414" s="8" t="s">
        <v>35</v>
      </c>
      <c r="B414" s="9" t="s">
        <v>75</v>
      </c>
      <c r="C414" s="9" t="s">
        <v>76</v>
      </c>
      <c r="D414" s="10"/>
      <c r="E414" s="2" t="n">
        <f>33</f>
        <v>33.0</v>
      </c>
      <c r="F414" s="10"/>
      <c r="G414" s="2" t="n">
        <f>7572000</f>
        <v>7572000.0</v>
      </c>
      <c r="H414" s="10"/>
      <c r="I414" s="2" t="str">
        <f>"－"</f>
        <v>－</v>
      </c>
      <c r="J414" s="10"/>
      <c r="K414" s="2" t="n">
        <f>393</f>
        <v>393.0</v>
      </c>
    </row>
    <row r="415">
      <c r="A415" s="8" t="s">
        <v>36</v>
      </c>
      <c r="B415" s="9" t="s">
        <v>75</v>
      </c>
      <c r="C415" s="9" t="s">
        <v>76</v>
      </c>
      <c r="D415" s="10"/>
      <c r="E415" s="2" t="n">
        <f>56</f>
        <v>56.0</v>
      </c>
      <c r="F415" s="10"/>
      <c r="G415" s="2" t="n">
        <f>13164000</f>
        <v>1.3164E7</v>
      </c>
      <c r="H415" s="10"/>
      <c r="I415" s="2" t="str">
        <f>"－"</f>
        <v>－</v>
      </c>
      <c r="J415" s="10"/>
      <c r="K415" s="2" t="n">
        <f>376</f>
        <v>376.0</v>
      </c>
    </row>
    <row r="416">
      <c r="A416" s="8" t="s">
        <v>37</v>
      </c>
      <c r="B416" s="9" t="s">
        <v>75</v>
      </c>
      <c r="C416" s="9" t="s">
        <v>76</v>
      </c>
      <c r="D416" s="10"/>
      <c r="E416" s="2"/>
      <c r="F416" s="10"/>
      <c r="G416" s="2"/>
      <c r="H416" s="10"/>
      <c r="I416" s="2"/>
      <c r="J416" s="10"/>
      <c r="K416" s="2"/>
    </row>
    <row r="417">
      <c r="A417" s="8" t="s">
        <v>38</v>
      </c>
      <c r="B417" s="9" t="s">
        <v>75</v>
      </c>
      <c r="C417" s="9" t="s">
        <v>76</v>
      </c>
      <c r="D417" s="10"/>
      <c r="E417" s="2"/>
      <c r="F417" s="10"/>
      <c r="G417" s="2"/>
      <c r="H417" s="10"/>
      <c r="I417" s="2"/>
      <c r="J417" s="10"/>
      <c r="K417" s="2"/>
    </row>
    <row r="418">
      <c r="A418" s="8" t="s">
        <v>39</v>
      </c>
      <c r="B418" s="9" t="s">
        <v>75</v>
      </c>
      <c r="C418" s="9" t="s">
        <v>76</v>
      </c>
      <c r="D418" s="10"/>
      <c r="E418" s="2" t="n">
        <f>116</f>
        <v>116.0</v>
      </c>
      <c r="F418" s="10"/>
      <c r="G418" s="2" t="n">
        <f>28501500</f>
        <v>2.85015E7</v>
      </c>
      <c r="H418" s="10"/>
      <c r="I418" s="2" t="str">
        <f>"－"</f>
        <v>－</v>
      </c>
      <c r="J418" s="10"/>
      <c r="K418" s="2" t="n">
        <f>447</f>
        <v>447.0</v>
      </c>
    </row>
    <row r="419">
      <c r="A419" s="8" t="s">
        <v>40</v>
      </c>
      <c r="B419" s="9" t="s">
        <v>75</v>
      </c>
      <c r="C419" s="9" t="s">
        <v>76</v>
      </c>
      <c r="D419" s="10"/>
      <c r="E419" s="2" t="n">
        <f>183</f>
        <v>183.0</v>
      </c>
      <c r="F419" s="10"/>
      <c r="G419" s="2" t="n">
        <f>44941000</f>
        <v>4.4941E7</v>
      </c>
      <c r="H419" s="10"/>
      <c r="I419" s="2" t="str">
        <f>"－"</f>
        <v>－</v>
      </c>
      <c r="J419" s="10" t="s">
        <v>26</v>
      </c>
      <c r="K419" s="2" t="n">
        <f>351</f>
        <v>351.0</v>
      </c>
    </row>
    <row r="420">
      <c r="A420" s="8" t="s">
        <v>41</v>
      </c>
      <c r="B420" s="9" t="s">
        <v>75</v>
      </c>
      <c r="C420" s="9" t="s">
        <v>76</v>
      </c>
      <c r="D420" s="10"/>
      <c r="E420" s="2"/>
      <c r="F420" s="10"/>
      <c r="G420" s="2"/>
      <c r="H420" s="10"/>
      <c r="I420" s="2"/>
      <c r="J420" s="10"/>
      <c r="K420" s="2"/>
    </row>
    <row r="421">
      <c r="A421" s="8" t="s">
        <v>42</v>
      </c>
      <c r="B421" s="9" t="s">
        <v>75</v>
      </c>
      <c r="C421" s="9" t="s">
        <v>76</v>
      </c>
      <c r="D421" s="10"/>
      <c r="E421" s="2" t="n">
        <f>148</f>
        <v>148.0</v>
      </c>
      <c r="F421" s="10"/>
      <c r="G421" s="2" t="n">
        <f>38582500</f>
        <v>3.85825E7</v>
      </c>
      <c r="H421" s="10"/>
      <c r="I421" s="2" t="str">
        <f>"－"</f>
        <v>－</v>
      </c>
      <c r="J421" s="10"/>
      <c r="K421" s="2" t="n">
        <f>404</f>
        <v>404.0</v>
      </c>
    </row>
    <row r="422">
      <c r="A422" s="8" t="s">
        <v>44</v>
      </c>
      <c r="B422" s="9" t="s">
        <v>75</v>
      </c>
      <c r="C422" s="9" t="s">
        <v>76</v>
      </c>
      <c r="D422" s="10"/>
      <c r="E422" s="2" t="n">
        <f>138</f>
        <v>138.0</v>
      </c>
      <c r="F422" s="10"/>
      <c r="G422" s="2" t="n">
        <f>34645000</f>
        <v>3.4645E7</v>
      </c>
      <c r="H422" s="10"/>
      <c r="I422" s="2" t="str">
        <f>"－"</f>
        <v>－</v>
      </c>
      <c r="J422" s="10"/>
      <c r="K422" s="2" t="n">
        <f>389</f>
        <v>389.0</v>
      </c>
    </row>
    <row r="423">
      <c r="A423" s="8" t="s">
        <v>45</v>
      </c>
      <c r="B423" s="9" t="s">
        <v>75</v>
      </c>
      <c r="C423" s="9" t="s">
        <v>76</v>
      </c>
      <c r="D423" s="10"/>
      <c r="E423" s="2"/>
      <c r="F423" s="10"/>
      <c r="G423" s="2"/>
      <c r="H423" s="10"/>
      <c r="I423" s="2"/>
      <c r="J423" s="10"/>
      <c r="K423" s="2"/>
    </row>
    <row r="424">
      <c r="A424" s="8" t="s">
        <v>46</v>
      </c>
      <c r="B424" s="9" t="s">
        <v>75</v>
      </c>
      <c r="C424" s="9" t="s">
        <v>76</v>
      </c>
      <c r="D424" s="10"/>
      <c r="E424" s="2"/>
      <c r="F424" s="10"/>
      <c r="G424" s="2"/>
      <c r="H424" s="10"/>
      <c r="I424" s="2"/>
      <c r="J424" s="10"/>
      <c r="K424" s="2"/>
    </row>
    <row r="425">
      <c r="A425" s="8" t="s">
        <v>47</v>
      </c>
      <c r="B425" s="9" t="s">
        <v>75</v>
      </c>
      <c r="C425" s="9" t="s">
        <v>76</v>
      </c>
      <c r="D425" s="10"/>
      <c r="E425" s="2" t="n">
        <f>190</f>
        <v>190.0</v>
      </c>
      <c r="F425" s="10"/>
      <c r="G425" s="2" t="n">
        <f>47509000</f>
        <v>4.7509E7</v>
      </c>
      <c r="H425" s="10"/>
      <c r="I425" s="2" t="str">
        <f>"－"</f>
        <v>－</v>
      </c>
      <c r="J425" s="10"/>
      <c r="K425" s="2" t="n">
        <f>520</f>
        <v>520.0</v>
      </c>
    </row>
    <row r="426">
      <c r="A426" s="8" t="s">
        <v>16</v>
      </c>
      <c r="B426" s="9" t="s">
        <v>77</v>
      </c>
      <c r="C426" s="9" t="s">
        <v>78</v>
      </c>
      <c r="D426" s="10"/>
      <c r="E426" s="2"/>
      <c r="F426" s="10"/>
      <c r="G426" s="2"/>
      <c r="H426" s="10"/>
      <c r="I426" s="2"/>
      <c r="J426" s="10"/>
      <c r="K426" s="2"/>
    </row>
    <row r="427">
      <c r="A427" s="8" t="s">
        <v>19</v>
      </c>
      <c r="B427" s="9" t="s">
        <v>77</v>
      </c>
      <c r="C427" s="9" t="s">
        <v>78</v>
      </c>
      <c r="D427" s="10"/>
      <c r="E427" s="2"/>
      <c r="F427" s="10"/>
      <c r="G427" s="2"/>
      <c r="H427" s="10"/>
      <c r="I427" s="2"/>
      <c r="J427" s="10"/>
      <c r="K427" s="2"/>
    </row>
    <row r="428">
      <c r="A428" s="8" t="s">
        <v>20</v>
      </c>
      <c r="B428" s="9" t="s">
        <v>77</v>
      </c>
      <c r="C428" s="9" t="s">
        <v>78</v>
      </c>
      <c r="D428" s="10"/>
      <c r="E428" s="2"/>
      <c r="F428" s="10"/>
      <c r="G428" s="2"/>
      <c r="H428" s="10"/>
      <c r="I428" s="2"/>
      <c r="J428" s="10"/>
      <c r="K428" s="2"/>
    </row>
    <row r="429">
      <c r="A429" s="8" t="s">
        <v>21</v>
      </c>
      <c r="B429" s="9" t="s">
        <v>77</v>
      </c>
      <c r="C429" s="9" t="s">
        <v>78</v>
      </c>
      <c r="D429" s="10"/>
      <c r="E429" s="2"/>
      <c r="F429" s="10"/>
      <c r="G429" s="2"/>
      <c r="H429" s="10"/>
      <c r="I429" s="2"/>
      <c r="J429" s="10"/>
      <c r="K429" s="2"/>
    </row>
    <row r="430">
      <c r="A430" s="8" t="s">
        <v>22</v>
      </c>
      <c r="B430" s="9" t="s">
        <v>77</v>
      </c>
      <c r="C430" s="9" t="s">
        <v>78</v>
      </c>
      <c r="D430" s="10"/>
      <c r="E430" s="2"/>
      <c r="F430" s="10"/>
      <c r="G430" s="2"/>
      <c r="H430" s="10"/>
      <c r="I430" s="2"/>
      <c r="J430" s="10"/>
      <c r="K430" s="2"/>
    </row>
    <row r="431">
      <c r="A431" s="8" t="s">
        <v>23</v>
      </c>
      <c r="B431" s="9" t="s">
        <v>77</v>
      </c>
      <c r="C431" s="9" t="s">
        <v>78</v>
      </c>
      <c r="D431" s="10"/>
      <c r="E431" s="2"/>
      <c r="F431" s="10"/>
      <c r="G431" s="2"/>
      <c r="H431" s="10"/>
      <c r="I431" s="2"/>
      <c r="J431" s="10"/>
      <c r="K431" s="2"/>
    </row>
    <row r="432">
      <c r="A432" s="8" t="s">
        <v>24</v>
      </c>
      <c r="B432" s="9" t="s">
        <v>77</v>
      </c>
      <c r="C432" s="9" t="s">
        <v>78</v>
      </c>
      <c r="D432" s="10"/>
      <c r="E432" s="2"/>
      <c r="F432" s="10"/>
      <c r="G432" s="2"/>
      <c r="H432" s="10"/>
      <c r="I432" s="2"/>
      <c r="J432" s="10"/>
      <c r="K432" s="2"/>
    </row>
    <row r="433">
      <c r="A433" s="8" t="s">
        <v>25</v>
      </c>
      <c r="B433" s="9" t="s">
        <v>77</v>
      </c>
      <c r="C433" s="9" t="s">
        <v>78</v>
      </c>
      <c r="D433" s="10"/>
      <c r="E433" s="2"/>
      <c r="F433" s="10"/>
      <c r="G433" s="2"/>
      <c r="H433" s="10"/>
      <c r="I433" s="2"/>
      <c r="J433" s="10"/>
      <c r="K433" s="2"/>
    </row>
    <row r="434">
      <c r="A434" s="8" t="s">
        <v>27</v>
      </c>
      <c r="B434" s="9" t="s">
        <v>77</v>
      </c>
      <c r="C434" s="9" t="s">
        <v>78</v>
      </c>
      <c r="D434" s="10"/>
      <c r="E434" s="2"/>
      <c r="F434" s="10"/>
      <c r="G434" s="2"/>
      <c r="H434" s="10"/>
      <c r="I434" s="2"/>
      <c r="J434" s="10"/>
      <c r="K434" s="2"/>
    </row>
    <row r="435">
      <c r="A435" s="8" t="s">
        <v>28</v>
      </c>
      <c r="B435" s="9" t="s">
        <v>77</v>
      </c>
      <c r="C435" s="9" t="s">
        <v>78</v>
      </c>
      <c r="D435" s="10"/>
      <c r="E435" s="2"/>
      <c r="F435" s="10"/>
      <c r="G435" s="2"/>
      <c r="H435" s="10"/>
      <c r="I435" s="2"/>
      <c r="J435" s="10"/>
      <c r="K435" s="2"/>
    </row>
    <row r="436">
      <c r="A436" s="8" t="s">
        <v>29</v>
      </c>
      <c r="B436" s="9" t="s">
        <v>77</v>
      </c>
      <c r="C436" s="9" t="s">
        <v>78</v>
      </c>
      <c r="D436" s="10"/>
      <c r="E436" s="2"/>
      <c r="F436" s="10"/>
      <c r="G436" s="2"/>
      <c r="H436" s="10"/>
      <c r="I436" s="2"/>
      <c r="J436" s="10"/>
      <c r="K436" s="2"/>
    </row>
    <row r="437">
      <c r="A437" s="8" t="s">
        <v>30</v>
      </c>
      <c r="B437" s="9" t="s">
        <v>77</v>
      </c>
      <c r="C437" s="9" t="s">
        <v>78</v>
      </c>
      <c r="D437" s="10"/>
      <c r="E437" s="2"/>
      <c r="F437" s="10"/>
      <c r="G437" s="2"/>
      <c r="H437" s="10"/>
      <c r="I437" s="2"/>
      <c r="J437" s="10"/>
      <c r="K437" s="2"/>
    </row>
    <row r="438">
      <c r="A438" s="8" t="s">
        <v>31</v>
      </c>
      <c r="B438" s="9" t="s">
        <v>77</v>
      </c>
      <c r="C438" s="9" t="s">
        <v>78</v>
      </c>
      <c r="D438" s="10"/>
      <c r="E438" s="2"/>
      <c r="F438" s="10"/>
      <c r="G438" s="2"/>
      <c r="H438" s="10"/>
      <c r="I438" s="2"/>
      <c r="J438" s="10"/>
      <c r="K438" s="2"/>
    </row>
    <row r="439">
      <c r="A439" s="8" t="s">
        <v>32</v>
      </c>
      <c r="B439" s="9" t="s">
        <v>77</v>
      </c>
      <c r="C439" s="9" t="s">
        <v>78</v>
      </c>
      <c r="D439" s="10"/>
      <c r="E439" s="2"/>
      <c r="F439" s="10"/>
      <c r="G439" s="2"/>
      <c r="H439" s="10"/>
      <c r="I439" s="2"/>
      <c r="J439" s="10"/>
      <c r="K439" s="2"/>
    </row>
    <row r="440">
      <c r="A440" s="8" t="s">
        <v>33</v>
      </c>
      <c r="B440" s="9" t="s">
        <v>77</v>
      </c>
      <c r="C440" s="9" t="s">
        <v>78</v>
      </c>
      <c r="D440" s="10"/>
      <c r="E440" s="2"/>
      <c r="F440" s="10"/>
      <c r="G440" s="2"/>
      <c r="H440" s="10"/>
      <c r="I440" s="2"/>
      <c r="J440" s="10"/>
      <c r="K440" s="2"/>
    </row>
    <row r="441">
      <c r="A441" s="8" t="s">
        <v>34</v>
      </c>
      <c r="B441" s="9" t="s">
        <v>77</v>
      </c>
      <c r="C441" s="9" t="s">
        <v>78</v>
      </c>
      <c r="D441" s="10"/>
      <c r="E441" s="2"/>
      <c r="F441" s="10"/>
      <c r="G441" s="2"/>
      <c r="H441" s="10"/>
      <c r="I441" s="2"/>
      <c r="J441" s="10"/>
      <c r="K441" s="2"/>
    </row>
    <row r="442">
      <c r="A442" s="8" t="s">
        <v>35</v>
      </c>
      <c r="B442" s="9" t="s">
        <v>77</v>
      </c>
      <c r="C442" s="9" t="s">
        <v>78</v>
      </c>
      <c r="D442" s="10"/>
      <c r="E442" s="2"/>
      <c r="F442" s="10"/>
      <c r="G442" s="2"/>
      <c r="H442" s="10"/>
      <c r="I442" s="2"/>
      <c r="J442" s="10"/>
      <c r="K442" s="2"/>
    </row>
    <row r="443">
      <c r="A443" s="8" t="s">
        <v>36</v>
      </c>
      <c r="B443" s="9" t="s">
        <v>77</v>
      </c>
      <c r="C443" s="9" t="s">
        <v>78</v>
      </c>
      <c r="D443" s="10"/>
      <c r="E443" s="2"/>
      <c r="F443" s="10"/>
      <c r="G443" s="2"/>
      <c r="H443" s="10"/>
      <c r="I443" s="2"/>
      <c r="J443" s="10"/>
      <c r="K443" s="2"/>
    </row>
    <row r="444">
      <c r="A444" s="8" t="s">
        <v>37</v>
      </c>
      <c r="B444" s="9" t="s">
        <v>77</v>
      </c>
      <c r="C444" s="9" t="s">
        <v>78</v>
      </c>
      <c r="D444" s="10"/>
      <c r="E444" s="2"/>
      <c r="F444" s="10"/>
      <c r="G444" s="2"/>
      <c r="H444" s="10"/>
      <c r="I444" s="2"/>
      <c r="J444" s="10"/>
      <c r="K444" s="2"/>
    </row>
    <row r="445">
      <c r="A445" s="8" t="s">
        <v>38</v>
      </c>
      <c r="B445" s="9" t="s">
        <v>77</v>
      </c>
      <c r="C445" s="9" t="s">
        <v>78</v>
      </c>
      <c r="D445" s="10"/>
      <c r="E445" s="2"/>
      <c r="F445" s="10"/>
      <c r="G445" s="2"/>
      <c r="H445" s="10"/>
      <c r="I445" s="2"/>
      <c r="J445" s="10"/>
      <c r="K445" s="2"/>
    </row>
    <row r="446">
      <c r="A446" s="8" t="s">
        <v>39</v>
      </c>
      <c r="B446" s="9" t="s">
        <v>77</v>
      </c>
      <c r="C446" s="9" t="s">
        <v>78</v>
      </c>
      <c r="D446" s="10"/>
      <c r="E446" s="2"/>
      <c r="F446" s="10"/>
      <c r="G446" s="2"/>
      <c r="H446" s="10"/>
      <c r="I446" s="2"/>
      <c r="J446" s="10"/>
      <c r="K446" s="2"/>
    </row>
    <row r="447">
      <c r="A447" s="8" t="s">
        <v>40</v>
      </c>
      <c r="B447" s="9" t="s">
        <v>77</v>
      </c>
      <c r="C447" s="9" t="s">
        <v>78</v>
      </c>
      <c r="D447" s="10"/>
      <c r="E447" s="2"/>
      <c r="F447" s="10"/>
      <c r="G447" s="2"/>
      <c r="H447" s="10"/>
      <c r="I447" s="2"/>
      <c r="J447" s="10"/>
      <c r="K447" s="2"/>
    </row>
    <row r="448">
      <c r="A448" s="8" t="s">
        <v>41</v>
      </c>
      <c r="B448" s="9" t="s">
        <v>77</v>
      </c>
      <c r="C448" s="9" t="s">
        <v>78</v>
      </c>
      <c r="D448" s="10"/>
      <c r="E448" s="2"/>
      <c r="F448" s="10"/>
      <c r="G448" s="2"/>
      <c r="H448" s="10"/>
      <c r="I448" s="2"/>
      <c r="J448" s="10"/>
      <c r="K448" s="2"/>
    </row>
    <row r="449">
      <c r="A449" s="8" t="s">
        <v>42</v>
      </c>
      <c r="B449" s="9" t="s">
        <v>77</v>
      </c>
      <c r="C449" s="9" t="s">
        <v>78</v>
      </c>
      <c r="D449" s="10"/>
      <c r="E449" s="2"/>
      <c r="F449" s="10"/>
      <c r="G449" s="2"/>
      <c r="H449" s="10"/>
      <c r="I449" s="2"/>
      <c r="J449" s="10"/>
      <c r="K449" s="2"/>
    </row>
    <row r="450">
      <c r="A450" s="8" t="s">
        <v>44</v>
      </c>
      <c r="B450" s="9" t="s">
        <v>77</v>
      </c>
      <c r="C450" s="9" t="s">
        <v>78</v>
      </c>
      <c r="D450" s="10"/>
      <c r="E450" s="2"/>
      <c r="F450" s="10"/>
      <c r="G450" s="2"/>
      <c r="H450" s="10"/>
      <c r="I450" s="2"/>
      <c r="J450" s="10"/>
      <c r="K450" s="2"/>
    </row>
    <row r="451">
      <c r="A451" s="8" t="s">
        <v>45</v>
      </c>
      <c r="B451" s="9" t="s">
        <v>77</v>
      </c>
      <c r="C451" s="9" t="s">
        <v>78</v>
      </c>
      <c r="D451" s="10"/>
      <c r="E451" s="2"/>
      <c r="F451" s="10"/>
      <c r="G451" s="2"/>
      <c r="H451" s="10"/>
      <c r="I451" s="2"/>
      <c r="J451" s="10"/>
      <c r="K451" s="2"/>
    </row>
    <row r="452">
      <c r="A452" s="8" t="s">
        <v>46</v>
      </c>
      <c r="B452" s="9" t="s">
        <v>77</v>
      </c>
      <c r="C452" s="9" t="s">
        <v>78</v>
      </c>
      <c r="D452" s="10"/>
      <c r="E452" s="2"/>
      <c r="F452" s="10"/>
      <c r="G452" s="2"/>
      <c r="H452" s="10"/>
      <c r="I452" s="2"/>
      <c r="J452" s="10"/>
      <c r="K452" s="2"/>
    </row>
    <row r="453">
      <c r="A453" s="8" t="s">
        <v>47</v>
      </c>
      <c r="B453" s="9" t="s">
        <v>77</v>
      </c>
      <c r="C453" s="9" t="s">
        <v>78</v>
      </c>
      <c r="D453" s="10"/>
      <c r="E453" s="2"/>
      <c r="F453" s="10"/>
      <c r="G453" s="2"/>
      <c r="H453" s="10"/>
      <c r="I453" s="2"/>
      <c r="J453" s="10"/>
      <c r="K453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