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x-fs\josys\37_BO-X\40_追加開発\30_市場区分見直し対応\21_移行\02_ITD手パッチ内容整理\手パッチ作業用work\04_照合通知以外の3月デリバ帳票\02_修正後\"/>
    </mc:Choice>
  </mc:AlternateContent>
  <xr:revisionPtr revIDLastSave="0" documentId="13_ncr:1_{0A0DDBDA-9497-4972-A7FF-59F593E334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_DM0035" sheetId="9" r:id="rId1"/>
  </sheets>
  <definedNames>
    <definedName name="_xlnm.Print_Titles" localSheetId="0">BO_DM0035!$3:$5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9" i="9" l="1"/>
  <c r="I749" i="9"/>
  <c r="G749" i="9"/>
  <c r="E749" i="9"/>
  <c r="K748" i="9"/>
  <c r="I748" i="9"/>
  <c r="G748" i="9"/>
  <c r="E748" i="9"/>
  <c r="K747" i="9"/>
  <c r="I747" i="9"/>
  <c r="G747" i="9"/>
  <c r="E747" i="9"/>
  <c r="K746" i="9"/>
  <c r="I746" i="9"/>
  <c r="G746" i="9"/>
  <c r="E746" i="9"/>
  <c r="K743" i="9"/>
  <c r="I743" i="9"/>
  <c r="G743" i="9"/>
  <c r="E743" i="9"/>
  <c r="K742" i="9"/>
  <c r="I742" i="9"/>
  <c r="G742" i="9"/>
  <c r="E742" i="9"/>
  <c r="K741" i="9"/>
  <c r="I741" i="9"/>
  <c r="G741" i="9"/>
  <c r="E741" i="9"/>
  <c r="K740" i="9"/>
  <c r="I740" i="9"/>
  <c r="G740" i="9"/>
  <c r="E740" i="9"/>
  <c r="K736" i="9"/>
  <c r="I736" i="9"/>
  <c r="G736" i="9"/>
  <c r="E736" i="9"/>
  <c r="K735" i="9"/>
  <c r="I735" i="9"/>
  <c r="G735" i="9"/>
  <c r="E735" i="9"/>
  <c r="K734" i="9"/>
  <c r="I734" i="9"/>
  <c r="G734" i="9"/>
  <c r="E734" i="9"/>
  <c r="K733" i="9"/>
  <c r="I733" i="9"/>
  <c r="G733" i="9"/>
  <c r="E733" i="9"/>
  <c r="K732" i="9"/>
  <c r="I732" i="9"/>
  <c r="G732" i="9"/>
  <c r="E732" i="9"/>
  <c r="K729" i="9"/>
  <c r="I729" i="9"/>
  <c r="G729" i="9"/>
  <c r="E729" i="9"/>
  <c r="K728" i="9"/>
  <c r="I728" i="9"/>
  <c r="G728" i="9"/>
  <c r="E728" i="9"/>
  <c r="K727" i="9"/>
  <c r="I727" i="9"/>
  <c r="G727" i="9"/>
  <c r="E727" i="9"/>
  <c r="K726" i="9"/>
  <c r="I726" i="9"/>
  <c r="G726" i="9"/>
  <c r="E726" i="9"/>
  <c r="K725" i="9"/>
  <c r="I725" i="9"/>
  <c r="G725" i="9"/>
  <c r="E725" i="9"/>
  <c r="K722" i="9"/>
  <c r="I722" i="9"/>
  <c r="G722" i="9"/>
  <c r="E722" i="9"/>
  <c r="K721" i="9"/>
  <c r="I721" i="9"/>
  <c r="G721" i="9"/>
  <c r="E721" i="9"/>
  <c r="K720" i="9"/>
  <c r="I720" i="9"/>
  <c r="G720" i="9"/>
  <c r="E720" i="9"/>
  <c r="K719" i="9"/>
  <c r="I719" i="9"/>
  <c r="G719" i="9"/>
  <c r="E719" i="9"/>
  <c r="K718" i="9"/>
  <c r="I718" i="9"/>
  <c r="G718" i="9"/>
  <c r="E718" i="9"/>
  <c r="K717" i="9"/>
  <c r="I717" i="9"/>
  <c r="G717" i="9"/>
  <c r="E717" i="9"/>
  <c r="K716" i="9"/>
  <c r="I716" i="9"/>
  <c r="G716" i="9"/>
  <c r="E716" i="9"/>
  <c r="K715" i="9"/>
  <c r="I715" i="9"/>
  <c r="G715" i="9"/>
  <c r="E715" i="9"/>
  <c r="K712" i="9"/>
  <c r="I712" i="9"/>
  <c r="G712" i="9"/>
  <c r="E712" i="9"/>
  <c r="K711" i="9"/>
  <c r="I711" i="9"/>
  <c r="G711" i="9"/>
  <c r="E711" i="9"/>
  <c r="K710" i="9"/>
  <c r="I710" i="9"/>
  <c r="G710" i="9"/>
  <c r="E710" i="9"/>
  <c r="K709" i="9"/>
  <c r="I709" i="9"/>
  <c r="G709" i="9"/>
  <c r="E709" i="9"/>
  <c r="K705" i="9"/>
  <c r="I705" i="9"/>
  <c r="G705" i="9"/>
  <c r="E705" i="9"/>
  <c r="K704" i="9"/>
  <c r="I704" i="9"/>
  <c r="G704" i="9"/>
  <c r="E704" i="9"/>
  <c r="K703" i="9"/>
  <c r="I703" i="9"/>
  <c r="G703" i="9"/>
  <c r="E703" i="9"/>
  <c r="K702" i="9"/>
  <c r="I702" i="9"/>
  <c r="G702" i="9"/>
  <c r="E702" i="9"/>
  <c r="K701" i="9"/>
  <c r="I701" i="9"/>
  <c r="G701" i="9"/>
  <c r="E701" i="9"/>
  <c r="K698" i="9"/>
  <c r="I698" i="9"/>
  <c r="G698" i="9"/>
  <c r="E698" i="9"/>
  <c r="K697" i="9"/>
  <c r="I697" i="9"/>
  <c r="G697" i="9"/>
  <c r="E697" i="9"/>
  <c r="K696" i="9"/>
  <c r="I696" i="9"/>
  <c r="G696" i="9"/>
  <c r="E696" i="9"/>
  <c r="K695" i="9"/>
  <c r="I695" i="9"/>
  <c r="G695" i="9"/>
  <c r="E695" i="9"/>
  <c r="K694" i="9"/>
  <c r="I694" i="9"/>
  <c r="G694" i="9"/>
  <c r="E694" i="9"/>
  <c r="K691" i="9"/>
  <c r="I691" i="9"/>
  <c r="G691" i="9"/>
  <c r="E691" i="9"/>
  <c r="K690" i="9"/>
  <c r="I690" i="9"/>
  <c r="G690" i="9"/>
  <c r="E690" i="9"/>
  <c r="K689" i="9"/>
  <c r="I689" i="9"/>
  <c r="G689" i="9"/>
  <c r="E689" i="9"/>
  <c r="K688" i="9"/>
  <c r="I688" i="9"/>
  <c r="G688" i="9"/>
  <c r="E688" i="9"/>
  <c r="K687" i="9"/>
  <c r="I687" i="9"/>
  <c r="G687" i="9"/>
  <c r="E687" i="9"/>
  <c r="K686" i="9"/>
  <c r="I686" i="9"/>
  <c r="G686" i="9"/>
  <c r="E686" i="9"/>
  <c r="K685" i="9"/>
  <c r="I685" i="9"/>
  <c r="G685" i="9"/>
  <c r="E685" i="9"/>
  <c r="K684" i="9"/>
  <c r="I684" i="9"/>
  <c r="G684" i="9"/>
  <c r="E684" i="9"/>
  <c r="K681" i="9"/>
  <c r="I681" i="9"/>
  <c r="G681" i="9"/>
  <c r="E681" i="9"/>
  <c r="K680" i="9"/>
  <c r="I680" i="9"/>
  <c r="G680" i="9"/>
  <c r="E680" i="9"/>
  <c r="K679" i="9"/>
  <c r="I679" i="9"/>
  <c r="G679" i="9"/>
  <c r="E679" i="9"/>
  <c r="K678" i="9"/>
  <c r="I678" i="9"/>
  <c r="G678" i="9"/>
  <c r="E678" i="9"/>
  <c r="K674" i="9"/>
  <c r="I674" i="9"/>
  <c r="G674" i="9"/>
  <c r="E674" i="9"/>
  <c r="K673" i="9"/>
  <c r="I673" i="9"/>
  <c r="G673" i="9"/>
  <c r="E673" i="9"/>
  <c r="K672" i="9"/>
  <c r="I672" i="9"/>
  <c r="G672" i="9"/>
  <c r="E672" i="9"/>
  <c r="K671" i="9"/>
  <c r="I671" i="9"/>
  <c r="G671" i="9"/>
  <c r="E671" i="9"/>
  <c r="K670" i="9"/>
  <c r="I670" i="9"/>
  <c r="G670" i="9"/>
  <c r="E670" i="9"/>
  <c r="K667" i="9"/>
  <c r="I667" i="9"/>
  <c r="G667" i="9"/>
  <c r="E667" i="9"/>
  <c r="K666" i="9"/>
  <c r="I666" i="9"/>
  <c r="G666" i="9"/>
  <c r="E666" i="9"/>
  <c r="K665" i="9"/>
  <c r="I665" i="9"/>
  <c r="G665" i="9"/>
  <c r="E665" i="9"/>
  <c r="K664" i="9"/>
  <c r="I664" i="9"/>
  <c r="G664" i="9"/>
  <c r="E664" i="9"/>
  <c r="K663" i="9"/>
  <c r="I663" i="9"/>
  <c r="G663" i="9"/>
  <c r="E663" i="9"/>
  <c r="K660" i="9"/>
  <c r="I660" i="9"/>
  <c r="G660" i="9"/>
  <c r="E660" i="9"/>
  <c r="K659" i="9"/>
  <c r="I659" i="9"/>
  <c r="G659" i="9"/>
  <c r="E659" i="9"/>
  <c r="K658" i="9"/>
  <c r="I658" i="9"/>
  <c r="G658" i="9"/>
  <c r="E658" i="9"/>
  <c r="K657" i="9"/>
  <c r="I657" i="9"/>
  <c r="G657" i="9"/>
  <c r="E657" i="9"/>
  <c r="K656" i="9"/>
  <c r="I656" i="9"/>
  <c r="G656" i="9"/>
  <c r="E656" i="9"/>
  <c r="K655" i="9"/>
  <c r="I655" i="9"/>
  <c r="G655" i="9"/>
  <c r="E655" i="9"/>
  <c r="K654" i="9"/>
  <c r="I654" i="9"/>
  <c r="G654" i="9"/>
  <c r="E654" i="9"/>
  <c r="K653" i="9"/>
  <c r="I653" i="9"/>
  <c r="G653" i="9"/>
  <c r="E653" i="9"/>
  <c r="K650" i="9"/>
  <c r="I650" i="9"/>
  <c r="G650" i="9"/>
  <c r="E650" i="9"/>
  <c r="K649" i="9"/>
  <c r="I649" i="9"/>
  <c r="G649" i="9"/>
  <c r="E649" i="9"/>
  <c r="K648" i="9"/>
  <c r="I648" i="9"/>
  <c r="G648" i="9"/>
  <c r="E648" i="9"/>
  <c r="K647" i="9"/>
  <c r="I647" i="9"/>
  <c r="G647" i="9"/>
  <c r="E647" i="9"/>
  <c r="K643" i="9"/>
  <c r="I643" i="9"/>
  <c r="G643" i="9"/>
  <c r="E643" i="9"/>
  <c r="K642" i="9"/>
  <c r="I642" i="9"/>
  <c r="G642" i="9"/>
  <c r="E642" i="9"/>
  <c r="K641" i="9"/>
  <c r="I641" i="9"/>
  <c r="G641" i="9"/>
  <c r="E641" i="9"/>
  <c r="K640" i="9"/>
  <c r="I640" i="9"/>
  <c r="G640" i="9"/>
  <c r="E640" i="9"/>
  <c r="K639" i="9"/>
  <c r="I639" i="9"/>
  <c r="G639" i="9"/>
  <c r="E639" i="9"/>
  <c r="K636" i="9"/>
  <c r="I636" i="9"/>
  <c r="G636" i="9"/>
  <c r="E636" i="9"/>
  <c r="K635" i="9"/>
  <c r="I635" i="9"/>
  <c r="G635" i="9"/>
  <c r="E635" i="9"/>
  <c r="K634" i="9"/>
  <c r="I634" i="9"/>
  <c r="G634" i="9"/>
  <c r="E634" i="9"/>
  <c r="K633" i="9"/>
  <c r="I633" i="9"/>
  <c r="G633" i="9"/>
  <c r="E633" i="9"/>
  <c r="K632" i="9"/>
  <c r="I632" i="9"/>
  <c r="G632" i="9"/>
  <c r="E632" i="9"/>
  <c r="K629" i="9"/>
  <c r="I629" i="9"/>
  <c r="G629" i="9"/>
  <c r="E629" i="9"/>
  <c r="K628" i="9"/>
  <c r="I628" i="9"/>
  <c r="G628" i="9"/>
  <c r="E628" i="9"/>
  <c r="K627" i="9"/>
  <c r="I627" i="9"/>
  <c r="G627" i="9"/>
  <c r="E627" i="9"/>
  <c r="K626" i="9"/>
  <c r="I626" i="9"/>
  <c r="G626" i="9"/>
  <c r="E626" i="9"/>
  <c r="K625" i="9"/>
  <c r="I625" i="9"/>
  <c r="G625" i="9"/>
  <c r="E625" i="9"/>
  <c r="K624" i="9"/>
  <c r="I624" i="9"/>
  <c r="G624" i="9"/>
  <c r="E624" i="9"/>
  <c r="K623" i="9"/>
  <c r="I623" i="9"/>
  <c r="G623" i="9"/>
  <c r="E623" i="9"/>
  <c r="K622" i="9"/>
  <c r="I622" i="9"/>
  <c r="G622" i="9"/>
  <c r="E622" i="9"/>
  <c r="K619" i="9"/>
  <c r="I619" i="9"/>
  <c r="G619" i="9"/>
  <c r="E619" i="9"/>
  <c r="K618" i="9"/>
  <c r="I618" i="9"/>
  <c r="G618" i="9"/>
  <c r="E618" i="9"/>
  <c r="K617" i="9"/>
  <c r="I617" i="9"/>
  <c r="G617" i="9"/>
  <c r="E617" i="9"/>
  <c r="K616" i="9"/>
  <c r="I616" i="9"/>
  <c r="G616" i="9"/>
  <c r="E616" i="9"/>
  <c r="K612" i="9"/>
  <c r="I612" i="9"/>
  <c r="G612" i="9"/>
  <c r="E612" i="9"/>
  <c r="K611" i="9"/>
  <c r="I611" i="9"/>
  <c r="G611" i="9"/>
  <c r="E611" i="9"/>
  <c r="K610" i="9"/>
  <c r="I610" i="9"/>
  <c r="G610" i="9"/>
  <c r="E610" i="9"/>
  <c r="K609" i="9"/>
  <c r="I609" i="9"/>
  <c r="G609" i="9"/>
  <c r="E609" i="9"/>
  <c r="K608" i="9"/>
  <c r="I608" i="9"/>
  <c r="G608" i="9"/>
  <c r="E608" i="9"/>
  <c r="K605" i="9"/>
  <c r="I605" i="9"/>
  <c r="G605" i="9"/>
  <c r="E605" i="9"/>
  <c r="K604" i="9"/>
  <c r="I604" i="9"/>
  <c r="G604" i="9"/>
  <c r="E604" i="9"/>
  <c r="K603" i="9"/>
  <c r="I603" i="9"/>
  <c r="G603" i="9"/>
  <c r="E603" i="9"/>
  <c r="K602" i="9"/>
  <c r="I602" i="9"/>
  <c r="G602" i="9"/>
  <c r="E602" i="9"/>
  <c r="K601" i="9"/>
  <c r="I601" i="9"/>
  <c r="G601" i="9"/>
  <c r="E601" i="9"/>
  <c r="K598" i="9"/>
  <c r="I598" i="9"/>
  <c r="G598" i="9"/>
  <c r="E598" i="9"/>
  <c r="K597" i="9"/>
  <c r="I597" i="9"/>
  <c r="G597" i="9"/>
  <c r="E597" i="9"/>
  <c r="K596" i="9"/>
  <c r="I596" i="9"/>
  <c r="G596" i="9"/>
  <c r="E596" i="9"/>
  <c r="K595" i="9"/>
  <c r="I595" i="9"/>
  <c r="G595" i="9"/>
  <c r="E595" i="9"/>
  <c r="K594" i="9"/>
  <c r="I594" i="9"/>
  <c r="G594" i="9"/>
  <c r="E594" i="9"/>
  <c r="K593" i="9"/>
  <c r="I593" i="9"/>
  <c r="G593" i="9"/>
  <c r="E593" i="9"/>
  <c r="K592" i="9"/>
  <c r="I592" i="9"/>
  <c r="G592" i="9"/>
  <c r="E592" i="9"/>
  <c r="K591" i="9"/>
  <c r="I591" i="9"/>
  <c r="G591" i="9"/>
  <c r="E591" i="9"/>
  <c r="K588" i="9"/>
  <c r="I588" i="9"/>
  <c r="G588" i="9"/>
  <c r="E588" i="9"/>
  <c r="K587" i="9"/>
  <c r="I587" i="9"/>
  <c r="G587" i="9"/>
  <c r="E587" i="9"/>
  <c r="K586" i="9"/>
  <c r="I586" i="9"/>
  <c r="G586" i="9"/>
  <c r="E586" i="9"/>
  <c r="K585" i="9"/>
  <c r="I585" i="9"/>
  <c r="G585" i="9"/>
  <c r="E585" i="9"/>
  <c r="K581" i="9"/>
  <c r="I581" i="9"/>
  <c r="G581" i="9"/>
  <c r="E581" i="9"/>
  <c r="K580" i="9"/>
  <c r="I580" i="9"/>
  <c r="G580" i="9"/>
  <c r="E580" i="9"/>
  <c r="K579" i="9"/>
  <c r="I579" i="9"/>
  <c r="G579" i="9"/>
  <c r="E579" i="9"/>
  <c r="K578" i="9"/>
  <c r="I578" i="9"/>
  <c r="G578" i="9"/>
  <c r="E578" i="9"/>
  <c r="K577" i="9"/>
  <c r="I577" i="9"/>
  <c r="G577" i="9"/>
  <c r="E577" i="9"/>
  <c r="K574" i="9"/>
  <c r="I574" i="9"/>
  <c r="G574" i="9"/>
  <c r="E574" i="9"/>
  <c r="K573" i="9"/>
  <c r="I573" i="9"/>
  <c r="G573" i="9"/>
  <c r="E573" i="9"/>
  <c r="K572" i="9"/>
  <c r="I572" i="9"/>
  <c r="G572" i="9"/>
  <c r="E572" i="9"/>
  <c r="K571" i="9"/>
  <c r="I571" i="9"/>
  <c r="G571" i="9"/>
  <c r="E571" i="9"/>
  <c r="K570" i="9"/>
  <c r="I570" i="9"/>
  <c r="G570" i="9"/>
  <c r="E570" i="9"/>
  <c r="K567" i="9"/>
  <c r="I567" i="9"/>
  <c r="G567" i="9"/>
  <c r="E567" i="9"/>
  <c r="K566" i="9"/>
  <c r="I566" i="9"/>
  <c r="G566" i="9"/>
  <c r="E566" i="9"/>
  <c r="K565" i="9"/>
  <c r="I565" i="9"/>
  <c r="G565" i="9"/>
  <c r="E565" i="9"/>
  <c r="K564" i="9"/>
  <c r="I564" i="9"/>
  <c r="G564" i="9"/>
  <c r="E564" i="9"/>
  <c r="K563" i="9"/>
  <c r="I563" i="9"/>
  <c r="G563" i="9"/>
  <c r="E563" i="9"/>
  <c r="K562" i="9"/>
  <c r="I562" i="9"/>
  <c r="G562" i="9"/>
  <c r="E562" i="9"/>
  <c r="K561" i="9"/>
  <c r="I561" i="9"/>
  <c r="G561" i="9"/>
  <c r="E561" i="9"/>
  <c r="K560" i="9"/>
  <c r="I560" i="9"/>
  <c r="G560" i="9"/>
  <c r="E560" i="9"/>
  <c r="K557" i="9"/>
  <c r="I557" i="9"/>
  <c r="G557" i="9"/>
  <c r="E557" i="9"/>
  <c r="K556" i="9"/>
  <c r="I556" i="9"/>
  <c r="G556" i="9"/>
  <c r="E556" i="9"/>
  <c r="K555" i="9"/>
  <c r="I555" i="9"/>
  <c r="G555" i="9"/>
  <c r="E555" i="9"/>
  <c r="K554" i="9"/>
  <c r="I554" i="9"/>
  <c r="G554" i="9"/>
  <c r="E554" i="9"/>
  <c r="K550" i="9"/>
  <c r="I550" i="9"/>
  <c r="G550" i="9"/>
  <c r="E550" i="9"/>
  <c r="K549" i="9"/>
  <c r="I549" i="9"/>
  <c r="G549" i="9"/>
  <c r="E549" i="9"/>
  <c r="K548" i="9"/>
  <c r="I548" i="9"/>
  <c r="G548" i="9"/>
  <c r="E548" i="9"/>
  <c r="K547" i="9"/>
  <c r="I547" i="9"/>
  <c r="G547" i="9"/>
  <c r="E547" i="9"/>
  <c r="K546" i="9"/>
  <c r="I546" i="9"/>
  <c r="G546" i="9"/>
  <c r="E546" i="9"/>
  <c r="K543" i="9"/>
  <c r="I543" i="9"/>
  <c r="G543" i="9"/>
  <c r="E543" i="9"/>
  <c r="K542" i="9"/>
  <c r="I542" i="9"/>
  <c r="G542" i="9"/>
  <c r="E542" i="9"/>
  <c r="K541" i="9"/>
  <c r="I541" i="9"/>
  <c r="G541" i="9"/>
  <c r="E541" i="9"/>
  <c r="K540" i="9"/>
  <c r="I540" i="9"/>
  <c r="G540" i="9"/>
  <c r="E540" i="9"/>
  <c r="K539" i="9"/>
  <c r="I539" i="9"/>
  <c r="G539" i="9"/>
  <c r="E539" i="9"/>
  <c r="K536" i="9"/>
  <c r="I536" i="9"/>
  <c r="G536" i="9"/>
  <c r="E536" i="9"/>
  <c r="K535" i="9"/>
  <c r="I535" i="9"/>
  <c r="G535" i="9"/>
  <c r="E535" i="9"/>
  <c r="K534" i="9"/>
  <c r="I534" i="9"/>
  <c r="G534" i="9"/>
  <c r="E534" i="9"/>
  <c r="K533" i="9"/>
  <c r="I533" i="9"/>
  <c r="G533" i="9"/>
  <c r="E533" i="9"/>
  <c r="K532" i="9"/>
  <c r="I532" i="9"/>
  <c r="G532" i="9"/>
  <c r="E532" i="9"/>
  <c r="K531" i="9"/>
  <c r="I531" i="9"/>
  <c r="G531" i="9"/>
  <c r="E531" i="9"/>
  <c r="K530" i="9"/>
  <c r="I530" i="9"/>
  <c r="G530" i="9"/>
  <c r="E530" i="9"/>
  <c r="K529" i="9"/>
  <c r="I529" i="9"/>
  <c r="G529" i="9"/>
  <c r="E529" i="9"/>
  <c r="K526" i="9"/>
  <c r="I526" i="9"/>
  <c r="G526" i="9"/>
  <c r="E526" i="9"/>
  <c r="K525" i="9"/>
  <c r="I525" i="9"/>
  <c r="G525" i="9"/>
  <c r="E525" i="9"/>
  <c r="K524" i="9"/>
  <c r="I524" i="9"/>
  <c r="G524" i="9"/>
  <c r="E524" i="9"/>
  <c r="K523" i="9"/>
  <c r="I523" i="9"/>
  <c r="G523" i="9"/>
  <c r="E523" i="9"/>
  <c r="K519" i="9"/>
  <c r="I519" i="9"/>
  <c r="G519" i="9"/>
  <c r="E519" i="9"/>
  <c r="K518" i="9"/>
  <c r="I518" i="9"/>
  <c r="G518" i="9"/>
  <c r="E518" i="9"/>
  <c r="K517" i="9"/>
  <c r="I517" i="9"/>
  <c r="G517" i="9"/>
  <c r="E517" i="9"/>
  <c r="K516" i="9"/>
  <c r="I516" i="9"/>
  <c r="G516" i="9"/>
  <c r="E516" i="9"/>
  <c r="K515" i="9"/>
  <c r="I515" i="9"/>
  <c r="G515" i="9"/>
  <c r="E515" i="9"/>
  <c r="K512" i="9"/>
  <c r="I512" i="9"/>
  <c r="G512" i="9"/>
  <c r="E512" i="9"/>
  <c r="K511" i="9"/>
  <c r="I511" i="9"/>
  <c r="G511" i="9"/>
  <c r="E511" i="9"/>
  <c r="K510" i="9"/>
  <c r="I510" i="9"/>
  <c r="G510" i="9"/>
  <c r="E510" i="9"/>
  <c r="K509" i="9"/>
  <c r="I509" i="9"/>
  <c r="G509" i="9"/>
  <c r="E509" i="9"/>
  <c r="K508" i="9"/>
  <c r="I508" i="9"/>
  <c r="G508" i="9"/>
  <c r="E508" i="9"/>
  <c r="K505" i="9"/>
  <c r="I505" i="9"/>
  <c r="G505" i="9"/>
  <c r="E505" i="9"/>
  <c r="K504" i="9"/>
  <c r="I504" i="9"/>
  <c r="G504" i="9"/>
  <c r="E504" i="9"/>
  <c r="K503" i="9"/>
  <c r="I503" i="9"/>
  <c r="G503" i="9"/>
  <c r="E503" i="9"/>
  <c r="K502" i="9"/>
  <c r="I502" i="9"/>
  <c r="G502" i="9"/>
  <c r="E502" i="9"/>
  <c r="K501" i="9"/>
  <c r="I501" i="9"/>
  <c r="G501" i="9"/>
  <c r="E501" i="9"/>
  <c r="K500" i="9"/>
  <c r="I500" i="9"/>
  <c r="G500" i="9"/>
  <c r="E500" i="9"/>
  <c r="K499" i="9"/>
  <c r="I499" i="9"/>
  <c r="G499" i="9"/>
  <c r="E499" i="9"/>
  <c r="K498" i="9"/>
  <c r="I498" i="9"/>
  <c r="G498" i="9"/>
  <c r="E498" i="9"/>
  <c r="K495" i="9"/>
  <c r="I495" i="9"/>
  <c r="G495" i="9"/>
  <c r="E495" i="9"/>
  <c r="K494" i="9"/>
  <c r="I494" i="9"/>
  <c r="G494" i="9"/>
  <c r="E494" i="9"/>
  <c r="K493" i="9"/>
  <c r="I493" i="9"/>
  <c r="G493" i="9"/>
  <c r="E493" i="9"/>
  <c r="K492" i="9"/>
  <c r="I492" i="9"/>
  <c r="G492" i="9"/>
  <c r="E492" i="9"/>
  <c r="K488" i="9"/>
  <c r="I488" i="9"/>
  <c r="G488" i="9"/>
  <c r="E488" i="9"/>
  <c r="K487" i="9"/>
  <c r="I487" i="9"/>
  <c r="G487" i="9"/>
  <c r="E487" i="9"/>
  <c r="K486" i="9"/>
  <c r="I486" i="9"/>
  <c r="G486" i="9"/>
  <c r="E486" i="9"/>
  <c r="K485" i="9"/>
  <c r="I485" i="9"/>
  <c r="G485" i="9"/>
  <c r="E485" i="9"/>
  <c r="K484" i="9"/>
  <c r="I484" i="9"/>
  <c r="G484" i="9"/>
  <c r="E484" i="9"/>
  <c r="K481" i="9"/>
  <c r="I481" i="9"/>
  <c r="G481" i="9"/>
  <c r="E481" i="9"/>
  <c r="K480" i="9"/>
  <c r="I480" i="9"/>
  <c r="G480" i="9"/>
  <c r="E480" i="9"/>
  <c r="K479" i="9"/>
  <c r="I479" i="9"/>
  <c r="G479" i="9"/>
  <c r="E479" i="9"/>
  <c r="K478" i="9"/>
  <c r="I478" i="9"/>
  <c r="G478" i="9"/>
  <c r="E478" i="9"/>
  <c r="K477" i="9"/>
  <c r="I477" i="9"/>
  <c r="G477" i="9"/>
  <c r="E477" i="9"/>
  <c r="K474" i="9"/>
  <c r="I474" i="9"/>
  <c r="G474" i="9"/>
  <c r="E474" i="9"/>
  <c r="K473" i="9"/>
  <c r="I473" i="9"/>
  <c r="G473" i="9"/>
  <c r="E473" i="9"/>
  <c r="K472" i="9"/>
  <c r="I472" i="9"/>
  <c r="G472" i="9"/>
  <c r="E472" i="9"/>
  <c r="K471" i="9"/>
  <c r="I471" i="9"/>
  <c r="G471" i="9"/>
  <c r="E471" i="9"/>
  <c r="K470" i="9"/>
  <c r="I470" i="9"/>
  <c r="G470" i="9"/>
  <c r="E470" i="9"/>
  <c r="K469" i="9"/>
  <c r="I469" i="9"/>
  <c r="G469" i="9"/>
  <c r="E469" i="9"/>
  <c r="K468" i="9"/>
  <c r="I468" i="9"/>
  <c r="G468" i="9"/>
  <c r="E468" i="9"/>
  <c r="K467" i="9"/>
  <c r="I467" i="9"/>
  <c r="G467" i="9"/>
  <c r="E467" i="9"/>
  <c r="K464" i="9"/>
  <c r="I464" i="9"/>
  <c r="G464" i="9"/>
  <c r="E464" i="9"/>
  <c r="K463" i="9"/>
  <c r="I463" i="9"/>
  <c r="G463" i="9"/>
  <c r="E463" i="9"/>
  <c r="K462" i="9"/>
  <c r="I462" i="9"/>
  <c r="G462" i="9"/>
  <c r="E462" i="9"/>
  <c r="K461" i="9"/>
  <c r="I461" i="9"/>
  <c r="G461" i="9"/>
  <c r="E461" i="9"/>
  <c r="K457" i="9"/>
  <c r="I457" i="9"/>
  <c r="G457" i="9"/>
  <c r="E457" i="9"/>
  <c r="K456" i="9"/>
  <c r="I456" i="9"/>
  <c r="G456" i="9"/>
  <c r="E456" i="9"/>
  <c r="K455" i="9"/>
  <c r="I455" i="9"/>
  <c r="G455" i="9"/>
  <c r="E455" i="9"/>
  <c r="K454" i="9"/>
  <c r="I454" i="9"/>
  <c r="G454" i="9"/>
  <c r="E454" i="9"/>
  <c r="K453" i="9"/>
  <c r="I453" i="9"/>
  <c r="G453" i="9"/>
  <c r="E453" i="9"/>
  <c r="K450" i="9"/>
  <c r="I450" i="9"/>
  <c r="G450" i="9"/>
  <c r="E450" i="9"/>
  <c r="K449" i="9"/>
  <c r="I449" i="9"/>
  <c r="G449" i="9"/>
  <c r="E449" i="9"/>
  <c r="K448" i="9"/>
  <c r="I448" i="9"/>
  <c r="G448" i="9"/>
  <c r="E448" i="9"/>
  <c r="K447" i="9"/>
  <c r="I447" i="9"/>
  <c r="G447" i="9"/>
  <c r="E447" i="9"/>
  <c r="K446" i="9"/>
  <c r="I446" i="9"/>
  <c r="G446" i="9"/>
  <c r="E446" i="9"/>
  <c r="K443" i="9"/>
  <c r="I443" i="9"/>
  <c r="G443" i="9"/>
  <c r="E443" i="9"/>
  <c r="K442" i="9"/>
  <c r="I442" i="9"/>
  <c r="G442" i="9"/>
  <c r="E442" i="9"/>
  <c r="K441" i="9"/>
  <c r="I441" i="9"/>
  <c r="G441" i="9"/>
  <c r="E441" i="9"/>
  <c r="K440" i="9"/>
  <c r="I440" i="9"/>
  <c r="G440" i="9"/>
  <c r="E440" i="9"/>
  <c r="K439" i="9"/>
  <c r="I439" i="9"/>
  <c r="G439" i="9"/>
  <c r="E439" i="9"/>
  <c r="K438" i="9"/>
  <c r="I438" i="9"/>
  <c r="G438" i="9"/>
  <c r="E438" i="9"/>
  <c r="K437" i="9"/>
  <c r="I437" i="9"/>
  <c r="G437" i="9"/>
  <c r="E437" i="9"/>
  <c r="K436" i="9"/>
  <c r="I436" i="9"/>
  <c r="G436" i="9"/>
  <c r="E436" i="9"/>
  <c r="K433" i="9"/>
  <c r="I433" i="9"/>
  <c r="G433" i="9"/>
  <c r="E433" i="9"/>
  <c r="K432" i="9"/>
  <c r="I432" i="9"/>
  <c r="G432" i="9"/>
  <c r="E432" i="9"/>
  <c r="K431" i="9"/>
  <c r="I431" i="9"/>
  <c r="G431" i="9"/>
  <c r="E431" i="9"/>
  <c r="K430" i="9"/>
  <c r="I430" i="9"/>
  <c r="G430" i="9"/>
  <c r="E430" i="9"/>
  <c r="K426" i="9"/>
  <c r="I426" i="9"/>
  <c r="G426" i="9"/>
  <c r="E426" i="9"/>
  <c r="K425" i="9"/>
  <c r="I425" i="9"/>
  <c r="G425" i="9"/>
  <c r="E425" i="9"/>
  <c r="K424" i="9"/>
  <c r="I424" i="9"/>
  <c r="G424" i="9"/>
  <c r="E424" i="9"/>
  <c r="K423" i="9"/>
  <c r="I423" i="9"/>
  <c r="G423" i="9"/>
  <c r="E423" i="9"/>
  <c r="K422" i="9"/>
  <c r="I422" i="9"/>
  <c r="G422" i="9"/>
  <c r="E422" i="9"/>
  <c r="K419" i="9"/>
  <c r="I419" i="9"/>
  <c r="G419" i="9"/>
  <c r="E419" i="9"/>
  <c r="K418" i="9"/>
  <c r="I418" i="9"/>
  <c r="G418" i="9"/>
  <c r="E418" i="9"/>
  <c r="K417" i="9"/>
  <c r="I417" i="9"/>
  <c r="G417" i="9"/>
  <c r="E417" i="9"/>
  <c r="K416" i="9"/>
  <c r="I416" i="9"/>
  <c r="G416" i="9"/>
  <c r="E416" i="9"/>
  <c r="K415" i="9"/>
  <c r="I415" i="9"/>
  <c r="G415" i="9"/>
  <c r="E415" i="9"/>
  <c r="K412" i="9"/>
  <c r="I412" i="9"/>
  <c r="G412" i="9"/>
  <c r="E412" i="9"/>
  <c r="K411" i="9"/>
  <c r="I411" i="9"/>
  <c r="G411" i="9"/>
  <c r="E411" i="9"/>
  <c r="K410" i="9"/>
  <c r="I410" i="9"/>
  <c r="G410" i="9"/>
  <c r="E410" i="9"/>
  <c r="K409" i="9"/>
  <c r="I409" i="9"/>
  <c r="G409" i="9"/>
  <c r="E409" i="9"/>
  <c r="K408" i="9"/>
  <c r="I408" i="9"/>
  <c r="G408" i="9"/>
  <c r="E408" i="9"/>
  <c r="K407" i="9"/>
  <c r="I407" i="9"/>
  <c r="G407" i="9"/>
  <c r="E407" i="9"/>
  <c r="K406" i="9"/>
  <c r="I406" i="9"/>
  <c r="G406" i="9"/>
  <c r="E406" i="9"/>
  <c r="K405" i="9"/>
  <c r="I405" i="9"/>
  <c r="G405" i="9"/>
  <c r="E405" i="9"/>
  <c r="K402" i="9"/>
  <c r="I402" i="9"/>
  <c r="G402" i="9"/>
  <c r="E402" i="9"/>
  <c r="K401" i="9"/>
  <c r="I401" i="9"/>
  <c r="G401" i="9"/>
  <c r="E401" i="9"/>
  <c r="K400" i="9"/>
  <c r="I400" i="9"/>
  <c r="G400" i="9"/>
  <c r="E400" i="9"/>
  <c r="K399" i="9"/>
  <c r="I399" i="9"/>
  <c r="G399" i="9"/>
  <c r="E399" i="9"/>
  <c r="K395" i="9"/>
  <c r="I395" i="9"/>
  <c r="G395" i="9"/>
  <c r="E395" i="9"/>
  <c r="K394" i="9"/>
  <c r="I394" i="9"/>
  <c r="G394" i="9"/>
  <c r="E394" i="9"/>
  <c r="K393" i="9"/>
  <c r="I393" i="9"/>
  <c r="G393" i="9"/>
  <c r="E393" i="9"/>
  <c r="K392" i="9"/>
  <c r="I392" i="9"/>
  <c r="G392" i="9"/>
  <c r="E392" i="9"/>
  <c r="K391" i="9"/>
  <c r="I391" i="9"/>
  <c r="G391" i="9"/>
  <c r="E391" i="9"/>
  <c r="K388" i="9"/>
  <c r="I388" i="9"/>
  <c r="G388" i="9"/>
  <c r="E388" i="9"/>
  <c r="K387" i="9"/>
  <c r="I387" i="9"/>
  <c r="G387" i="9"/>
  <c r="E387" i="9"/>
  <c r="K386" i="9"/>
  <c r="I386" i="9"/>
  <c r="G386" i="9"/>
  <c r="E386" i="9"/>
  <c r="K385" i="9"/>
  <c r="I385" i="9"/>
  <c r="G385" i="9"/>
  <c r="E385" i="9"/>
  <c r="K384" i="9"/>
  <c r="I384" i="9"/>
  <c r="G384" i="9"/>
  <c r="E384" i="9"/>
  <c r="K381" i="9"/>
  <c r="I381" i="9"/>
  <c r="G381" i="9"/>
  <c r="E381" i="9"/>
  <c r="K380" i="9"/>
  <c r="I380" i="9"/>
  <c r="G380" i="9"/>
  <c r="E380" i="9"/>
  <c r="K379" i="9"/>
  <c r="I379" i="9"/>
  <c r="G379" i="9"/>
  <c r="E379" i="9"/>
  <c r="K378" i="9"/>
  <c r="I378" i="9"/>
  <c r="G378" i="9"/>
  <c r="E378" i="9"/>
  <c r="K377" i="9"/>
  <c r="I377" i="9"/>
  <c r="G377" i="9"/>
  <c r="E377" i="9"/>
  <c r="K376" i="9"/>
  <c r="I376" i="9"/>
  <c r="G376" i="9"/>
  <c r="E376" i="9"/>
  <c r="K375" i="9"/>
  <c r="I375" i="9"/>
  <c r="G375" i="9"/>
  <c r="E375" i="9"/>
  <c r="K374" i="9"/>
  <c r="I374" i="9"/>
  <c r="G374" i="9"/>
  <c r="E374" i="9"/>
  <c r="K371" i="9"/>
  <c r="I371" i="9"/>
  <c r="G371" i="9"/>
  <c r="E371" i="9"/>
  <c r="K370" i="9"/>
  <c r="I370" i="9"/>
  <c r="G370" i="9"/>
  <c r="E370" i="9"/>
  <c r="K369" i="9"/>
  <c r="I369" i="9"/>
  <c r="G369" i="9"/>
  <c r="E369" i="9"/>
  <c r="K368" i="9"/>
  <c r="I368" i="9"/>
  <c r="G368" i="9"/>
  <c r="E368" i="9"/>
  <c r="K364" i="9"/>
  <c r="I364" i="9"/>
  <c r="G364" i="9"/>
  <c r="E364" i="9"/>
  <c r="K363" i="9"/>
  <c r="I363" i="9"/>
  <c r="G363" i="9"/>
  <c r="E363" i="9"/>
  <c r="K362" i="9"/>
  <c r="I362" i="9"/>
  <c r="G362" i="9"/>
  <c r="E362" i="9"/>
  <c r="K361" i="9"/>
  <c r="I361" i="9"/>
  <c r="G361" i="9"/>
  <c r="E361" i="9"/>
  <c r="K360" i="9"/>
  <c r="I360" i="9"/>
  <c r="G360" i="9"/>
  <c r="E360" i="9"/>
  <c r="K357" i="9"/>
  <c r="I357" i="9"/>
  <c r="G357" i="9"/>
  <c r="E357" i="9"/>
  <c r="K356" i="9"/>
  <c r="I356" i="9"/>
  <c r="G356" i="9"/>
  <c r="E356" i="9"/>
  <c r="K355" i="9"/>
  <c r="I355" i="9"/>
  <c r="G355" i="9"/>
  <c r="E355" i="9"/>
  <c r="K354" i="9"/>
  <c r="I354" i="9"/>
  <c r="G354" i="9"/>
  <c r="E354" i="9"/>
  <c r="K353" i="9"/>
  <c r="I353" i="9"/>
  <c r="G353" i="9"/>
  <c r="E353" i="9"/>
  <c r="K350" i="9"/>
  <c r="I350" i="9"/>
  <c r="G350" i="9"/>
  <c r="E350" i="9"/>
  <c r="K349" i="9"/>
  <c r="I349" i="9"/>
  <c r="G349" i="9"/>
  <c r="E349" i="9"/>
  <c r="K348" i="9"/>
  <c r="I348" i="9"/>
  <c r="G348" i="9"/>
  <c r="E348" i="9"/>
  <c r="K347" i="9"/>
  <c r="I347" i="9"/>
  <c r="G347" i="9"/>
  <c r="E347" i="9"/>
  <c r="K346" i="9"/>
  <c r="I346" i="9"/>
  <c r="G346" i="9"/>
  <c r="E346" i="9"/>
  <c r="K345" i="9"/>
  <c r="I345" i="9"/>
  <c r="G345" i="9"/>
  <c r="E345" i="9"/>
  <c r="K344" i="9"/>
  <c r="I344" i="9"/>
  <c r="G344" i="9"/>
  <c r="E344" i="9"/>
  <c r="K343" i="9"/>
  <c r="I343" i="9"/>
  <c r="G343" i="9"/>
  <c r="E343" i="9"/>
  <c r="K340" i="9"/>
  <c r="I340" i="9"/>
  <c r="G340" i="9"/>
  <c r="E340" i="9"/>
  <c r="K339" i="9"/>
  <c r="I339" i="9"/>
  <c r="G339" i="9"/>
  <c r="E339" i="9"/>
  <c r="K338" i="9"/>
  <c r="I338" i="9"/>
  <c r="G338" i="9"/>
  <c r="E338" i="9"/>
  <c r="K337" i="9"/>
  <c r="I337" i="9"/>
  <c r="G337" i="9"/>
  <c r="E337" i="9"/>
  <c r="K333" i="9"/>
  <c r="I333" i="9"/>
  <c r="G333" i="9"/>
  <c r="E333" i="9"/>
  <c r="K332" i="9"/>
  <c r="I332" i="9"/>
  <c r="G332" i="9"/>
  <c r="E332" i="9"/>
  <c r="K331" i="9"/>
  <c r="I331" i="9"/>
  <c r="G331" i="9"/>
  <c r="E331" i="9"/>
  <c r="K330" i="9"/>
  <c r="I330" i="9"/>
  <c r="G330" i="9"/>
  <c r="E330" i="9"/>
  <c r="K329" i="9"/>
  <c r="I329" i="9"/>
  <c r="G329" i="9"/>
  <c r="E329" i="9"/>
  <c r="K326" i="9"/>
  <c r="I326" i="9"/>
  <c r="G326" i="9"/>
  <c r="E326" i="9"/>
  <c r="K325" i="9"/>
  <c r="I325" i="9"/>
  <c r="G325" i="9"/>
  <c r="E325" i="9"/>
  <c r="K324" i="9"/>
  <c r="I324" i="9"/>
  <c r="G324" i="9"/>
  <c r="E324" i="9"/>
  <c r="K323" i="9"/>
  <c r="I323" i="9"/>
  <c r="G323" i="9"/>
  <c r="E323" i="9"/>
  <c r="K322" i="9"/>
  <c r="I322" i="9"/>
  <c r="G322" i="9"/>
  <c r="E322" i="9"/>
  <c r="K319" i="9"/>
  <c r="I319" i="9"/>
  <c r="G319" i="9"/>
  <c r="E319" i="9"/>
  <c r="K318" i="9"/>
  <c r="I318" i="9"/>
  <c r="G318" i="9"/>
  <c r="E318" i="9"/>
  <c r="K317" i="9"/>
  <c r="I317" i="9"/>
  <c r="G317" i="9"/>
  <c r="E317" i="9"/>
  <c r="K316" i="9"/>
  <c r="I316" i="9"/>
  <c r="G316" i="9"/>
  <c r="E316" i="9"/>
  <c r="K315" i="9"/>
  <c r="I315" i="9"/>
  <c r="G315" i="9"/>
  <c r="E315" i="9"/>
  <c r="K314" i="9"/>
  <c r="I314" i="9"/>
  <c r="G314" i="9"/>
  <c r="E314" i="9"/>
  <c r="K313" i="9"/>
  <c r="I313" i="9"/>
  <c r="G313" i="9"/>
  <c r="E313" i="9"/>
  <c r="K312" i="9"/>
  <c r="I312" i="9"/>
  <c r="G312" i="9"/>
  <c r="E312" i="9"/>
  <c r="K309" i="9"/>
  <c r="I309" i="9"/>
  <c r="G309" i="9"/>
  <c r="E309" i="9"/>
  <c r="K308" i="9"/>
  <c r="I308" i="9"/>
  <c r="G308" i="9"/>
  <c r="E308" i="9"/>
  <c r="K307" i="9"/>
  <c r="I307" i="9"/>
  <c r="G307" i="9"/>
  <c r="E307" i="9"/>
  <c r="K306" i="9"/>
  <c r="I306" i="9"/>
  <c r="G306" i="9"/>
  <c r="E306" i="9"/>
  <c r="K302" i="9"/>
  <c r="I302" i="9"/>
  <c r="G302" i="9"/>
  <c r="E302" i="9"/>
  <c r="K301" i="9"/>
  <c r="I301" i="9"/>
  <c r="G301" i="9"/>
  <c r="E301" i="9"/>
  <c r="K300" i="9"/>
  <c r="I300" i="9"/>
  <c r="G300" i="9"/>
  <c r="E300" i="9"/>
  <c r="K299" i="9"/>
  <c r="I299" i="9"/>
  <c r="G299" i="9"/>
  <c r="E299" i="9"/>
  <c r="K298" i="9"/>
  <c r="I298" i="9"/>
  <c r="G298" i="9"/>
  <c r="E298" i="9"/>
  <c r="K295" i="9"/>
  <c r="I295" i="9"/>
  <c r="G295" i="9"/>
  <c r="E295" i="9"/>
  <c r="K294" i="9"/>
  <c r="I294" i="9"/>
  <c r="G294" i="9"/>
  <c r="E294" i="9"/>
  <c r="K293" i="9"/>
  <c r="I293" i="9"/>
  <c r="G293" i="9"/>
  <c r="E293" i="9"/>
  <c r="K292" i="9"/>
  <c r="I292" i="9"/>
  <c r="G292" i="9"/>
  <c r="E292" i="9"/>
  <c r="K291" i="9"/>
  <c r="I291" i="9"/>
  <c r="G291" i="9"/>
  <c r="E291" i="9"/>
  <c r="K288" i="9"/>
  <c r="I288" i="9"/>
  <c r="G288" i="9"/>
  <c r="E288" i="9"/>
  <c r="K287" i="9"/>
  <c r="I287" i="9"/>
  <c r="G287" i="9"/>
  <c r="E287" i="9"/>
  <c r="K286" i="9"/>
  <c r="I286" i="9"/>
  <c r="G286" i="9"/>
  <c r="E286" i="9"/>
  <c r="K285" i="9"/>
  <c r="I285" i="9"/>
  <c r="G285" i="9"/>
  <c r="E285" i="9"/>
  <c r="K284" i="9"/>
  <c r="I284" i="9"/>
  <c r="G284" i="9"/>
  <c r="E284" i="9"/>
  <c r="K283" i="9"/>
  <c r="I283" i="9"/>
  <c r="G283" i="9"/>
  <c r="E283" i="9"/>
  <c r="K282" i="9"/>
  <c r="I282" i="9"/>
  <c r="G282" i="9"/>
  <c r="E282" i="9"/>
  <c r="K281" i="9"/>
  <c r="I281" i="9"/>
  <c r="G281" i="9"/>
  <c r="E281" i="9"/>
  <c r="K278" i="9"/>
  <c r="I278" i="9"/>
  <c r="G278" i="9"/>
  <c r="E278" i="9"/>
  <c r="K277" i="9"/>
  <c r="I277" i="9"/>
  <c r="G277" i="9"/>
  <c r="E277" i="9"/>
  <c r="K276" i="9"/>
  <c r="I276" i="9"/>
  <c r="G276" i="9"/>
  <c r="E276" i="9"/>
  <c r="K275" i="9"/>
  <c r="I275" i="9"/>
  <c r="G275" i="9"/>
  <c r="E275" i="9"/>
  <c r="K271" i="9"/>
  <c r="I271" i="9"/>
  <c r="G271" i="9"/>
  <c r="E271" i="9"/>
  <c r="K270" i="9"/>
  <c r="I270" i="9"/>
  <c r="G270" i="9"/>
  <c r="E270" i="9"/>
  <c r="K269" i="9"/>
  <c r="I269" i="9"/>
  <c r="G269" i="9"/>
  <c r="E269" i="9"/>
  <c r="K268" i="9"/>
  <c r="I268" i="9"/>
  <c r="G268" i="9"/>
  <c r="E268" i="9"/>
  <c r="K267" i="9"/>
  <c r="I267" i="9"/>
  <c r="G267" i="9"/>
  <c r="E267" i="9"/>
  <c r="K264" i="9"/>
  <c r="I264" i="9"/>
  <c r="G264" i="9"/>
  <c r="E264" i="9"/>
  <c r="K263" i="9"/>
  <c r="I263" i="9"/>
  <c r="G263" i="9"/>
  <c r="E263" i="9"/>
  <c r="K262" i="9"/>
  <c r="I262" i="9"/>
  <c r="G262" i="9"/>
  <c r="E262" i="9"/>
  <c r="K261" i="9"/>
  <c r="I261" i="9"/>
  <c r="G261" i="9"/>
  <c r="E261" i="9"/>
  <c r="K260" i="9"/>
  <c r="I260" i="9"/>
  <c r="G260" i="9"/>
  <c r="E260" i="9"/>
  <c r="K257" i="9"/>
  <c r="I257" i="9"/>
  <c r="G257" i="9"/>
  <c r="E257" i="9"/>
  <c r="K256" i="9"/>
  <c r="I256" i="9"/>
  <c r="G256" i="9"/>
  <c r="E256" i="9"/>
  <c r="K255" i="9"/>
  <c r="I255" i="9"/>
  <c r="G255" i="9"/>
  <c r="E255" i="9"/>
  <c r="K254" i="9"/>
  <c r="I254" i="9"/>
  <c r="G254" i="9"/>
  <c r="E254" i="9"/>
  <c r="K253" i="9"/>
  <c r="I253" i="9"/>
  <c r="G253" i="9"/>
  <c r="E253" i="9"/>
  <c r="K252" i="9"/>
  <c r="I252" i="9"/>
  <c r="G252" i="9"/>
  <c r="E252" i="9"/>
  <c r="K251" i="9"/>
  <c r="I251" i="9"/>
  <c r="G251" i="9"/>
  <c r="E251" i="9"/>
  <c r="K250" i="9"/>
  <c r="I250" i="9"/>
  <c r="G250" i="9"/>
  <c r="E250" i="9"/>
  <c r="K247" i="9"/>
  <c r="I247" i="9"/>
  <c r="G247" i="9"/>
  <c r="E247" i="9"/>
  <c r="K246" i="9"/>
  <c r="I246" i="9"/>
  <c r="G246" i="9"/>
  <c r="E246" i="9"/>
  <c r="K245" i="9"/>
  <c r="I245" i="9"/>
  <c r="G245" i="9"/>
  <c r="E245" i="9"/>
  <c r="K244" i="9"/>
  <c r="I244" i="9"/>
  <c r="G244" i="9"/>
  <c r="E244" i="9"/>
  <c r="K240" i="9"/>
  <c r="I240" i="9"/>
  <c r="G240" i="9"/>
  <c r="E240" i="9"/>
  <c r="K239" i="9"/>
  <c r="I239" i="9"/>
  <c r="G239" i="9"/>
  <c r="E239" i="9"/>
  <c r="K238" i="9"/>
  <c r="I238" i="9"/>
  <c r="G238" i="9"/>
  <c r="E238" i="9"/>
  <c r="K237" i="9"/>
  <c r="I237" i="9"/>
  <c r="G237" i="9"/>
  <c r="E237" i="9"/>
  <c r="K236" i="9"/>
  <c r="I236" i="9"/>
  <c r="G236" i="9"/>
  <c r="E236" i="9"/>
  <c r="K233" i="9"/>
  <c r="I233" i="9"/>
  <c r="G233" i="9"/>
  <c r="E233" i="9"/>
  <c r="K232" i="9"/>
  <c r="I232" i="9"/>
  <c r="G232" i="9"/>
  <c r="E232" i="9"/>
  <c r="K231" i="9"/>
  <c r="I231" i="9"/>
  <c r="G231" i="9"/>
  <c r="E231" i="9"/>
  <c r="K230" i="9"/>
  <c r="I230" i="9"/>
  <c r="G230" i="9"/>
  <c r="E230" i="9"/>
  <c r="K229" i="9"/>
  <c r="I229" i="9"/>
  <c r="G229" i="9"/>
  <c r="E229" i="9"/>
  <c r="K226" i="9"/>
  <c r="I226" i="9"/>
  <c r="G226" i="9"/>
  <c r="E226" i="9"/>
  <c r="K225" i="9"/>
  <c r="I225" i="9"/>
  <c r="G225" i="9"/>
  <c r="E225" i="9"/>
  <c r="K224" i="9"/>
  <c r="I224" i="9"/>
  <c r="G224" i="9"/>
  <c r="E224" i="9"/>
  <c r="K223" i="9"/>
  <c r="I223" i="9"/>
  <c r="G223" i="9"/>
  <c r="E223" i="9"/>
  <c r="K222" i="9"/>
  <c r="I222" i="9"/>
  <c r="G222" i="9"/>
  <c r="E222" i="9"/>
  <c r="K221" i="9"/>
  <c r="I221" i="9"/>
  <c r="G221" i="9"/>
  <c r="E221" i="9"/>
  <c r="K220" i="9"/>
  <c r="I220" i="9"/>
  <c r="G220" i="9"/>
  <c r="E220" i="9"/>
  <c r="K219" i="9"/>
  <c r="I219" i="9"/>
  <c r="G219" i="9"/>
  <c r="E219" i="9"/>
  <c r="K216" i="9"/>
  <c r="I216" i="9"/>
  <c r="G216" i="9"/>
  <c r="E216" i="9"/>
  <c r="K215" i="9"/>
  <c r="I215" i="9"/>
  <c r="G215" i="9"/>
  <c r="E215" i="9"/>
  <c r="K214" i="9"/>
  <c r="I214" i="9"/>
  <c r="G214" i="9"/>
  <c r="E214" i="9"/>
  <c r="K213" i="9"/>
  <c r="I213" i="9"/>
  <c r="G213" i="9"/>
  <c r="E213" i="9"/>
  <c r="K209" i="9"/>
  <c r="I209" i="9"/>
  <c r="G209" i="9"/>
  <c r="E209" i="9"/>
  <c r="K208" i="9"/>
  <c r="I208" i="9"/>
  <c r="G208" i="9"/>
  <c r="E208" i="9"/>
  <c r="K207" i="9"/>
  <c r="I207" i="9"/>
  <c r="G207" i="9"/>
  <c r="E207" i="9"/>
  <c r="K206" i="9"/>
  <c r="I206" i="9"/>
  <c r="G206" i="9"/>
  <c r="E206" i="9"/>
  <c r="K205" i="9"/>
  <c r="I205" i="9"/>
  <c r="G205" i="9"/>
  <c r="E205" i="9"/>
  <c r="K202" i="9"/>
  <c r="I202" i="9"/>
  <c r="G202" i="9"/>
  <c r="E202" i="9"/>
  <c r="K201" i="9"/>
  <c r="I201" i="9"/>
  <c r="G201" i="9"/>
  <c r="E201" i="9"/>
  <c r="K200" i="9"/>
  <c r="I200" i="9"/>
  <c r="G200" i="9"/>
  <c r="E200" i="9"/>
  <c r="K199" i="9"/>
  <c r="I199" i="9"/>
  <c r="G199" i="9"/>
  <c r="E199" i="9"/>
  <c r="K198" i="9"/>
  <c r="I198" i="9"/>
  <c r="G198" i="9"/>
  <c r="E198" i="9"/>
  <c r="K195" i="9"/>
  <c r="I195" i="9"/>
  <c r="G195" i="9"/>
  <c r="E195" i="9"/>
  <c r="K194" i="9"/>
  <c r="I194" i="9"/>
  <c r="G194" i="9"/>
  <c r="E194" i="9"/>
  <c r="K193" i="9"/>
  <c r="I193" i="9"/>
  <c r="G193" i="9"/>
  <c r="E193" i="9"/>
  <c r="K192" i="9"/>
  <c r="I192" i="9"/>
  <c r="G192" i="9"/>
  <c r="E192" i="9"/>
  <c r="K191" i="9"/>
  <c r="I191" i="9"/>
  <c r="G191" i="9"/>
  <c r="E191" i="9"/>
  <c r="K190" i="9"/>
  <c r="I190" i="9"/>
  <c r="G190" i="9"/>
  <c r="E190" i="9"/>
  <c r="K189" i="9"/>
  <c r="I189" i="9"/>
  <c r="G189" i="9"/>
  <c r="E189" i="9"/>
  <c r="K188" i="9"/>
  <c r="I188" i="9"/>
  <c r="G188" i="9"/>
  <c r="E188" i="9"/>
  <c r="K185" i="9"/>
  <c r="I185" i="9"/>
  <c r="G185" i="9"/>
  <c r="E185" i="9"/>
  <c r="K184" i="9"/>
  <c r="I184" i="9"/>
  <c r="G184" i="9"/>
  <c r="E184" i="9"/>
  <c r="K183" i="9"/>
  <c r="I183" i="9"/>
  <c r="G183" i="9"/>
  <c r="E183" i="9"/>
  <c r="K182" i="9"/>
  <c r="I182" i="9"/>
  <c r="G182" i="9"/>
  <c r="E182" i="9"/>
  <c r="K178" i="9"/>
  <c r="I178" i="9"/>
  <c r="G178" i="9"/>
  <c r="E178" i="9"/>
  <c r="K177" i="9"/>
  <c r="I177" i="9"/>
  <c r="G177" i="9"/>
  <c r="E177" i="9"/>
  <c r="K176" i="9"/>
  <c r="I176" i="9"/>
  <c r="G176" i="9"/>
  <c r="E176" i="9"/>
  <c r="K175" i="9"/>
  <c r="I175" i="9"/>
  <c r="G175" i="9"/>
  <c r="E175" i="9"/>
  <c r="K174" i="9"/>
  <c r="I174" i="9"/>
  <c r="G174" i="9"/>
  <c r="E174" i="9"/>
  <c r="K171" i="9"/>
  <c r="I171" i="9"/>
  <c r="G171" i="9"/>
  <c r="E171" i="9"/>
  <c r="K170" i="9"/>
  <c r="I170" i="9"/>
  <c r="G170" i="9"/>
  <c r="E170" i="9"/>
  <c r="K169" i="9"/>
  <c r="I169" i="9"/>
  <c r="G169" i="9"/>
  <c r="E169" i="9"/>
  <c r="K168" i="9"/>
  <c r="I168" i="9"/>
  <c r="G168" i="9"/>
  <c r="E168" i="9"/>
  <c r="K167" i="9"/>
  <c r="I167" i="9"/>
  <c r="G167" i="9"/>
  <c r="E167" i="9"/>
  <c r="K164" i="9"/>
  <c r="I164" i="9"/>
  <c r="G164" i="9"/>
  <c r="E164" i="9"/>
  <c r="K163" i="9"/>
  <c r="I163" i="9"/>
  <c r="G163" i="9"/>
  <c r="E163" i="9"/>
  <c r="K162" i="9"/>
  <c r="I162" i="9"/>
  <c r="G162" i="9"/>
  <c r="E162" i="9"/>
  <c r="K161" i="9"/>
  <c r="I161" i="9"/>
  <c r="G161" i="9"/>
  <c r="E161" i="9"/>
  <c r="K160" i="9"/>
  <c r="I160" i="9"/>
  <c r="G160" i="9"/>
  <c r="E160" i="9"/>
  <c r="K159" i="9"/>
  <c r="I159" i="9"/>
  <c r="G159" i="9"/>
  <c r="E159" i="9"/>
  <c r="K158" i="9"/>
  <c r="I158" i="9"/>
  <c r="G158" i="9"/>
  <c r="E158" i="9"/>
  <c r="K157" i="9"/>
  <c r="I157" i="9"/>
  <c r="G157" i="9"/>
  <c r="E157" i="9"/>
  <c r="K154" i="9"/>
  <c r="I154" i="9"/>
  <c r="G154" i="9"/>
  <c r="E154" i="9"/>
  <c r="K153" i="9"/>
  <c r="I153" i="9"/>
  <c r="G153" i="9"/>
  <c r="E153" i="9"/>
  <c r="K152" i="9"/>
  <c r="I152" i="9"/>
  <c r="G152" i="9"/>
  <c r="E152" i="9"/>
  <c r="K151" i="9"/>
  <c r="I151" i="9"/>
  <c r="G151" i="9"/>
  <c r="E151" i="9"/>
  <c r="K147" i="9"/>
  <c r="I147" i="9"/>
  <c r="G147" i="9"/>
  <c r="E147" i="9"/>
  <c r="K146" i="9"/>
  <c r="I146" i="9"/>
  <c r="G146" i="9"/>
  <c r="E146" i="9"/>
  <c r="K145" i="9"/>
  <c r="I145" i="9"/>
  <c r="G145" i="9"/>
  <c r="E145" i="9"/>
  <c r="K144" i="9"/>
  <c r="I144" i="9"/>
  <c r="G144" i="9"/>
  <c r="E144" i="9"/>
  <c r="K143" i="9"/>
  <c r="I143" i="9"/>
  <c r="G143" i="9"/>
  <c r="E143" i="9"/>
  <c r="K140" i="9"/>
  <c r="I140" i="9"/>
  <c r="G140" i="9"/>
  <c r="E140" i="9"/>
  <c r="K139" i="9"/>
  <c r="I139" i="9"/>
  <c r="G139" i="9"/>
  <c r="E139" i="9"/>
  <c r="K138" i="9"/>
  <c r="I138" i="9"/>
  <c r="G138" i="9"/>
  <c r="E138" i="9"/>
  <c r="K137" i="9"/>
  <c r="I137" i="9"/>
  <c r="G137" i="9"/>
  <c r="E137" i="9"/>
  <c r="K136" i="9"/>
  <c r="I136" i="9"/>
  <c r="G136" i="9"/>
  <c r="E136" i="9"/>
  <c r="K133" i="9"/>
  <c r="I133" i="9"/>
  <c r="G133" i="9"/>
  <c r="E133" i="9"/>
  <c r="K132" i="9"/>
  <c r="I132" i="9"/>
  <c r="G132" i="9"/>
  <c r="E132" i="9"/>
  <c r="K131" i="9"/>
  <c r="I131" i="9"/>
  <c r="G131" i="9"/>
  <c r="E131" i="9"/>
  <c r="K130" i="9"/>
  <c r="I130" i="9"/>
  <c r="G130" i="9"/>
  <c r="E130" i="9"/>
  <c r="K129" i="9"/>
  <c r="I129" i="9"/>
  <c r="G129" i="9"/>
  <c r="E129" i="9"/>
  <c r="K128" i="9"/>
  <c r="I128" i="9"/>
  <c r="G128" i="9"/>
  <c r="E128" i="9"/>
  <c r="K127" i="9"/>
  <c r="I127" i="9"/>
  <c r="G127" i="9"/>
  <c r="E127" i="9"/>
  <c r="K126" i="9"/>
  <c r="I126" i="9"/>
  <c r="G126" i="9"/>
  <c r="E126" i="9"/>
  <c r="K123" i="9"/>
  <c r="I123" i="9"/>
  <c r="G123" i="9"/>
  <c r="E123" i="9"/>
  <c r="K122" i="9"/>
  <c r="I122" i="9"/>
  <c r="G122" i="9"/>
  <c r="E122" i="9"/>
  <c r="K121" i="9"/>
  <c r="I121" i="9"/>
  <c r="G121" i="9"/>
  <c r="E121" i="9"/>
  <c r="K120" i="9"/>
  <c r="I120" i="9"/>
  <c r="G120" i="9"/>
  <c r="E120" i="9"/>
  <c r="K116" i="9"/>
  <c r="I116" i="9"/>
  <c r="G116" i="9"/>
  <c r="E116" i="9"/>
  <c r="K115" i="9"/>
  <c r="I115" i="9"/>
  <c r="G115" i="9"/>
  <c r="E115" i="9"/>
  <c r="K114" i="9"/>
  <c r="I114" i="9"/>
  <c r="G114" i="9"/>
  <c r="E114" i="9"/>
  <c r="K113" i="9"/>
  <c r="I113" i="9"/>
  <c r="G113" i="9"/>
  <c r="E113" i="9"/>
  <c r="K112" i="9"/>
  <c r="I112" i="9"/>
  <c r="G112" i="9"/>
  <c r="E112" i="9"/>
  <c r="K109" i="9"/>
  <c r="I109" i="9"/>
  <c r="G109" i="9"/>
  <c r="E109" i="9"/>
  <c r="K108" i="9"/>
  <c r="I108" i="9"/>
  <c r="G108" i="9"/>
  <c r="E108" i="9"/>
  <c r="K107" i="9"/>
  <c r="I107" i="9"/>
  <c r="G107" i="9"/>
  <c r="E107" i="9"/>
  <c r="K106" i="9"/>
  <c r="I106" i="9"/>
  <c r="G106" i="9"/>
  <c r="E106" i="9"/>
  <c r="K105" i="9"/>
  <c r="I105" i="9"/>
  <c r="G105" i="9"/>
  <c r="E105" i="9"/>
  <c r="K102" i="9"/>
  <c r="I102" i="9"/>
  <c r="G102" i="9"/>
  <c r="E102" i="9"/>
  <c r="K101" i="9"/>
  <c r="I101" i="9"/>
  <c r="G101" i="9"/>
  <c r="E101" i="9"/>
  <c r="K100" i="9"/>
  <c r="I100" i="9"/>
  <c r="G100" i="9"/>
  <c r="E100" i="9"/>
  <c r="K99" i="9"/>
  <c r="I99" i="9"/>
  <c r="G99" i="9"/>
  <c r="E99" i="9"/>
  <c r="K98" i="9"/>
  <c r="I98" i="9"/>
  <c r="G98" i="9"/>
  <c r="E98" i="9"/>
  <c r="K97" i="9"/>
  <c r="I97" i="9"/>
  <c r="G97" i="9"/>
  <c r="E97" i="9"/>
  <c r="K96" i="9"/>
  <c r="I96" i="9"/>
  <c r="G96" i="9"/>
  <c r="E96" i="9"/>
  <c r="K95" i="9"/>
  <c r="I95" i="9"/>
  <c r="G95" i="9"/>
  <c r="E95" i="9"/>
  <c r="K92" i="9"/>
  <c r="I92" i="9"/>
  <c r="G92" i="9"/>
  <c r="E92" i="9"/>
  <c r="K91" i="9"/>
  <c r="I91" i="9"/>
  <c r="G91" i="9"/>
  <c r="E91" i="9"/>
  <c r="K90" i="9"/>
  <c r="I90" i="9"/>
  <c r="G90" i="9"/>
  <c r="E90" i="9"/>
  <c r="K89" i="9"/>
  <c r="I89" i="9"/>
  <c r="G89" i="9"/>
  <c r="E89" i="9"/>
  <c r="K85" i="9"/>
  <c r="I85" i="9"/>
  <c r="G85" i="9"/>
  <c r="E85" i="9"/>
  <c r="K84" i="9"/>
  <c r="I84" i="9"/>
  <c r="G84" i="9"/>
  <c r="E84" i="9"/>
  <c r="K83" i="9"/>
  <c r="I83" i="9"/>
  <c r="G83" i="9"/>
  <c r="E83" i="9"/>
  <c r="K82" i="9"/>
  <c r="I82" i="9"/>
  <c r="G82" i="9"/>
  <c r="E82" i="9"/>
  <c r="K81" i="9"/>
  <c r="I81" i="9"/>
  <c r="G81" i="9"/>
  <c r="E81" i="9"/>
  <c r="K78" i="9"/>
  <c r="I78" i="9"/>
  <c r="G78" i="9"/>
  <c r="E78" i="9"/>
  <c r="K77" i="9"/>
  <c r="I77" i="9"/>
  <c r="G77" i="9"/>
  <c r="E77" i="9"/>
  <c r="K76" i="9"/>
  <c r="I76" i="9"/>
  <c r="G76" i="9"/>
  <c r="E76" i="9"/>
  <c r="K75" i="9"/>
  <c r="I75" i="9"/>
  <c r="G75" i="9"/>
  <c r="E75" i="9"/>
  <c r="K74" i="9"/>
  <c r="I74" i="9"/>
  <c r="G74" i="9"/>
  <c r="E74" i="9"/>
  <c r="K71" i="9"/>
  <c r="I71" i="9"/>
  <c r="G71" i="9"/>
  <c r="E71" i="9"/>
  <c r="K70" i="9"/>
  <c r="I70" i="9"/>
  <c r="G70" i="9"/>
  <c r="E70" i="9"/>
  <c r="K69" i="9"/>
  <c r="I69" i="9"/>
  <c r="G69" i="9"/>
  <c r="E69" i="9"/>
  <c r="K68" i="9"/>
  <c r="I68" i="9"/>
  <c r="G68" i="9"/>
  <c r="E68" i="9"/>
  <c r="K67" i="9"/>
  <c r="I67" i="9"/>
  <c r="G67" i="9"/>
  <c r="E67" i="9"/>
  <c r="K66" i="9"/>
  <c r="I66" i="9"/>
  <c r="G66" i="9"/>
  <c r="E66" i="9"/>
  <c r="K65" i="9"/>
  <c r="I65" i="9"/>
  <c r="G65" i="9"/>
  <c r="E65" i="9"/>
  <c r="K64" i="9"/>
  <c r="I64" i="9"/>
  <c r="G64" i="9"/>
  <c r="E64" i="9"/>
  <c r="K61" i="9"/>
  <c r="I61" i="9"/>
  <c r="G61" i="9"/>
  <c r="E61" i="9"/>
  <c r="K60" i="9"/>
  <c r="I60" i="9"/>
  <c r="G60" i="9"/>
  <c r="E60" i="9"/>
  <c r="K59" i="9"/>
  <c r="I59" i="9"/>
  <c r="G59" i="9"/>
  <c r="E59" i="9"/>
  <c r="K58" i="9"/>
  <c r="I58" i="9"/>
  <c r="G58" i="9"/>
  <c r="E58" i="9"/>
  <c r="K54" i="9"/>
  <c r="I54" i="9"/>
  <c r="G54" i="9"/>
  <c r="E54" i="9"/>
  <c r="K53" i="9"/>
  <c r="I53" i="9"/>
  <c r="G53" i="9"/>
  <c r="E53" i="9"/>
  <c r="K52" i="9"/>
  <c r="I52" i="9"/>
  <c r="G52" i="9"/>
  <c r="E52" i="9"/>
  <c r="K51" i="9"/>
  <c r="I51" i="9"/>
  <c r="G51" i="9"/>
  <c r="E51" i="9"/>
  <c r="K50" i="9"/>
  <c r="I50" i="9"/>
  <c r="G50" i="9"/>
  <c r="E50" i="9"/>
  <c r="K47" i="9"/>
  <c r="I47" i="9"/>
  <c r="G47" i="9"/>
  <c r="E47" i="9"/>
  <c r="K46" i="9"/>
  <c r="I46" i="9"/>
  <c r="G46" i="9"/>
  <c r="E46" i="9"/>
  <c r="K45" i="9"/>
  <c r="I45" i="9"/>
  <c r="G45" i="9"/>
  <c r="E45" i="9"/>
  <c r="K44" i="9"/>
  <c r="I44" i="9"/>
  <c r="G44" i="9"/>
  <c r="E44" i="9"/>
  <c r="K43" i="9"/>
  <c r="I43" i="9"/>
  <c r="G43" i="9"/>
  <c r="E43" i="9"/>
  <c r="K40" i="9"/>
  <c r="I40" i="9"/>
  <c r="G40" i="9"/>
  <c r="E40" i="9"/>
  <c r="K39" i="9"/>
  <c r="I39" i="9"/>
  <c r="G39" i="9"/>
  <c r="E39" i="9"/>
  <c r="K38" i="9"/>
  <c r="I38" i="9"/>
  <c r="G38" i="9"/>
  <c r="E38" i="9"/>
  <c r="K37" i="9"/>
  <c r="I37" i="9"/>
  <c r="G37" i="9"/>
  <c r="E37" i="9"/>
  <c r="K36" i="9"/>
  <c r="I36" i="9"/>
  <c r="G36" i="9"/>
  <c r="E36" i="9"/>
  <c r="K35" i="9"/>
  <c r="I35" i="9"/>
  <c r="G35" i="9"/>
  <c r="E35" i="9"/>
  <c r="K34" i="9"/>
  <c r="I34" i="9"/>
  <c r="G34" i="9"/>
  <c r="E34" i="9"/>
  <c r="K33" i="9"/>
  <c r="I33" i="9"/>
  <c r="G33" i="9"/>
  <c r="E33" i="9"/>
  <c r="K30" i="9"/>
  <c r="I30" i="9"/>
  <c r="G30" i="9"/>
  <c r="E30" i="9"/>
  <c r="K29" i="9"/>
  <c r="I29" i="9"/>
  <c r="G29" i="9"/>
  <c r="E29" i="9"/>
  <c r="K28" i="9"/>
  <c r="I28" i="9"/>
  <c r="G28" i="9"/>
  <c r="E28" i="9"/>
  <c r="K27" i="9"/>
  <c r="I27" i="9"/>
  <c r="G27" i="9"/>
  <c r="E27" i="9"/>
  <c r="K23" i="9"/>
  <c r="I23" i="9"/>
  <c r="G23" i="9"/>
  <c r="E23" i="9"/>
  <c r="K22" i="9"/>
  <c r="I22" i="9"/>
  <c r="G22" i="9"/>
  <c r="E22" i="9"/>
  <c r="K21" i="9"/>
  <c r="I21" i="9"/>
  <c r="G21" i="9"/>
  <c r="E21" i="9"/>
  <c r="K20" i="9"/>
  <c r="I20" i="9"/>
  <c r="G20" i="9"/>
  <c r="E20" i="9"/>
  <c r="K19" i="9"/>
  <c r="I19" i="9"/>
  <c r="G19" i="9"/>
  <c r="E19" i="9"/>
  <c r="K16" i="9"/>
  <c r="I16" i="9"/>
  <c r="G16" i="9"/>
  <c r="E16" i="9"/>
  <c r="K15" i="9"/>
  <c r="I15" i="9"/>
  <c r="G15" i="9"/>
  <c r="E15" i="9"/>
  <c r="K14" i="9"/>
  <c r="I14" i="9"/>
  <c r="G14" i="9"/>
  <c r="E14" i="9"/>
  <c r="K13" i="9"/>
  <c r="I13" i="9"/>
  <c r="G13" i="9"/>
  <c r="E13" i="9"/>
  <c r="K12" i="9"/>
  <c r="I12" i="9"/>
  <c r="G12" i="9"/>
  <c r="E12" i="9"/>
  <c r="K9" i="9"/>
  <c r="I9" i="9"/>
  <c r="G9" i="9"/>
  <c r="E9" i="9"/>
  <c r="K8" i="9"/>
  <c r="I8" i="9"/>
  <c r="G8" i="9"/>
  <c r="E8" i="9"/>
  <c r="K7" i="9"/>
  <c r="I7" i="9"/>
  <c r="G7" i="9"/>
  <c r="E7" i="9"/>
  <c r="K6" i="9"/>
  <c r="I6" i="9"/>
  <c r="G6" i="9"/>
  <c r="E6" i="9"/>
</calcChain>
</file>

<file path=xl/sharedStrings.xml><?xml version="1.0" encoding="utf-8"?>
<sst xmlns="http://schemas.openxmlformats.org/spreadsheetml/2006/main" count="2405" uniqueCount="98">
  <si>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</si>
  <si>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</si>
  <si>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</si>
  <si>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</si>
  <si>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</si>
  <si>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</si>
  <si>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</si>
  <si>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</si>
  <si>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</si>
  <si>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</si>
  <si>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sb="0" eb="2">
      <t>ショウヒン</t>
    </rPh>
    <rPh sb="2" eb="3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</si>
  <si>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</si>
  <si>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</si>
  <si>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sb="0" eb="2">
      <t>ショウヒン</t>
    </rPh>
    <phoneticPr fontId="5"/>
  </si>
  <si>
    <t>Products</t>
    <phoneticPr fontId="92"/>
  </si>
  <si>
    <t>Trading of Commodity Futures (Daily)</t>
    <phoneticPr fontId="5"/>
  </si>
  <si>
    <t>3.1</t>
  </si>
  <si>
    <t>金標準先物</t>
  </si>
  <si>
    <t>Gold Standard Futures</t>
  </si>
  <si>
    <t>◎●</t>
  </si>
  <si>
    <t>2</t>
  </si>
  <si>
    <t>3</t>
  </si>
  <si>
    <t>4</t>
  </si>
  <si>
    <t>5</t>
  </si>
  <si>
    <t>6</t>
  </si>
  <si>
    <t>7</t>
  </si>
  <si>
    <t>◎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</si>
  <si>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</si>
  <si>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</si>
  <si>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</si>
  <si>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</si>
  <si>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</si>
  <si>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</si>
  <si>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</si>
  <si>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</si>
  <si>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</si>
  <si>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●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</si>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</sst>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numFmtId="0" fontId="0" fillId="0" borderId="0"/>
    <xf numFmtId="38" fontId="4" fillId="0" borderId="0" applyFont="0" applyFill="0" applyBorder="0" applyAlignment="0" applyProtection="0"/>
    <xf numFmtId="176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77" fontId="9" fillId="0" borderId="0"/>
    <xf numFmtId="0" fontId="10" fillId="0" borderId="0"/>
    <xf numFmtId="0" fontId="11" fillId="0" borderId="0"/>
    <xf numFmtId="49" fontId="12" fillId="2" borderId="3" applyNumberFormat="0" applyFill="0" applyBorder="0" applyProtection="0"/>
    <xf numFmtId="0" fontId="6" fillId="0" borderId="0">
      <alignment vertical="center"/>
    </xf>
    <xf numFmtId="0" fontId="13" fillId="0" borderId="0"/>
    <xf numFmtId="0" fontId="13" fillId="0" borderId="0">
      <alignment vertical="center"/>
    </xf>
    <xf numFmtId="178" fontId="15" fillId="0" borderId="0"/>
    <xf numFmtId="0" fontId="4" fillId="0" borderId="0"/>
    <xf numFmtId="0" fontId="4" fillId="0" borderId="0"/>
    <xf numFmtId="0" fontId="13" fillId="0" borderId="0">
      <alignment vertical="center"/>
    </xf>
    <xf numFmtId="0" fontId="3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4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6" fillId="0" borderId="0" applyFill="0" applyBorder="0" applyAlignment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8" fillId="21" borderId="5" applyNumberFormat="0" applyAlignment="0" applyProtection="0"/>
    <xf numFmtId="0" fontId="29" fillId="22" borderId="6" applyNumberFormat="0" applyAlignment="0" applyProtection="0"/>
    <xf numFmtId="0" fontId="30" fillId="0" borderId="0">
      <alignment vertical="top" wrapText="1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 applyBorder="0"/>
    <xf numFmtId="0" fontId="39" fillId="8" borderId="5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39" fillId="8" borderId="5" applyNumberFormat="0" applyAlignment="0" applyProtection="0"/>
    <xf numFmtId="0" fontId="6" fillId="0" borderId="0"/>
    <xf numFmtId="0" fontId="40" fillId="0" borderId="10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6" fillId="0" borderId="0"/>
    <xf numFmtId="184" fontId="6" fillId="0" borderId="0"/>
    <xf numFmtId="177" fontId="9" fillId="0" borderId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10" fillId="27" borderId="11" applyNumberFormat="0" applyFon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14" fontId="24" fillId="0" borderId="0">
      <alignment horizontal="center" wrapText="1"/>
      <protection locked="0"/>
    </xf>
    <xf numFmtId="10" fontId="10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3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6" applyNumberFormat="0" applyAlignment="0" applyProtection="0">
      <alignment vertical="center"/>
    </xf>
    <xf numFmtId="0" fontId="56" fillId="22" borderId="6" applyNumberFormat="0" applyAlignment="0" applyProtection="0">
      <alignment vertical="center"/>
    </xf>
    <xf numFmtId="0" fontId="56" fillId="22" borderId="6" applyNumberFormat="0" applyAlignment="0" applyProtection="0">
      <alignment vertical="center"/>
    </xf>
    <xf numFmtId="0" fontId="56" fillId="22" borderId="6" applyNumberFormat="0" applyAlignment="0" applyProtection="0">
      <alignment vertical="center"/>
    </xf>
    <xf numFmtId="0" fontId="56" fillId="22" borderId="6" applyNumberFormat="0" applyAlignment="0" applyProtection="0">
      <alignment vertical="center"/>
    </xf>
    <xf numFmtId="0" fontId="56" fillId="22" borderId="6" applyNumberFormat="0" applyAlignment="0" applyProtection="0">
      <alignment vertical="center"/>
    </xf>
    <xf numFmtId="0" fontId="56" fillId="22" borderId="6" applyNumberFormat="0" applyAlignment="0" applyProtection="0">
      <alignment vertical="center"/>
    </xf>
    <xf numFmtId="0" fontId="56" fillId="22" borderId="6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21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6" fillId="27" borderId="11" applyNumberFormat="0" applyFont="0" applyAlignment="0" applyProtection="0">
      <alignment vertical="center"/>
    </xf>
    <xf numFmtId="0" fontId="6" fillId="27" borderId="11" applyNumberFormat="0" applyFont="0" applyAlignment="0" applyProtection="0">
      <alignment vertical="center"/>
    </xf>
    <xf numFmtId="0" fontId="6" fillId="27" borderId="11" applyNumberFormat="0" applyFont="0" applyAlignment="0" applyProtection="0">
      <alignment vertical="center"/>
    </xf>
    <xf numFmtId="0" fontId="6" fillId="27" borderId="11" applyNumberFormat="0" applyFont="0" applyAlignment="0" applyProtection="0">
      <alignment vertical="center"/>
    </xf>
    <xf numFmtId="0" fontId="6" fillId="27" borderId="11" applyNumberFormat="0" applyFont="0" applyAlignment="0" applyProtection="0">
      <alignment vertical="center"/>
    </xf>
    <xf numFmtId="0" fontId="6" fillId="27" borderId="11" applyNumberFormat="0" applyFont="0" applyAlignment="0" applyProtection="0">
      <alignment vertical="center"/>
    </xf>
    <xf numFmtId="0" fontId="6" fillId="27" borderId="11" applyNumberFormat="0" applyFont="0" applyAlignment="0" applyProtection="0">
      <alignment vertical="center"/>
    </xf>
    <xf numFmtId="0" fontId="6" fillId="27" borderId="11" applyNumberFormat="0" applyFont="0" applyAlignment="0" applyProtection="0">
      <alignment vertical="center"/>
    </xf>
    <xf numFmtId="0" fontId="6" fillId="27" borderId="11" applyNumberFormat="0" applyFont="0" applyAlignment="0" applyProtection="0">
      <alignment vertical="center"/>
    </xf>
    <xf numFmtId="0" fontId="6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6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4" fillId="27" borderId="11" applyNumberFormat="0" applyFont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4" fillId="21" borderId="5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185" fontId="10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68" fillId="0" borderId="7" applyNumberFormat="0" applyFill="0" applyAlignment="0" applyProtection="0">
      <alignment vertical="center"/>
    </xf>
    <xf numFmtId="0" fontId="68" fillId="0" borderId="7" applyNumberFormat="0" applyFill="0" applyAlignment="0" applyProtection="0">
      <alignment vertical="center"/>
    </xf>
    <xf numFmtId="0" fontId="68" fillId="0" borderId="7" applyNumberFormat="0" applyFill="0" applyAlignment="0" applyProtection="0">
      <alignment vertical="center"/>
    </xf>
    <xf numFmtId="0" fontId="68" fillId="0" borderId="7" applyNumberFormat="0" applyFill="0" applyAlignment="0" applyProtection="0">
      <alignment vertical="center"/>
    </xf>
    <xf numFmtId="0" fontId="68" fillId="0" borderId="7" applyNumberFormat="0" applyFill="0" applyAlignment="0" applyProtection="0">
      <alignment vertical="center"/>
    </xf>
    <xf numFmtId="0" fontId="68" fillId="0" borderId="7" applyNumberFormat="0" applyFill="0" applyAlignment="0" applyProtection="0">
      <alignment vertical="center"/>
    </xf>
    <xf numFmtId="0" fontId="68" fillId="0" borderId="7" applyNumberFormat="0" applyFill="0" applyAlignment="0" applyProtection="0">
      <alignment vertical="center"/>
    </xf>
    <xf numFmtId="0" fontId="68" fillId="0" borderId="7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0" fontId="73" fillId="21" borderId="12" applyNumberFormat="0" applyAlignment="0" applyProtection="0">
      <alignment vertical="center"/>
    </xf>
    <xf numFmtId="186" fontId="11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6" fontId="4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76" fillId="8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78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79" fillId="0" borderId="0">
      <alignment vertical="center"/>
    </xf>
    <xf numFmtId="0" fontId="13" fillId="0" borderId="0"/>
    <xf numFmtId="0" fontId="79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80" fillId="0" borderId="0">
      <alignment vertical="center"/>
    </xf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9" fillId="0" borderId="0"/>
    <xf numFmtId="0" fontId="13" fillId="0" borderId="0">
      <alignment vertical="center"/>
    </xf>
    <xf numFmtId="0" fontId="13" fillId="0" borderId="0">
      <alignment vertical="center"/>
    </xf>
    <xf numFmtId="0" fontId="19" fillId="0" borderId="0"/>
    <xf numFmtId="0" fontId="17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81" fillId="0" borderId="0"/>
    <xf numFmtId="0" fontId="13" fillId="0" borderId="0"/>
    <xf numFmtId="0" fontId="6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21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4" fillId="0" borderId="0"/>
    <xf numFmtId="0" fontId="4" fillId="0" borderId="0">
      <alignment vertical="center"/>
    </xf>
    <xf numFmtId="0" fontId="81" fillId="0" borderId="0"/>
    <xf numFmtId="0" fontId="4" fillId="0" borderId="0"/>
    <xf numFmtId="0" fontId="4" fillId="0" borderId="0"/>
    <xf numFmtId="0" fontId="81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1" fillId="0" borderId="0"/>
    <xf numFmtId="0" fontId="81" fillId="0" borderId="0"/>
    <xf numFmtId="0" fontId="4" fillId="0" borderId="0"/>
    <xf numFmtId="0" fontId="81" fillId="0" borderId="0"/>
    <xf numFmtId="0" fontId="2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2" fillId="0" borderId="0">
      <alignment vertical="center"/>
    </xf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7" fillId="0" borderId="0"/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8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8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5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0" borderId="0">
      <alignment vertical="center"/>
    </xf>
    <xf numFmtId="0" fontId="4" fillId="0" borderId="0"/>
    <xf numFmtId="0" fontId="4" fillId="0" borderId="0">
      <alignment vertical="center"/>
    </xf>
    <xf numFmtId="0" fontId="8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4" fillId="0" borderId="0">
      <alignment vertical="center"/>
    </xf>
    <xf numFmtId="0" fontId="8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4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4" fillId="0" borderId="0"/>
    <xf numFmtId="0" fontId="91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17" applyNumberFormat="0" applyFill="0" applyAlignment="0" applyProtection="0">
      <alignment vertical="center"/>
    </xf>
    <xf numFmtId="0" fontId="95" fillId="0" borderId="18" applyNumberFormat="0" applyFill="0" applyAlignment="0" applyProtection="0">
      <alignment vertical="center"/>
    </xf>
    <xf numFmtId="0" fontId="96" fillId="0" borderId="19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8" fillId="29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100" fillId="31" borderId="20" applyNumberFormat="0" applyAlignment="0" applyProtection="0">
      <alignment vertical="center"/>
    </xf>
    <xf numFmtId="0" fontId="101" fillId="32" borderId="21" applyNumberFormat="0" applyAlignment="0" applyProtection="0">
      <alignment vertical="center"/>
    </xf>
    <xf numFmtId="0" fontId="102" fillId="32" borderId="20" applyNumberFormat="0" applyAlignment="0" applyProtection="0">
      <alignment vertical="center"/>
    </xf>
    <xf numFmtId="0" fontId="103" fillId="0" borderId="22" applyNumberFormat="0" applyFill="0" applyAlignment="0" applyProtection="0">
      <alignment vertical="center"/>
    </xf>
    <xf numFmtId="0" fontId="104" fillId="33" borderId="23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5" applyNumberFormat="0" applyFill="0" applyAlignment="0" applyProtection="0">
      <alignment vertical="center"/>
    </xf>
    <xf numFmtId="0" fontId="108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08" fillId="38" borderId="0" applyNumberFormat="0" applyBorder="0" applyAlignment="0" applyProtection="0">
      <alignment vertical="center"/>
    </xf>
    <xf numFmtId="0" fontId="108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108" fillId="42" borderId="0" applyNumberFormat="0" applyBorder="0" applyAlignment="0" applyProtection="0">
      <alignment vertical="center"/>
    </xf>
    <xf numFmtId="0" fontId="108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08" fillId="46" borderId="0" applyNumberFormat="0" applyBorder="0" applyAlignment="0" applyProtection="0">
      <alignment vertical="center"/>
    </xf>
    <xf numFmtId="0" fontId="108" fillId="47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108" fillId="50" borderId="0" applyNumberFormat="0" applyBorder="0" applyAlignment="0" applyProtection="0">
      <alignment vertical="center"/>
    </xf>
    <xf numFmtId="0" fontId="108" fillId="51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108" fillId="54" borderId="0" applyNumberFormat="0" applyBorder="0" applyAlignment="0" applyProtection="0">
      <alignment vertical="center"/>
    </xf>
    <xf numFmtId="0" fontId="108" fillId="55" borderId="0" applyNumberFormat="0" applyBorder="0" applyAlignment="0" applyProtection="0">
      <alignment vertical="center"/>
    </xf>
    <xf numFmtId="0" fontId="2" fillId="56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108" fillId="5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34" borderId="24" applyNumberFormat="0" applyFont="0" applyAlignment="0" applyProtection="0">
      <alignment vertical="center"/>
    </xf>
    <xf numFmtId="0" fontId="1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4" borderId="24" applyNumberFormat="0" applyFont="0" applyAlignment="0" applyProtection="0">
      <alignment vertical="center"/>
    </xf>
  </cellStyleXfs>
  <cellXfs count="15">
    <xf numFmtId="0" fontId="0" fillId="0" borderId="0" xfId="0"/>
    <xf numFmtId="0" fontId="19" fillId="0" borderId="0" xfId="1937" applyFont="1" applyFill="1">
      <alignment vertical="center"/>
    </xf>
    <xf numFmtId="0" fontId="110" fillId="0" borderId="0" xfId="1937" applyFont="1" applyFill="1">
      <alignment vertical="center"/>
    </xf>
    <xf numFmtId="0" fontId="16" fillId="0" borderId="15" xfId="0" applyNumberFormat="1" applyFont="1" applyFill="1" applyBorder="1" applyAlignment="1">
      <alignment vertical="center"/>
    </xf>
    <xf numFmtId="0" fontId="6" fillId="0" borderId="15" xfId="1937" applyNumberFormat="1" applyFont="1" applyFill="1" applyBorder="1" applyAlignment="1">
      <alignment vertical="center" wrapText="1"/>
    </xf>
    <xf numFmtId="0" fontId="19" fillId="0" borderId="15" xfId="1937" applyFont="1" applyFill="1" applyBorder="1">
      <alignment vertical="center"/>
    </xf>
    <xf numFmtId="0" fontId="6" fillId="0" borderId="15" xfId="1937" applyFont="1" applyFill="1" applyBorder="1" applyAlignment="1">
      <alignment horizontal="right" vertical="center"/>
    </xf>
    <xf numFmtId="0" fontId="6" fillId="0" borderId="16" xfId="1937" applyNumberFormat="1" applyFont="1" applyFill="1" applyBorder="1" applyAlignment="1">
      <alignment horizontal="center" vertical="center" wrapText="1"/>
    </xf>
    <xf numFmtId="49" fontId="6" fillId="0" borderId="16" xfId="1937" applyNumberFormat="1" applyFont="1" applyBorder="1" applyAlignment="1">
      <alignment horizontal="right" vertical="top" wrapText="1"/>
    </xf>
    <xf numFmtId="49" fontId="6" fillId="0" borderId="16" xfId="1937" applyNumberFormat="1" applyFont="1" applyBorder="1" applyAlignment="1">
      <alignment horizontal="left" vertical="top" wrapText="1"/>
    </xf>
    <xf numFmtId="49" fontId="6" fillId="0" borderId="26" xfId="1937" applyNumberFormat="1" applyFont="1" applyBorder="1" applyAlignment="1">
      <alignment horizontal="center" vertical="top" wrapText="1"/>
    </xf>
    <xf numFmtId="189" fontId="6" fillId="0" borderId="27" xfId="1937" quotePrefix="1" applyNumberFormat="1" applyFont="1" applyBorder="1" applyAlignment="1">
      <alignment horizontal="right" vertical="top" wrapText="1"/>
    </xf>
    <xf numFmtId="0" fontId="110" fillId="0" borderId="0" xfId="1937" applyFont="1">
      <alignment vertical="center"/>
    </xf>
    <xf numFmtId="0" fontId="6" fillId="0" borderId="16" xfId="1937" applyNumberFormat="1" applyFont="1" applyFill="1" applyBorder="1" applyAlignment="1">
      <alignment horizontal="center" vertical="center" wrapText="1"/>
    </xf>
    <xf numFmtId="0" fontId="109" fillId="0" borderId="0" xfId="1937" applyNumberFormat="1" applyFont="1" applyFill="1" applyAlignment="1">
      <alignment horizontal="left" vertical="center" wrapText="1"/>
    </xf>
  </cellXfs>
  <cellStyles count="1995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" xfId="1955" builtinId="30" customBuiltin="1"/>
    <cellStyle name="20% - アクセント 1 10" xfId="1981" xr:uid="{00000000-0005-0000-0000-00000A000000}"/>
    <cellStyle name="20% - アクセント 1 2" xfId="26" xr:uid="{00000000-0005-0000-0000-00000B000000}"/>
    <cellStyle name="20% - アクセント 1 3" xfId="27" xr:uid="{00000000-0005-0000-0000-00000C000000}"/>
    <cellStyle name="20% - アクセント 1 4" xfId="28" xr:uid="{00000000-0005-0000-0000-00000D000000}"/>
    <cellStyle name="20% - アクセント 1 5" xfId="29" xr:uid="{00000000-0005-0000-0000-00000E000000}"/>
    <cellStyle name="20% - アクセント 1 6" xfId="30" xr:uid="{00000000-0005-0000-0000-00000F000000}"/>
    <cellStyle name="20% - アクセント 1 7" xfId="31" xr:uid="{00000000-0005-0000-0000-000010000000}"/>
    <cellStyle name="20% - アクセント 1 8" xfId="32" xr:uid="{00000000-0005-0000-0000-000011000000}"/>
    <cellStyle name="20% - アクセント 1 9" xfId="33" xr:uid="{00000000-0005-0000-0000-000012000000}"/>
    <cellStyle name="20% - アクセント 2" xfId="1959" builtinId="34" customBuiltin="1"/>
    <cellStyle name="20% - アクセント 2 10" xfId="1983" xr:uid="{00000000-0005-0000-0000-000014000000}"/>
    <cellStyle name="20% - アクセント 2 2" xfId="34" xr:uid="{00000000-0005-0000-0000-000015000000}"/>
    <cellStyle name="20% - アクセント 2 3" xfId="35" xr:uid="{00000000-0005-0000-0000-000016000000}"/>
    <cellStyle name="20% - アクセント 2 4" xfId="36" xr:uid="{00000000-0005-0000-0000-000017000000}"/>
    <cellStyle name="20% - アクセント 2 5" xfId="37" xr:uid="{00000000-0005-0000-0000-000018000000}"/>
    <cellStyle name="20% - アクセント 2 6" xfId="38" xr:uid="{00000000-0005-0000-0000-000019000000}"/>
    <cellStyle name="20% - アクセント 2 7" xfId="39" xr:uid="{00000000-0005-0000-0000-00001A000000}"/>
    <cellStyle name="20% - アクセント 2 8" xfId="40" xr:uid="{00000000-0005-0000-0000-00001B000000}"/>
    <cellStyle name="20% - アクセント 2 9" xfId="41" xr:uid="{00000000-0005-0000-0000-00001C000000}"/>
    <cellStyle name="20% - アクセント 3" xfId="1963" builtinId="38" customBuiltin="1"/>
    <cellStyle name="20% - アクセント 3 10" xfId="1985" xr:uid="{00000000-0005-0000-0000-00001E000000}"/>
    <cellStyle name="20% - アクセント 3 2" xfId="42" xr:uid="{00000000-0005-0000-0000-00001F000000}"/>
    <cellStyle name="20% - アクセント 3 3" xfId="43" xr:uid="{00000000-0005-0000-0000-000020000000}"/>
    <cellStyle name="20% - アクセント 3 4" xfId="44" xr:uid="{00000000-0005-0000-0000-000021000000}"/>
    <cellStyle name="20% - アクセント 3 5" xfId="45" xr:uid="{00000000-0005-0000-0000-000022000000}"/>
    <cellStyle name="20% - アクセント 3 6" xfId="46" xr:uid="{00000000-0005-0000-0000-000023000000}"/>
    <cellStyle name="20% - アクセント 3 7" xfId="47" xr:uid="{00000000-0005-0000-0000-000024000000}"/>
    <cellStyle name="20% - アクセント 3 8" xfId="48" xr:uid="{00000000-0005-0000-0000-000025000000}"/>
    <cellStyle name="20% - アクセント 3 9" xfId="49" xr:uid="{00000000-0005-0000-0000-000026000000}"/>
    <cellStyle name="20% - アクセント 4" xfId="1967" builtinId="42" customBuiltin="1"/>
    <cellStyle name="20% - アクセント 4 10" xfId="1987" xr:uid="{00000000-0005-0000-0000-000028000000}"/>
    <cellStyle name="20% - アクセント 4 2" xfId="50" xr:uid="{00000000-0005-0000-0000-000029000000}"/>
    <cellStyle name="20% - アクセント 4 3" xfId="51" xr:uid="{00000000-0005-0000-0000-00002A000000}"/>
    <cellStyle name="20% - アクセント 4 4" xfId="52" xr:uid="{00000000-0005-0000-0000-00002B000000}"/>
    <cellStyle name="20% - アクセント 4 5" xfId="53" xr:uid="{00000000-0005-0000-0000-00002C000000}"/>
    <cellStyle name="20% - アクセント 4 6" xfId="54" xr:uid="{00000000-0005-0000-0000-00002D000000}"/>
    <cellStyle name="20% - アクセント 4 7" xfId="55" xr:uid="{00000000-0005-0000-0000-00002E000000}"/>
    <cellStyle name="20% - アクセント 4 8" xfId="56" xr:uid="{00000000-0005-0000-0000-00002F000000}"/>
    <cellStyle name="20% - アクセント 4 9" xfId="57" xr:uid="{00000000-0005-0000-0000-000030000000}"/>
    <cellStyle name="20% - アクセント 5" xfId="1971" builtinId="46" customBuiltin="1"/>
    <cellStyle name="20% - アクセント 5 10" xfId="1989" xr:uid="{00000000-0005-0000-0000-000032000000}"/>
    <cellStyle name="20% - アクセント 5 2" xfId="58" xr:uid="{00000000-0005-0000-0000-000033000000}"/>
    <cellStyle name="20% - アクセント 5 3" xfId="59" xr:uid="{00000000-0005-0000-0000-000034000000}"/>
    <cellStyle name="20% - アクセント 5 4" xfId="60" xr:uid="{00000000-0005-0000-0000-000035000000}"/>
    <cellStyle name="20% - アクセント 5 5" xfId="61" xr:uid="{00000000-0005-0000-0000-000036000000}"/>
    <cellStyle name="20% - アクセント 5 6" xfId="62" xr:uid="{00000000-0005-0000-0000-000037000000}"/>
    <cellStyle name="20% - アクセント 5 7" xfId="63" xr:uid="{00000000-0005-0000-0000-000038000000}"/>
    <cellStyle name="20% - アクセント 5 8" xfId="64" xr:uid="{00000000-0005-0000-0000-000039000000}"/>
    <cellStyle name="20% - アクセント 5 9" xfId="65" xr:uid="{00000000-0005-0000-0000-00003A000000}"/>
    <cellStyle name="20% - アクセント 6" xfId="1975" builtinId="50" customBuiltin="1"/>
    <cellStyle name="20% - アクセント 6 10" xfId="1991" xr:uid="{00000000-0005-0000-0000-00003C000000}"/>
    <cellStyle name="20% - アクセント 6 2" xfId="66" xr:uid="{00000000-0005-0000-0000-00003D000000}"/>
    <cellStyle name="20% - アクセント 6 3" xfId="67" xr:uid="{00000000-0005-0000-0000-00003E000000}"/>
    <cellStyle name="20% - アクセント 6 4" xfId="68" xr:uid="{00000000-0005-0000-0000-00003F000000}"/>
    <cellStyle name="20% - アクセント 6 5" xfId="69" xr:uid="{00000000-0005-0000-0000-000040000000}"/>
    <cellStyle name="20% - アクセント 6 6" xfId="70" xr:uid="{00000000-0005-0000-0000-000041000000}"/>
    <cellStyle name="20% - アクセント 6 7" xfId="71" xr:uid="{00000000-0005-0000-0000-000042000000}"/>
    <cellStyle name="20% - アクセント 6 8" xfId="72" xr:uid="{00000000-0005-0000-0000-000043000000}"/>
    <cellStyle name="20% - アクセント 6 9" xfId="73" xr:uid="{00000000-0005-0000-0000-000044000000}"/>
    <cellStyle name="40% - Accent1" xfId="74" xr:uid="{00000000-0005-0000-0000-000045000000}"/>
    <cellStyle name="40% - Accent2" xfId="75" xr:uid="{00000000-0005-0000-0000-000046000000}"/>
    <cellStyle name="40% - Accent3" xfId="76" xr:uid="{00000000-0005-0000-0000-000047000000}"/>
    <cellStyle name="40% - Accent4" xfId="77" xr:uid="{00000000-0005-0000-0000-000048000000}"/>
    <cellStyle name="40% - Accent5" xfId="78" xr:uid="{00000000-0005-0000-0000-000049000000}"/>
    <cellStyle name="40% - Accent6" xfId="79" xr:uid="{00000000-0005-0000-0000-00004A000000}"/>
    <cellStyle name="40% - アクセント 1" xfId="1956" builtinId="31" customBuiltin="1"/>
    <cellStyle name="40% - アクセント 1 10" xfId="1982" xr:uid="{00000000-0005-0000-0000-00004C000000}"/>
    <cellStyle name="40% - アクセント 1 2" xfId="80" xr:uid="{00000000-0005-0000-0000-00004D000000}"/>
    <cellStyle name="40% - アクセント 1 3" xfId="81" xr:uid="{00000000-0005-0000-0000-00004E000000}"/>
    <cellStyle name="40% - アクセント 1 4" xfId="82" xr:uid="{00000000-0005-0000-0000-00004F000000}"/>
    <cellStyle name="40% - アクセント 1 5" xfId="83" xr:uid="{00000000-0005-0000-0000-000050000000}"/>
    <cellStyle name="40% - アクセント 1 6" xfId="84" xr:uid="{00000000-0005-0000-0000-000051000000}"/>
    <cellStyle name="40% - アクセント 1 7" xfId="85" xr:uid="{00000000-0005-0000-0000-000052000000}"/>
    <cellStyle name="40% - アクセント 1 8" xfId="86" xr:uid="{00000000-0005-0000-0000-000053000000}"/>
    <cellStyle name="40% - アクセント 1 9" xfId="87" xr:uid="{00000000-0005-0000-0000-000054000000}"/>
    <cellStyle name="40% - アクセント 2" xfId="1960" builtinId="35" customBuiltin="1"/>
    <cellStyle name="40% - アクセント 2 10" xfId="1984" xr:uid="{00000000-0005-0000-0000-000056000000}"/>
    <cellStyle name="40% - アクセント 2 2" xfId="88" xr:uid="{00000000-0005-0000-0000-000057000000}"/>
    <cellStyle name="40% - アクセント 2 3" xfId="89" xr:uid="{00000000-0005-0000-0000-000058000000}"/>
    <cellStyle name="40% - アクセント 2 4" xfId="90" xr:uid="{00000000-0005-0000-0000-000059000000}"/>
    <cellStyle name="40% - アクセント 2 5" xfId="91" xr:uid="{00000000-0005-0000-0000-00005A000000}"/>
    <cellStyle name="40% - アクセント 2 6" xfId="92" xr:uid="{00000000-0005-0000-0000-00005B000000}"/>
    <cellStyle name="40% - アクセント 2 7" xfId="93" xr:uid="{00000000-0005-0000-0000-00005C000000}"/>
    <cellStyle name="40% - アクセント 2 8" xfId="94" xr:uid="{00000000-0005-0000-0000-00005D000000}"/>
    <cellStyle name="40% - アクセント 2 9" xfId="95" xr:uid="{00000000-0005-0000-0000-00005E000000}"/>
    <cellStyle name="40% - アクセント 3" xfId="1964" builtinId="39" customBuiltin="1"/>
    <cellStyle name="40% - アクセント 3 10" xfId="1986" xr:uid="{00000000-0005-0000-0000-000060000000}"/>
    <cellStyle name="40% - アクセント 3 2" xfId="96" xr:uid="{00000000-0005-0000-0000-000061000000}"/>
    <cellStyle name="40% - アクセント 3 3" xfId="97" xr:uid="{00000000-0005-0000-0000-000062000000}"/>
    <cellStyle name="40% - アクセント 3 4" xfId="98" xr:uid="{00000000-0005-0000-0000-000063000000}"/>
    <cellStyle name="40% - アクセント 3 5" xfId="99" xr:uid="{00000000-0005-0000-0000-000064000000}"/>
    <cellStyle name="40% - アクセント 3 6" xfId="100" xr:uid="{00000000-0005-0000-0000-000065000000}"/>
    <cellStyle name="40% - アクセント 3 7" xfId="101" xr:uid="{00000000-0005-0000-0000-000066000000}"/>
    <cellStyle name="40% - アクセント 3 8" xfId="102" xr:uid="{00000000-0005-0000-0000-000067000000}"/>
    <cellStyle name="40% - アクセント 3 9" xfId="103" xr:uid="{00000000-0005-0000-0000-000068000000}"/>
    <cellStyle name="40% - アクセント 4" xfId="1968" builtinId="43" customBuiltin="1"/>
    <cellStyle name="40% - アクセント 4 10" xfId="1988" xr:uid="{00000000-0005-0000-0000-00006A000000}"/>
    <cellStyle name="40% - アクセント 4 2" xfId="104" xr:uid="{00000000-0005-0000-0000-00006B000000}"/>
    <cellStyle name="40% - アクセント 4 3" xfId="105" xr:uid="{00000000-0005-0000-0000-00006C000000}"/>
    <cellStyle name="40% - アクセント 4 4" xfId="106" xr:uid="{00000000-0005-0000-0000-00006D000000}"/>
    <cellStyle name="40% - アクセント 4 5" xfId="107" xr:uid="{00000000-0005-0000-0000-00006E000000}"/>
    <cellStyle name="40% - アクセント 4 6" xfId="108" xr:uid="{00000000-0005-0000-0000-00006F000000}"/>
    <cellStyle name="40% - アクセント 4 7" xfId="109" xr:uid="{00000000-0005-0000-0000-000070000000}"/>
    <cellStyle name="40% - アクセント 4 8" xfId="110" xr:uid="{00000000-0005-0000-0000-000071000000}"/>
    <cellStyle name="40% - アクセント 4 9" xfId="111" xr:uid="{00000000-0005-0000-0000-000072000000}"/>
    <cellStyle name="40% - アクセント 5" xfId="1972" builtinId="47" customBuiltin="1"/>
    <cellStyle name="40% - アクセント 5 10" xfId="1990" xr:uid="{00000000-0005-0000-0000-000074000000}"/>
    <cellStyle name="40% - アクセント 5 2" xfId="112" xr:uid="{00000000-0005-0000-0000-000075000000}"/>
    <cellStyle name="40% - アクセント 5 3" xfId="113" xr:uid="{00000000-0005-0000-0000-000076000000}"/>
    <cellStyle name="40% - アクセント 5 4" xfId="114" xr:uid="{00000000-0005-0000-0000-000077000000}"/>
    <cellStyle name="40% - アクセント 5 5" xfId="115" xr:uid="{00000000-0005-0000-0000-000078000000}"/>
    <cellStyle name="40% - アクセント 5 6" xfId="116" xr:uid="{00000000-0005-0000-0000-000079000000}"/>
    <cellStyle name="40% - アクセント 5 7" xfId="117" xr:uid="{00000000-0005-0000-0000-00007A000000}"/>
    <cellStyle name="40% - アクセント 5 8" xfId="118" xr:uid="{00000000-0005-0000-0000-00007B000000}"/>
    <cellStyle name="40% - アクセント 5 9" xfId="119" xr:uid="{00000000-0005-0000-0000-00007C000000}"/>
    <cellStyle name="40% - アクセント 6" xfId="1976" builtinId="51" customBuiltin="1"/>
    <cellStyle name="40% - アクセント 6 10" xfId="1992" xr:uid="{00000000-0005-0000-0000-00007E000000}"/>
    <cellStyle name="40% - アクセント 6 2" xfId="120" xr:uid="{00000000-0005-0000-0000-00007F000000}"/>
    <cellStyle name="40% - アクセント 6 3" xfId="121" xr:uid="{00000000-0005-0000-0000-000080000000}"/>
    <cellStyle name="40% - アクセント 6 4" xfId="122" xr:uid="{00000000-0005-0000-0000-000081000000}"/>
    <cellStyle name="40% - アクセント 6 5" xfId="123" xr:uid="{00000000-0005-0000-0000-000082000000}"/>
    <cellStyle name="40% - アクセント 6 6" xfId="124" xr:uid="{00000000-0005-0000-0000-000083000000}"/>
    <cellStyle name="40% - アクセント 6 7" xfId="125" xr:uid="{00000000-0005-0000-0000-000084000000}"/>
    <cellStyle name="40% - アクセント 6 8" xfId="126" xr:uid="{00000000-0005-0000-0000-000085000000}"/>
    <cellStyle name="40% - アクセント 6 9" xfId="127" xr:uid="{00000000-0005-0000-0000-000086000000}"/>
    <cellStyle name="60% - Accent1" xfId="128" xr:uid="{00000000-0005-0000-0000-000087000000}"/>
    <cellStyle name="60% - Accent2" xfId="129" xr:uid="{00000000-0005-0000-0000-000088000000}"/>
    <cellStyle name="60% - Accent3" xfId="130" xr:uid="{00000000-0005-0000-0000-000089000000}"/>
    <cellStyle name="60% - Accent4" xfId="131" xr:uid="{00000000-0005-0000-0000-00008A000000}"/>
    <cellStyle name="60% - Accent5" xfId="132" xr:uid="{00000000-0005-0000-0000-00008B000000}"/>
    <cellStyle name="60% - Accent6" xfId="133" xr:uid="{00000000-0005-0000-0000-00008C000000}"/>
    <cellStyle name="60% - アクセント 1" xfId="1957" builtinId="32" customBuiltin="1"/>
    <cellStyle name="60% - アクセント 1 2" xfId="134" xr:uid="{00000000-0005-0000-0000-00008E000000}"/>
    <cellStyle name="60% - アクセント 1 3" xfId="135" xr:uid="{00000000-0005-0000-0000-00008F000000}"/>
    <cellStyle name="60% - アクセント 1 4" xfId="136" xr:uid="{00000000-0005-0000-0000-000090000000}"/>
    <cellStyle name="60% - アクセント 1 5" xfId="137" xr:uid="{00000000-0005-0000-0000-000091000000}"/>
    <cellStyle name="60% - アクセント 1 6" xfId="138" xr:uid="{00000000-0005-0000-0000-000092000000}"/>
    <cellStyle name="60% - アクセント 1 7" xfId="139" xr:uid="{00000000-0005-0000-0000-000093000000}"/>
    <cellStyle name="60% - アクセント 1 8" xfId="140" xr:uid="{00000000-0005-0000-0000-000094000000}"/>
    <cellStyle name="60% - アクセント 1 9" xfId="141" xr:uid="{00000000-0005-0000-0000-000095000000}"/>
    <cellStyle name="60% - アクセント 2" xfId="1961" builtinId="36" customBuiltin="1"/>
    <cellStyle name="60% - アクセント 2 2" xfId="142" xr:uid="{00000000-0005-0000-0000-000097000000}"/>
    <cellStyle name="60% - アクセント 2 3" xfId="143" xr:uid="{00000000-0005-0000-0000-000098000000}"/>
    <cellStyle name="60% - アクセント 2 4" xfId="144" xr:uid="{00000000-0005-0000-0000-000099000000}"/>
    <cellStyle name="60% - アクセント 2 5" xfId="145" xr:uid="{00000000-0005-0000-0000-00009A000000}"/>
    <cellStyle name="60% - アクセント 2 6" xfId="146" xr:uid="{00000000-0005-0000-0000-00009B000000}"/>
    <cellStyle name="60% - アクセント 2 7" xfId="147" xr:uid="{00000000-0005-0000-0000-00009C000000}"/>
    <cellStyle name="60% - アクセント 2 8" xfId="148" xr:uid="{00000000-0005-0000-0000-00009D000000}"/>
    <cellStyle name="60% - アクセント 2 9" xfId="149" xr:uid="{00000000-0005-0000-0000-00009E000000}"/>
    <cellStyle name="60% - アクセント 3" xfId="1965" builtinId="40" customBuiltin="1"/>
    <cellStyle name="60% - アクセント 3 2" xfId="150" xr:uid="{00000000-0005-0000-0000-0000A0000000}"/>
    <cellStyle name="60% - アクセント 3 3" xfId="151" xr:uid="{00000000-0005-0000-0000-0000A1000000}"/>
    <cellStyle name="60% - アクセント 3 4" xfId="152" xr:uid="{00000000-0005-0000-0000-0000A2000000}"/>
    <cellStyle name="60% - アクセント 3 5" xfId="153" xr:uid="{00000000-0005-0000-0000-0000A3000000}"/>
    <cellStyle name="60% - アクセント 3 6" xfId="154" xr:uid="{00000000-0005-0000-0000-0000A4000000}"/>
    <cellStyle name="60% - アクセント 3 7" xfId="155" xr:uid="{00000000-0005-0000-0000-0000A5000000}"/>
    <cellStyle name="60% - アクセント 3 8" xfId="156" xr:uid="{00000000-0005-0000-0000-0000A6000000}"/>
    <cellStyle name="60% - アクセント 3 9" xfId="157" xr:uid="{00000000-0005-0000-0000-0000A7000000}"/>
    <cellStyle name="60% - アクセント 4" xfId="1969" builtinId="44" customBuiltin="1"/>
    <cellStyle name="60% - アクセント 4 2" xfId="158" xr:uid="{00000000-0005-0000-0000-0000A9000000}"/>
    <cellStyle name="60% - アクセント 4 3" xfId="159" xr:uid="{00000000-0005-0000-0000-0000AA000000}"/>
    <cellStyle name="60% - アクセント 4 4" xfId="160" xr:uid="{00000000-0005-0000-0000-0000AB000000}"/>
    <cellStyle name="60% - アクセント 4 5" xfId="161" xr:uid="{00000000-0005-0000-0000-0000AC000000}"/>
    <cellStyle name="60% - アクセント 4 6" xfId="162" xr:uid="{00000000-0005-0000-0000-0000AD000000}"/>
    <cellStyle name="60% - アクセント 4 7" xfId="163" xr:uid="{00000000-0005-0000-0000-0000AE000000}"/>
    <cellStyle name="60% - アクセント 4 8" xfId="164" xr:uid="{00000000-0005-0000-0000-0000AF000000}"/>
    <cellStyle name="60% - アクセント 4 9" xfId="165" xr:uid="{00000000-0005-0000-0000-0000B0000000}"/>
    <cellStyle name="60% - アクセント 5" xfId="1973" builtinId="48" customBuiltin="1"/>
    <cellStyle name="60% - アクセント 5 2" xfId="166" xr:uid="{00000000-0005-0000-0000-0000B2000000}"/>
    <cellStyle name="60% - アクセント 5 3" xfId="167" xr:uid="{00000000-0005-0000-0000-0000B3000000}"/>
    <cellStyle name="60% - アクセント 5 4" xfId="168" xr:uid="{00000000-0005-0000-0000-0000B4000000}"/>
    <cellStyle name="60% - アクセント 5 5" xfId="169" xr:uid="{00000000-0005-0000-0000-0000B5000000}"/>
    <cellStyle name="60% - アクセント 5 6" xfId="170" xr:uid="{00000000-0005-0000-0000-0000B6000000}"/>
    <cellStyle name="60% - アクセント 5 7" xfId="171" xr:uid="{00000000-0005-0000-0000-0000B7000000}"/>
    <cellStyle name="60% - アクセント 5 8" xfId="172" xr:uid="{00000000-0005-0000-0000-0000B8000000}"/>
    <cellStyle name="60% - アクセント 5 9" xfId="173" xr:uid="{00000000-0005-0000-0000-0000B9000000}"/>
    <cellStyle name="60% - アクセント 6" xfId="1977" builtinId="52" customBuiltin="1"/>
    <cellStyle name="60% - アクセント 6 2" xfId="174" xr:uid="{00000000-0005-0000-0000-0000BB000000}"/>
    <cellStyle name="60% - アクセント 6 3" xfId="175" xr:uid="{00000000-0005-0000-0000-0000BC000000}"/>
    <cellStyle name="60% - アクセント 6 4" xfId="176" xr:uid="{00000000-0005-0000-0000-0000BD000000}"/>
    <cellStyle name="60% - アクセント 6 5" xfId="177" xr:uid="{00000000-0005-0000-0000-0000BE000000}"/>
    <cellStyle name="60% - アクセント 6 6" xfId="178" xr:uid="{00000000-0005-0000-0000-0000BF000000}"/>
    <cellStyle name="60% - アクセント 6 7" xfId="179" xr:uid="{00000000-0005-0000-0000-0000C0000000}"/>
    <cellStyle name="60% - アクセント 6 8" xfId="180" xr:uid="{00000000-0005-0000-0000-0000C1000000}"/>
    <cellStyle name="60% - アクセント 6 9" xfId="181" xr:uid="{00000000-0005-0000-0000-0000C2000000}"/>
    <cellStyle name="Accent1" xfId="182" xr:uid="{00000000-0005-0000-0000-0000C3000000}"/>
    <cellStyle name="Accent2" xfId="183" xr:uid="{00000000-0005-0000-0000-0000C4000000}"/>
    <cellStyle name="Accent3" xfId="184" xr:uid="{00000000-0005-0000-0000-0000C5000000}"/>
    <cellStyle name="Accent4" xfId="185" xr:uid="{00000000-0005-0000-0000-0000C6000000}"/>
    <cellStyle name="Accent5" xfId="186" xr:uid="{00000000-0005-0000-0000-0000C7000000}"/>
    <cellStyle name="Accent6" xfId="187" xr:uid="{00000000-0005-0000-0000-0000C8000000}"/>
    <cellStyle name="args.style" xfId="188" xr:uid="{00000000-0005-0000-0000-0000C9000000}"/>
    <cellStyle name="B10" xfId="189" xr:uid="{00000000-0005-0000-0000-0000CA000000}"/>
    <cellStyle name="Bad" xfId="190" xr:uid="{00000000-0005-0000-0000-0000CB000000}"/>
    <cellStyle name="Body" xfId="191" xr:uid="{00000000-0005-0000-0000-0000CC000000}"/>
    <cellStyle name="Calc Currency (0)" xfId="2" xr:uid="{00000000-0005-0000-0000-0000CD000000}"/>
    <cellStyle name="Calc Currency (0) 2" xfId="192" xr:uid="{00000000-0005-0000-0000-0000CE000000}"/>
    <cellStyle name="Calculation" xfId="193" xr:uid="{00000000-0005-0000-0000-0000CF000000}"/>
    <cellStyle name="Calculation 2" xfId="194" xr:uid="{00000000-0005-0000-0000-0000D0000000}"/>
    <cellStyle name="Calculation 2 2" xfId="195" xr:uid="{00000000-0005-0000-0000-0000D1000000}"/>
    <cellStyle name="Calculation 2 2 2" xfId="196" xr:uid="{00000000-0005-0000-0000-0000D2000000}"/>
    <cellStyle name="Calculation 2 3" xfId="197" xr:uid="{00000000-0005-0000-0000-0000D3000000}"/>
    <cellStyle name="Calculation 2 3 2" xfId="198" xr:uid="{00000000-0005-0000-0000-0000D4000000}"/>
    <cellStyle name="Calculation 2 4" xfId="199" xr:uid="{00000000-0005-0000-0000-0000D5000000}"/>
    <cellStyle name="Calculation 2 4 2" xfId="200" xr:uid="{00000000-0005-0000-0000-0000D6000000}"/>
    <cellStyle name="Calculation 2 5" xfId="201" xr:uid="{00000000-0005-0000-0000-0000D7000000}"/>
    <cellStyle name="Calculation 2 5 2" xfId="202" xr:uid="{00000000-0005-0000-0000-0000D8000000}"/>
    <cellStyle name="Calculation 2 6" xfId="203" xr:uid="{00000000-0005-0000-0000-0000D9000000}"/>
    <cellStyle name="Calculation 2 6 2" xfId="204" xr:uid="{00000000-0005-0000-0000-0000DA000000}"/>
    <cellStyle name="Calculation 2 7" xfId="205" xr:uid="{00000000-0005-0000-0000-0000DB000000}"/>
    <cellStyle name="Calculation 3" xfId="206" xr:uid="{00000000-0005-0000-0000-0000DC000000}"/>
    <cellStyle name="Calculation 3 2" xfId="207" xr:uid="{00000000-0005-0000-0000-0000DD000000}"/>
    <cellStyle name="Calculation 4" xfId="208" xr:uid="{00000000-0005-0000-0000-0000DE000000}"/>
    <cellStyle name="Check Cell" xfId="209" xr:uid="{00000000-0005-0000-0000-0000DF000000}"/>
    <cellStyle name="Column Heading" xfId="210" xr:uid="{00000000-0005-0000-0000-0000E0000000}"/>
    <cellStyle name="Comma [0]_laroux" xfId="211" xr:uid="{00000000-0005-0000-0000-0000E1000000}"/>
    <cellStyle name="Comma_laroux" xfId="212" xr:uid="{00000000-0005-0000-0000-0000E2000000}"/>
    <cellStyle name="Currency [0]_laroux" xfId="213" xr:uid="{00000000-0005-0000-0000-0000E3000000}"/>
    <cellStyle name="Currency_laroux" xfId="214" xr:uid="{00000000-0005-0000-0000-0000E4000000}"/>
    <cellStyle name="entry" xfId="215" xr:uid="{00000000-0005-0000-0000-0000E5000000}"/>
    <cellStyle name="Explanatory Text" xfId="216" xr:uid="{00000000-0005-0000-0000-0000E6000000}"/>
    <cellStyle name="Good" xfId="217" xr:uid="{00000000-0005-0000-0000-0000E7000000}"/>
    <cellStyle name="Grey" xfId="218" xr:uid="{00000000-0005-0000-0000-0000E8000000}"/>
    <cellStyle name="Head 1" xfId="219" xr:uid="{00000000-0005-0000-0000-0000E9000000}"/>
    <cellStyle name="Header1" xfId="3" xr:uid="{00000000-0005-0000-0000-0000EA000000}"/>
    <cellStyle name="Header2" xfId="4" xr:uid="{00000000-0005-0000-0000-0000EB000000}"/>
    <cellStyle name="Header2 2" xfId="220" xr:uid="{00000000-0005-0000-0000-0000EC000000}"/>
    <cellStyle name="Header2 2 2" xfId="221" xr:uid="{00000000-0005-0000-0000-0000ED000000}"/>
    <cellStyle name="Header2 2 2 2" xfId="222" xr:uid="{00000000-0005-0000-0000-0000EE000000}"/>
    <cellStyle name="Header2 2 2 3" xfId="223" xr:uid="{00000000-0005-0000-0000-0000EF000000}"/>
    <cellStyle name="Header2 2 2 4" xfId="224" xr:uid="{00000000-0005-0000-0000-0000F0000000}"/>
    <cellStyle name="Header2 2 2 5" xfId="225" xr:uid="{00000000-0005-0000-0000-0000F1000000}"/>
    <cellStyle name="Header2 2 2 6" xfId="226" xr:uid="{00000000-0005-0000-0000-0000F2000000}"/>
    <cellStyle name="Header2 2 2 7" xfId="227" xr:uid="{00000000-0005-0000-0000-0000F3000000}"/>
    <cellStyle name="Header2 2 2 7 2" xfId="228" xr:uid="{00000000-0005-0000-0000-0000F4000000}"/>
    <cellStyle name="Header2 2 3" xfId="229" xr:uid="{00000000-0005-0000-0000-0000F5000000}"/>
    <cellStyle name="Header2 2 3 2" xfId="230" xr:uid="{00000000-0005-0000-0000-0000F6000000}"/>
    <cellStyle name="Header2 2 3 3" xfId="231" xr:uid="{00000000-0005-0000-0000-0000F7000000}"/>
    <cellStyle name="Header2 3" xfId="232" xr:uid="{00000000-0005-0000-0000-0000F8000000}"/>
    <cellStyle name="Header2 3 2" xfId="233" xr:uid="{00000000-0005-0000-0000-0000F9000000}"/>
    <cellStyle name="Header2 3 2 2" xfId="234" xr:uid="{00000000-0005-0000-0000-0000FA000000}"/>
    <cellStyle name="Header2 3 2 3" xfId="235" xr:uid="{00000000-0005-0000-0000-0000FB000000}"/>
    <cellStyle name="Header2 3 2 4" xfId="236" xr:uid="{00000000-0005-0000-0000-0000FC000000}"/>
    <cellStyle name="Header2 3 2 5" xfId="237" xr:uid="{00000000-0005-0000-0000-0000FD000000}"/>
    <cellStyle name="Header2 3 2 6" xfId="238" xr:uid="{00000000-0005-0000-0000-0000FE000000}"/>
    <cellStyle name="Header2 3 2 7" xfId="239" xr:uid="{00000000-0005-0000-0000-0000FF000000}"/>
    <cellStyle name="Header2 3 2 7 2" xfId="240" xr:uid="{00000000-0005-0000-0000-000000010000}"/>
    <cellStyle name="Header2 3 3" xfId="241" xr:uid="{00000000-0005-0000-0000-000001010000}"/>
    <cellStyle name="Header2 3 4" xfId="242" xr:uid="{00000000-0005-0000-0000-000002010000}"/>
    <cellStyle name="Header2 3 5" xfId="243" xr:uid="{00000000-0005-0000-0000-000003010000}"/>
    <cellStyle name="Header2 3 6" xfId="244" xr:uid="{00000000-0005-0000-0000-000004010000}"/>
    <cellStyle name="Header2 3 7" xfId="245" xr:uid="{00000000-0005-0000-0000-000005010000}"/>
    <cellStyle name="Header2 3 8" xfId="246" xr:uid="{00000000-0005-0000-0000-000006010000}"/>
    <cellStyle name="Header2 3 9" xfId="247" xr:uid="{00000000-0005-0000-0000-000007010000}"/>
    <cellStyle name="Header2 3 9 2" xfId="248" xr:uid="{00000000-0005-0000-0000-000008010000}"/>
    <cellStyle name="Header2 3 9 3" xfId="249" xr:uid="{00000000-0005-0000-0000-000009010000}"/>
    <cellStyle name="Header2 4" xfId="250" xr:uid="{00000000-0005-0000-0000-00000A010000}"/>
    <cellStyle name="Header2 4 2" xfId="251" xr:uid="{00000000-0005-0000-0000-00000B010000}"/>
    <cellStyle name="Header2 4 3" xfId="252" xr:uid="{00000000-0005-0000-0000-00000C010000}"/>
    <cellStyle name="Header2 4 4" xfId="253" xr:uid="{00000000-0005-0000-0000-00000D010000}"/>
    <cellStyle name="Header2 4 5" xfId="254" xr:uid="{00000000-0005-0000-0000-00000E010000}"/>
    <cellStyle name="Header2 4 6" xfId="255" xr:uid="{00000000-0005-0000-0000-00000F010000}"/>
    <cellStyle name="Header2 4 7" xfId="256" xr:uid="{00000000-0005-0000-0000-000010010000}"/>
    <cellStyle name="Header2 4 7 2" xfId="257" xr:uid="{00000000-0005-0000-0000-000011010000}"/>
    <cellStyle name="Header2 5" xfId="258" xr:uid="{00000000-0005-0000-0000-000012010000}"/>
    <cellStyle name="Header2 6" xfId="259" xr:uid="{00000000-0005-0000-0000-000013010000}"/>
    <cellStyle name="Header2 7" xfId="260" xr:uid="{00000000-0005-0000-0000-000014010000}"/>
    <cellStyle name="Header2 7 2" xfId="261" xr:uid="{00000000-0005-0000-0000-000015010000}"/>
    <cellStyle name="Header2 7 3" xfId="262" xr:uid="{00000000-0005-0000-0000-000016010000}"/>
    <cellStyle name="Heading 1" xfId="263" xr:uid="{00000000-0005-0000-0000-000017010000}"/>
    <cellStyle name="Heading 2" xfId="264" xr:uid="{00000000-0005-0000-0000-000018010000}"/>
    <cellStyle name="Heading 3" xfId="265" xr:uid="{00000000-0005-0000-0000-000019010000}"/>
    <cellStyle name="Heading 4" xfId="266" xr:uid="{00000000-0005-0000-0000-00001A010000}"/>
    <cellStyle name="IBM(401K)" xfId="267" xr:uid="{00000000-0005-0000-0000-00001B010000}"/>
    <cellStyle name="Input" xfId="268" xr:uid="{00000000-0005-0000-0000-00001C010000}"/>
    <cellStyle name="Input [yellow]" xfId="269" xr:uid="{00000000-0005-0000-0000-00001D010000}"/>
    <cellStyle name="Input [yellow] 2" xfId="270" xr:uid="{00000000-0005-0000-0000-00001E010000}"/>
    <cellStyle name="Input [yellow] 2 2" xfId="271" xr:uid="{00000000-0005-0000-0000-00001F010000}"/>
    <cellStyle name="Input [yellow] 2 2 2" xfId="272" xr:uid="{00000000-0005-0000-0000-000020010000}"/>
    <cellStyle name="Input [yellow] 2 2 3" xfId="273" xr:uid="{00000000-0005-0000-0000-000021010000}"/>
    <cellStyle name="Input [yellow] 2 2 4" xfId="274" xr:uid="{00000000-0005-0000-0000-000022010000}"/>
    <cellStyle name="Input [yellow] 2 2 5" xfId="275" xr:uid="{00000000-0005-0000-0000-000023010000}"/>
    <cellStyle name="Input [yellow] 2 2 6" xfId="276" xr:uid="{00000000-0005-0000-0000-000024010000}"/>
    <cellStyle name="Input [yellow] 2 2 7" xfId="277" xr:uid="{00000000-0005-0000-0000-000025010000}"/>
    <cellStyle name="Input [yellow] 2 2 8" xfId="278" xr:uid="{00000000-0005-0000-0000-000026010000}"/>
    <cellStyle name="Input [yellow] 2 2 9" xfId="279" xr:uid="{00000000-0005-0000-0000-000027010000}"/>
    <cellStyle name="Input [yellow] 2 3" xfId="280" xr:uid="{00000000-0005-0000-0000-000028010000}"/>
    <cellStyle name="Input [yellow] 2 3 2" xfId="281" xr:uid="{00000000-0005-0000-0000-000029010000}"/>
    <cellStyle name="Input [yellow] 2 3 3" xfId="282" xr:uid="{00000000-0005-0000-0000-00002A010000}"/>
    <cellStyle name="Input [yellow] 3" xfId="283" xr:uid="{00000000-0005-0000-0000-00002B010000}"/>
    <cellStyle name="Input [yellow] 3 2" xfId="284" xr:uid="{00000000-0005-0000-0000-00002C010000}"/>
    <cellStyle name="Input [yellow] 3 2 2" xfId="285" xr:uid="{00000000-0005-0000-0000-00002D010000}"/>
    <cellStyle name="Input [yellow] 3 2 3" xfId="286" xr:uid="{00000000-0005-0000-0000-00002E010000}"/>
    <cellStyle name="Input [yellow] 3 2 4" xfId="287" xr:uid="{00000000-0005-0000-0000-00002F010000}"/>
    <cellStyle name="Input [yellow] 3 2 5" xfId="288" xr:uid="{00000000-0005-0000-0000-000030010000}"/>
    <cellStyle name="Input [yellow] 3 2 6" xfId="289" xr:uid="{00000000-0005-0000-0000-000031010000}"/>
    <cellStyle name="Input [yellow] 3 2 7" xfId="290" xr:uid="{00000000-0005-0000-0000-000032010000}"/>
    <cellStyle name="Input [yellow] 3 2 8" xfId="291" xr:uid="{00000000-0005-0000-0000-000033010000}"/>
    <cellStyle name="Input [yellow] 3 2 9" xfId="292" xr:uid="{00000000-0005-0000-0000-000034010000}"/>
    <cellStyle name="Input [yellow] 3 3" xfId="293" xr:uid="{00000000-0005-0000-0000-000035010000}"/>
    <cellStyle name="Input [yellow] 3 4" xfId="294" xr:uid="{00000000-0005-0000-0000-000036010000}"/>
    <cellStyle name="Input [yellow] 3 5" xfId="295" xr:uid="{00000000-0005-0000-0000-000037010000}"/>
    <cellStyle name="Input [yellow] 3 6" xfId="296" xr:uid="{00000000-0005-0000-0000-000038010000}"/>
    <cellStyle name="Input [yellow] 3 7" xfId="297" xr:uid="{00000000-0005-0000-0000-000039010000}"/>
    <cellStyle name="Input [yellow] 3 8" xfId="298" xr:uid="{00000000-0005-0000-0000-00003A010000}"/>
    <cellStyle name="Input [yellow] 3 9" xfId="299" xr:uid="{00000000-0005-0000-0000-00003B010000}"/>
    <cellStyle name="Input [yellow] 3 9 2" xfId="300" xr:uid="{00000000-0005-0000-0000-00003C010000}"/>
    <cellStyle name="Input [yellow] 3 9 3" xfId="301" xr:uid="{00000000-0005-0000-0000-00003D010000}"/>
    <cellStyle name="Input [yellow] 4" xfId="302" xr:uid="{00000000-0005-0000-0000-00003E010000}"/>
    <cellStyle name="Input [yellow] 4 2" xfId="303" xr:uid="{00000000-0005-0000-0000-00003F010000}"/>
    <cellStyle name="Input [yellow] 4 3" xfId="304" xr:uid="{00000000-0005-0000-0000-000040010000}"/>
    <cellStyle name="Input [yellow] 4 4" xfId="305" xr:uid="{00000000-0005-0000-0000-000041010000}"/>
    <cellStyle name="Input [yellow] 4 5" xfId="306" xr:uid="{00000000-0005-0000-0000-000042010000}"/>
    <cellStyle name="Input [yellow] 4 6" xfId="307" xr:uid="{00000000-0005-0000-0000-000043010000}"/>
    <cellStyle name="Input [yellow] 4 7" xfId="308" xr:uid="{00000000-0005-0000-0000-000044010000}"/>
    <cellStyle name="Input [yellow] 4 8" xfId="309" xr:uid="{00000000-0005-0000-0000-000045010000}"/>
    <cellStyle name="Input [yellow] 4 8 2" xfId="310" xr:uid="{00000000-0005-0000-0000-000046010000}"/>
    <cellStyle name="Input [yellow] 4 8 3" xfId="311" xr:uid="{00000000-0005-0000-0000-000047010000}"/>
    <cellStyle name="Input [yellow] 5" xfId="312" xr:uid="{00000000-0005-0000-0000-000048010000}"/>
    <cellStyle name="Input [yellow] 6" xfId="313" xr:uid="{00000000-0005-0000-0000-000049010000}"/>
    <cellStyle name="Input [yellow] 7" xfId="314" xr:uid="{00000000-0005-0000-0000-00004A010000}"/>
    <cellStyle name="Input [yellow] 7 2" xfId="315" xr:uid="{00000000-0005-0000-0000-00004B010000}"/>
    <cellStyle name="Input [yellow] 7 3" xfId="316" xr:uid="{00000000-0005-0000-0000-00004C010000}"/>
    <cellStyle name="Input 10" xfId="317" xr:uid="{00000000-0005-0000-0000-00004D010000}"/>
    <cellStyle name="Input 10 2" xfId="318" xr:uid="{00000000-0005-0000-0000-00004E010000}"/>
    <cellStyle name="Input 11" xfId="319" xr:uid="{00000000-0005-0000-0000-00004F010000}"/>
    <cellStyle name="Input 11 2" xfId="320" xr:uid="{00000000-0005-0000-0000-000050010000}"/>
    <cellStyle name="Input 12" xfId="321" xr:uid="{00000000-0005-0000-0000-000051010000}"/>
    <cellStyle name="Input 12 2" xfId="322" xr:uid="{00000000-0005-0000-0000-000052010000}"/>
    <cellStyle name="Input 13" xfId="323" xr:uid="{00000000-0005-0000-0000-000053010000}"/>
    <cellStyle name="Input 13 2" xfId="324" xr:uid="{00000000-0005-0000-0000-000054010000}"/>
    <cellStyle name="Input 14" xfId="325" xr:uid="{00000000-0005-0000-0000-000055010000}"/>
    <cellStyle name="Input 14 2" xfId="326" xr:uid="{00000000-0005-0000-0000-000056010000}"/>
    <cellStyle name="Input 15" xfId="327" xr:uid="{00000000-0005-0000-0000-000057010000}"/>
    <cellStyle name="Input 15 2" xfId="328" xr:uid="{00000000-0005-0000-0000-000058010000}"/>
    <cellStyle name="Input 16" xfId="329" xr:uid="{00000000-0005-0000-0000-000059010000}"/>
    <cellStyle name="Input 16 2" xfId="330" xr:uid="{00000000-0005-0000-0000-00005A010000}"/>
    <cellStyle name="Input 17" xfId="331" xr:uid="{00000000-0005-0000-0000-00005B010000}"/>
    <cellStyle name="Input 17 2" xfId="332" xr:uid="{00000000-0005-0000-0000-00005C010000}"/>
    <cellStyle name="Input 18" xfId="333" xr:uid="{00000000-0005-0000-0000-00005D010000}"/>
    <cellStyle name="Input 19" xfId="334" xr:uid="{00000000-0005-0000-0000-00005E010000}"/>
    <cellStyle name="Input 2" xfId="335" xr:uid="{00000000-0005-0000-0000-00005F010000}"/>
    <cellStyle name="Input 2 2" xfId="336" xr:uid="{00000000-0005-0000-0000-000060010000}"/>
    <cellStyle name="Input 2 2 2" xfId="337" xr:uid="{00000000-0005-0000-0000-000061010000}"/>
    <cellStyle name="Input 2 3" xfId="338" xr:uid="{00000000-0005-0000-0000-000062010000}"/>
    <cellStyle name="Input 2 3 2" xfId="339" xr:uid="{00000000-0005-0000-0000-000063010000}"/>
    <cellStyle name="Input 2 4" xfId="340" xr:uid="{00000000-0005-0000-0000-000064010000}"/>
    <cellStyle name="Input 2 4 2" xfId="341" xr:uid="{00000000-0005-0000-0000-000065010000}"/>
    <cellStyle name="Input 2 5" xfId="342" xr:uid="{00000000-0005-0000-0000-000066010000}"/>
    <cellStyle name="Input 2 5 2" xfId="343" xr:uid="{00000000-0005-0000-0000-000067010000}"/>
    <cellStyle name="Input 2 6" xfId="344" xr:uid="{00000000-0005-0000-0000-000068010000}"/>
    <cellStyle name="Input 2 6 2" xfId="345" xr:uid="{00000000-0005-0000-0000-000069010000}"/>
    <cellStyle name="Input 2 7" xfId="346" xr:uid="{00000000-0005-0000-0000-00006A010000}"/>
    <cellStyle name="Input 20" xfId="347" xr:uid="{00000000-0005-0000-0000-00006B010000}"/>
    <cellStyle name="Input 21" xfId="348" xr:uid="{00000000-0005-0000-0000-00006C010000}"/>
    <cellStyle name="Input 22" xfId="349" xr:uid="{00000000-0005-0000-0000-00006D010000}"/>
    <cellStyle name="Input 23" xfId="350" xr:uid="{00000000-0005-0000-0000-00006E010000}"/>
    <cellStyle name="Input 24" xfId="351" xr:uid="{00000000-0005-0000-0000-00006F010000}"/>
    <cellStyle name="Input 25" xfId="352" xr:uid="{00000000-0005-0000-0000-000070010000}"/>
    <cellStyle name="Input 26" xfId="353" xr:uid="{00000000-0005-0000-0000-000071010000}"/>
    <cellStyle name="Input 3" xfId="354" xr:uid="{00000000-0005-0000-0000-000072010000}"/>
    <cellStyle name="Input 3 2" xfId="355" xr:uid="{00000000-0005-0000-0000-000073010000}"/>
    <cellStyle name="Input 4" xfId="356" xr:uid="{00000000-0005-0000-0000-000074010000}"/>
    <cellStyle name="Input 4 2" xfId="357" xr:uid="{00000000-0005-0000-0000-000075010000}"/>
    <cellStyle name="Input 5" xfId="358" xr:uid="{00000000-0005-0000-0000-000076010000}"/>
    <cellStyle name="Input 5 2" xfId="359" xr:uid="{00000000-0005-0000-0000-000077010000}"/>
    <cellStyle name="Input 6" xfId="360" xr:uid="{00000000-0005-0000-0000-000078010000}"/>
    <cellStyle name="Input 6 2" xfId="361" xr:uid="{00000000-0005-0000-0000-000079010000}"/>
    <cellStyle name="Input 7" xfId="362" xr:uid="{00000000-0005-0000-0000-00007A010000}"/>
    <cellStyle name="Input 7 2" xfId="363" xr:uid="{00000000-0005-0000-0000-00007B010000}"/>
    <cellStyle name="Input 8" xfId="364" xr:uid="{00000000-0005-0000-0000-00007C010000}"/>
    <cellStyle name="Input 8 2" xfId="365" xr:uid="{00000000-0005-0000-0000-00007D010000}"/>
    <cellStyle name="Input 9" xfId="366" xr:uid="{00000000-0005-0000-0000-00007E010000}"/>
    <cellStyle name="Input 9 2" xfId="367" xr:uid="{00000000-0005-0000-0000-00007F010000}"/>
    <cellStyle name="J401K" xfId="368" xr:uid="{00000000-0005-0000-0000-000080010000}"/>
    <cellStyle name="Linked Cell" xfId="369" xr:uid="{00000000-0005-0000-0000-000081010000}"/>
    <cellStyle name="Millares [0]_Compra" xfId="370" xr:uid="{00000000-0005-0000-0000-000082010000}"/>
    <cellStyle name="Millares_Compra" xfId="371" xr:uid="{00000000-0005-0000-0000-000083010000}"/>
    <cellStyle name="Moneda [0]_Compra" xfId="372" xr:uid="{00000000-0005-0000-0000-000084010000}"/>
    <cellStyle name="Moneda_Compra" xfId="373" xr:uid="{00000000-0005-0000-0000-000085010000}"/>
    <cellStyle name="Neutral" xfId="374" xr:uid="{00000000-0005-0000-0000-000086010000}"/>
    <cellStyle name="no dec" xfId="375" xr:uid="{00000000-0005-0000-0000-000087010000}"/>
    <cellStyle name="Normal - Style1" xfId="5" xr:uid="{00000000-0005-0000-0000-000088010000}"/>
    <cellStyle name="Normal - Style1 2" xfId="376" xr:uid="{00000000-0005-0000-0000-000089010000}"/>
    <cellStyle name="Normal - Style1 2 2" xfId="377" xr:uid="{00000000-0005-0000-0000-00008A010000}"/>
    <cellStyle name="Normal - Style1 2 3" xfId="378" xr:uid="{00000000-0005-0000-0000-00008B010000}"/>
    <cellStyle name="Normal_#18-Internet" xfId="6" xr:uid="{00000000-0005-0000-0000-00008C010000}"/>
    <cellStyle name="Note" xfId="379" xr:uid="{00000000-0005-0000-0000-00008D010000}"/>
    <cellStyle name="Note 2" xfId="380" xr:uid="{00000000-0005-0000-0000-00008E010000}"/>
    <cellStyle name="Note 2 2" xfId="381" xr:uid="{00000000-0005-0000-0000-00008F010000}"/>
    <cellStyle name="Note 2 2 2" xfId="382" xr:uid="{00000000-0005-0000-0000-000090010000}"/>
    <cellStyle name="Note 2 2 2 2" xfId="383" xr:uid="{00000000-0005-0000-0000-000091010000}"/>
    <cellStyle name="Note 2 2 3" xfId="384" xr:uid="{00000000-0005-0000-0000-000092010000}"/>
    <cellStyle name="Note 2 2 3 2" xfId="385" xr:uid="{00000000-0005-0000-0000-000093010000}"/>
    <cellStyle name="Note 2 2 4" xfId="386" xr:uid="{00000000-0005-0000-0000-000094010000}"/>
    <cellStyle name="Note 2 2 4 2" xfId="387" xr:uid="{00000000-0005-0000-0000-000095010000}"/>
    <cellStyle name="Note 2 2 5" xfId="388" xr:uid="{00000000-0005-0000-0000-000096010000}"/>
    <cellStyle name="Note 2 2 5 2" xfId="389" xr:uid="{00000000-0005-0000-0000-000097010000}"/>
    <cellStyle name="Note 2 2 6" xfId="390" xr:uid="{00000000-0005-0000-0000-000098010000}"/>
    <cellStyle name="Note 2 2 6 2" xfId="391" xr:uid="{00000000-0005-0000-0000-000099010000}"/>
    <cellStyle name="Note 2 2 7" xfId="392" xr:uid="{00000000-0005-0000-0000-00009A010000}"/>
    <cellStyle name="Note 2 3" xfId="393" xr:uid="{00000000-0005-0000-0000-00009B010000}"/>
    <cellStyle name="Note 2 3 2" xfId="394" xr:uid="{00000000-0005-0000-0000-00009C010000}"/>
    <cellStyle name="Note 2 4" xfId="395" xr:uid="{00000000-0005-0000-0000-00009D010000}"/>
    <cellStyle name="Note 3" xfId="396" xr:uid="{00000000-0005-0000-0000-00009E010000}"/>
    <cellStyle name="Note 3 2" xfId="397" xr:uid="{00000000-0005-0000-0000-00009F010000}"/>
    <cellStyle name="Note 3 2 2" xfId="398" xr:uid="{00000000-0005-0000-0000-0000A0010000}"/>
    <cellStyle name="Note 3 2 2 2" xfId="399" xr:uid="{00000000-0005-0000-0000-0000A1010000}"/>
    <cellStyle name="Note 3 2 3" xfId="400" xr:uid="{00000000-0005-0000-0000-0000A2010000}"/>
    <cellStyle name="Note 3 2 3 2" xfId="401" xr:uid="{00000000-0005-0000-0000-0000A3010000}"/>
    <cellStyle name="Note 3 2 4" xfId="402" xr:uid="{00000000-0005-0000-0000-0000A4010000}"/>
    <cellStyle name="Note 3 2 4 2" xfId="403" xr:uid="{00000000-0005-0000-0000-0000A5010000}"/>
    <cellStyle name="Note 3 2 5" xfId="404" xr:uid="{00000000-0005-0000-0000-0000A6010000}"/>
    <cellStyle name="Note 3 2 5 2" xfId="405" xr:uid="{00000000-0005-0000-0000-0000A7010000}"/>
    <cellStyle name="Note 3 2 6" xfId="406" xr:uid="{00000000-0005-0000-0000-0000A8010000}"/>
    <cellStyle name="Note 3 2 6 2" xfId="407" xr:uid="{00000000-0005-0000-0000-0000A9010000}"/>
    <cellStyle name="Note 3 2 7" xfId="408" xr:uid="{00000000-0005-0000-0000-0000AA010000}"/>
    <cellStyle name="Note 3 3" xfId="409" xr:uid="{00000000-0005-0000-0000-0000AB010000}"/>
    <cellStyle name="Note 3 3 2" xfId="410" xr:uid="{00000000-0005-0000-0000-0000AC010000}"/>
    <cellStyle name="Note 3 4" xfId="411" xr:uid="{00000000-0005-0000-0000-0000AD010000}"/>
    <cellStyle name="Note 3 4 2" xfId="412" xr:uid="{00000000-0005-0000-0000-0000AE010000}"/>
    <cellStyle name="Note 3 5" xfId="413" xr:uid="{00000000-0005-0000-0000-0000AF010000}"/>
    <cellStyle name="Note 3 5 2" xfId="414" xr:uid="{00000000-0005-0000-0000-0000B0010000}"/>
    <cellStyle name="Note 3 6" xfId="415" xr:uid="{00000000-0005-0000-0000-0000B1010000}"/>
    <cellStyle name="Note 3 6 2" xfId="416" xr:uid="{00000000-0005-0000-0000-0000B2010000}"/>
    <cellStyle name="Note 3 7" xfId="417" xr:uid="{00000000-0005-0000-0000-0000B3010000}"/>
    <cellStyle name="Note 3 7 2" xfId="418" xr:uid="{00000000-0005-0000-0000-0000B4010000}"/>
    <cellStyle name="Note 3 8" xfId="419" xr:uid="{00000000-0005-0000-0000-0000B5010000}"/>
    <cellStyle name="Note 4" xfId="420" xr:uid="{00000000-0005-0000-0000-0000B6010000}"/>
    <cellStyle name="Note 4 2" xfId="421" xr:uid="{00000000-0005-0000-0000-0000B7010000}"/>
    <cellStyle name="Note 4 2 2" xfId="422" xr:uid="{00000000-0005-0000-0000-0000B8010000}"/>
    <cellStyle name="Note 4 3" xfId="423" xr:uid="{00000000-0005-0000-0000-0000B9010000}"/>
    <cellStyle name="Note 4 3 2" xfId="424" xr:uid="{00000000-0005-0000-0000-0000BA010000}"/>
    <cellStyle name="Note 4 4" xfId="425" xr:uid="{00000000-0005-0000-0000-0000BB010000}"/>
    <cellStyle name="Note 4 4 2" xfId="426" xr:uid="{00000000-0005-0000-0000-0000BC010000}"/>
    <cellStyle name="Note 4 5" xfId="427" xr:uid="{00000000-0005-0000-0000-0000BD010000}"/>
    <cellStyle name="Note 4 5 2" xfId="428" xr:uid="{00000000-0005-0000-0000-0000BE010000}"/>
    <cellStyle name="Note 4 6" xfId="429" xr:uid="{00000000-0005-0000-0000-0000BF010000}"/>
    <cellStyle name="Note 4 6 2" xfId="430" xr:uid="{00000000-0005-0000-0000-0000C0010000}"/>
    <cellStyle name="Note 4 7" xfId="431" xr:uid="{00000000-0005-0000-0000-0000C1010000}"/>
    <cellStyle name="Note 5" xfId="432" xr:uid="{00000000-0005-0000-0000-0000C2010000}"/>
    <cellStyle name="Note 5 2" xfId="433" xr:uid="{00000000-0005-0000-0000-0000C3010000}"/>
    <cellStyle name="Output" xfId="434" xr:uid="{00000000-0005-0000-0000-0000C4010000}"/>
    <cellStyle name="Output 2" xfId="435" xr:uid="{00000000-0005-0000-0000-0000C5010000}"/>
    <cellStyle name="Output 2 2" xfId="436" xr:uid="{00000000-0005-0000-0000-0000C6010000}"/>
    <cellStyle name="Output 2 2 2" xfId="437" xr:uid="{00000000-0005-0000-0000-0000C7010000}"/>
    <cellStyle name="Output 2 3" xfId="438" xr:uid="{00000000-0005-0000-0000-0000C8010000}"/>
    <cellStyle name="Output 2 3 2" xfId="439" xr:uid="{00000000-0005-0000-0000-0000C9010000}"/>
    <cellStyle name="Output 2 4" xfId="440" xr:uid="{00000000-0005-0000-0000-0000CA010000}"/>
    <cellStyle name="Output 2 4 2" xfId="441" xr:uid="{00000000-0005-0000-0000-0000CB010000}"/>
    <cellStyle name="Output 2 5" xfId="442" xr:uid="{00000000-0005-0000-0000-0000CC010000}"/>
    <cellStyle name="Output 2 5 2" xfId="443" xr:uid="{00000000-0005-0000-0000-0000CD010000}"/>
    <cellStyle name="Output 2 6" xfId="444" xr:uid="{00000000-0005-0000-0000-0000CE010000}"/>
    <cellStyle name="Output 2 6 2" xfId="445" xr:uid="{00000000-0005-0000-0000-0000CF010000}"/>
    <cellStyle name="Output 2 7" xfId="446" xr:uid="{00000000-0005-0000-0000-0000D0010000}"/>
    <cellStyle name="Output 3" xfId="447" xr:uid="{00000000-0005-0000-0000-0000D1010000}"/>
    <cellStyle name="Output 3 2" xfId="448" xr:uid="{00000000-0005-0000-0000-0000D2010000}"/>
    <cellStyle name="per.style" xfId="449" xr:uid="{00000000-0005-0000-0000-0000D3010000}"/>
    <cellStyle name="Percent [2]" xfId="450" xr:uid="{00000000-0005-0000-0000-0000D4010000}"/>
    <cellStyle name="price" xfId="451" xr:uid="{00000000-0005-0000-0000-0000D5010000}"/>
    <cellStyle name="PSChar" xfId="452" xr:uid="{00000000-0005-0000-0000-0000D6010000}"/>
    <cellStyle name="PSHeading" xfId="453" xr:uid="{00000000-0005-0000-0000-0000D7010000}"/>
    <cellStyle name="QDF" xfId="454" xr:uid="{00000000-0005-0000-0000-0000D8010000}"/>
    <cellStyle name="revised" xfId="455" xr:uid="{00000000-0005-0000-0000-0000D9010000}"/>
    <cellStyle name="section" xfId="456" xr:uid="{00000000-0005-0000-0000-0000DA010000}"/>
    <cellStyle name="subhead" xfId="457" xr:uid="{00000000-0005-0000-0000-0000DB010000}"/>
    <cellStyle name="title" xfId="458" xr:uid="{00000000-0005-0000-0000-0000DC010000}"/>
    <cellStyle name="Total" xfId="459" xr:uid="{00000000-0005-0000-0000-0000DD010000}"/>
    <cellStyle name="Total 2" xfId="460" xr:uid="{00000000-0005-0000-0000-0000DE010000}"/>
    <cellStyle name="Total 2 2" xfId="461" xr:uid="{00000000-0005-0000-0000-0000DF010000}"/>
    <cellStyle name="Total 2 2 2" xfId="462" xr:uid="{00000000-0005-0000-0000-0000E0010000}"/>
    <cellStyle name="Total 2 3" xfId="463" xr:uid="{00000000-0005-0000-0000-0000E1010000}"/>
    <cellStyle name="Total 2 3 2" xfId="464" xr:uid="{00000000-0005-0000-0000-0000E2010000}"/>
    <cellStyle name="Total 2 4" xfId="465" xr:uid="{00000000-0005-0000-0000-0000E3010000}"/>
    <cellStyle name="Total 2 4 2" xfId="466" xr:uid="{00000000-0005-0000-0000-0000E4010000}"/>
    <cellStyle name="Total 2 5" xfId="467" xr:uid="{00000000-0005-0000-0000-0000E5010000}"/>
    <cellStyle name="Total 2 5 2" xfId="468" xr:uid="{00000000-0005-0000-0000-0000E6010000}"/>
    <cellStyle name="Total 2 6" xfId="469" xr:uid="{00000000-0005-0000-0000-0000E7010000}"/>
    <cellStyle name="Total 2 6 2" xfId="470" xr:uid="{00000000-0005-0000-0000-0000E8010000}"/>
    <cellStyle name="Total 2 7" xfId="471" xr:uid="{00000000-0005-0000-0000-0000E9010000}"/>
    <cellStyle name="Total 3" xfId="472" xr:uid="{00000000-0005-0000-0000-0000EA010000}"/>
    <cellStyle name="Total 3 2" xfId="473" xr:uid="{00000000-0005-0000-0000-0000EB010000}"/>
    <cellStyle name="Warning Text" xfId="474" xr:uid="{00000000-0005-0000-0000-0000EC010000}"/>
    <cellStyle name="アクセント 1" xfId="1954" builtinId="29" customBuiltin="1"/>
    <cellStyle name="アクセント 1 2" xfId="475" xr:uid="{00000000-0005-0000-0000-0000EE010000}"/>
    <cellStyle name="アクセント 1 3" xfId="476" xr:uid="{00000000-0005-0000-0000-0000EF010000}"/>
    <cellStyle name="アクセント 1 4" xfId="477" xr:uid="{00000000-0005-0000-0000-0000F0010000}"/>
    <cellStyle name="アクセント 1 5" xfId="478" xr:uid="{00000000-0005-0000-0000-0000F1010000}"/>
    <cellStyle name="アクセント 1 6" xfId="479" xr:uid="{00000000-0005-0000-0000-0000F2010000}"/>
    <cellStyle name="アクセント 1 7" xfId="480" xr:uid="{00000000-0005-0000-0000-0000F3010000}"/>
    <cellStyle name="アクセント 1 8" xfId="481" xr:uid="{00000000-0005-0000-0000-0000F4010000}"/>
    <cellStyle name="アクセント 1 9" xfId="482" xr:uid="{00000000-0005-0000-0000-0000F5010000}"/>
    <cellStyle name="アクセント 2" xfId="1958" builtinId="33" customBuiltin="1"/>
    <cellStyle name="アクセント 2 2" xfId="483" xr:uid="{00000000-0005-0000-0000-0000F7010000}"/>
    <cellStyle name="アクセント 2 3" xfId="484" xr:uid="{00000000-0005-0000-0000-0000F8010000}"/>
    <cellStyle name="アクセント 2 4" xfId="485" xr:uid="{00000000-0005-0000-0000-0000F9010000}"/>
    <cellStyle name="アクセント 2 5" xfId="486" xr:uid="{00000000-0005-0000-0000-0000FA010000}"/>
    <cellStyle name="アクセント 2 6" xfId="487" xr:uid="{00000000-0005-0000-0000-0000FB010000}"/>
    <cellStyle name="アクセント 2 7" xfId="488" xr:uid="{00000000-0005-0000-0000-0000FC010000}"/>
    <cellStyle name="アクセント 2 8" xfId="489" xr:uid="{00000000-0005-0000-0000-0000FD010000}"/>
    <cellStyle name="アクセント 2 9" xfId="490" xr:uid="{00000000-0005-0000-0000-0000FE010000}"/>
    <cellStyle name="アクセント 3" xfId="1962" builtinId="37" customBuiltin="1"/>
    <cellStyle name="アクセント 3 2" xfId="491" xr:uid="{00000000-0005-0000-0000-000000020000}"/>
    <cellStyle name="アクセント 3 3" xfId="492" xr:uid="{00000000-0005-0000-0000-000001020000}"/>
    <cellStyle name="アクセント 3 4" xfId="493" xr:uid="{00000000-0005-0000-0000-000002020000}"/>
    <cellStyle name="アクセント 3 5" xfId="494" xr:uid="{00000000-0005-0000-0000-000003020000}"/>
    <cellStyle name="アクセント 3 6" xfId="495" xr:uid="{00000000-0005-0000-0000-000004020000}"/>
    <cellStyle name="アクセント 3 7" xfId="496" xr:uid="{00000000-0005-0000-0000-000005020000}"/>
    <cellStyle name="アクセント 3 8" xfId="497" xr:uid="{00000000-0005-0000-0000-000006020000}"/>
    <cellStyle name="アクセント 3 9" xfId="498" xr:uid="{00000000-0005-0000-0000-000007020000}"/>
    <cellStyle name="アクセント 4" xfId="1966" builtinId="41" customBuiltin="1"/>
    <cellStyle name="アクセント 4 2" xfId="499" xr:uid="{00000000-0005-0000-0000-000009020000}"/>
    <cellStyle name="アクセント 4 3" xfId="500" xr:uid="{00000000-0005-0000-0000-00000A020000}"/>
    <cellStyle name="アクセント 4 4" xfId="501" xr:uid="{00000000-0005-0000-0000-00000B020000}"/>
    <cellStyle name="アクセント 4 5" xfId="502" xr:uid="{00000000-0005-0000-0000-00000C020000}"/>
    <cellStyle name="アクセント 4 6" xfId="503" xr:uid="{00000000-0005-0000-0000-00000D020000}"/>
    <cellStyle name="アクセント 4 7" xfId="504" xr:uid="{00000000-0005-0000-0000-00000E020000}"/>
    <cellStyle name="アクセント 4 8" xfId="505" xr:uid="{00000000-0005-0000-0000-00000F020000}"/>
    <cellStyle name="アクセント 4 9" xfId="506" xr:uid="{00000000-0005-0000-0000-000010020000}"/>
    <cellStyle name="アクセント 5" xfId="1970" builtinId="45" customBuiltin="1"/>
    <cellStyle name="アクセント 5 2" xfId="507" xr:uid="{00000000-0005-0000-0000-000012020000}"/>
    <cellStyle name="アクセント 5 3" xfId="508" xr:uid="{00000000-0005-0000-0000-000013020000}"/>
    <cellStyle name="アクセント 5 4" xfId="509" xr:uid="{00000000-0005-0000-0000-000014020000}"/>
    <cellStyle name="アクセント 5 5" xfId="510" xr:uid="{00000000-0005-0000-0000-000015020000}"/>
    <cellStyle name="アクセント 5 6" xfId="511" xr:uid="{00000000-0005-0000-0000-000016020000}"/>
    <cellStyle name="アクセント 5 7" xfId="512" xr:uid="{00000000-0005-0000-0000-000017020000}"/>
    <cellStyle name="アクセント 5 8" xfId="513" xr:uid="{00000000-0005-0000-0000-000018020000}"/>
    <cellStyle name="アクセント 5 9" xfId="514" xr:uid="{00000000-0005-0000-0000-000019020000}"/>
    <cellStyle name="アクセント 6" xfId="1974" builtinId="49" customBuiltin="1"/>
    <cellStyle name="アクセント 6 2" xfId="515" xr:uid="{00000000-0005-0000-0000-00001B020000}"/>
    <cellStyle name="アクセント 6 3" xfId="516" xr:uid="{00000000-0005-0000-0000-00001C020000}"/>
    <cellStyle name="アクセント 6 4" xfId="517" xr:uid="{00000000-0005-0000-0000-00001D020000}"/>
    <cellStyle name="アクセント 6 5" xfId="518" xr:uid="{00000000-0005-0000-0000-00001E020000}"/>
    <cellStyle name="アクセント 6 6" xfId="519" xr:uid="{00000000-0005-0000-0000-00001F020000}"/>
    <cellStyle name="アクセント 6 7" xfId="520" xr:uid="{00000000-0005-0000-0000-000020020000}"/>
    <cellStyle name="アクセント 6 8" xfId="521" xr:uid="{00000000-0005-0000-0000-000021020000}"/>
    <cellStyle name="アクセント 6 9" xfId="522" xr:uid="{00000000-0005-0000-0000-000022020000}"/>
    <cellStyle name="センター" xfId="523" xr:uid="{00000000-0005-0000-0000-000023020000}"/>
    <cellStyle name="タイトル" xfId="1938" builtinId="15" customBuiltin="1"/>
    <cellStyle name="タイトル 2" xfId="524" xr:uid="{00000000-0005-0000-0000-000025020000}"/>
    <cellStyle name="タイトル 3" xfId="525" xr:uid="{00000000-0005-0000-0000-000026020000}"/>
    <cellStyle name="タイトル 4" xfId="526" xr:uid="{00000000-0005-0000-0000-000027020000}"/>
    <cellStyle name="タイトル 5" xfId="527" xr:uid="{00000000-0005-0000-0000-000028020000}"/>
    <cellStyle name="タイトル 6" xfId="528" xr:uid="{00000000-0005-0000-0000-000029020000}"/>
    <cellStyle name="タイトル 7" xfId="529" xr:uid="{00000000-0005-0000-0000-00002A020000}"/>
    <cellStyle name="タイトル 8" xfId="530" xr:uid="{00000000-0005-0000-0000-00002B020000}"/>
    <cellStyle name="タイトル 9" xfId="531" xr:uid="{00000000-0005-0000-0000-00002C020000}"/>
    <cellStyle name="チェック セル" xfId="1950" builtinId="23" customBuiltin="1"/>
    <cellStyle name="チェック セル 2" xfId="532" xr:uid="{00000000-0005-0000-0000-00002E020000}"/>
    <cellStyle name="チェック セル 3" xfId="533" xr:uid="{00000000-0005-0000-0000-00002F020000}"/>
    <cellStyle name="チェック セル 4" xfId="534" xr:uid="{00000000-0005-0000-0000-000030020000}"/>
    <cellStyle name="チェック セル 5" xfId="535" xr:uid="{00000000-0005-0000-0000-000031020000}"/>
    <cellStyle name="チェック セル 6" xfId="536" xr:uid="{00000000-0005-0000-0000-000032020000}"/>
    <cellStyle name="チェック セル 7" xfId="537" xr:uid="{00000000-0005-0000-0000-000033020000}"/>
    <cellStyle name="チェック セル 8" xfId="538" xr:uid="{00000000-0005-0000-0000-000034020000}"/>
    <cellStyle name="チェック セル 9" xfId="539" xr:uid="{00000000-0005-0000-0000-000035020000}"/>
    <cellStyle name="チャート" xfId="540" xr:uid="{00000000-0005-0000-0000-000036020000}"/>
    <cellStyle name="どちらでもない" xfId="1945" builtinId="28" customBuiltin="1"/>
    <cellStyle name="どちらでもない 2" xfId="541" xr:uid="{00000000-0005-0000-0000-000038020000}"/>
    <cellStyle name="どちらでもない 3" xfId="542" xr:uid="{00000000-0005-0000-0000-000039020000}"/>
    <cellStyle name="どちらでもない 4" xfId="543" xr:uid="{00000000-0005-0000-0000-00003A020000}"/>
    <cellStyle name="どちらでもない 5" xfId="544" xr:uid="{00000000-0005-0000-0000-00003B020000}"/>
    <cellStyle name="どちらでもない 6" xfId="545" xr:uid="{00000000-0005-0000-0000-00003C020000}"/>
    <cellStyle name="どちらでもない 7" xfId="546" xr:uid="{00000000-0005-0000-0000-00003D020000}"/>
    <cellStyle name="どちらでもない 8" xfId="547" xr:uid="{00000000-0005-0000-0000-00003E020000}"/>
    <cellStyle name="どちらでもない 9" xfId="548" xr:uid="{00000000-0005-0000-0000-00003F020000}"/>
    <cellStyle name="パーセント 2" xfId="549" xr:uid="{00000000-0005-0000-0000-000040020000}"/>
    <cellStyle name="パーセント 2 2" xfId="550" xr:uid="{00000000-0005-0000-0000-000041020000}"/>
    <cellStyle name="パーセント 3" xfId="551" xr:uid="{00000000-0005-0000-0000-000042020000}"/>
    <cellStyle name="ハイパーリンク 2" xfId="552" xr:uid="{00000000-0005-0000-0000-000043020000}"/>
    <cellStyle name="ハイパーリンク 2 2" xfId="553" xr:uid="{00000000-0005-0000-0000-000044020000}"/>
    <cellStyle name="ハイパーリンク 2 3" xfId="554" xr:uid="{00000000-0005-0000-0000-000045020000}"/>
    <cellStyle name="ハイパーリンク 3" xfId="555" xr:uid="{00000000-0005-0000-0000-000046020000}"/>
    <cellStyle name="メモ 10" xfId="1979" xr:uid="{00000000-0005-0000-0000-000047020000}"/>
    <cellStyle name="メモ 10 2" xfId="1994" xr:uid="{00000000-0005-0000-0000-000048020000}"/>
    <cellStyle name="メモ 2" xfId="556" xr:uid="{00000000-0005-0000-0000-000049020000}"/>
    <cellStyle name="メモ 2 2" xfId="557" xr:uid="{00000000-0005-0000-0000-00004A020000}"/>
    <cellStyle name="メモ 2 2 2" xfId="558" xr:uid="{00000000-0005-0000-0000-00004B020000}"/>
    <cellStyle name="メモ 2 2 2 2" xfId="559" xr:uid="{00000000-0005-0000-0000-00004C020000}"/>
    <cellStyle name="メモ 2 2 2 2 2" xfId="560" xr:uid="{00000000-0005-0000-0000-00004D020000}"/>
    <cellStyle name="メモ 2 2 2 3" xfId="561" xr:uid="{00000000-0005-0000-0000-00004E020000}"/>
    <cellStyle name="メモ 2 2 2 3 2" xfId="562" xr:uid="{00000000-0005-0000-0000-00004F020000}"/>
    <cellStyle name="メモ 2 2 2 4" xfId="563" xr:uid="{00000000-0005-0000-0000-000050020000}"/>
    <cellStyle name="メモ 2 2 2 4 2" xfId="564" xr:uid="{00000000-0005-0000-0000-000051020000}"/>
    <cellStyle name="メモ 2 2 2 5" xfId="565" xr:uid="{00000000-0005-0000-0000-000052020000}"/>
    <cellStyle name="メモ 2 2 2 5 2" xfId="566" xr:uid="{00000000-0005-0000-0000-000053020000}"/>
    <cellStyle name="メモ 2 2 2 6" xfId="567" xr:uid="{00000000-0005-0000-0000-000054020000}"/>
    <cellStyle name="メモ 2 2 2 6 2" xfId="568" xr:uid="{00000000-0005-0000-0000-000055020000}"/>
    <cellStyle name="メモ 2 2 2 7" xfId="569" xr:uid="{00000000-0005-0000-0000-000056020000}"/>
    <cellStyle name="メモ 2 2 3" xfId="570" xr:uid="{00000000-0005-0000-0000-000057020000}"/>
    <cellStyle name="メモ 2 2 3 2" xfId="571" xr:uid="{00000000-0005-0000-0000-000058020000}"/>
    <cellStyle name="メモ 2 2 4" xfId="572" xr:uid="{00000000-0005-0000-0000-000059020000}"/>
    <cellStyle name="メモ 2 3" xfId="573" xr:uid="{00000000-0005-0000-0000-00005A020000}"/>
    <cellStyle name="メモ 2 3 2" xfId="574" xr:uid="{00000000-0005-0000-0000-00005B020000}"/>
    <cellStyle name="メモ 2 3 2 2" xfId="575" xr:uid="{00000000-0005-0000-0000-00005C020000}"/>
    <cellStyle name="メモ 2 3 2 2 2" xfId="576" xr:uid="{00000000-0005-0000-0000-00005D020000}"/>
    <cellStyle name="メモ 2 3 2 3" xfId="577" xr:uid="{00000000-0005-0000-0000-00005E020000}"/>
    <cellStyle name="メモ 2 3 2 3 2" xfId="578" xr:uid="{00000000-0005-0000-0000-00005F020000}"/>
    <cellStyle name="メモ 2 3 2 4" xfId="579" xr:uid="{00000000-0005-0000-0000-000060020000}"/>
    <cellStyle name="メモ 2 3 2 4 2" xfId="580" xr:uid="{00000000-0005-0000-0000-000061020000}"/>
    <cellStyle name="メモ 2 3 2 5" xfId="581" xr:uid="{00000000-0005-0000-0000-000062020000}"/>
    <cellStyle name="メモ 2 3 2 5 2" xfId="582" xr:uid="{00000000-0005-0000-0000-000063020000}"/>
    <cellStyle name="メモ 2 3 2 6" xfId="583" xr:uid="{00000000-0005-0000-0000-000064020000}"/>
    <cellStyle name="メモ 2 3 2 6 2" xfId="584" xr:uid="{00000000-0005-0000-0000-000065020000}"/>
    <cellStyle name="メモ 2 3 2 7" xfId="585" xr:uid="{00000000-0005-0000-0000-000066020000}"/>
    <cellStyle name="メモ 2 3 3" xfId="586" xr:uid="{00000000-0005-0000-0000-000067020000}"/>
    <cellStyle name="メモ 2 3 3 2" xfId="587" xr:uid="{00000000-0005-0000-0000-000068020000}"/>
    <cellStyle name="メモ 2 4" xfId="588" xr:uid="{00000000-0005-0000-0000-000069020000}"/>
    <cellStyle name="メモ 2 4 2" xfId="589" xr:uid="{00000000-0005-0000-0000-00006A020000}"/>
    <cellStyle name="メモ 2 4 2 2" xfId="590" xr:uid="{00000000-0005-0000-0000-00006B020000}"/>
    <cellStyle name="メモ 2 4 2 2 2" xfId="591" xr:uid="{00000000-0005-0000-0000-00006C020000}"/>
    <cellStyle name="メモ 2 4 2 3" xfId="592" xr:uid="{00000000-0005-0000-0000-00006D020000}"/>
    <cellStyle name="メモ 2 4 2 3 2" xfId="593" xr:uid="{00000000-0005-0000-0000-00006E020000}"/>
    <cellStyle name="メモ 2 4 2 4" xfId="594" xr:uid="{00000000-0005-0000-0000-00006F020000}"/>
    <cellStyle name="メモ 2 4 2 4 2" xfId="595" xr:uid="{00000000-0005-0000-0000-000070020000}"/>
    <cellStyle name="メモ 2 4 2 5" xfId="596" xr:uid="{00000000-0005-0000-0000-000071020000}"/>
    <cellStyle name="メモ 2 4 2 5 2" xfId="597" xr:uid="{00000000-0005-0000-0000-000072020000}"/>
    <cellStyle name="メモ 2 4 2 6" xfId="598" xr:uid="{00000000-0005-0000-0000-000073020000}"/>
    <cellStyle name="メモ 2 4 2 6 2" xfId="599" xr:uid="{00000000-0005-0000-0000-000074020000}"/>
    <cellStyle name="メモ 2 4 2 7" xfId="600" xr:uid="{00000000-0005-0000-0000-000075020000}"/>
    <cellStyle name="メモ 2 4 3" xfId="601" xr:uid="{00000000-0005-0000-0000-000076020000}"/>
    <cellStyle name="メモ 2 4 3 2" xfId="602" xr:uid="{00000000-0005-0000-0000-000077020000}"/>
    <cellStyle name="メモ 2 4 4" xfId="603" xr:uid="{00000000-0005-0000-0000-000078020000}"/>
    <cellStyle name="メモ 2 4 4 2" xfId="604" xr:uid="{00000000-0005-0000-0000-000079020000}"/>
    <cellStyle name="メモ 2 4 5" xfId="605" xr:uid="{00000000-0005-0000-0000-00007A020000}"/>
    <cellStyle name="メモ 2 4 5 2" xfId="606" xr:uid="{00000000-0005-0000-0000-00007B020000}"/>
    <cellStyle name="メモ 2 4 6" xfId="607" xr:uid="{00000000-0005-0000-0000-00007C020000}"/>
    <cellStyle name="メモ 2 4 6 2" xfId="608" xr:uid="{00000000-0005-0000-0000-00007D020000}"/>
    <cellStyle name="メモ 2 4 7" xfId="609" xr:uid="{00000000-0005-0000-0000-00007E020000}"/>
    <cellStyle name="メモ 2 4 7 2" xfId="610" xr:uid="{00000000-0005-0000-0000-00007F020000}"/>
    <cellStyle name="メモ 2 4 8" xfId="611" xr:uid="{00000000-0005-0000-0000-000080020000}"/>
    <cellStyle name="メモ 2 5" xfId="612" xr:uid="{00000000-0005-0000-0000-000081020000}"/>
    <cellStyle name="メモ 2 5 2" xfId="613" xr:uid="{00000000-0005-0000-0000-000082020000}"/>
    <cellStyle name="メモ 2 5 2 2" xfId="614" xr:uid="{00000000-0005-0000-0000-000083020000}"/>
    <cellStyle name="メモ 2 5 2 2 2" xfId="615" xr:uid="{00000000-0005-0000-0000-000084020000}"/>
    <cellStyle name="メモ 2 5 2 3" xfId="616" xr:uid="{00000000-0005-0000-0000-000085020000}"/>
    <cellStyle name="メモ 2 5 2 3 2" xfId="617" xr:uid="{00000000-0005-0000-0000-000086020000}"/>
    <cellStyle name="メモ 2 5 2 4" xfId="618" xr:uid="{00000000-0005-0000-0000-000087020000}"/>
    <cellStyle name="メモ 2 5 2 4 2" xfId="619" xr:uid="{00000000-0005-0000-0000-000088020000}"/>
    <cellStyle name="メモ 2 5 2 5" xfId="620" xr:uid="{00000000-0005-0000-0000-000089020000}"/>
    <cellStyle name="メモ 2 5 2 5 2" xfId="621" xr:uid="{00000000-0005-0000-0000-00008A020000}"/>
    <cellStyle name="メモ 2 5 2 6" xfId="622" xr:uid="{00000000-0005-0000-0000-00008B020000}"/>
    <cellStyle name="メモ 2 5 2 6 2" xfId="623" xr:uid="{00000000-0005-0000-0000-00008C020000}"/>
    <cellStyle name="メモ 2 5 2 7" xfId="624" xr:uid="{00000000-0005-0000-0000-00008D020000}"/>
    <cellStyle name="メモ 2 5 3" xfId="625" xr:uid="{00000000-0005-0000-0000-00008E020000}"/>
    <cellStyle name="メモ 2 5 3 2" xfId="626" xr:uid="{00000000-0005-0000-0000-00008F020000}"/>
    <cellStyle name="メモ 2 5 4" xfId="627" xr:uid="{00000000-0005-0000-0000-000090020000}"/>
    <cellStyle name="メモ 2 5 4 2" xfId="628" xr:uid="{00000000-0005-0000-0000-000091020000}"/>
    <cellStyle name="メモ 2 5 5" xfId="629" xr:uid="{00000000-0005-0000-0000-000092020000}"/>
    <cellStyle name="メモ 2 5 5 2" xfId="630" xr:uid="{00000000-0005-0000-0000-000093020000}"/>
    <cellStyle name="メモ 2 5 6" xfId="631" xr:uid="{00000000-0005-0000-0000-000094020000}"/>
    <cellStyle name="メモ 2 5 6 2" xfId="632" xr:uid="{00000000-0005-0000-0000-000095020000}"/>
    <cellStyle name="メモ 2 5 7" xfId="633" xr:uid="{00000000-0005-0000-0000-000096020000}"/>
    <cellStyle name="メモ 2 5 7 2" xfId="634" xr:uid="{00000000-0005-0000-0000-000097020000}"/>
    <cellStyle name="メモ 2 5 8" xfId="635" xr:uid="{00000000-0005-0000-0000-000098020000}"/>
    <cellStyle name="メモ 2 6" xfId="636" xr:uid="{00000000-0005-0000-0000-000099020000}"/>
    <cellStyle name="メモ 2 6 2" xfId="637" xr:uid="{00000000-0005-0000-0000-00009A020000}"/>
    <cellStyle name="メモ 2 6 2 2" xfId="638" xr:uid="{00000000-0005-0000-0000-00009B020000}"/>
    <cellStyle name="メモ 2 6 2 2 2" xfId="639" xr:uid="{00000000-0005-0000-0000-00009C020000}"/>
    <cellStyle name="メモ 2 6 2 3" xfId="640" xr:uid="{00000000-0005-0000-0000-00009D020000}"/>
    <cellStyle name="メモ 2 6 2 3 2" xfId="641" xr:uid="{00000000-0005-0000-0000-00009E020000}"/>
    <cellStyle name="メモ 2 6 2 4" xfId="642" xr:uid="{00000000-0005-0000-0000-00009F020000}"/>
    <cellStyle name="メモ 2 6 2 4 2" xfId="643" xr:uid="{00000000-0005-0000-0000-0000A0020000}"/>
    <cellStyle name="メモ 2 6 2 5" xfId="644" xr:uid="{00000000-0005-0000-0000-0000A1020000}"/>
    <cellStyle name="メモ 2 6 2 5 2" xfId="645" xr:uid="{00000000-0005-0000-0000-0000A2020000}"/>
    <cellStyle name="メモ 2 6 2 6" xfId="646" xr:uid="{00000000-0005-0000-0000-0000A3020000}"/>
    <cellStyle name="メモ 2 6 2 6 2" xfId="647" xr:uid="{00000000-0005-0000-0000-0000A4020000}"/>
    <cellStyle name="メモ 2 6 2 7" xfId="648" xr:uid="{00000000-0005-0000-0000-0000A5020000}"/>
    <cellStyle name="メモ 2 6 3" xfId="649" xr:uid="{00000000-0005-0000-0000-0000A6020000}"/>
    <cellStyle name="メモ 2 6 3 2" xfId="650" xr:uid="{00000000-0005-0000-0000-0000A7020000}"/>
    <cellStyle name="メモ 2 6 4" xfId="651" xr:uid="{00000000-0005-0000-0000-0000A8020000}"/>
    <cellStyle name="メモ 2 6 4 2" xfId="652" xr:uid="{00000000-0005-0000-0000-0000A9020000}"/>
    <cellStyle name="メモ 2 6 5" xfId="653" xr:uid="{00000000-0005-0000-0000-0000AA020000}"/>
    <cellStyle name="メモ 2 6 5 2" xfId="654" xr:uid="{00000000-0005-0000-0000-0000AB020000}"/>
    <cellStyle name="メモ 2 6 6" xfId="655" xr:uid="{00000000-0005-0000-0000-0000AC020000}"/>
    <cellStyle name="メモ 2 6 6 2" xfId="656" xr:uid="{00000000-0005-0000-0000-0000AD020000}"/>
    <cellStyle name="メモ 2 6 7" xfId="657" xr:uid="{00000000-0005-0000-0000-0000AE020000}"/>
    <cellStyle name="メモ 2 6 7 2" xfId="658" xr:uid="{00000000-0005-0000-0000-0000AF020000}"/>
    <cellStyle name="メモ 2 6 8" xfId="659" xr:uid="{00000000-0005-0000-0000-0000B0020000}"/>
    <cellStyle name="メモ 2 7" xfId="660" xr:uid="{00000000-0005-0000-0000-0000B1020000}"/>
    <cellStyle name="メモ 2 7 2" xfId="661" xr:uid="{00000000-0005-0000-0000-0000B2020000}"/>
    <cellStyle name="メモ 2 7 2 2" xfId="662" xr:uid="{00000000-0005-0000-0000-0000B3020000}"/>
    <cellStyle name="メモ 2 7 3" xfId="663" xr:uid="{00000000-0005-0000-0000-0000B4020000}"/>
    <cellStyle name="メモ 2 7 3 2" xfId="664" xr:uid="{00000000-0005-0000-0000-0000B5020000}"/>
    <cellStyle name="メモ 2 7 4" xfId="665" xr:uid="{00000000-0005-0000-0000-0000B6020000}"/>
    <cellStyle name="メモ 2 7 4 2" xfId="666" xr:uid="{00000000-0005-0000-0000-0000B7020000}"/>
    <cellStyle name="メモ 2 7 5" xfId="667" xr:uid="{00000000-0005-0000-0000-0000B8020000}"/>
    <cellStyle name="メモ 2 7 5 2" xfId="668" xr:uid="{00000000-0005-0000-0000-0000B9020000}"/>
    <cellStyle name="メモ 2 7 6" xfId="669" xr:uid="{00000000-0005-0000-0000-0000BA020000}"/>
    <cellStyle name="メモ 2 7 6 2" xfId="670" xr:uid="{00000000-0005-0000-0000-0000BB020000}"/>
    <cellStyle name="メモ 2 7 7" xfId="671" xr:uid="{00000000-0005-0000-0000-0000BC020000}"/>
    <cellStyle name="メモ 2 8" xfId="672" xr:uid="{00000000-0005-0000-0000-0000BD020000}"/>
    <cellStyle name="メモ 2 8 2" xfId="673" xr:uid="{00000000-0005-0000-0000-0000BE020000}"/>
    <cellStyle name="メモ 3" xfId="674" xr:uid="{00000000-0005-0000-0000-0000BF020000}"/>
    <cellStyle name="メモ 3 2" xfId="675" xr:uid="{00000000-0005-0000-0000-0000C0020000}"/>
    <cellStyle name="メモ 3 2 2" xfId="676" xr:uid="{00000000-0005-0000-0000-0000C1020000}"/>
    <cellStyle name="メモ 3 2 2 2" xfId="677" xr:uid="{00000000-0005-0000-0000-0000C2020000}"/>
    <cellStyle name="メモ 3 2 3" xfId="678" xr:uid="{00000000-0005-0000-0000-0000C3020000}"/>
    <cellStyle name="メモ 3 2 3 2" xfId="679" xr:uid="{00000000-0005-0000-0000-0000C4020000}"/>
    <cellStyle name="メモ 3 2 4" xfId="680" xr:uid="{00000000-0005-0000-0000-0000C5020000}"/>
    <cellStyle name="メモ 3 2 4 2" xfId="681" xr:uid="{00000000-0005-0000-0000-0000C6020000}"/>
    <cellStyle name="メモ 3 2 5" xfId="682" xr:uid="{00000000-0005-0000-0000-0000C7020000}"/>
    <cellStyle name="メモ 3 2 5 2" xfId="683" xr:uid="{00000000-0005-0000-0000-0000C8020000}"/>
    <cellStyle name="メモ 3 2 6" xfId="684" xr:uid="{00000000-0005-0000-0000-0000C9020000}"/>
    <cellStyle name="メモ 3 2 6 2" xfId="685" xr:uid="{00000000-0005-0000-0000-0000CA020000}"/>
    <cellStyle name="メモ 3 2 7" xfId="686" xr:uid="{00000000-0005-0000-0000-0000CB020000}"/>
    <cellStyle name="メモ 3 3" xfId="687" xr:uid="{00000000-0005-0000-0000-0000CC020000}"/>
    <cellStyle name="メモ 3 3 2" xfId="688" xr:uid="{00000000-0005-0000-0000-0000CD020000}"/>
    <cellStyle name="メモ 3 4" xfId="689" xr:uid="{00000000-0005-0000-0000-0000CE020000}"/>
    <cellStyle name="メモ 3 5" xfId="690" xr:uid="{00000000-0005-0000-0000-0000CF020000}"/>
    <cellStyle name="メモ 4" xfId="691" xr:uid="{00000000-0005-0000-0000-0000D0020000}"/>
    <cellStyle name="メモ 4 2" xfId="692" xr:uid="{00000000-0005-0000-0000-0000D1020000}"/>
    <cellStyle name="メモ 4 2 2" xfId="693" xr:uid="{00000000-0005-0000-0000-0000D2020000}"/>
    <cellStyle name="メモ 4 2 2 2" xfId="694" xr:uid="{00000000-0005-0000-0000-0000D3020000}"/>
    <cellStyle name="メモ 4 2 3" xfId="695" xr:uid="{00000000-0005-0000-0000-0000D4020000}"/>
    <cellStyle name="メモ 4 2 3 2" xfId="696" xr:uid="{00000000-0005-0000-0000-0000D5020000}"/>
    <cellStyle name="メモ 4 2 4" xfId="697" xr:uid="{00000000-0005-0000-0000-0000D6020000}"/>
    <cellStyle name="メモ 4 2 4 2" xfId="698" xr:uid="{00000000-0005-0000-0000-0000D7020000}"/>
    <cellStyle name="メモ 4 2 5" xfId="699" xr:uid="{00000000-0005-0000-0000-0000D8020000}"/>
    <cellStyle name="メモ 4 2 5 2" xfId="700" xr:uid="{00000000-0005-0000-0000-0000D9020000}"/>
    <cellStyle name="メモ 4 2 6" xfId="701" xr:uid="{00000000-0005-0000-0000-0000DA020000}"/>
    <cellStyle name="メモ 4 2 6 2" xfId="702" xr:uid="{00000000-0005-0000-0000-0000DB020000}"/>
    <cellStyle name="メモ 4 2 7" xfId="703" xr:uid="{00000000-0005-0000-0000-0000DC020000}"/>
    <cellStyle name="メモ 4 3" xfId="704" xr:uid="{00000000-0005-0000-0000-0000DD020000}"/>
    <cellStyle name="メモ 4 3 2" xfId="705" xr:uid="{00000000-0005-0000-0000-0000DE020000}"/>
    <cellStyle name="メモ 4 4" xfId="706" xr:uid="{00000000-0005-0000-0000-0000DF020000}"/>
    <cellStyle name="メモ 5" xfId="707" xr:uid="{00000000-0005-0000-0000-0000E0020000}"/>
    <cellStyle name="メモ 5 2" xfId="708" xr:uid="{00000000-0005-0000-0000-0000E1020000}"/>
    <cellStyle name="メモ 5 2 2" xfId="709" xr:uid="{00000000-0005-0000-0000-0000E2020000}"/>
    <cellStyle name="メモ 5 3" xfId="710" xr:uid="{00000000-0005-0000-0000-0000E3020000}"/>
    <cellStyle name="メモ 5 3 2" xfId="711" xr:uid="{00000000-0005-0000-0000-0000E4020000}"/>
    <cellStyle name="メモ 5 4" xfId="712" xr:uid="{00000000-0005-0000-0000-0000E5020000}"/>
    <cellStyle name="メモ 5 4 2" xfId="713" xr:uid="{00000000-0005-0000-0000-0000E6020000}"/>
    <cellStyle name="メモ 5 5" xfId="714" xr:uid="{00000000-0005-0000-0000-0000E7020000}"/>
    <cellStyle name="メモ 5 5 2" xfId="715" xr:uid="{00000000-0005-0000-0000-0000E8020000}"/>
    <cellStyle name="メモ 5 6" xfId="716" xr:uid="{00000000-0005-0000-0000-0000E9020000}"/>
    <cellStyle name="メモ 5 6 2" xfId="717" xr:uid="{00000000-0005-0000-0000-0000EA020000}"/>
    <cellStyle name="メモ 5 7" xfId="718" xr:uid="{00000000-0005-0000-0000-0000EB020000}"/>
    <cellStyle name="メモ 5 7 2" xfId="719" xr:uid="{00000000-0005-0000-0000-0000EC020000}"/>
    <cellStyle name="メモ 6" xfId="720" xr:uid="{00000000-0005-0000-0000-0000ED020000}"/>
    <cellStyle name="メモ 7" xfId="721" xr:uid="{00000000-0005-0000-0000-0000EE020000}"/>
    <cellStyle name="メモ 8" xfId="722" xr:uid="{00000000-0005-0000-0000-0000EF020000}"/>
    <cellStyle name="メモ 9" xfId="723" xr:uid="{00000000-0005-0000-0000-0000F0020000}"/>
    <cellStyle name="リンク セル" xfId="1949" builtinId="24" customBuiltin="1"/>
    <cellStyle name="リンク セル 2" xfId="724" xr:uid="{00000000-0005-0000-0000-0000F2020000}"/>
    <cellStyle name="リンク セル 3" xfId="725" xr:uid="{00000000-0005-0000-0000-0000F3020000}"/>
    <cellStyle name="リンク セル 4" xfId="726" xr:uid="{00000000-0005-0000-0000-0000F4020000}"/>
    <cellStyle name="リンク セル 5" xfId="727" xr:uid="{00000000-0005-0000-0000-0000F5020000}"/>
    <cellStyle name="リンク セル 6" xfId="728" xr:uid="{00000000-0005-0000-0000-0000F6020000}"/>
    <cellStyle name="リンク セル 7" xfId="729" xr:uid="{00000000-0005-0000-0000-0000F7020000}"/>
    <cellStyle name="リンク セル 8" xfId="730" xr:uid="{00000000-0005-0000-0000-0000F8020000}"/>
    <cellStyle name="リンク セル 9" xfId="731" xr:uid="{00000000-0005-0000-0000-0000F9020000}"/>
    <cellStyle name="_x001d_・_x000c_ﾏ・_x000d_ﾂ・_x0001__x0016__x0011_F5_x0007__x0001__x0001_" xfId="7" xr:uid="{00000000-0005-0000-0000-0000FA020000}"/>
    <cellStyle name="_x001d_・_x000c_ﾏ・_x000d_ﾂ・_x0001__x0016__x0011_F5_x0007__x0001__x0001_ 2" xfId="732" xr:uid="{00000000-0005-0000-0000-0000FB020000}"/>
    <cellStyle name="_x001d_・_x000c_ﾏ・_x000d_ﾂ・_x0001__x0016__x0011_F5_x0007__x0001__x0001_ 2 2" xfId="733" xr:uid="{00000000-0005-0000-0000-0000FC020000}"/>
    <cellStyle name="_x001d_・_x000c_ﾏ・_x000d_ﾂ・_x0001__x0016__x0011_F5_x0007__x0001__x0001_ 2 2 2" xfId="734" xr:uid="{00000000-0005-0000-0000-0000FD020000}"/>
    <cellStyle name="_x001d_・_x000c_ﾏ・_x000d_ﾂ・_x0001__x0016__x0011_F5_x0007__x0001__x0001_ 2 3" xfId="735" xr:uid="{00000000-0005-0000-0000-0000FE020000}"/>
    <cellStyle name="_x001d_・_x000c_ﾏ・_x000d_ﾂ・_x0001__x0016__x0011_F5_x0007__x0001__x0001_ 3" xfId="736" xr:uid="{00000000-0005-0000-0000-0000FF020000}"/>
    <cellStyle name="_x001d_・_x000c_ﾏ・_x000d_ﾂ・_x0001__x0016__x0011_F5_x0007__x0001__x0001_ 3 2" xfId="737" xr:uid="{00000000-0005-0000-0000-000000030000}"/>
    <cellStyle name="悪い" xfId="1944" builtinId="27" customBuiltin="1"/>
    <cellStyle name="悪い 2" xfId="738" xr:uid="{00000000-0005-0000-0000-000002030000}"/>
    <cellStyle name="悪い 3" xfId="739" xr:uid="{00000000-0005-0000-0000-000003030000}"/>
    <cellStyle name="悪い 4" xfId="740" xr:uid="{00000000-0005-0000-0000-000004030000}"/>
    <cellStyle name="悪い 5" xfId="741" xr:uid="{00000000-0005-0000-0000-000005030000}"/>
    <cellStyle name="悪い 6" xfId="742" xr:uid="{00000000-0005-0000-0000-000006030000}"/>
    <cellStyle name="悪い 7" xfId="743" xr:uid="{00000000-0005-0000-0000-000007030000}"/>
    <cellStyle name="悪い 8" xfId="744" xr:uid="{00000000-0005-0000-0000-000008030000}"/>
    <cellStyle name="悪い 9" xfId="745" xr:uid="{00000000-0005-0000-0000-000009030000}"/>
    <cellStyle name="計算" xfId="1948" builtinId="22" customBuiltin="1"/>
    <cellStyle name="計算 2" xfId="746" xr:uid="{00000000-0005-0000-0000-00000B030000}"/>
    <cellStyle name="計算 2 2" xfId="747" xr:uid="{00000000-0005-0000-0000-00000C030000}"/>
    <cellStyle name="計算 2 2 2" xfId="748" xr:uid="{00000000-0005-0000-0000-00000D030000}"/>
    <cellStyle name="計算 2 2 2 2" xfId="749" xr:uid="{00000000-0005-0000-0000-00000E030000}"/>
    <cellStyle name="計算 2 2 2 2 2" xfId="750" xr:uid="{00000000-0005-0000-0000-00000F030000}"/>
    <cellStyle name="計算 2 2 2 3" xfId="751" xr:uid="{00000000-0005-0000-0000-000010030000}"/>
    <cellStyle name="計算 2 2 2 3 2" xfId="752" xr:uid="{00000000-0005-0000-0000-000011030000}"/>
    <cellStyle name="計算 2 2 2 4" xfId="753" xr:uid="{00000000-0005-0000-0000-000012030000}"/>
    <cellStyle name="計算 2 2 2 4 2" xfId="754" xr:uid="{00000000-0005-0000-0000-000013030000}"/>
    <cellStyle name="計算 2 2 2 5" xfId="755" xr:uid="{00000000-0005-0000-0000-000014030000}"/>
    <cellStyle name="計算 2 2 2 5 2" xfId="756" xr:uid="{00000000-0005-0000-0000-000015030000}"/>
    <cellStyle name="計算 2 2 2 6" xfId="757" xr:uid="{00000000-0005-0000-0000-000016030000}"/>
    <cellStyle name="計算 2 2 2 6 2" xfId="758" xr:uid="{00000000-0005-0000-0000-000017030000}"/>
    <cellStyle name="計算 2 2 2 7" xfId="759" xr:uid="{00000000-0005-0000-0000-000018030000}"/>
    <cellStyle name="計算 2 2 3" xfId="760" xr:uid="{00000000-0005-0000-0000-000019030000}"/>
    <cellStyle name="計算 2 2 3 2" xfId="761" xr:uid="{00000000-0005-0000-0000-00001A030000}"/>
    <cellStyle name="計算 2 2 4" xfId="762" xr:uid="{00000000-0005-0000-0000-00001B030000}"/>
    <cellStyle name="計算 2 3" xfId="763" xr:uid="{00000000-0005-0000-0000-00001C030000}"/>
    <cellStyle name="計算 2 3 2" xfId="764" xr:uid="{00000000-0005-0000-0000-00001D030000}"/>
    <cellStyle name="計算 2 3 2 2" xfId="765" xr:uid="{00000000-0005-0000-0000-00001E030000}"/>
    <cellStyle name="計算 2 3 3" xfId="766" xr:uid="{00000000-0005-0000-0000-00001F030000}"/>
    <cellStyle name="計算 2 3 3 2" xfId="767" xr:uid="{00000000-0005-0000-0000-000020030000}"/>
    <cellStyle name="計算 2 3 4" xfId="768" xr:uid="{00000000-0005-0000-0000-000021030000}"/>
    <cellStyle name="計算 2 3 4 2" xfId="769" xr:uid="{00000000-0005-0000-0000-000022030000}"/>
    <cellStyle name="計算 2 3 5" xfId="770" xr:uid="{00000000-0005-0000-0000-000023030000}"/>
    <cellStyle name="計算 2 3 5 2" xfId="771" xr:uid="{00000000-0005-0000-0000-000024030000}"/>
    <cellStyle name="計算 2 3 6" xfId="772" xr:uid="{00000000-0005-0000-0000-000025030000}"/>
    <cellStyle name="計算 2 3 6 2" xfId="773" xr:uid="{00000000-0005-0000-0000-000026030000}"/>
    <cellStyle name="計算 2 3 7" xfId="774" xr:uid="{00000000-0005-0000-0000-000027030000}"/>
    <cellStyle name="計算 2 4" xfId="775" xr:uid="{00000000-0005-0000-0000-000028030000}"/>
    <cellStyle name="計算 2 4 2" xfId="776" xr:uid="{00000000-0005-0000-0000-000029030000}"/>
    <cellStyle name="計算 2 5" xfId="777" xr:uid="{00000000-0005-0000-0000-00002A030000}"/>
    <cellStyle name="計算 3" xfId="778" xr:uid="{00000000-0005-0000-0000-00002B030000}"/>
    <cellStyle name="計算 3 2" xfId="779" xr:uid="{00000000-0005-0000-0000-00002C030000}"/>
    <cellStyle name="計算 3 2 2" xfId="780" xr:uid="{00000000-0005-0000-0000-00002D030000}"/>
    <cellStyle name="計算 3 2 2 2" xfId="781" xr:uid="{00000000-0005-0000-0000-00002E030000}"/>
    <cellStyle name="計算 3 2 3" xfId="782" xr:uid="{00000000-0005-0000-0000-00002F030000}"/>
    <cellStyle name="計算 3 2 3 2" xfId="783" xr:uid="{00000000-0005-0000-0000-000030030000}"/>
    <cellStyle name="計算 3 2 4" xfId="784" xr:uid="{00000000-0005-0000-0000-000031030000}"/>
    <cellStyle name="計算 3 2 4 2" xfId="785" xr:uid="{00000000-0005-0000-0000-000032030000}"/>
    <cellStyle name="計算 3 2 5" xfId="786" xr:uid="{00000000-0005-0000-0000-000033030000}"/>
    <cellStyle name="計算 3 2 5 2" xfId="787" xr:uid="{00000000-0005-0000-0000-000034030000}"/>
    <cellStyle name="計算 3 2 6" xfId="788" xr:uid="{00000000-0005-0000-0000-000035030000}"/>
    <cellStyle name="計算 3 2 6 2" xfId="789" xr:uid="{00000000-0005-0000-0000-000036030000}"/>
    <cellStyle name="計算 3 2 7" xfId="790" xr:uid="{00000000-0005-0000-0000-000037030000}"/>
    <cellStyle name="計算 3 3" xfId="791" xr:uid="{00000000-0005-0000-0000-000038030000}"/>
    <cellStyle name="計算 3 3 2" xfId="792" xr:uid="{00000000-0005-0000-0000-000039030000}"/>
    <cellStyle name="計算 3 4" xfId="793" xr:uid="{00000000-0005-0000-0000-00003A030000}"/>
    <cellStyle name="計算 4" xfId="794" xr:uid="{00000000-0005-0000-0000-00003B030000}"/>
    <cellStyle name="計算 4 2" xfId="795" xr:uid="{00000000-0005-0000-0000-00003C030000}"/>
    <cellStyle name="計算 4 2 2" xfId="796" xr:uid="{00000000-0005-0000-0000-00003D030000}"/>
    <cellStyle name="計算 4 3" xfId="797" xr:uid="{00000000-0005-0000-0000-00003E030000}"/>
    <cellStyle name="計算 4 3 2" xfId="798" xr:uid="{00000000-0005-0000-0000-00003F030000}"/>
    <cellStyle name="計算 4 4" xfId="799" xr:uid="{00000000-0005-0000-0000-000040030000}"/>
    <cellStyle name="計算 4 4 2" xfId="800" xr:uid="{00000000-0005-0000-0000-000041030000}"/>
    <cellStyle name="計算 4 5" xfId="801" xr:uid="{00000000-0005-0000-0000-000042030000}"/>
    <cellStyle name="計算 4 5 2" xfId="802" xr:uid="{00000000-0005-0000-0000-000043030000}"/>
    <cellStyle name="計算 4 6" xfId="803" xr:uid="{00000000-0005-0000-0000-000044030000}"/>
    <cellStyle name="計算 4 6 2" xfId="804" xr:uid="{00000000-0005-0000-0000-000045030000}"/>
    <cellStyle name="計算 4 7" xfId="805" xr:uid="{00000000-0005-0000-0000-000046030000}"/>
    <cellStyle name="計算 5" xfId="806" xr:uid="{00000000-0005-0000-0000-000047030000}"/>
    <cellStyle name="計算 6" xfId="807" xr:uid="{00000000-0005-0000-0000-000048030000}"/>
    <cellStyle name="計算 7" xfId="808" xr:uid="{00000000-0005-0000-0000-000049030000}"/>
    <cellStyle name="計算 8" xfId="809" xr:uid="{00000000-0005-0000-0000-00004A030000}"/>
    <cellStyle name="計算 9" xfId="810" xr:uid="{00000000-0005-0000-0000-00004B030000}"/>
    <cellStyle name="警告文" xfId="1951" builtinId="11" customBuiltin="1"/>
    <cellStyle name="警告文 2" xfId="811" xr:uid="{00000000-0005-0000-0000-00004D030000}"/>
    <cellStyle name="警告文 3" xfId="812" xr:uid="{00000000-0005-0000-0000-00004E030000}"/>
    <cellStyle name="警告文 4" xfId="813" xr:uid="{00000000-0005-0000-0000-00004F030000}"/>
    <cellStyle name="警告文 5" xfId="814" xr:uid="{00000000-0005-0000-0000-000050030000}"/>
    <cellStyle name="警告文 6" xfId="815" xr:uid="{00000000-0005-0000-0000-000051030000}"/>
    <cellStyle name="警告文 7" xfId="816" xr:uid="{00000000-0005-0000-0000-000052030000}"/>
    <cellStyle name="警告文 8" xfId="817" xr:uid="{00000000-0005-0000-0000-000053030000}"/>
    <cellStyle name="警告文 9" xfId="818" xr:uid="{00000000-0005-0000-0000-000054030000}"/>
    <cellStyle name="桁蟻唇Ｆ [0.00]_laroux" xfId="819" xr:uid="{00000000-0005-0000-0000-000055030000}"/>
    <cellStyle name="桁蟻唇Ｆ_A°DAU±ATIsA" xfId="820" xr:uid="{00000000-0005-0000-0000-000056030000}"/>
    <cellStyle name="桁区切り 2" xfId="1" xr:uid="{00000000-0005-0000-0000-000057030000}"/>
    <cellStyle name="桁区切り 2 2" xfId="821" xr:uid="{00000000-0005-0000-0000-000058030000}"/>
    <cellStyle name="桁区切り 2 2 2" xfId="822" xr:uid="{00000000-0005-0000-0000-000059030000}"/>
    <cellStyle name="桁区切り 2 3" xfId="823" xr:uid="{00000000-0005-0000-0000-00005A030000}"/>
    <cellStyle name="桁区切り 2 4" xfId="824" xr:uid="{00000000-0005-0000-0000-00005B030000}"/>
    <cellStyle name="桁区切り 2 4 2" xfId="825" xr:uid="{00000000-0005-0000-0000-00005C030000}"/>
    <cellStyle name="桁区切り 2 4 3" xfId="826" xr:uid="{00000000-0005-0000-0000-00005D030000}"/>
    <cellStyle name="桁区切り 2 5" xfId="827" xr:uid="{00000000-0005-0000-0000-00005E030000}"/>
    <cellStyle name="桁区切り 2 5 2" xfId="828" xr:uid="{00000000-0005-0000-0000-00005F030000}"/>
    <cellStyle name="桁区切り 2 5 3" xfId="829" xr:uid="{00000000-0005-0000-0000-000060030000}"/>
    <cellStyle name="桁区切り 2 6" xfId="830" xr:uid="{00000000-0005-0000-0000-000061030000}"/>
    <cellStyle name="桁区切り 2_バックアップセンタ_切替テストスケジュール_20120406~10" xfId="831" xr:uid="{00000000-0005-0000-0000-000062030000}"/>
    <cellStyle name="桁区切り 3" xfId="832" xr:uid="{00000000-0005-0000-0000-000063030000}"/>
    <cellStyle name="桁区切り 3 2" xfId="833" xr:uid="{00000000-0005-0000-0000-000064030000}"/>
    <cellStyle name="桁区切り 3 2 2" xfId="834" xr:uid="{00000000-0005-0000-0000-000065030000}"/>
    <cellStyle name="桁区切り 3 2 3" xfId="835" xr:uid="{00000000-0005-0000-0000-000066030000}"/>
    <cellStyle name="桁区切り 3 3" xfId="836" xr:uid="{00000000-0005-0000-0000-000067030000}"/>
    <cellStyle name="桁区切り 4" xfId="837" xr:uid="{00000000-0005-0000-0000-000068030000}"/>
    <cellStyle name="桁区切り 4 2" xfId="838" xr:uid="{00000000-0005-0000-0000-000069030000}"/>
    <cellStyle name="桁区切り 4 2 2" xfId="839" xr:uid="{00000000-0005-0000-0000-00006A030000}"/>
    <cellStyle name="桁区切り 4 2 3" xfId="840" xr:uid="{00000000-0005-0000-0000-00006B030000}"/>
    <cellStyle name="桁区切り 4 3" xfId="841" xr:uid="{00000000-0005-0000-0000-00006C030000}"/>
    <cellStyle name="桁区切り 4 4" xfId="842" xr:uid="{00000000-0005-0000-0000-00006D030000}"/>
    <cellStyle name="桁区切り 5" xfId="843" xr:uid="{00000000-0005-0000-0000-00006E030000}"/>
    <cellStyle name="桁区切り 5 2" xfId="844" xr:uid="{00000000-0005-0000-0000-00006F030000}"/>
    <cellStyle name="桁区切り 5 3" xfId="845" xr:uid="{00000000-0005-0000-0000-000070030000}"/>
    <cellStyle name="桁区切り 6" xfId="846" xr:uid="{00000000-0005-0000-0000-000071030000}"/>
    <cellStyle name="見出し 1" xfId="1939" builtinId="16" customBuiltin="1"/>
    <cellStyle name="見出し 1 2" xfId="847" xr:uid="{00000000-0005-0000-0000-000073030000}"/>
    <cellStyle name="見出し 1 3" xfId="848" xr:uid="{00000000-0005-0000-0000-000074030000}"/>
    <cellStyle name="見出し 1 4" xfId="849" xr:uid="{00000000-0005-0000-0000-000075030000}"/>
    <cellStyle name="見出し 1 5" xfId="850" xr:uid="{00000000-0005-0000-0000-000076030000}"/>
    <cellStyle name="見出し 1 6" xfId="851" xr:uid="{00000000-0005-0000-0000-000077030000}"/>
    <cellStyle name="見出し 1 7" xfId="852" xr:uid="{00000000-0005-0000-0000-000078030000}"/>
    <cellStyle name="見出し 1 8" xfId="853" xr:uid="{00000000-0005-0000-0000-000079030000}"/>
    <cellStyle name="見出し 1 9" xfId="854" xr:uid="{00000000-0005-0000-0000-00007A030000}"/>
    <cellStyle name="見出し 2" xfId="1940" builtinId="17" customBuiltin="1"/>
    <cellStyle name="見出し 2 2" xfId="855" xr:uid="{00000000-0005-0000-0000-00007C030000}"/>
    <cellStyle name="見出し 2 3" xfId="856" xr:uid="{00000000-0005-0000-0000-00007D030000}"/>
    <cellStyle name="見出し 2 4" xfId="857" xr:uid="{00000000-0005-0000-0000-00007E030000}"/>
    <cellStyle name="見出し 2 5" xfId="858" xr:uid="{00000000-0005-0000-0000-00007F030000}"/>
    <cellStyle name="見出し 2 6" xfId="859" xr:uid="{00000000-0005-0000-0000-000080030000}"/>
    <cellStyle name="見出し 2 7" xfId="860" xr:uid="{00000000-0005-0000-0000-000081030000}"/>
    <cellStyle name="見出し 2 8" xfId="861" xr:uid="{00000000-0005-0000-0000-000082030000}"/>
    <cellStyle name="見出し 2 9" xfId="862" xr:uid="{00000000-0005-0000-0000-000083030000}"/>
    <cellStyle name="見出し 3" xfId="1941" builtinId="18" customBuiltin="1"/>
    <cellStyle name="見出し 3 2" xfId="863" xr:uid="{00000000-0005-0000-0000-000085030000}"/>
    <cellStyle name="見出し 3 3" xfId="864" xr:uid="{00000000-0005-0000-0000-000086030000}"/>
    <cellStyle name="見出し 3 4" xfId="865" xr:uid="{00000000-0005-0000-0000-000087030000}"/>
    <cellStyle name="見出し 3 5" xfId="866" xr:uid="{00000000-0005-0000-0000-000088030000}"/>
    <cellStyle name="見出し 3 6" xfId="867" xr:uid="{00000000-0005-0000-0000-000089030000}"/>
    <cellStyle name="見出し 3 7" xfId="868" xr:uid="{00000000-0005-0000-0000-00008A030000}"/>
    <cellStyle name="見出し 3 8" xfId="869" xr:uid="{00000000-0005-0000-0000-00008B030000}"/>
    <cellStyle name="見出し 3 9" xfId="870" xr:uid="{00000000-0005-0000-0000-00008C030000}"/>
    <cellStyle name="見出し 4" xfId="1942" builtinId="19" customBuiltin="1"/>
    <cellStyle name="見出し 4 2" xfId="871" xr:uid="{00000000-0005-0000-0000-00008E030000}"/>
    <cellStyle name="見出し 4 3" xfId="872" xr:uid="{00000000-0005-0000-0000-00008F030000}"/>
    <cellStyle name="見出し 4 4" xfId="873" xr:uid="{00000000-0005-0000-0000-000090030000}"/>
    <cellStyle name="見出し 4 5" xfId="874" xr:uid="{00000000-0005-0000-0000-000091030000}"/>
    <cellStyle name="見出し 4 6" xfId="875" xr:uid="{00000000-0005-0000-0000-000092030000}"/>
    <cellStyle name="見出し 4 7" xfId="876" xr:uid="{00000000-0005-0000-0000-000093030000}"/>
    <cellStyle name="見出し 4 8" xfId="877" xr:uid="{00000000-0005-0000-0000-000094030000}"/>
    <cellStyle name="見出し 4 9" xfId="878" xr:uid="{00000000-0005-0000-0000-000095030000}"/>
    <cellStyle name="構成図作成用" xfId="879" xr:uid="{00000000-0005-0000-0000-000096030000}"/>
    <cellStyle name="取り消し" xfId="8" xr:uid="{00000000-0005-0000-0000-000097030000}"/>
    <cellStyle name="集計" xfId="1953" builtinId="25" customBuiltin="1"/>
    <cellStyle name="集計 2" xfId="880" xr:uid="{00000000-0005-0000-0000-000099030000}"/>
    <cellStyle name="集計 2 2" xfId="881" xr:uid="{00000000-0005-0000-0000-00009A030000}"/>
    <cellStyle name="集計 2 2 2" xfId="882" xr:uid="{00000000-0005-0000-0000-00009B030000}"/>
    <cellStyle name="集計 2 2 2 2" xfId="883" xr:uid="{00000000-0005-0000-0000-00009C030000}"/>
    <cellStyle name="集計 2 2 2 2 2" xfId="884" xr:uid="{00000000-0005-0000-0000-00009D030000}"/>
    <cellStyle name="集計 2 2 2 3" xfId="885" xr:uid="{00000000-0005-0000-0000-00009E030000}"/>
    <cellStyle name="集計 2 2 2 3 2" xfId="886" xr:uid="{00000000-0005-0000-0000-00009F030000}"/>
    <cellStyle name="集計 2 2 2 4" xfId="887" xr:uid="{00000000-0005-0000-0000-0000A0030000}"/>
    <cellStyle name="集計 2 2 2 4 2" xfId="888" xr:uid="{00000000-0005-0000-0000-0000A1030000}"/>
    <cellStyle name="集計 2 2 2 5" xfId="889" xr:uid="{00000000-0005-0000-0000-0000A2030000}"/>
    <cellStyle name="集計 2 2 2 5 2" xfId="890" xr:uid="{00000000-0005-0000-0000-0000A3030000}"/>
    <cellStyle name="集計 2 2 2 6" xfId="891" xr:uid="{00000000-0005-0000-0000-0000A4030000}"/>
    <cellStyle name="集計 2 2 2 6 2" xfId="892" xr:uid="{00000000-0005-0000-0000-0000A5030000}"/>
    <cellStyle name="集計 2 2 2 7" xfId="893" xr:uid="{00000000-0005-0000-0000-0000A6030000}"/>
    <cellStyle name="集計 2 2 3" xfId="894" xr:uid="{00000000-0005-0000-0000-0000A7030000}"/>
    <cellStyle name="集計 2 2 3 2" xfId="895" xr:uid="{00000000-0005-0000-0000-0000A8030000}"/>
    <cellStyle name="集計 2 3" xfId="896" xr:uid="{00000000-0005-0000-0000-0000A9030000}"/>
    <cellStyle name="集計 2 3 2" xfId="897" xr:uid="{00000000-0005-0000-0000-0000AA030000}"/>
    <cellStyle name="集計 2 3 2 2" xfId="898" xr:uid="{00000000-0005-0000-0000-0000AB030000}"/>
    <cellStyle name="集計 2 3 3" xfId="899" xr:uid="{00000000-0005-0000-0000-0000AC030000}"/>
    <cellStyle name="集計 2 3 3 2" xfId="900" xr:uid="{00000000-0005-0000-0000-0000AD030000}"/>
    <cellStyle name="集計 2 3 4" xfId="901" xr:uid="{00000000-0005-0000-0000-0000AE030000}"/>
    <cellStyle name="集計 2 3 4 2" xfId="902" xr:uid="{00000000-0005-0000-0000-0000AF030000}"/>
    <cellStyle name="集計 2 3 5" xfId="903" xr:uid="{00000000-0005-0000-0000-0000B0030000}"/>
    <cellStyle name="集計 2 3 5 2" xfId="904" xr:uid="{00000000-0005-0000-0000-0000B1030000}"/>
    <cellStyle name="集計 2 3 6" xfId="905" xr:uid="{00000000-0005-0000-0000-0000B2030000}"/>
    <cellStyle name="集計 2 3 6 2" xfId="906" xr:uid="{00000000-0005-0000-0000-0000B3030000}"/>
    <cellStyle name="集計 2 3 7" xfId="907" xr:uid="{00000000-0005-0000-0000-0000B4030000}"/>
    <cellStyle name="集計 2 4" xfId="908" xr:uid="{00000000-0005-0000-0000-0000B5030000}"/>
    <cellStyle name="集計 2 4 2" xfId="909" xr:uid="{00000000-0005-0000-0000-0000B6030000}"/>
    <cellStyle name="集計 3" xfId="910" xr:uid="{00000000-0005-0000-0000-0000B7030000}"/>
    <cellStyle name="集計 3 2" xfId="911" xr:uid="{00000000-0005-0000-0000-0000B8030000}"/>
    <cellStyle name="集計 3 2 2" xfId="912" xr:uid="{00000000-0005-0000-0000-0000B9030000}"/>
    <cellStyle name="集計 3 2 2 2" xfId="913" xr:uid="{00000000-0005-0000-0000-0000BA030000}"/>
    <cellStyle name="集計 3 2 3" xfId="914" xr:uid="{00000000-0005-0000-0000-0000BB030000}"/>
    <cellStyle name="集計 3 2 3 2" xfId="915" xr:uid="{00000000-0005-0000-0000-0000BC030000}"/>
    <cellStyle name="集計 3 2 4" xfId="916" xr:uid="{00000000-0005-0000-0000-0000BD030000}"/>
    <cellStyle name="集計 3 2 4 2" xfId="917" xr:uid="{00000000-0005-0000-0000-0000BE030000}"/>
    <cellStyle name="集計 3 2 5" xfId="918" xr:uid="{00000000-0005-0000-0000-0000BF030000}"/>
    <cellStyle name="集計 3 2 5 2" xfId="919" xr:uid="{00000000-0005-0000-0000-0000C0030000}"/>
    <cellStyle name="集計 3 2 6" xfId="920" xr:uid="{00000000-0005-0000-0000-0000C1030000}"/>
    <cellStyle name="集計 3 2 6 2" xfId="921" xr:uid="{00000000-0005-0000-0000-0000C2030000}"/>
    <cellStyle name="集計 3 2 7" xfId="922" xr:uid="{00000000-0005-0000-0000-0000C3030000}"/>
    <cellStyle name="集計 3 3" xfId="923" xr:uid="{00000000-0005-0000-0000-0000C4030000}"/>
    <cellStyle name="集計 3 3 2" xfId="924" xr:uid="{00000000-0005-0000-0000-0000C5030000}"/>
    <cellStyle name="集計 3 4" xfId="925" xr:uid="{00000000-0005-0000-0000-0000C6030000}"/>
    <cellStyle name="集計 4" xfId="926" xr:uid="{00000000-0005-0000-0000-0000C7030000}"/>
    <cellStyle name="集計 4 2" xfId="927" xr:uid="{00000000-0005-0000-0000-0000C8030000}"/>
    <cellStyle name="集計 4 2 2" xfId="928" xr:uid="{00000000-0005-0000-0000-0000C9030000}"/>
    <cellStyle name="集計 4 3" xfId="929" xr:uid="{00000000-0005-0000-0000-0000CA030000}"/>
    <cellStyle name="集計 4 3 2" xfId="930" xr:uid="{00000000-0005-0000-0000-0000CB030000}"/>
    <cellStyle name="集計 4 4" xfId="931" xr:uid="{00000000-0005-0000-0000-0000CC030000}"/>
    <cellStyle name="集計 4 4 2" xfId="932" xr:uid="{00000000-0005-0000-0000-0000CD030000}"/>
    <cellStyle name="集計 4 5" xfId="933" xr:uid="{00000000-0005-0000-0000-0000CE030000}"/>
    <cellStyle name="集計 4 5 2" xfId="934" xr:uid="{00000000-0005-0000-0000-0000CF030000}"/>
    <cellStyle name="集計 4 6" xfId="935" xr:uid="{00000000-0005-0000-0000-0000D0030000}"/>
    <cellStyle name="集計 4 6 2" xfId="936" xr:uid="{00000000-0005-0000-0000-0000D1030000}"/>
    <cellStyle name="集計 4 7" xfId="937" xr:uid="{00000000-0005-0000-0000-0000D2030000}"/>
    <cellStyle name="集計 5" xfId="938" xr:uid="{00000000-0005-0000-0000-0000D3030000}"/>
    <cellStyle name="集計 6" xfId="939" xr:uid="{00000000-0005-0000-0000-0000D4030000}"/>
    <cellStyle name="集計 7" xfId="940" xr:uid="{00000000-0005-0000-0000-0000D5030000}"/>
    <cellStyle name="集計 8" xfId="941" xr:uid="{00000000-0005-0000-0000-0000D6030000}"/>
    <cellStyle name="集計 9" xfId="942" xr:uid="{00000000-0005-0000-0000-0000D7030000}"/>
    <cellStyle name="出力" xfId="1947" builtinId="21" customBuiltin="1"/>
    <cellStyle name="出力 2" xfId="943" xr:uid="{00000000-0005-0000-0000-0000D9030000}"/>
    <cellStyle name="出力 2 2" xfId="944" xr:uid="{00000000-0005-0000-0000-0000DA030000}"/>
    <cellStyle name="出力 2 2 2" xfId="945" xr:uid="{00000000-0005-0000-0000-0000DB030000}"/>
    <cellStyle name="出力 2 2 2 2" xfId="946" xr:uid="{00000000-0005-0000-0000-0000DC030000}"/>
    <cellStyle name="出力 2 2 2 2 2" xfId="947" xr:uid="{00000000-0005-0000-0000-0000DD030000}"/>
    <cellStyle name="出力 2 2 2 3" xfId="948" xr:uid="{00000000-0005-0000-0000-0000DE030000}"/>
    <cellStyle name="出力 2 2 2 3 2" xfId="949" xr:uid="{00000000-0005-0000-0000-0000DF030000}"/>
    <cellStyle name="出力 2 2 2 4" xfId="950" xr:uid="{00000000-0005-0000-0000-0000E0030000}"/>
    <cellStyle name="出力 2 2 2 4 2" xfId="951" xr:uid="{00000000-0005-0000-0000-0000E1030000}"/>
    <cellStyle name="出力 2 2 2 5" xfId="952" xr:uid="{00000000-0005-0000-0000-0000E2030000}"/>
    <cellStyle name="出力 2 2 2 5 2" xfId="953" xr:uid="{00000000-0005-0000-0000-0000E3030000}"/>
    <cellStyle name="出力 2 2 2 6" xfId="954" xr:uid="{00000000-0005-0000-0000-0000E4030000}"/>
    <cellStyle name="出力 2 2 2 6 2" xfId="955" xr:uid="{00000000-0005-0000-0000-0000E5030000}"/>
    <cellStyle name="出力 2 2 2 7" xfId="956" xr:uid="{00000000-0005-0000-0000-0000E6030000}"/>
    <cellStyle name="出力 2 2 3" xfId="957" xr:uid="{00000000-0005-0000-0000-0000E7030000}"/>
    <cellStyle name="出力 2 2 3 2" xfId="958" xr:uid="{00000000-0005-0000-0000-0000E8030000}"/>
    <cellStyle name="出力 2 3" xfId="959" xr:uid="{00000000-0005-0000-0000-0000E9030000}"/>
    <cellStyle name="出力 2 3 2" xfId="960" xr:uid="{00000000-0005-0000-0000-0000EA030000}"/>
    <cellStyle name="出力 2 3 2 2" xfId="961" xr:uid="{00000000-0005-0000-0000-0000EB030000}"/>
    <cellStyle name="出力 2 3 3" xfId="962" xr:uid="{00000000-0005-0000-0000-0000EC030000}"/>
    <cellStyle name="出力 2 3 3 2" xfId="963" xr:uid="{00000000-0005-0000-0000-0000ED030000}"/>
    <cellStyle name="出力 2 3 4" xfId="964" xr:uid="{00000000-0005-0000-0000-0000EE030000}"/>
    <cellStyle name="出力 2 3 4 2" xfId="965" xr:uid="{00000000-0005-0000-0000-0000EF030000}"/>
    <cellStyle name="出力 2 3 5" xfId="966" xr:uid="{00000000-0005-0000-0000-0000F0030000}"/>
    <cellStyle name="出力 2 3 5 2" xfId="967" xr:uid="{00000000-0005-0000-0000-0000F1030000}"/>
    <cellStyle name="出力 2 3 6" xfId="968" xr:uid="{00000000-0005-0000-0000-0000F2030000}"/>
    <cellStyle name="出力 2 3 6 2" xfId="969" xr:uid="{00000000-0005-0000-0000-0000F3030000}"/>
    <cellStyle name="出力 2 3 7" xfId="970" xr:uid="{00000000-0005-0000-0000-0000F4030000}"/>
    <cellStyle name="出力 2 4" xfId="971" xr:uid="{00000000-0005-0000-0000-0000F5030000}"/>
    <cellStyle name="出力 2 4 2" xfId="972" xr:uid="{00000000-0005-0000-0000-0000F6030000}"/>
    <cellStyle name="出力 3" xfId="973" xr:uid="{00000000-0005-0000-0000-0000F7030000}"/>
    <cellStyle name="出力 3 2" xfId="974" xr:uid="{00000000-0005-0000-0000-0000F8030000}"/>
    <cellStyle name="出力 3 2 2" xfId="975" xr:uid="{00000000-0005-0000-0000-0000F9030000}"/>
    <cellStyle name="出力 3 2 2 2" xfId="976" xr:uid="{00000000-0005-0000-0000-0000FA030000}"/>
    <cellStyle name="出力 3 2 3" xfId="977" xr:uid="{00000000-0005-0000-0000-0000FB030000}"/>
    <cellStyle name="出力 3 2 3 2" xfId="978" xr:uid="{00000000-0005-0000-0000-0000FC030000}"/>
    <cellStyle name="出力 3 2 4" xfId="979" xr:uid="{00000000-0005-0000-0000-0000FD030000}"/>
    <cellStyle name="出力 3 2 4 2" xfId="980" xr:uid="{00000000-0005-0000-0000-0000FE030000}"/>
    <cellStyle name="出力 3 2 5" xfId="981" xr:uid="{00000000-0005-0000-0000-0000FF030000}"/>
    <cellStyle name="出力 3 2 5 2" xfId="982" xr:uid="{00000000-0005-0000-0000-000000040000}"/>
    <cellStyle name="出力 3 2 6" xfId="983" xr:uid="{00000000-0005-0000-0000-000001040000}"/>
    <cellStyle name="出力 3 2 6 2" xfId="984" xr:uid="{00000000-0005-0000-0000-000002040000}"/>
    <cellStyle name="出力 3 2 7" xfId="985" xr:uid="{00000000-0005-0000-0000-000003040000}"/>
    <cellStyle name="出力 3 3" xfId="986" xr:uid="{00000000-0005-0000-0000-000004040000}"/>
    <cellStyle name="出力 3 3 2" xfId="987" xr:uid="{00000000-0005-0000-0000-000005040000}"/>
    <cellStyle name="出力 3 4" xfId="988" xr:uid="{00000000-0005-0000-0000-000006040000}"/>
    <cellStyle name="出力 4" xfId="989" xr:uid="{00000000-0005-0000-0000-000007040000}"/>
    <cellStyle name="出力 4 2" xfId="990" xr:uid="{00000000-0005-0000-0000-000008040000}"/>
    <cellStyle name="出力 4 2 2" xfId="991" xr:uid="{00000000-0005-0000-0000-000009040000}"/>
    <cellStyle name="出力 4 3" xfId="992" xr:uid="{00000000-0005-0000-0000-00000A040000}"/>
    <cellStyle name="出力 4 3 2" xfId="993" xr:uid="{00000000-0005-0000-0000-00000B040000}"/>
    <cellStyle name="出力 4 4" xfId="994" xr:uid="{00000000-0005-0000-0000-00000C040000}"/>
    <cellStyle name="出力 4 4 2" xfId="995" xr:uid="{00000000-0005-0000-0000-00000D040000}"/>
    <cellStyle name="出力 4 5" xfId="996" xr:uid="{00000000-0005-0000-0000-00000E040000}"/>
    <cellStyle name="出力 4 5 2" xfId="997" xr:uid="{00000000-0005-0000-0000-00000F040000}"/>
    <cellStyle name="出力 4 6" xfId="998" xr:uid="{00000000-0005-0000-0000-000010040000}"/>
    <cellStyle name="出力 4 6 2" xfId="999" xr:uid="{00000000-0005-0000-0000-000011040000}"/>
    <cellStyle name="出力 4 7" xfId="1000" xr:uid="{00000000-0005-0000-0000-000012040000}"/>
    <cellStyle name="出力 5" xfId="1001" xr:uid="{00000000-0005-0000-0000-000013040000}"/>
    <cellStyle name="出力 6" xfId="1002" xr:uid="{00000000-0005-0000-0000-000014040000}"/>
    <cellStyle name="出力 7" xfId="1003" xr:uid="{00000000-0005-0000-0000-000015040000}"/>
    <cellStyle name="出力 8" xfId="1004" xr:uid="{00000000-0005-0000-0000-000016040000}"/>
    <cellStyle name="出力 9" xfId="1005" xr:uid="{00000000-0005-0000-0000-000017040000}"/>
    <cellStyle name="人月" xfId="1006" xr:uid="{00000000-0005-0000-0000-000018040000}"/>
    <cellStyle name="説明文" xfId="1952" builtinId="53" customBuiltin="1"/>
    <cellStyle name="説明文 2" xfId="1007" xr:uid="{00000000-0005-0000-0000-00001A040000}"/>
    <cellStyle name="説明文 3" xfId="1008" xr:uid="{00000000-0005-0000-0000-00001B040000}"/>
    <cellStyle name="説明文 4" xfId="1009" xr:uid="{00000000-0005-0000-0000-00001C040000}"/>
    <cellStyle name="説明文 5" xfId="1010" xr:uid="{00000000-0005-0000-0000-00001D040000}"/>
    <cellStyle name="説明文 6" xfId="1011" xr:uid="{00000000-0005-0000-0000-00001E040000}"/>
    <cellStyle name="説明文 7" xfId="1012" xr:uid="{00000000-0005-0000-0000-00001F040000}"/>
    <cellStyle name="説明文 8" xfId="1013" xr:uid="{00000000-0005-0000-0000-000020040000}"/>
    <cellStyle name="説明文 9" xfId="1014" xr:uid="{00000000-0005-0000-0000-000021040000}"/>
    <cellStyle name="脱浦 [0.00]_laroux" xfId="1015" xr:uid="{00000000-0005-0000-0000-000022040000}"/>
    <cellStyle name="脱浦_laroux" xfId="1016" xr:uid="{00000000-0005-0000-0000-000023040000}"/>
    <cellStyle name="通貨 [0.00" xfId="1017" xr:uid="{00000000-0005-0000-0000-000024040000}"/>
    <cellStyle name="通貨 [0.00 2" xfId="1018" xr:uid="{00000000-0005-0000-0000-000025040000}"/>
    <cellStyle name="通貨 [0.00 3" xfId="1019" xr:uid="{00000000-0005-0000-0000-000026040000}"/>
    <cellStyle name="通貨 [0.00 4" xfId="1020" xr:uid="{00000000-0005-0000-0000-000027040000}"/>
    <cellStyle name="通貨 [0.00 5" xfId="1021" xr:uid="{00000000-0005-0000-0000-000028040000}"/>
    <cellStyle name="通貨 [0.00 6" xfId="1022" xr:uid="{00000000-0005-0000-0000-000029040000}"/>
    <cellStyle name="通貨 2" xfId="1023" xr:uid="{00000000-0005-0000-0000-00002A040000}"/>
    <cellStyle name="通貨 2 2" xfId="1024" xr:uid="{00000000-0005-0000-0000-00002B040000}"/>
    <cellStyle name="通貨 2 2 2" xfId="1025" xr:uid="{00000000-0005-0000-0000-00002C040000}"/>
    <cellStyle name="通貨 2 2 3" xfId="1026" xr:uid="{00000000-0005-0000-0000-00002D040000}"/>
    <cellStyle name="通貨 2 3" xfId="1027" xr:uid="{00000000-0005-0000-0000-00002E040000}"/>
    <cellStyle name="通貨 2 4" xfId="1028" xr:uid="{00000000-0005-0000-0000-00002F040000}"/>
    <cellStyle name="通貨 2 5" xfId="1029" xr:uid="{00000000-0005-0000-0000-000030040000}"/>
    <cellStyle name="通貨 3" xfId="1030" xr:uid="{00000000-0005-0000-0000-000031040000}"/>
    <cellStyle name="入力" xfId="1946" builtinId="20" customBuiltin="1"/>
    <cellStyle name="入力 2" xfId="1031" xr:uid="{00000000-0005-0000-0000-000033040000}"/>
    <cellStyle name="入力 2 2" xfId="1032" xr:uid="{00000000-0005-0000-0000-000034040000}"/>
    <cellStyle name="入力 2 2 2" xfId="1033" xr:uid="{00000000-0005-0000-0000-000035040000}"/>
    <cellStyle name="入力 2 2 2 2" xfId="1034" xr:uid="{00000000-0005-0000-0000-000036040000}"/>
    <cellStyle name="入力 2 2 2 2 2" xfId="1035" xr:uid="{00000000-0005-0000-0000-000037040000}"/>
    <cellStyle name="入力 2 2 2 3" xfId="1036" xr:uid="{00000000-0005-0000-0000-000038040000}"/>
    <cellStyle name="入力 2 2 2 3 2" xfId="1037" xr:uid="{00000000-0005-0000-0000-000039040000}"/>
    <cellStyle name="入力 2 2 2 4" xfId="1038" xr:uid="{00000000-0005-0000-0000-00003A040000}"/>
    <cellStyle name="入力 2 2 2 4 2" xfId="1039" xr:uid="{00000000-0005-0000-0000-00003B040000}"/>
    <cellStyle name="入力 2 2 2 5" xfId="1040" xr:uid="{00000000-0005-0000-0000-00003C040000}"/>
    <cellStyle name="入力 2 2 2 5 2" xfId="1041" xr:uid="{00000000-0005-0000-0000-00003D040000}"/>
    <cellStyle name="入力 2 2 2 6" xfId="1042" xr:uid="{00000000-0005-0000-0000-00003E040000}"/>
    <cellStyle name="入力 2 2 2 6 2" xfId="1043" xr:uid="{00000000-0005-0000-0000-00003F040000}"/>
    <cellStyle name="入力 2 2 2 7" xfId="1044" xr:uid="{00000000-0005-0000-0000-000040040000}"/>
    <cellStyle name="入力 2 2 3" xfId="1045" xr:uid="{00000000-0005-0000-0000-000041040000}"/>
    <cellStyle name="入力 2 2 3 2" xfId="1046" xr:uid="{00000000-0005-0000-0000-000042040000}"/>
    <cellStyle name="入力 2 2 4" xfId="1047" xr:uid="{00000000-0005-0000-0000-000043040000}"/>
    <cellStyle name="入力 2 3" xfId="1048" xr:uid="{00000000-0005-0000-0000-000044040000}"/>
    <cellStyle name="入力 2 3 2" xfId="1049" xr:uid="{00000000-0005-0000-0000-000045040000}"/>
    <cellStyle name="入力 2 3 2 2" xfId="1050" xr:uid="{00000000-0005-0000-0000-000046040000}"/>
    <cellStyle name="入力 2 3 3" xfId="1051" xr:uid="{00000000-0005-0000-0000-000047040000}"/>
    <cellStyle name="入力 2 3 3 2" xfId="1052" xr:uid="{00000000-0005-0000-0000-000048040000}"/>
    <cellStyle name="入力 2 3 4" xfId="1053" xr:uid="{00000000-0005-0000-0000-000049040000}"/>
    <cellStyle name="入力 2 3 4 2" xfId="1054" xr:uid="{00000000-0005-0000-0000-00004A040000}"/>
    <cellStyle name="入力 2 3 5" xfId="1055" xr:uid="{00000000-0005-0000-0000-00004B040000}"/>
    <cellStyle name="入力 2 3 5 2" xfId="1056" xr:uid="{00000000-0005-0000-0000-00004C040000}"/>
    <cellStyle name="入力 2 3 6" xfId="1057" xr:uid="{00000000-0005-0000-0000-00004D040000}"/>
    <cellStyle name="入力 2 3 6 2" xfId="1058" xr:uid="{00000000-0005-0000-0000-00004E040000}"/>
    <cellStyle name="入力 2 3 7" xfId="1059" xr:uid="{00000000-0005-0000-0000-00004F040000}"/>
    <cellStyle name="入力 2 4" xfId="1060" xr:uid="{00000000-0005-0000-0000-000050040000}"/>
    <cellStyle name="入力 2 4 2" xfId="1061" xr:uid="{00000000-0005-0000-0000-000051040000}"/>
    <cellStyle name="入力 2 5" xfId="1062" xr:uid="{00000000-0005-0000-0000-000052040000}"/>
    <cellStyle name="入力 3" xfId="1063" xr:uid="{00000000-0005-0000-0000-000053040000}"/>
    <cellStyle name="入力 3 2" xfId="1064" xr:uid="{00000000-0005-0000-0000-000054040000}"/>
    <cellStyle name="入力 3 2 2" xfId="1065" xr:uid="{00000000-0005-0000-0000-000055040000}"/>
    <cellStyle name="入力 3 2 2 2" xfId="1066" xr:uid="{00000000-0005-0000-0000-000056040000}"/>
    <cellStyle name="入力 3 2 3" xfId="1067" xr:uid="{00000000-0005-0000-0000-000057040000}"/>
    <cellStyle name="入力 3 2 3 2" xfId="1068" xr:uid="{00000000-0005-0000-0000-000058040000}"/>
    <cellStyle name="入力 3 2 4" xfId="1069" xr:uid="{00000000-0005-0000-0000-000059040000}"/>
    <cellStyle name="入力 3 2 4 2" xfId="1070" xr:uid="{00000000-0005-0000-0000-00005A040000}"/>
    <cellStyle name="入力 3 2 5" xfId="1071" xr:uid="{00000000-0005-0000-0000-00005B040000}"/>
    <cellStyle name="入力 3 2 5 2" xfId="1072" xr:uid="{00000000-0005-0000-0000-00005C040000}"/>
    <cellStyle name="入力 3 2 6" xfId="1073" xr:uid="{00000000-0005-0000-0000-00005D040000}"/>
    <cellStyle name="入力 3 2 6 2" xfId="1074" xr:uid="{00000000-0005-0000-0000-00005E040000}"/>
    <cellStyle name="入力 3 2 7" xfId="1075" xr:uid="{00000000-0005-0000-0000-00005F040000}"/>
    <cellStyle name="入力 3 3" xfId="1076" xr:uid="{00000000-0005-0000-0000-000060040000}"/>
    <cellStyle name="入力 3 3 2" xfId="1077" xr:uid="{00000000-0005-0000-0000-000061040000}"/>
    <cellStyle name="入力 3 4" xfId="1078" xr:uid="{00000000-0005-0000-0000-000062040000}"/>
    <cellStyle name="入力 4" xfId="1079" xr:uid="{00000000-0005-0000-0000-000063040000}"/>
    <cellStyle name="入力 4 2" xfId="1080" xr:uid="{00000000-0005-0000-0000-000064040000}"/>
    <cellStyle name="入力 4 2 2" xfId="1081" xr:uid="{00000000-0005-0000-0000-000065040000}"/>
    <cellStyle name="入力 4 3" xfId="1082" xr:uid="{00000000-0005-0000-0000-000066040000}"/>
    <cellStyle name="入力 4 3 2" xfId="1083" xr:uid="{00000000-0005-0000-0000-000067040000}"/>
    <cellStyle name="入力 4 4" xfId="1084" xr:uid="{00000000-0005-0000-0000-000068040000}"/>
    <cellStyle name="入力 4 4 2" xfId="1085" xr:uid="{00000000-0005-0000-0000-000069040000}"/>
    <cellStyle name="入力 4 5" xfId="1086" xr:uid="{00000000-0005-0000-0000-00006A040000}"/>
    <cellStyle name="入力 4 5 2" xfId="1087" xr:uid="{00000000-0005-0000-0000-00006B040000}"/>
    <cellStyle name="入力 4 6" xfId="1088" xr:uid="{00000000-0005-0000-0000-00006C040000}"/>
    <cellStyle name="入力 4 6 2" xfId="1089" xr:uid="{00000000-0005-0000-0000-00006D040000}"/>
    <cellStyle name="入力 4 7" xfId="1090" xr:uid="{00000000-0005-0000-0000-00006E040000}"/>
    <cellStyle name="入力 5" xfId="1091" xr:uid="{00000000-0005-0000-0000-00006F040000}"/>
    <cellStyle name="入力 6" xfId="1092" xr:uid="{00000000-0005-0000-0000-000070040000}"/>
    <cellStyle name="入力 7" xfId="1093" xr:uid="{00000000-0005-0000-0000-000071040000}"/>
    <cellStyle name="入力 8" xfId="1094" xr:uid="{00000000-0005-0000-0000-000072040000}"/>
    <cellStyle name="入力 9" xfId="1095" xr:uid="{00000000-0005-0000-0000-000073040000}"/>
    <cellStyle name="標準" xfId="0" builtinId="0"/>
    <cellStyle name="標準 10" xfId="1096" xr:uid="{00000000-0005-0000-0000-000075040000}"/>
    <cellStyle name="標準 10 2" xfId="1097" xr:uid="{00000000-0005-0000-0000-000076040000}"/>
    <cellStyle name="標準 10 3" xfId="14" xr:uid="{00000000-0005-0000-0000-000077040000}"/>
    <cellStyle name="標準 10 4" xfId="1098" xr:uid="{00000000-0005-0000-0000-000078040000}"/>
    <cellStyle name="標準 10 5" xfId="1099" xr:uid="{00000000-0005-0000-0000-000079040000}"/>
    <cellStyle name="標準 100" xfId="1100" xr:uid="{00000000-0005-0000-0000-00007A040000}"/>
    <cellStyle name="標準 100 2" xfId="1101" xr:uid="{00000000-0005-0000-0000-00007B040000}"/>
    <cellStyle name="標準 100 2 2" xfId="1102" xr:uid="{00000000-0005-0000-0000-00007C040000}"/>
    <cellStyle name="標準 100 2 2 2" xfId="1103" xr:uid="{00000000-0005-0000-0000-00007D040000}"/>
    <cellStyle name="標準 100 2 2 3" xfId="1104" xr:uid="{00000000-0005-0000-0000-00007E040000}"/>
    <cellStyle name="標準 100 2 2 4" xfId="1105" xr:uid="{00000000-0005-0000-0000-00007F040000}"/>
    <cellStyle name="標準 100 2 3" xfId="1106" xr:uid="{00000000-0005-0000-0000-000080040000}"/>
    <cellStyle name="標準 100 2 4" xfId="1107" xr:uid="{00000000-0005-0000-0000-000081040000}"/>
    <cellStyle name="標準 100 2 5" xfId="1108" xr:uid="{00000000-0005-0000-0000-000082040000}"/>
    <cellStyle name="標準 100 3" xfId="1109" xr:uid="{00000000-0005-0000-0000-000083040000}"/>
    <cellStyle name="標準 100 3 2" xfId="1110" xr:uid="{00000000-0005-0000-0000-000084040000}"/>
    <cellStyle name="標準 100 3 3" xfId="1111" xr:uid="{00000000-0005-0000-0000-000085040000}"/>
    <cellStyle name="標準 100 3 4" xfId="1112" xr:uid="{00000000-0005-0000-0000-000086040000}"/>
    <cellStyle name="標準 100 4" xfId="1113" xr:uid="{00000000-0005-0000-0000-000087040000}"/>
    <cellStyle name="標準 100 5" xfId="1114" xr:uid="{00000000-0005-0000-0000-000088040000}"/>
    <cellStyle name="標準 100 6" xfId="1115" xr:uid="{00000000-0005-0000-0000-000089040000}"/>
    <cellStyle name="標準 101" xfId="1116" xr:uid="{00000000-0005-0000-0000-00008A040000}"/>
    <cellStyle name="標準 102" xfId="1117" xr:uid="{00000000-0005-0000-0000-00008B040000}"/>
    <cellStyle name="標準 102 2" xfId="1118" xr:uid="{00000000-0005-0000-0000-00008C040000}"/>
    <cellStyle name="標準 102 2 2" xfId="1119" xr:uid="{00000000-0005-0000-0000-00008D040000}"/>
    <cellStyle name="標準 102 2 3" xfId="1120" xr:uid="{00000000-0005-0000-0000-00008E040000}"/>
    <cellStyle name="標準 102 2 4" xfId="1121" xr:uid="{00000000-0005-0000-0000-00008F040000}"/>
    <cellStyle name="標準 102 3" xfId="1122" xr:uid="{00000000-0005-0000-0000-000090040000}"/>
    <cellStyle name="標準 102 4" xfId="1123" xr:uid="{00000000-0005-0000-0000-000091040000}"/>
    <cellStyle name="標準 102 5" xfId="1124" xr:uid="{00000000-0005-0000-0000-000092040000}"/>
    <cellStyle name="標準 103" xfId="1125" xr:uid="{00000000-0005-0000-0000-000093040000}"/>
    <cellStyle name="標準 104" xfId="1126" xr:uid="{00000000-0005-0000-0000-000094040000}"/>
    <cellStyle name="標準 104 2" xfId="1127" xr:uid="{00000000-0005-0000-0000-000095040000}"/>
    <cellStyle name="標準 104 3" xfId="1128" xr:uid="{00000000-0005-0000-0000-000096040000}"/>
    <cellStyle name="標準 104 4" xfId="1129" xr:uid="{00000000-0005-0000-0000-000097040000}"/>
    <cellStyle name="標準 105" xfId="1130" xr:uid="{00000000-0005-0000-0000-000098040000}"/>
    <cellStyle name="標準 106" xfId="1131" xr:uid="{00000000-0005-0000-0000-000099040000}"/>
    <cellStyle name="標準 107" xfId="1132" xr:uid="{00000000-0005-0000-0000-00009A040000}"/>
    <cellStyle name="標準 108" xfId="1133" xr:uid="{00000000-0005-0000-0000-00009B040000}"/>
    <cellStyle name="標準 109" xfId="1134" xr:uid="{00000000-0005-0000-0000-00009C040000}"/>
    <cellStyle name="標準 11" xfId="1135" xr:uid="{00000000-0005-0000-0000-00009D040000}"/>
    <cellStyle name="標準 11 2" xfId="1136" xr:uid="{00000000-0005-0000-0000-00009E040000}"/>
    <cellStyle name="標準 11 3" xfId="1137" xr:uid="{00000000-0005-0000-0000-00009F040000}"/>
    <cellStyle name="標準 110" xfId="1138" xr:uid="{00000000-0005-0000-0000-0000A0040000}"/>
    <cellStyle name="標準 111" xfId="1139" xr:uid="{00000000-0005-0000-0000-0000A1040000}"/>
    <cellStyle name="標準 112" xfId="1140" xr:uid="{00000000-0005-0000-0000-0000A2040000}"/>
    <cellStyle name="標準 113" xfId="1141" xr:uid="{00000000-0005-0000-0000-0000A3040000}"/>
    <cellStyle name="標準 114" xfId="1142" xr:uid="{00000000-0005-0000-0000-0000A4040000}"/>
    <cellStyle name="標準 115" xfId="1143" xr:uid="{00000000-0005-0000-0000-0000A5040000}"/>
    <cellStyle name="標準 116" xfId="1144" xr:uid="{00000000-0005-0000-0000-0000A6040000}"/>
    <cellStyle name="標準 117" xfId="1145" xr:uid="{00000000-0005-0000-0000-0000A7040000}"/>
    <cellStyle name="標準 118" xfId="1146" xr:uid="{00000000-0005-0000-0000-0000A8040000}"/>
    <cellStyle name="標準 119" xfId="1147" xr:uid="{00000000-0005-0000-0000-0000A9040000}"/>
    <cellStyle name="標準 12" xfId="1148" xr:uid="{00000000-0005-0000-0000-0000AA040000}"/>
    <cellStyle name="標準 12 2" xfId="1149" xr:uid="{00000000-0005-0000-0000-0000AB040000}"/>
    <cellStyle name="標準 12 2 2" xfId="1150" xr:uid="{00000000-0005-0000-0000-0000AC040000}"/>
    <cellStyle name="標準 12 2 3" xfId="1151" xr:uid="{00000000-0005-0000-0000-0000AD040000}"/>
    <cellStyle name="標準 12 3" xfId="1152" xr:uid="{00000000-0005-0000-0000-0000AE040000}"/>
    <cellStyle name="標準 12 3 2" xfId="1153" xr:uid="{00000000-0005-0000-0000-0000AF040000}"/>
    <cellStyle name="標準 12 3 3" xfId="1154" xr:uid="{00000000-0005-0000-0000-0000B0040000}"/>
    <cellStyle name="標準 120" xfId="1155" xr:uid="{00000000-0005-0000-0000-0000B1040000}"/>
    <cellStyle name="標準 121" xfId="1156" xr:uid="{00000000-0005-0000-0000-0000B2040000}"/>
    <cellStyle name="標準 122" xfId="1157" xr:uid="{00000000-0005-0000-0000-0000B3040000}"/>
    <cellStyle name="標準 123" xfId="1158" xr:uid="{00000000-0005-0000-0000-0000B4040000}"/>
    <cellStyle name="標準 124" xfId="1159" xr:uid="{00000000-0005-0000-0000-0000B5040000}"/>
    <cellStyle name="標準 125" xfId="1160" xr:uid="{00000000-0005-0000-0000-0000B6040000}"/>
    <cellStyle name="標準 126" xfId="1161" xr:uid="{00000000-0005-0000-0000-0000B7040000}"/>
    <cellStyle name="標準 127" xfId="1162" xr:uid="{00000000-0005-0000-0000-0000B8040000}"/>
    <cellStyle name="標準 128" xfId="1163" xr:uid="{00000000-0005-0000-0000-0000B9040000}"/>
    <cellStyle name="標準 129" xfId="1164" xr:uid="{00000000-0005-0000-0000-0000BA040000}"/>
    <cellStyle name="標準 13" xfId="1165" xr:uid="{00000000-0005-0000-0000-0000BB040000}"/>
    <cellStyle name="標準 13 2" xfId="1166" xr:uid="{00000000-0005-0000-0000-0000BC040000}"/>
    <cellStyle name="標準 13 3" xfId="1167" xr:uid="{00000000-0005-0000-0000-0000BD040000}"/>
    <cellStyle name="標準 13 4" xfId="1168" xr:uid="{00000000-0005-0000-0000-0000BE040000}"/>
    <cellStyle name="標準 13 5" xfId="1169" xr:uid="{00000000-0005-0000-0000-0000BF040000}"/>
    <cellStyle name="標準 130" xfId="1170" xr:uid="{00000000-0005-0000-0000-0000C0040000}"/>
    <cellStyle name="標準 131" xfId="1171" xr:uid="{00000000-0005-0000-0000-0000C1040000}"/>
    <cellStyle name="標準 132" xfId="1937" xr:uid="{00000000-0005-0000-0000-0000C2040000}"/>
    <cellStyle name="標準 133" xfId="1978" xr:uid="{00000000-0005-0000-0000-0000C3040000}"/>
    <cellStyle name="標準 133 2" xfId="1993" xr:uid="{00000000-0005-0000-0000-0000C4040000}"/>
    <cellStyle name="標準 136" xfId="1172" xr:uid="{00000000-0005-0000-0000-0000C5040000}"/>
    <cellStyle name="標準 14" xfId="1173" xr:uid="{00000000-0005-0000-0000-0000C6040000}"/>
    <cellStyle name="標準 14 2" xfId="1174" xr:uid="{00000000-0005-0000-0000-0000C7040000}"/>
    <cellStyle name="標準 14 2 2" xfId="1175" xr:uid="{00000000-0005-0000-0000-0000C8040000}"/>
    <cellStyle name="標準 14 2 3" xfId="1176" xr:uid="{00000000-0005-0000-0000-0000C9040000}"/>
    <cellStyle name="標準 14 3" xfId="1177" xr:uid="{00000000-0005-0000-0000-0000CA040000}"/>
    <cellStyle name="標準 14 4" xfId="1178" xr:uid="{00000000-0005-0000-0000-0000CB040000}"/>
    <cellStyle name="標準 15" xfId="1179" xr:uid="{00000000-0005-0000-0000-0000CC040000}"/>
    <cellStyle name="標準 15 2" xfId="1180" xr:uid="{00000000-0005-0000-0000-0000CD040000}"/>
    <cellStyle name="標準 15 2 2" xfId="1181" xr:uid="{00000000-0005-0000-0000-0000CE040000}"/>
    <cellStyle name="標準 15 2 3" xfId="1182" xr:uid="{00000000-0005-0000-0000-0000CF040000}"/>
    <cellStyle name="標準 15 3" xfId="1183" xr:uid="{00000000-0005-0000-0000-0000D0040000}"/>
    <cellStyle name="標準 15 4" xfId="1184" xr:uid="{00000000-0005-0000-0000-0000D1040000}"/>
    <cellStyle name="標準 15 5" xfId="1185" xr:uid="{00000000-0005-0000-0000-0000D2040000}"/>
    <cellStyle name="標準 15 6" xfId="1186" xr:uid="{00000000-0005-0000-0000-0000D3040000}"/>
    <cellStyle name="標準 16" xfId="1187" xr:uid="{00000000-0005-0000-0000-0000D4040000}"/>
    <cellStyle name="標準 16 2" xfId="1188" xr:uid="{00000000-0005-0000-0000-0000D5040000}"/>
    <cellStyle name="標準 16 2 2" xfId="1189" xr:uid="{00000000-0005-0000-0000-0000D6040000}"/>
    <cellStyle name="標準 16 2 3" xfId="1190" xr:uid="{00000000-0005-0000-0000-0000D7040000}"/>
    <cellStyle name="標準 16 3" xfId="1191" xr:uid="{00000000-0005-0000-0000-0000D8040000}"/>
    <cellStyle name="標準 16 4" xfId="1192" xr:uid="{00000000-0005-0000-0000-0000D9040000}"/>
    <cellStyle name="標準 16 5" xfId="1193" xr:uid="{00000000-0005-0000-0000-0000DA040000}"/>
    <cellStyle name="標準 17" xfId="1194" xr:uid="{00000000-0005-0000-0000-0000DB040000}"/>
    <cellStyle name="標準 17 2" xfId="1195" xr:uid="{00000000-0005-0000-0000-0000DC040000}"/>
    <cellStyle name="標準 17 2 2" xfId="1196" xr:uid="{00000000-0005-0000-0000-0000DD040000}"/>
    <cellStyle name="標準 17 2 3" xfId="1197" xr:uid="{00000000-0005-0000-0000-0000DE040000}"/>
    <cellStyle name="標準 17 3" xfId="1198" xr:uid="{00000000-0005-0000-0000-0000DF040000}"/>
    <cellStyle name="標準 17 4" xfId="1199" xr:uid="{00000000-0005-0000-0000-0000E0040000}"/>
    <cellStyle name="標準 17 5" xfId="1200" xr:uid="{00000000-0005-0000-0000-0000E1040000}"/>
    <cellStyle name="標準 18" xfId="1201" xr:uid="{00000000-0005-0000-0000-0000E2040000}"/>
    <cellStyle name="標準 18 2" xfId="1202" xr:uid="{00000000-0005-0000-0000-0000E3040000}"/>
    <cellStyle name="標準 18 2 2" xfId="1203" xr:uid="{00000000-0005-0000-0000-0000E4040000}"/>
    <cellStyle name="標準 18 2 3" xfId="1204" xr:uid="{00000000-0005-0000-0000-0000E5040000}"/>
    <cellStyle name="標準 18 2 4" xfId="1205" xr:uid="{00000000-0005-0000-0000-0000E6040000}"/>
    <cellStyle name="標準 18 3" xfId="1206" xr:uid="{00000000-0005-0000-0000-0000E7040000}"/>
    <cellStyle name="標準 18 4" xfId="1207" xr:uid="{00000000-0005-0000-0000-0000E8040000}"/>
    <cellStyle name="標準 18 5" xfId="1208" xr:uid="{00000000-0005-0000-0000-0000E9040000}"/>
    <cellStyle name="標準 18 6" xfId="1209" xr:uid="{00000000-0005-0000-0000-0000EA040000}"/>
    <cellStyle name="標準 19" xfId="1210" xr:uid="{00000000-0005-0000-0000-0000EB040000}"/>
    <cellStyle name="標準 19 2" xfId="1211" xr:uid="{00000000-0005-0000-0000-0000EC040000}"/>
    <cellStyle name="標準 19 3" xfId="1212" xr:uid="{00000000-0005-0000-0000-0000ED040000}"/>
    <cellStyle name="標準 2" xfId="9" xr:uid="{00000000-0005-0000-0000-0000EE040000}"/>
    <cellStyle name="標準 2 10" xfId="1213" xr:uid="{00000000-0005-0000-0000-0000EF040000}"/>
    <cellStyle name="標準 2 11" xfId="1214" xr:uid="{00000000-0005-0000-0000-0000F0040000}"/>
    <cellStyle name="標準 2 12" xfId="1215" xr:uid="{00000000-0005-0000-0000-0000F1040000}"/>
    <cellStyle name="標準 2 13" xfId="1216" xr:uid="{00000000-0005-0000-0000-0000F2040000}"/>
    <cellStyle name="標準 2 2" xfId="10" xr:uid="{00000000-0005-0000-0000-0000F3040000}"/>
    <cellStyle name="標準 2 2 2" xfId="1217" xr:uid="{00000000-0005-0000-0000-0000F4040000}"/>
    <cellStyle name="標準 2 2 2 2" xfId="1218" xr:uid="{00000000-0005-0000-0000-0000F5040000}"/>
    <cellStyle name="標準 2 2 2 2 2" xfId="1219" xr:uid="{00000000-0005-0000-0000-0000F6040000}"/>
    <cellStyle name="標準 2 2 2 2 3" xfId="1220" xr:uid="{00000000-0005-0000-0000-0000F7040000}"/>
    <cellStyle name="標準 2 2 2 3" xfId="1221" xr:uid="{00000000-0005-0000-0000-0000F8040000}"/>
    <cellStyle name="標準 2 2 3" xfId="1222" xr:uid="{00000000-0005-0000-0000-0000F9040000}"/>
    <cellStyle name="標準 2 2 3 2" xfId="1223" xr:uid="{00000000-0005-0000-0000-0000FA040000}"/>
    <cellStyle name="標準 2 2 3 3" xfId="1224" xr:uid="{00000000-0005-0000-0000-0000FB040000}"/>
    <cellStyle name="標準 2 2 4" xfId="1225" xr:uid="{00000000-0005-0000-0000-0000FC040000}"/>
    <cellStyle name="標準 2 2 4 2" xfId="1226" xr:uid="{00000000-0005-0000-0000-0000FD040000}"/>
    <cellStyle name="標準 2 2 4 3" xfId="1227" xr:uid="{00000000-0005-0000-0000-0000FE040000}"/>
    <cellStyle name="標準 2 2 5" xfId="1228" xr:uid="{00000000-0005-0000-0000-0000FF040000}"/>
    <cellStyle name="標準 2 2 5 2" xfId="1229" xr:uid="{00000000-0005-0000-0000-000000050000}"/>
    <cellStyle name="標準 2 2 5 3" xfId="1230" xr:uid="{00000000-0005-0000-0000-000001050000}"/>
    <cellStyle name="標準 2 2 6" xfId="1231" xr:uid="{00000000-0005-0000-0000-000002050000}"/>
    <cellStyle name="標準 2 2 6 2" xfId="1232" xr:uid="{00000000-0005-0000-0000-000003050000}"/>
    <cellStyle name="標準 2 2 6 3" xfId="1233" xr:uid="{00000000-0005-0000-0000-000004050000}"/>
    <cellStyle name="標準 2 2 7" xfId="1234" xr:uid="{00000000-0005-0000-0000-000005050000}"/>
    <cellStyle name="標準 2 2 8" xfId="1235" xr:uid="{00000000-0005-0000-0000-000006050000}"/>
    <cellStyle name="標準 2 2_(別紙1)参加者テスト仕様書(JPN)_ver1.81" xfId="1236" xr:uid="{00000000-0005-0000-0000-000007050000}"/>
    <cellStyle name="標準 2 3" xfId="13" xr:uid="{00000000-0005-0000-0000-000008050000}"/>
    <cellStyle name="標準 2 3 2" xfId="1237" xr:uid="{00000000-0005-0000-0000-000009050000}"/>
    <cellStyle name="標準 2 3 2 2" xfId="1238" xr:uid="{00000000-0005-0000-0000-00000A050000}"/>
    <cellStyle name="標準 2 3 3" xfId="1239" xr:uid="{00000000-0005-0000-0000-00000B050000}"/>
    <cellStyle name="標準 2 3 3 2" xfId="1240" xr:uid="{00000000-0005-0000-0000-00000C050000}"/>
    <cellStyle name="標準 2 3 3 3" xfId="1241" xr:uid="{00000000-0005-0000-0000-00000D050000}"/>
    <cellStyle name="標準 2 3 4" xfId="1242" xr:uid="{00000000-0005-0000-0000-00000E050000}"/>
    <cellStyle name="標準 2 4" xfId="1243" xr:uid="{00000000-0005-0000-0000-00000F050000}"/>
    <cellStyle name="標準 2 4 2" xfId="1244" xr:uid="{00000000-0005-0000-0000-000010050000}"/>
    <cellStyle name="標準 2 4 2 2" xfId="1245" xr:uid="{00000000-0005-0000-0000-000011050000}"/>
    <cellStyle name="標準 2 4 3" xfId="1246" xr:uid="{00000000-0005-0000-0000-000012050000}"/>
    <cellStyle name="標準 2 5" xfId="1247" xr:uid="{00000000-0005-0000-0000-000013050000}"/>
    <cellStyle name="標準 2 5 2" xfId="1248" xr:uid="{00000000-0005-0000-0000-000014050000}"/>
    <cellStyle name="標準 2 5 3" xfId="1249" xr:uid="{00000000-0005-0000-0000-000015050000}"/>
    <cellStyle name="標準 2 6" xfId="1250" xr:uid="{00000000-0005-0000-0000-000016050000}"/>
    <cellStyle name="標準 2 6 2" xfId="1251" xr:uid="{00000000-0005-0000-0000-000017050000}"/>
    <cellStyle name="標準 2 6 3" xfId="1252" xr:uid="{00000000-0005-0000-0000-000018050000}"/>
    <cellStyle name="標準 2 6 4" xfId="1253" xr:uid="{00000000-0005-0000-0000-000019050000}"/>
    <cellStyle name="標準 2 7" xfId="1254" xr:uid="{00000000-0005-0000-0000-00001A050000}"/>
    <cellStyle name="標準 2 7 2" xfId="1255" xr:uid="{00000000-0005-0000-0000-00001B050000}"/>
    <cellStyle name="標準 2 8" xfId="1256" xr:uid="{00000000-0005-0000-0000-00001C050000}"/>
    <cellStyle name="標準 2 8 2" xfId="1257" xr:uid="{00000000-0005-0000-0000-00001D050000}"/>
    <cellStyle name="標準 2 9" xfId="1258" xr:uid="{00000000-0005-0000-0000-00001E050000}"/>
    <cellStyle name="標準 2_(別紙1)参加者テスト仕様書(JPN)_ver1.81" xfId="1259" xr:uid="{00000000-0005-0000-0000-00001F050000}"/>
    <cellStyle name="標準 20" xfId="1260" xr:uid="{00000000-0005-0000-0000-000020050000}"/>
    <cellStyle name="標準 20 2" xfId="1261" xr:uid="{00000000-0005-0000-0000-000021050000}"/>
    <cellStyle name="標準 20 3" xfId="1262" xr:uid="{00000000-0005-0000-0000-000022050000}"/>
    <cellStyle name="標準 20 4" xfId="1263" xr:uid="{00000000-0005-0000-0000-000023050000}"/>
    <cellStyle name="標準 20 5" xfId="1264" xr:uid="{00000000-0005-0000-0000-000024050000}"/>
    <cellStyle name="標準 21" xfId="1265" xr:uid="{00000000-0005-0000-0000-000025050000}"/>
    <cellStyle name="標準 21 2" xfId="1266" xr:uid="{00000000-0005-0000-0000-000026050000}"/>
    <cellStyle name="標準 21 2 2" xfId="1267" xr:uid="{00000000-0005-0000-0000-000027050000}"/>
    <cellStyle name="標準 21 3" xfId="1268" xr:uid="{00000000-0005-0000-0000-000028050000}"/>
    <cellStyle name="標準 21 3 2" xfId="1269" xr:uid="{00000000-0005-0000-0000-000029050000}"/>
    <cellStyle name="標準 21 4" xfId="1270" xr:uid="{00000000-0005-0000-0000-00002A050000}"/>
    <cellStyle name="標準 21 5" xfId="1271" xr:uid="{00000000-0005-0000-0000-00002B050000}"/>
    <cellStyle name="標準 22" xfId="1272" xr:uid="{00000000-0005-0000-0000-00002C050000}"/>
    <cellStyle name="標準 22 2" xfId="1273" xr:uid="{00000000-0005-0000-0000-00002D050000}"/>
    <cellStyle name="標準 22 3" xfId="1274" xr:uid="{00000000-0005-0000-0000-00002E050000}"/>
    <cellStyle name="標準 23" xfId="1275" xr:uid="{00000000-0005-0000-0000-00002F050000}"/>
    <cellStyle name="標準 23 2" xfId="1276" xr:uid="{00000000-0005-0000-0000-000030050000}"/>
    <cellStyle name="標準 23 3" xfId="1277" xr:uid="{00000000-0005-0000-0000-000031050000}"/>
    <cellStyle name="標準 24" xfId="1278" xr:uid="{00000000-0005-0000-0000-000032050000}"/>
    <cellStyle name="標準 24 2" xfId="1279" xr:uid="{00000000-0005-0000-0000-000033050000}"/>
    <cellStyle name="標準 24 3" xfId="1280" xr:uid="{00000000-0005-0000-0000-000034050000}"/>
    <cellStyle name="標準 25" xfId="1281" xr:uid="{00000000-0005-0000-0000-000035050000}"/>
    <cellStyle name="標準 26" xfId="1282" xr:uid="{00000000-0005-0000-0000-000036050000}"/>
    <cellStyle name="標準 27" xfId="1283" xr:uid="{00000000-0005-0000-0000-000037050000}"/>
    <cellStyle name="標準 28" xfId="1284" xr:uid="{00000000-0005-0000-0000-000038050000}"/>
    <cellStyle name="標準 29" xfId="1285" xr:uid="{00000000-0005-0000-0000-000039050000}"/>
    <cellStyle name="標準 3" xfId="11" xr:uid="{00000000-0005-0000-0000-00003A050000}"/>
    <cellStyle name="標準 3 10" xfId="1286" xr:uid="{00000000-0005-0000-0000-00003B050000}"/>
    <cellStyle name="標準 3 11" xfId="1287" xr:uid="{00000000-0005-0000-0000-00003C050000}"/>
    <cellStyle name="標準 3 2" xfId="1288" xr:uid="{00000000-0005-0000-0000-00003D050000}"/>
    <cellStyle name="標準 3 2 2" xfId="1289" xr:uid="{00000000-0005-0000-0000-00003E050000}"/>
    <cellStyle name="標準 3 2 2 2" xfId="1290" xr:uid="{00000000-0005-0000-0000-00003F050000}"/>
    <cellStyle name="標準 3 2 2 3" xfId="1291" xr:uid="{00000000-0005-0000-0000-000040050000}"/>
    <cellStyle name="標準 3 2 3" xfId="1292" xr:uid="{00000000-0005-0000-0000-000041050000}"/>
    <cellStyle name="標準 3 2 3 2" xfId="1293" xr:uid="{00000000-0005-0000-0000-000042050000}"/>
    <cellStyle name="標準 3 2 3 3" xfId="1294" xr:uid="{00000000-0005-0000-0000-000043050000}"/>
    <cellStyle name="標準 3 2 4" xfId="1295" xr:uid="{00000000-0005-0000-0000-000044050000}"/>
    <cellStyle name="標準 3 2 5" xfId="1296" xr:uid="{00000000-0005-0000-0000-000045050000}"/>
    <cellStyle name="標準 3 3" xfId="1297" xr:uid="{00000000-0005-0000-0000-000046050000}"/>
    <cellStyle name="標準 3 4" xfId="1298" xr:uid="{00000000-0005-0000-0000-000047050000}"/>
    <cellStyle name="標準 3 4 2" xfId="1299" xr:uid="{00000000-0005-0000-0000-000048050000}"/>
    <cellStyle name="標準 3 4 3" xfId="1300" xr:uid="{00000000-0005-0000-0000-000049050000}"/>
    <cellStyle name="標準 3 5" xfId="1301" xr:uid="{00000000-0005-0000-0000-00004A050000}"/>
    <cellStyle name="標準 3 5 2" xfId="1302" xr:uid="{00000000-0005-0000-0000-00004B050000}"/>
    <cellStyle name="標準 3 5 3" xfId="1303" xr:uid="{00000000-0005-0000-0000-00004C050000}"/>
    <cellStyle name="標準 3 6" xfId="1304" xr:uid="{00000000-0005-0000-0000-00004D050000}"/>
    <cellStyle name="標準 3 6 2" xfId="1305" xr:uid="{00000000-0005-0000-0000-00004E050000}"/>
    <cellStyle name="標準 3 7" xfId="1306" xr:uid="{00000000-0005-0000-0000-00004F050000}"/>
    <cellStyle name="標準 3 8" xfId="1307" xr:uid="{00000000-0005-0000-0000-000050050000}"/>
    <cellStyle name="標準 3 9" xfId="1308" xr:uid="{00000000-0005-0000-0000-000051050000}"/>
    <cellStyle name="標準 3_【Quick取得データ配信ツール(仮)】課題管理表（EUC）_20121210" xfId="1309" xr:uid="{00000000-0005-0000-0000-000052050000}"/>
    <cellStyle name="標準 30" xfId="1310" xr:uid="{00000000-0005-0000-0000-000053050000}"/>
    <cellStyle name="標準 31" xfId="1311" xr:uid="{00000000-0005-0000-0000-000054050000}"/>
    <cellStyle name="標準 31 2" xfId="1312" xr:uid="{00000000-0005-0000-0000-000055050000}"/>
    <cellStyle name="標準 31 3" xfId="1313" xr:uid="{00000000-0005-0000-0000-000056050000}"/>
    <cellStyle name="標準 32" xfId="1314" xr:uid="{00000000-0005-0000-0000-000057050000}"/>
    <cellStyle name="標準 32 2" xfId="1315" xr:uid="{00000000-0005-0000-0000-000058050000}"/>
    <cellStyle name="標準 32 3" xfId="1316" xr:uid="{00000000-0005-0000-0000-000059050000}"/>
    <cellStyle name="標準 33" xfId="1317" xr:uid="{00000000-0005-0000-0000-00005A050000}"/>
    <cellStyle name="標準 33 2" xfId="1318" xr:uid="{00000000-0005-0000-0000-00005B050000}"/>
    <cellStyle name="標準 33 3" xfId="1319" xr:uid="{00000000-0005-0000-0000-00005C050000}"/>
    <cellStyle name="標準 34" xfId="1320" xr:uid="{00000000-0005-0000-0000-00005D050000}"/>
    <cellStyle name="標準 34 2" xfId="1321" xr:uid="{00000000-0005-0000-0000-00005E050000}"/>
    <cellStyle name="標準 34 3" xfId="1322" xr:uid="{00000000-0005-0000-0000-00005F050000}"/>
    <cellStyle name="標準 35" xfId="1323" xr:uid="{00000000-0005-0000-0000-000060050000}"/>
    <cellStyle name="標準 35 2" xfId="1324" xr:uid="{00000000-0005-0000-0000-000061050000}"/>
    <cellStyle name="標準 35 3" xfId="1325" xr:uid="{00000000-0005-0000-0000-000062050000}"/>
    <cellStyle name="標準 36" xfId="1326" xr:uid="{00000000-0005-0000-0000-000063050000}"/>
    <cellStyle name="標準 36 2" xfId="1327" xr:uid="{00000000-0005-0000-0000-000064050000}"/>
    <cellStyle name="標準 36 3" xfId="1328" xr:uid="{00000000-0005-0000-0000-000065050000}"/>
    <cellStyle name="標準 37" xfId="1329" xr:uid="{00000000-0005-0000-0000-000066050000}"/>
    <cellStyle name="標準 37 2" xfId="1330" xr:uid="{00000000-0005-0000-0000-000067050000}"/>
    <cellStyle name="標準 37 3" xfId="1331" xr:uid="{00000000-0005-0000-0000-000068050000}"/>
    <cellStyle name="標準 38" xfId="1332" xr:uid="{00000000-0005-0000-0000-000069050000}"/>
    <cellStyle name="標準 39" xfId="1333" xr:uid="{00000000-0005-0000-0000-00006A050000}"/>
    <cellStyle name="標準 39 2" xfId="1334" xr:uid="{00000000-0005-0000-0000-00006B050000}"/>
    <cellStyle name="標準 39 3" xfId="1335" xr:uid="{00000000-0005-0000-0000-00006C050000}"/>
    <cellStyle name="標準 4" xfId="16" xr:uid="{00000000-0005-0000-0000-00006D050000}"/>
    <cellStyle name="標準 4 2" xfId="1336" xr:uid="{00000000-0005-0000-0000-00006E050000}"/>
    <cellStyle name="標準 4 2 2" xfId="1337" xr:uid="{00000000-0005-0000-0000-00006F050000}"/>
    <cellStyle name="標準 4 2 2 2" xfId="1338" xr:uid="{00000000-0005-0000-0000-000070050000}"/>
    <cellStyle name="標準 4 2 2 3" xfId="1339" xr:uid="{00000000-0005-0000-0000-000071050000}"/>
    <cellStyle name="標準 4 2 3" xfId="1340" xr:uid="{00000000-0005-0000-0000-000072050000}"/>
    <cellStyle name="標準 4 3" xfId="1341" xr:uid="{00000000-0005-0000-0000-000073050000}"/>
    <cellStyle name="標準 4 3 2" xfId="1342" xr:uid="{00000000-0005-0000-0000-000074050000}"/>
    <cellStyle name="標準 4 3 3" xfId="1343" xr:uid="{00000000-0005-0000-0000-000075050000}"/>
    <cellStyle name="標準 4 4" xfId="1344" xr:uid="{00000000-0005-0000-0000-000076050000}"/>
    <cellStyle name="標準 4 4 2" xfId="1345" xr:uid="{00000000-0005-0000-0000-000077050000}"/>
    <cellStyle name="標準 4 4 3" xfId="1346" xr:uid="{00000000-0005-0000-0000-000078050000}"/>
    <cellStyle name="標準 4 5" xfId="1347" xr:uid="{00000000-0005-0000-0000-000079050000}"/>
    <cellStyle name="標準 4 6" xfId="1348" xr:uid="{00000000-0005-0000-0000-00007A050000}"/>
    <cellStyle name="標準 4 7" xfId="1980" xr:uid="{00000000-0005-0000-0000-00007B050000}"/>
    <cellStyle name="標準 4_20121011__1_F⇒O_【証拠金１本化】課題管理（清算）" xfId="1349" xr:uid="{00000000-0005-0000-0000-00007C050000}"/>
    <cellStyle name="標準 40" xfId="1350" xr:uid="{00000000-0005-0000-0000-00007D050000}"/>
    <cellStyle name="標準 41" xfId="1351" xr:uid="{00000000-0005-0000-0000-00007E050000}"/>
    <cellStyle name="標準 42" xfId="1352" xr:uid="{00000000-0005-0000-0000-00007F050000}"/>
    <cellStyle name="標準 43" xfId="1353" xr:uid="{00000000-0005-0000-0000-000080050000}"/>
    <cellStyle name="標準 44" xfId="1354" xr:uid="{00000000-0005-0000-0000-000081050000}"/>
    <cellStyle name="標準 45" xfId="1355" xr:uid="{00000000-0005-0000-0000-000082050000}"/>
    <cellStyle name="標準 46" xfId="1356" xr:uid="{00000000-0005-0000-0000-000083050000}"/>
    <cellStyle name="標準 47" xfId="1357" xr:uid="{00000000-0005-0000-0000-000084050000}"/>
    <cellStyle name="標準 48" xfId="1358" xr:uid="{00000000-0005-0000-0000-000085050000}"/>
    <cellStyle name="標準 49" xfId="1359" xr:uid="{00000000-0005-0000-0000-000086050000}"/>
    <cellStyle name="標準 5" xfId="1360" xr:uid="{00000000-0005-0000-0000-000087050000}"/>
    <cellStyle name="標準 5 2" xfId="1361" xr:uid="{00000000-0005-0000-0000-000088050000}"/>
    <cellStyle name="標準 5 2 2" xfId="1362" xr:uid="{00000000-0005-0000-0000-000089050000}"/>
    <cellStyle name="標準 5 2 2 2" xfId="15" xr:uid="{00000000-0005-0000-0000-00008A050000}"/>
    <cellStyle name="標準 5 2 2 3" xfId="1363" xr:uid="{00000000-0005-0000-0000-00008B050000}"/>
    <cellStyle name="標準 5 2 3" xfId="1364" xr:uid="{00000000-0005-0000-0000-00008C050000}"/>
    <cellStyle name="標準 5 2 3 2" xfId="1365" xr:uid="{00000000-0005-0000-0000-00008D050000}"/>
    <cellStyle name="標準 5 2 3 3" xfId="1366" xr:uid="{00000000-0005-0000-0000-00008E050000}"/>
    <cellStyle name="標準 5 3" xfId="1367" xr:uid="{00000000-0005-0000-0000-00008F050000}"/>
    <cellStyle name="標準 5 4" xfId="1368" xr:uid="{00000000-0005-0000-0000-000090050000}"/>
    <cellStyle name="標準 5 4 2" xfId="1369" xr:uid="{00000000-0005-0000-0000-000091050000}"/>
    <cellStyle name="標準 5_バックアップセンタ_切替テストスケジュール_20120406~10" xfId="1370" xr:uid="{00000000-0005-0000-0000-000092050000}"/>
    <cellStyle name="標準 50" xfId="1371" xr:uid="{00000000-0005-0000-0000-000093050000}"/>
    <cellStyle name="標準 51" xfId="1372" xr:uid="{00000000-0005-0000-0000-000094050000}"/>
    <cellStyle name="標準 52" xfId="1373" xr:uid="{00000000-0005-0000-0000-000095050000}"/>
    <cellStyle name="標準 53" xfId="1374" xr:uid="{00000000-0005-0000-0000-000096050000}"/>
    <cellStyle name="標準 54" xfId="1375" xr:uid="{00000000-0005-0000-0000-000097050000}"/>
    <cellStyle name="標準 55" xfId="1376" xr:uid="{00000000-0005-0000-0000-000098050000}"/>
    <cellStyle name="標準 56" xfId="1377" xr:uid="{00000000-0005-0000-0000-000099050000}"/>
    <cellStyle name="標準 57" xfId="1378" xr:uid="{00000000-0005-0000-0000-00009A050000}"/>
    <cellStyle name="標準 58" xfId="1379" xr:uid="{00000000-0005-0000-0000-00009B050000}"/>
    <cellStyle name="標準 59" xfId="1380" xr:uid="{00000000-0005-0000-0000-00009C050000}"/>
    <cellStyle name="標準 6" xfId="1381" xr:uid="{00000000-0005-0000-0000-00009D050000}"/>
    <cellStyle name="標準 6 2" xfId="1382" xr:uid="{00000000-0005-0000-0000-00009E050000}"/>
    <cellStyle name="標準 6 2 2" xfId="1383" xr:uid="{00000000-0005-0000-0000-00009F050000}"/>
    <cellStyle name="標準 6 2 3" xfId="1384" xr:uid="{00000000-0005-0000-0000-0000A0050000}"/>
    <cellStyle name="標準 6 2 4" xfId="1385" xr:uid="{00000000-0005-0000-0000-0000A1050000}"/>
    <cellStyle name="標準 6 3" xfId="1386" xr:uid="{00000000-0005-0000-0000-0000A2050000}"/>
    <cellStyle name="標準 6_バックアップセンタ_切替テストスケジュール_20120406~10" xfId="1387" xr:uid="{00000000-0005-0000-0000-0000A3050000}"/>
    <cellStyle name="標準 60" xfId="1388" xr:uid="{00000000-0005-0000-0000-0000A4050000}"/>
    <cellStyle name="標準 61" xfId="1389" xr:uid="{00000000-0005-0000-0000-0000A5050000}"/>
    <cellStyle name="標準 62" xfId="1390" xr:uid="{00000000-0005-0000-0000-0000A6050000}"/>
    <cellStyle name="標準 63" xfId="1391" xr:uid="{00000000-0005-0000-0000-0000A7050000}"/>
    <cellStyle name="標準 64" xfId="1392" xr:uid="{00000000-0005-0000-0000-0000A8050000}"/>
    <cellStyle name="標準 65" xfId="1393" xr:uid="{00000000-0005-0000-0000-0000A9050000}"/>
    <cellStyle name="標準 66" xfId="1394" xr:uid="{00000000-0005-0000-0000-0000AA050000}"/>
    <cellStyle name="標準 67" xfId="1395" xr:uid="{00000000-0005-0000-0000-0000AB050000}"/>
    <cellStyle name="標準 68" xfId="1396" xr:uid="{00000000-0005-0000-0000-0000AC050000}"/>
    <cellStyle name="標準 69" xfId="1397" xr:uid="{00000000-0005-0000-0000-0000AD050000}"/>
    <cellStyle name="標準 69 2" xfId="1398" xr:uid="{00000000-0005-0000-0000-0000AE050000}"/>
    <cellStyle name="標準 69 2 2" xfId="1399" xr:uid="{00000000-0005-0000-0000-0000AF050000}"/>
    <cellStyle name="標準 69 2 2 2" xfId="1400" xr:uid="{00000000-0005-0000-0000-0000B0050000}"/>
    <cellStyle name="標準 69 2 2 3" xfId="1401" xr:uid="{00000000-0005-0000-0000-0000B1050000}"/>
    <cellStyle name="標準 69 2 2 4" xfId="1402" xr:uid="{00000000-0005-0000-0000-0000B2050000}"/>
    <cellStyle name="標準 69 2 3" xfId="1403" xr:uid="{00000000-0005-0000-0000-0000B3050000}"/>
    <cellStyle name="標準 69 2 4" xfId="1404" xr:uid="{00000000-0005-0000-0000-0000B4050000}"/>
    <cellStyle name="標準 69 2 5" xfId="1405" xr:uid="{00000000-0005-0000-0000-0000B5050000}"/>
    <cellStyle name="標準 69 3" xfId="1406" xr:uid="{00000000-0005-0000-0000-0000B6050000}"/>
    <cellStyle name="標準 69 3 2" xfId="1407" xr:uid="{00000000-0005-0000-0000-0000B7050000}"/>
    <cellStyle name="標準 69 3 3" xfId="1408" xr:uid="{00000000-0005-0000-0000-0000B8050000}"/>
    <cellStyle name="標準 69 3 4" xfId="1409" xr:uid="{00000000-0005-0000-0000-0000B9050000}"/>
    <cellStyle name="標準 69 4" xfId="1410" xr:uid="{00000000-0005-0000-0000-0000BA050000}"/>
    <cellStyle name="標準 69 5" xfId="1411" xr:uid="{00000000-0005-0000-0000-0000BB050000}"/>
    <cellStyle name="標準 69 6" xfId="1412" xr:uid="{00000000-0005-0000-0000-0000BC050000}"/>
    <cellStyle name="標準 69 7" xfId="1413" xr:uid="{00000000-0005-0000-0000-0000BD050000}"/>
    <cellStyle name="標準 69 8" xfId="1414" xr:uid="{00000000-0005-0000-0000-0000BE050000}"/>
    <cellStyle name="標準 7" xfId="1415" xr:uid="{00000000-0005-0000-0000-0000BF050000}"/>
    <cellStyle name="標準 7 2" xfId="1416" xr:uid="{00000000-0005-0000-0000-0000C0050000}"/>
    <cellStyle name="標準 7 2 2" xfId="1417" xr:uid="{00000000-0005-0000-0000-0000C1050000}"/>
    <cellStyle name="標準 7 2 3" xfId="1418" xr:uid="{00000000-0005-0000-0000-0000C2050000}"/>
    <cellStyle name="標準 7 3" xfId="1419" xr:uid="{00000000-0005-0000-0000-0000C3050000}"/>
    <cellStyle name="標準 7 3 2" xfId="1420" xr:uid="{00000000-0005-0000-0000-0000C4050000}"/>
    <cellStyle name="標準 7 3 3" xfId="1421" xr:uid="{00000000-0005-0000-0000-0000C5050000}"/>
    <cellStyle name="標準 7 4" xfId="1422" xr:uid="{00000000-0005-0000-0000-0000C6050000}"/>
    <cellStyle name="標準 7 4 2" xfId="1423" xr:uid="{00000000-0005-0000-0000-0000C7050000}"/>
    <cellStyle name="標準 7 4 3" xfId="1424" xr:uid="{00000000-0005-0000-0000-0000C8050000}"/>
    <cellStyle name="標準 7 5" xfId="1425" xr:uid="{00000000-0005-0000-0000-0000C9050000}"/>
    <cellStyle name="標準 70" xfId="1426" xr:uid="{00000000-0005-0000-0000-0000CA050000}"/>
    <cellStyle name="標準 70 2" xfId="1427" xr:uid="{00000000-0005-0000-0000-0000CB050000}"/>
    <cellStyle name="標準 70 2 2" xfId="1428" xr:uid="{00000000-0005-0000-0000-0000CC050000}"/>
    <cellStyle name="標準 70 2 2 2" xfId="1429" xr:uid="{00000000-0005-0000-0000-0000CD050000}"/>
    <cellStyle name="標準 70 2 2 3" xfId="1430" xr:uid="{00000000-0005-0000-0000-0000CE050000}"/>
    <cellStyle name="標準 70 2 2 4" xfId="1431" xr:uid="{00000000-0005-0000-0000-0000CF050000}"/>
    <cellStyle name="標準 70 2 3" xfId="1432" xr:uid="{00000000-0005-0000-0000-0000D0050000}"/>
    <cellStyle name="標準 70 2 4" xfId="1433" xr:uid="{00000000-0005-0000-0000-0000D1050000}"/>
    <cellStyle name="標準 70 2 5" xfId="1434" xr:uid="{00000000-0005-0000-0000-0000D2050000}"/>
    <cellStyle name="標準 70 3" xfId="1435" xr:uid="{00000000-0005-0000-0000-0000D3050000}"/>
    <cellStyle name="標準 70 3 2" xfId="1436" xr:uid="{00000000-0005-0000-0000-0000D4050000}"/>
    <cellStyle name="標準 70 3 3" xfId="1437" xr:uid="{00000000-0005-0000-0000-0000D5050000}"/>
    <cellStyle name="標準 70 3 4" xfId="1438" xr:uid="{00000000-0005-0000-0000-0000D6050000}"/>
    <cellStyle name="標準 70 4" xfId="1439" xr:uid="{00000000-0005-0000-0000-0000D7050000}"/>
    <cellStyle name="標準 70 5" xfId="1440" xr:uid="{00000000-0005-0000-0000-0000D8050000}"/>
    <cellStyle name="標準 70 6" xfId="1441" xr:uid="{00000000-0005-0000-0000-0000D9050000}"/>
    <cellStyle name="標準 70 7" xfId="1442" xr:uid="{00000000-0005-0000-0000-0000DA050000}"/>
    <cellStyle name="標準 70 8" xfId="1443" xr:uid="{00000000-0005-0000-0000-0000DB050000}"/>
    <cellStyle name="標準 71" xfId="1444" xr:uid="{00000000-0005-0000-0000-0000DC050000}"/>
    <cellStyle name="標準 71 2" xfId="1445" xr:uid="{00000000-0005-0000-0000-0000DD050000}"/>
    <cellStyle name="標準 71 2 2" xfId="1446" xr:uid="{00000000-0005-0000-0000-0000DE050000}"/>
    <cellStyle name="標準 71 2 2 2" xfId="1447" xr:uid="{00000000-0005-0000-0000-0000DF050000}"/>
    <cellStyle name="標準 71 2 2 3" xfId="1448" xr:uid="{00000000-0005-0000-0000-0000E0050000}"/>
    <cellStyle name="標準 71 2 2 4" xfId="1449" xr:uid="{00000000-0005-0000-0000-0000E1050000}"/>
    <cellStyle name="標準 71 2 3" xfId="1450" xr:uid="{00000000-0005-0000-0000-0000E2050000}"/>
    <cellStyle name="標準 71 2 4" xfId="1451" xr:uid="{00000000-0005-0000-0000-0000E3050000}"/>
    <cellStyle name="標準 71 2 5" xfId="1452" xr:uid="{00000000-0005-0000-0000-0000E4050000}"/>
    <cellStyle name="標準 71 3" xfId="1453" xr:uid="{00000000-0005-0000-0000-0000E5050000}"/>
    <cellStyle name="標準 71 3 2" xfId="1454" xr:uid="{00000000-0005-0000-0000-0000E6050000}"/>
    <cellStyle name="標準 71 3 3" xfId="1455" xr:uid="{00000000-0005-0000-0000-0000E7050000}"/>
    <cellStyle name="標準 71 3 4" xfId="1456" xr:uid="{00000000-0005-0000-0000-0000E8050000}"/>
    <cellStyle name="標準 71 4" xfId="1457" xr:uid="{00000000-0005-0000-0000-0000E9050000}"/>
    <cellStyle name="標準 71 5" xfId="1458" xr:uid="{00000000-0005-0000-0000-0000EA050000}"/>
    <cellStyle name="標準 71 6" xfId="1459" xr:uid="{00000000-0005-0000-0000-0000EB050000}"/>
    <cellStyle name="標準 71 7" xfId="1460" xr:uid="{00000000-0005-0000-0000-0000EC050000}"/>
    <cellStyle name="標準 71 8" xfId="1461" xr:uid="{00000000-0005-0000-0000-0000ED050000}"/>
    <cellStyle name="標準 72" xfId="1462" xr:uid="{00000000-0005-0000-0000-0000EE050000}"/>
    <cellStyle name="標準 72 2" xfId="1463" xr:uid="{00000000-0005-0000-0000-0000EF050000}"/>
    <cellStyle name="標準 72 2 2" xfId="1464" xr:uid="{00000000-0005-0000-0000-0000F0050000}"/>
    <cellStyle name="標準 72 2 2 2" xfId="1465" xr:uid="{00000000-0005-0000-0000-0000F1050000}"/>
    <cellStyle name="標準 72 2 2 3" xfId="1466" xr:uid="{00000000-0005-0000-0000-0000F2050000}"/>
    <cellStyle name="標準 72 2 2 4" xfId="1467" xr:uid="{00000000-0005-0000-0000-0000F3050000}"/>
    <cellStyle name="標準 72 2 3" xfId="1468" xr:uid="{00000000-0005-0000-0000-0000F4050000}"/>
    <cellStyle name="標準 72 2 4" xfId="1469" xr:uid="{00000000-0005-0000-0000-0000F5050000}"/>
    <cellStyle name="標準 72 2 5" xfId="1470" xr:uid="{00000000-0005-0000-0000-0000F6050000}"/>
    <cellStyle name="標準 72 3" xfId="1471" xr:uid="{00000000-0005-0000-0000-0000F7050000}"/>
    <cellStyle name="標準 72 3 2" xfId="1472" xr:uid="{00000000-0005-0000-0000-0000F8050000}"/>
    <cellStyle name="標準 72 3 3" xfId="1473" xr:uid="{00000000-0005-0000-0000-0000F9050000}"/>
    <cellStyle name="標準 72 3 4" xfId="1474" xr:uid="{00000000-0005-0000-0000-0000FA050000}"/>
    <cellStyle name="標準 72 4" xfId="1475" xr:uid="{00000000-0005-0000-0000-0000FB050000}"/>
    <cellStyle name="標準 72 5" xfId="1476" xr:uid="{00000000-0005-0000-0000-0000FC050000}"/>
    <cellStyle name="標準 72 6" xfId="1477" xr:uid="{00000000-0005-0000-0000-0000FD050000}"/>
    <cellStyle name="標準 72 7" xfId="1478" xr:uid="{00000000-0005-0000-0000-0000FE050000}"/>
    <cellStyle name="標準 72 8" xfId="1479" xr:uid="{00000000-0005-0000-0000-0000FF050000}"/>
    <cellStyle name="標準 73" xfId="1480" xr:uid="{00000000-0005-0000-0000-000000060000}"/>
    <cellStyle name="標準 73 2" xfId="1481" xr:uid="{00000000-0005-0000-0000-000001060000}"/>
    <cellStyle name="標準 73 2 2" xfId="1482" xr:uid="{00000000-0005-0000-0000-000002060000}"/>
    <cellStyle name="標準 73 2 2 2" xfId="1483" xr:uid="{00000000-0005-0000-0000-000003060000}"/>
    <cellStyle name="標準 73 2 2 3" xfId="1484" xr:uid="{00000000-0005-0000-0000-000004060000}"/>
    <cellStyle name="標準 73 2 2 4" xfId="1485" xr:uid="{00000000-0005-0000-0000-000005060000}"/>
    <cellStyle name="標準 73 2 3" xfId="1486" xr:uid="{00000000-0005-0000-0000-000006060000}"/>
    <cellStyle name="標準 73 2 4" xfId="1487" xr:uid="{00000000-0005-0000-0000-000007060000}"/>
    <cellStyle name="標準 73 2 5" xfId="1488" xr:uid="{00000000-0005-0000-0000-000008060000}"/>
    <cellStyle name="標準 73 3" xfId="1489" xr:uid="{00000000-0005-0000-0000-000009060000}"/>
    <cellStyle name="標準 73 3 2" xfId="1490" xr:uid="{00000000-0005-0000-0000-00000A060000}"/>
    <cellStyle name="標準 73 3 3" xfId="1491" xr:uid="{00000000-0005-0000-0000-00000B060000}"/>
    <cellStyle name="標準 73 3 4" xfId="1492" xr:uid="{00000000-0005-0000-0000-00000C060000}"/>
    <cellStyle name="標準 73 4" xfId="1493" xr:uid="{00000000-0005-0000-0000-00000D060000}"/>
    <cellStyle name="標準 73 5" xfId="1494" xr:uid="{00000000-0005-0000-0000-00000E060000}"/>
    <cellStyle name="標準 73 6" xfId="1495" xr:uid="{00000000-0005-0000-0000-00000F060000}"/>
    <cellStyle name="標準 74" xfId="1496" xr:uid="{00000000-0005-0000-0000-000010060000}"/>
    <cellStyle name="標準 74 2" xfId="1497" xr:uid="{00000000-0005-0000-0000-000011060000}"/>
    <cellStyle name="標準 74 2 2" xfId="1498" xr:uid="{00000000-0005-0000-0000-000012060000}"/>
    <cellStyle name="標準 74 2 2 2" xfId="1499" xr:uid="{00000000-0005-0000-0000-000013060000}"/>
    <cellStyle name="標準 74 2 2 3" xfId="1500" xr:uid="{00000000-0005-0000-0000-000014060000}"/>
    <cellStyle name="標準 74 2 2 4" xfId="1501" xr:uid="{00000000-0005-0000-0000-000015060000}"/>
    <cellStyle name="標準 74 2 3" xfId="1502" xr:uid="{00000000-0005-0000-0000-000016060000}"/>
    <cellStyle name="標準 74 2 4" xfId="1503" xr:uid="{00000000-0005-0000-0000-000017060000}"/>
    <cellStyle name="標準 74 2 5" xfId="1504" xr:uid="{00000000-0005-0000-0000-000018060000}"/>
    <cellStyle name="標準 74 3" xfId="1505" xr:uid="{00000000-0005-0000-0000-000019060000}"/>
    <cellStyle name="標準 74 3 2" xfId="1506" xr:uid="{00000000-0005-0000-0000-00001A060000}"/>
    <cellStyle name="標準 74 3 3" xfId="1507" xr:uid="{00000000-0005-0000-0000-00001B060000}"/>
    <cellStyle name="標準 74 3 4" xfId="1508" xr:uid="{00000000-0005-0000-0000-00001C060000}"/>
    <cellStyle name="標準 74 4" xfId="1509" xr:uid="{00000000-0005-0000-0000-00001D060000}"/>
    <cellStyle name="標準 74 5" xfId="1510" xr:uid="{00000000-0005-0000-0000-00001E060000}"/>
    <cellStyle name="標準 74 6" xfId="1511" xr:uid="{00000000-0005-0000-0000-00001F060000}"/>
    <cellStyle name="標準 75" xfId="1512" xr:uid="{00000000-0005-0000-0000-000020060000}"/>
    <cellStyle name="標準 75 2" xfId="1513" xr:uid="{00000000-0005-0000-0000-000021060000}"/>
    <cellStyle name="標準 75 2 2" xfId="1514" xr:uid="{00000000-0005-0000-0000-000022060000}"/>
    <cellStyle name="標準 75 2 2 2" xfId="1515" xr:uid="{00000000-0005-0000-0000-000023060000}"/>
    <cellStyle name="標準 75 2 2 3" xfId="1516" xr:uid="{00000000-0005-0000-0000-000024060000}"/>
    <cellStyle name="標準 75 2 2 4" xfId="1517" xr:uid="{00000000-0005-0000-0000-000025060000}"/>
    <cellStyle name="標準 75 2 3" xfId="1518" xr:uid="{00000000-0005-0000-0000-000026060000}"/>
    <cellStyle name="標準 75 2 4" xfId="1519" xr:uid="{00000000-0005-0000-0000-000027060000}"/>
    <cellStyle name="標準 75 2 5" xfId="1520" xr:uid="{00000000-0005-0000-0000-000028060000}"/>
    <cellStyle name="標準 75 3" xfId="1521" xr:uid="{00000000-0005-0000-0000-000029060000}"/>
    <cellStyle name="標準 75 3 2" xfId="1522" xr:uid="{00000000-0005-0000-0000-00002A060000}"/>
    <cellStyle name="標準 75 3 3" xfId="1523" xr:uid="{00000000-0005-0000-0000-00002B060000}"/>
    <cellStyle name="標準 75 3 4" xfId="1524" xr:uid="{00000000-0005-0000-0000-00002C060000}"/>
    <cellStyle name="標準 75 4" xfId="1525" xr:uid="{00000000-0005-0000-0000-00002D060000}"/>
    <cellStyle name="標準 75 5" xfId="1526" xr:uid="{00000000-0005-0000-0000-00002E060000}"/>
    <cellStyle name="標準 75 6" xfId="1527" xr:uid="{00000000-0005-0000-0000-00002F060000}"/>
    <cellStyle name="標準 76" xfId="1528" xr:uid="{00000000-0005-0000-0000-000030060000}"/>
    <cellStyle name="標準 76 2" xfId="1529" xr:uid="{00000000-0005-0000-0000-000031060000}"/>
    <cellStyle name="標準 76 2 2" xfId="1530" xr:uid="{00000000-0005-0000-0000-000032060000}"/>
    <cellStyle name="標準 76 2 2 2" xfId="1531" xr:uid="{00000000-0005-0000-0000-000033060000}"/>
    <cellStyle name="標準 76 2 2 3" xfId="1532" xr:uid="{00000000-0005-0000-0000-000034060000}"/>
    <cellStyle name="標準 76 2 2 4" xfId="1533" xr:uid="{00000000-0005-0000-0000-000035060000}"/>
    <cellStyle name="標準 76 2 3" xfId="1534" xr:uid="{00000000-0005-0000-0000-000036060000}"/>
    <cellStyle name="標準 76 2 4" xfId="1535" xr:uid="{00000000-0005-0000-0000-000037060000}"/>
    <cellStyle name="標準 76 2 5" xfId="1536" xr:uid="{00000000-0005-0000-0000-000038060000}"/>
    <cellStyle name="標準 76 3" xfId="1537" xr:uid="{00000000-0005-0000-0000-000039060000}"/>
    <cellStyle name="標準 76 3 2" xfId="1538" xr:uid="{00000000-0005-0000-0000-00003A060000}"/>
    <cellStyle name="標準 76 3 3" xfId="1539" xr:uid="{00000000-0005-0000-0000-00003B060000}"/>
    <cellStyle name="標準 76 3 4" xfId="1540" xr:uid="{00000000-0005-0000-0000-00003C060000}"/>
    <cellStyle name="標準 76 4" xfId="1541" xr:uid="{00000000-0005-0000-0000-00003D060000}"/>
    <cellStyle name="標準 76 5" xfId="1542" xr:uid="{00000000-0005-0000-0000-00003E060000}"/>
    <cellStyle name="標準 76 6" xfId="1543" xr:uid="{00000000-0005-0000-0000-00003F060000}"/>
    <cellStyle name="標準 77" xfId="1544" xr:uid="{00000000-0005-0000-0000-000040060000}"/>
    <cellStyle name="標準 77 2" xfId="1545" xr:uid="{00000000-0005-0000-0000-000041060000}"/>
    <cellStyle name="標準 77 2 2" xfId="1546" xr:uid="{00000000-0005-0000-0000-000042060000}"/>
    <cellStyle name="標準 77 2 2 2" xfId="1547" xr:uid="{00000000-0005-0000-0000-000043060000}"/>
    <cellStyle name="標準 77 2 2 3" xfId="1548" xr:uid="{00000000-0005-0000-0000-000044060000}"/>
    <cellStyle name="標準 77 2 2 4" xfId="1549" xr:uid="{00000000-0005-0000-0000-000045060000}"/>
    <cellStyle name="標準 77 2 3" xfId="1550" xr:uid="{00000000-0005-0000-0000-000046060000}"/>
    <cellStyle name="標準 77 2 4" xfId="1551" xr:uid="{00000000-0005-0000-0000-000047060000}"/>
    <cellStyle name="標準 77 2 5" xfId="1552" xr:uid="{00000000-0005-0000-0000-000048060000}"/>
    <cellStyle name="標準 77 3" xfId="1553" xr:uid="{00000000-0005-0000-0000-000049060000}"/>
    <cellStyle name="標準 77 3 2" xfId="1554" xr:uid="{00000000-0005-0000-0000-00004A060000}"/>
    <cellStyle name="標準 77 3 3" xfId="1555" xr:uid="{00000000-0005-0000-0000-00004B060000}"/>
    <cellStyle name="標準 77 3 4" xfId="1556" xr:uid="{00000000-0005-0000-0000-00004C060000}"/>
    <cellStyle name="標準 77 4" xfId="1557" xr:uid="{00000000-0005-0000-0000-00004D060000}"/>
    <cellStyle name="標準 77 5" xfId="1558" xr:uid="{00000000-0005-0000-0000-00004E060000}"/>
    <cellStyle name="標準 77 6" xfId="1559" xr:uid="{00000000-0005-0000-0000-00004F060000}"/>
    <cellStyle name="標準 78" xfId="1560" xr:uid="{00000000-0005-0000-0000-000050060000}"/>
    <cellStyle name="標準 78 2" xfId="1561" xr:uid="{00000000-0005-0000-0000-000051060000}"/>
    <cellStyle name="標準 78 2 2" xfId="1562" xr:uid="{00000000-0005-0000-0000-000052060000}"/>
    <cellStyle name="標準 78 2 2 2" xfId="1563" xr:uid="{00000000-0005-0000-0000-000053060000}"/>
    <cellStyle name="標準 78 2 2 3" xfId="1564" xr:uid="{00000000-0005-0000-0000-000054060000}"/>
    <cellStyle name="標準 78 2 2 4" xfId="1565" xr:uid="{00000000-0005-0000-0000-000055060000}"/>
    <cellStyle name="標準 78 2 3" xfId="1566" xr:uid="{00000000-0005-0000-0000-000056060000}"/>
    <cellStyle name="標準 78 2 4" xfId="1567" xr:uid="{00000000-0005-0000-0000-000057060000}"/>
    <cellStyle name="標準 78 2 5" xfId="1568" xr:uid="{00000000-0005-0000-0000-000058060000}"/>
    <cellStyle name="標準 78 3" xfId="1569" xr:uid="{00000000-0005-0000-0000-000059060000}"/>
    <cellStyle name="標準 78 3 2" xfId="1570" xr:uid="{00000000-0005-0000-0000-00005A060000}"/>
    <cellStyle name="標準 78 3 3" xfId="1571" xr:uid="{00000000-0005-0000-0000-00005B060000}"/>
    <cellStyle name="標準 78 3 4" xfId="1572" xr:uid="{00000000-0005-0000-0000-00005C060000}"/>
    <cellStyle name="標準 78 4" xfId="1573" xr:uid="{00000000-0005-0000-0000-00005D060000}"/>
    <cellStyle name="標準 78 5" xfId="1574" xr:uid="{00000000-0005-0000-0000-00005E060000}"/>
    <cellStyle name="標準 78 6" xfId="1575" xr:uid="{00000000-0005-0000-0000-00005F060000}"/>
    <cellStyle name="標準 79" xfId="1576" xr:uid="{00000000-0005-0000-0000-000060060000}"/>
    <cellStyle name="標準 79 2" xfId="1577" xr:uid="{00000000-0005-0000-0000-000061060000}"/>
    <cellStyle name="標準 79 2 2" xfId="1578" xr:uid="{00000000-0005-0000-0000-000062060000}"/>
    <cellStyle name="標準 79 2 2 2" xfId="1579" xr:uid="{00000000-0005-0000-0000-000063060000}"/>
    <cellStyle name="標準 79 2 2 3" xfId="1580" xr:uid="{00000000-0005-0000-0000-000064060000}"/>
    <cellStyle name="標準 79 2 2 4" xfId="1581" xr:uid="{00000000-0005-0000-0000-000065060000}"/>
    <cellStyle name="標準 79 2 3" xfId="1582" xr:uid="{00000000-0005-0000-0000-000066060000}"/>
    <cellStyle name="標準 79 2 4" xfId="1583" xr:uid="{00000000-0005-0000-0000-000067060000}"/>
    <cellStyle name="標準 79 2 5" xfId="1584" xr:uid="{00000000-0005-0000-0000-000068060000}"/>
    <cellStyle name="標準 79 3" xfId="1585" xr:uid="{00000000-0005-0000-0000-000069060000}"/>
    <cellStyle name="標準 79 3 2" xfId="1586" xr:uid="{00000000-0005-0000-0000-00006A060000}"/>
    <cellStyle name="標準 79 3 3" xfId="1587" xr:uid="{00000000-0005-0000-0000-00006B060000}"/>
    <cellStyle name="標準 79 3 4" xfId="1588" xr:uid="{00000000-0005-0000-0000-00006C060000}"/>
    <cellStyle name="標準 79 4" xfId="1589" xr:uid="{00000000-0005-0000-0000-00006D060000}"/>
    <cellStyle name="標準 79 5" xfId="1590" xr:uid="{00000000-0005-0000-0000-00006E060000}"/>
    <cellStyle name="標準 79 6" xfId="1591" xr:uid="{00000000-0005-0000-0000-00006F060000}"/>
    <cellStyle name="標準 8" xfId="1592" xr:uid="{00000000-0005-0000-0000-000070060000}"/>
    <cellStyle name="標準 8 2" xfId="1593" xr:uid="{00000000-0005-0000-0000-000071060000}"/>
    <cellStyle name="標準 8 3" xfId="1594" xr:uid="{00000000-0005-0000-0000-000072060000}"/>
    <cellStyle name="標準 8 4" xfId="1595" xr:uid="{00000000-0005-0000-0000-000073060000}"/>
    <cellStyle name="標準 8 5" xfId="1596" xr:uid="{00000000-0005-0000-0000-000074060000}"/>
    <cellStyle name="標準 8 6" xfId="1597" xr:uid="{00000000-0005-0000-0000-000075060000}"/>
    <cellStyle name="標準 80" xfId="1598" xr:uid="{00000000-0005-0000-0000-000076060000}"/>
    <cellStyle name="標準 80 2" xfId="1599" xr:uid="{00000000-0005-0000-0000-000077060000}"/>
    <cellStyle name="標準 80 2 2" xfId="1600" xr:uid="{00000000-0005-0000-0000-000078060000}"/>
    <cellStyle name="標準 80 2 2 2" xfId="1601" xr:uid="{00000000-0005-0000-0000-000079060000}"/>
    <cellStyle name="標準 80 2 2 3" xfId="1602" xr:uid="{00000000-0005-0000-0000-00007A060000}"/>
    <cellStyle name="標準 80 2 2 4" xfId="1603" xr:uid="{00000000-0005-0000-0000-00007B060000}"/>
    <cellStyle name="標準 80 2 3" xfId="1604" xr:uid="{00000000-0005-0000-0000-00007C060000}"/>
    <cellStyle name="標準 80 2 4" xfId="1605" xr:uid="{00000000-0005-0000-0000-00007D060000}"/>
    <cellStyle name="標準 80 2 5" xfId="1606" xr:uid="{00000000-0005-0000-0000-00007E060000}"/>
    <cellStyle name="標準 80 3" xfId="1607" xr:uid="{00000000-0005-0000-0000-00007F060000}"/>
    <cellStyle name="標準 80 3 2" xfId="1608" xr:uid="{00000000-0005-0000-0000-000080060000}"/>
    <cellStyle name="標準 80 3 3" xfId="1609" xr:uid="{00000000-0005-0000-0000-000081060000}"/>
    <cellStyle name="標準 80 3 4" xfId="1610" xr:uid="{00000000-0005-0000-0000-000082060000}"/>
    <cellStyle name="標準 80 4" xfId="1611" xr:uid="{00000000-0005-0000-0000-000083060000}"/>
    <cellStyle name="標準 80 5" xfId="1612" xr:uid="{00000000-0005-0000-0000-000084060000}"/>
    <cellStyle name="標準 80 6" xfId="1613" xr:uid="{00000000-0005-0000-0000-000085060000}"/>
    <cellStyle name="標準 81" xfId="1614" xr:uid="{00000000-0005-0000-0000-000086060000}"/>
    <cellStyle name="標準 81 2" xfId="1615" xr:uid="{00000000-0005-0000-0000-000087060000}"/>
    <cellStyle name="標準 81 2 2" xfId="1616" xr:uid="{00000000-0005-0000-0000-000088060000}"/>
    <cellStyle name="標準 81 2 2 2" xfId="1617" xr:uid="{00000000-0005-0000-0000-000089060000}"/>
    <cellStyle name="標準 81 2 2 3" xfId="1618" xr:uid="{00000000-0005-0000-0000-00008A060000}"/>
    <cellStyle name="標準 81 2 2 4" xfId="1619" xr:uid="{00000000-0005-0000-0000-00008B060000}"/>
    <cellStyle name="標準 81 2 3" xfId="1620" xr:uid="{00000000-0005-0000-0000-00008C060000}"/>
    <cellStyle name="標準 81 2 4" xfId="1621" xr:uid="{00000000-0005-0000-0000-00008D060000}"/>
    <cellStyle name="標準 81 2 5" xfId="1622" xr:uid="{00000000-0005-0000-0000-00008E060000}"/>
    <cellStyle name="標準 81 3" xfId="1623" xr:uid="{00000000-0005-0000-0000-00008F060000}"/>
    <cellStyle name="標準 81 3 2" xfId="1624" xr:uid="{00000000-0005-0000-0000-000090060000}"/>
    <cellStyle name="標準 81 3 3" xfId="1625" xr:uid="{00000000-0005-0000-0000-000091060000}"/>
    <cellStyle name="標準 81 3 4" xfId="1626" xr:uid="{00000000-0005-0000-0000-000092060000}"/>
    <cellStyle name="標準 81 4" xfId="1627" xr:uid="{00000000-0005-0000-0000-000093060000}"/>
    <cellStyle name="標準 81 5" xfId="1628" xr:uid="{00000000-0005-0000-0000-000094060000}"/>
    <cellStyle name="標準 81 6" xfId="1629" xr:uid="{00000000-0005-0000-0000-000095060000}"/>
    <cellStyle name="標準 82" xfId="1630" xr:uid="{00000000-0005-0000-0000-000096060000}"/>
    <cellStyle name="標準 82 2" xfId="1631" xr:uid="{00000000-0005-0000-0000-000097060000}"/>
    <cellStyle name="標準 82 2 2" xfId="1632" xr:uid="{00000000-0005-0000-0000-000098060000}"/>
    <cellStyle name="標準 82 2 2 2" xfId="1633" xr:uid="{00000000-0005-0000-0000-000099060000}"/>
    <cellStyle name="標準 82 2 2 3" xfId="1634" xr:uid="{00000000-0005-0000-0000-00009A060000}"/>
    <cellStyle name="標準 82 2 2 4" xfId="1635" xr:uid="{00000000-0005-0000-0000-00009B060000}"/>
    <cellStyle name="標準 82 2 3" xfId="1636" xr:uid="{00000000-0005-0000-0000-00009C060000}"/>
    <cellStyle name="標準 82 2 4" xfId="1637" xr:uid="{00000000-0005-0000-0000-00009D060000}"/>
    <cellStyle name="標準 82 2 5" xfId="1638" xr:uid="{00000000-0005-0000-0000-00009E060000}"/>
    <cellStyle name="標準 82 3" xfId="1639" xr:uid="{00000000-0005-0000-0000-00009F060000}"/>
    <cellStyle name="標準 82 3 2" xfId="1640" xr:uid="{00000000-0005-0000-0000-0000A0060000}"/>
    <cellStyle name="標準 82 3 3" xfId="1641" xr:uid="{00000000-0005-0000-0000-0000A1060000}"/>
    <cellStyle name="標準 82 3 4" xfId="1642" xr:uid="{00000000-0005-0000-0000-0000A2060000}"/>
    <cellStyle name="標準 82 4" xfId="1643" xr:uid="{00000000-0005-0000-0000-0000A3060000}"/>
    <cellStyle name="標準 82 5" xfId="1644" xr:uid="{00000000-0005-0000-0000-0000A4060000}"/>
    <cellStyle name="標準 82 6" xfId="1645" xr:uid="{00000000-0005-0000-0000-0000A5060000}"/>
    <cellStyle name="標準 83" xfId="1646" xr:uid="{00000000-0005-0000-0000-0000A6060000}"/>
    <cellStyle name="標準 83 2" xfId="1647" xr:uid="{00000000-0005-0000-0000-0000A7060000}"/>
    <cellStyle name="標準 83 2 2" xfId="1648" xr:uid="{00000000-0005-0000-0000-0000A8060000}"/>
    <cellStyle name="標準 83 2 2 2" xfId="1649" xr:uid="{00000000-0005-0000-0000-0000A9060000}"/>
    <cellStyle name="標準 83 2 2 3" xfId="1650" xr:uid="{00000000-0005-0000-0000-0000AA060000}"/>
    <cellStyle name="標準 83 2 2 4" xfId="1651" xr:uid="{00000000-0005-0000-0000-0000AB060000}"/>
    <cellStyle name="標準 83 2 3" xfId="1652" xr:uid="{00000000-0005-0000-0000-0000AC060000}"/>
    <cellStyle name="標準 83 2 4" xfId="1653" xr:uid="{00000000-0005-0000-0000-0000AD060000}"/>
    <cellStyle name="標準 83 2 5" xfId="1654" xr:uid="{00000000-0005-0000-0000-0000AE060000}"/>
    <cellStyle name="標準 83 3" xfId="1655" xr:uid="{00000000-0005-0000-0000-0000AF060000}"/>
    <cellStyle name="標準 83 3 2" xfId="1656" xr:uid="{00000000-0005-0000-0000-0000B0060000}"/>
    <cellStyle name="標準 83 3 3" xfId="1657" xr:uid="{00000000-0005-0000-0000-0000B1060000}"/>
    <cellStyle name="標準 83 3 4" xfId="1658" xr:uid="{00000000-0005-0000-0000-0000B2060000}"/>
    <cellStyle name="標準 83 4" xfId="1659" xr:uid="{00000000-0005-0000-0000-0000B3060000}"/>
    <cellStyle name="標準 83 5" xfId="1660" xr:uid="{00000000-0005-0000-0000-0000B4060000}"/>
    <cellStyle name="標準 83 6" xfId="1661" xr:uid="{00000000-0005-0000-0000-0000B5060000}"/>
    <cellStyle name="標準 84" xfId="1662" xr:uid="{00000000-0005-0000-0000-0000B6060000}"/>
    <cellStyle name="標準 84 2" xfId="1663" xr:uid="{00000000-0005-0000-0000-0000B7060000}"/>
    <cellStyle name="標準 84 2 2" xfId="1664" xr:uid="{00000000-0005-0000-0000-0000B8060000}"/>
    <cellStyle name="標準 84 2 2 2" xfId="1665" xr:uid="{00000000-0005-0000-0000-0000B9060000}"/>
    <cellStyle name="標準 84 2 2 3" xfId="1666" xr:uid="{00000000-0005-0000-0000-0000BA060000}"/>
    <cellStyle name="標準 84 2 2 4" xfId="1667" xr:uid="{00000000-0005-0000-0000-0000BB060000}"/>
    <cellStyle name="標準 84 2 3" xfId="1668" xr:uid="{00000000-0005-0000-0000-0000BC060000}"/>
    <cellStyle name="標準 84 2 4" xfId="1669" xr:uid="{00000000-0005-0000-0000-0000BD060000}"/>
    <cellStyle name="標準 84 2 5" xfId="1670" xr:uid="{00000000-0005-0000-0000-0000BE060000}"/>
    <cellStyle name="標準 84 3" xfId="1671" xr:uid="{00000000-0005-0000-0000-0000BF060000}"/>
    <cellStyle name="標準 84 3 2" xfId="1672" xr:uid="{00000000-0005-0000-0000-0000C0060000}"/>
    <cellStyle name="標準 84 3 3" xfId="1673" xr:uid="{00000000-0005-0000-0000-0000C1060000}"/>
    <cellStyle name="標準 84 3 4" xfId="1674" xr:uid="{00000000-0005-0000-0000-0000C2060000}"/>
    <cellStyle name="標準 84 4" xfId="1675" xr:uid="{00000000-0005-0000-0000-0000C3060000}"/>
    <cellStyle name="標準 84 5" xfId="1676" xr:uid="{00000000-0005-0000-0000-0000C4060000}"/>
    <cellStyle name="標準 84 6" xfId="1677" xr:uid="{00000000-0005-0000-0000-0000C5060000}"/>
    <cellStyle name="標準 85" xfId="1678" xr:uid="{00000000-0005-0000-0000-0000C6060000}"/>
    <cellStyle name="標準 85 2" xfId="1679" xr:uid="{00000000-0005-0000-0000-0000C7060000}"/>
    <cellStyle name="標準 85 2 2" xfId="1680" xr:uid="{00000000-0005-0000-0000-0000C8060000}"/>
    <cellStyle name="標準 85 2 2 2" xfId="1681" xr:uid="{00000000-0005-0000-0000-0000C9060000}"/>
    <cellStyle name="標準 85 2 2 3" xfId="1682" xr:uid="{00000000-0005-0000-0000-0000CA060000}"/>
    <cellStyle name="標準 85 2 2 4" xfId="1683" xr:uid="{00000000-0005-0000-0000-0000CB060000}"/>
    <cellStyle name="標準 85 2 3" xfId="1684" xr:uid="{00000000-0005-0000-0000-0000CC060000}"/>
    <cellStyle name="標準 85 2 4" xfId="1685" xr:uid="{00000000-0005-0000-0000-0000CD060000}"/>
    <cellStyle name="標準 85 2 5" xfId="1686" xr:uid="{00000000-0005-0000-0000-0000CE060000}"/>
    <cellStyle name="標準 85 3" xfId="1687" xr:uid="{00000000-0005-0000-0000-0000CF060000}"/>
    <cellStyle name="標準 85 3 2" xfId="1688" xr:uid="{00000000-0005-0000-0000-0000D0060000}"/>
    <cellStyle name="標準 85 3 3" xfId="1689" xr:uid="{00000000-0005-0000-0000-0000D1060000}"/>
    <cellStyle name="標準 85 3 4" xfId="1690" xr:uid="{00000000-0005-0000-0000-0000D2060000}"/>
    <cellStyle name="標準 85 4" xfId="1691" xr:uid="{00000000-0005-0000-0000-0000D3060000}"/>
    <cellStyle name="標準 85 5" xfId="1692" xr:uid="{00000000-0005-0000-0000-0000D4060000}"/>
    <cellStyle name="標準 85 6" xfId="1693" xr:uid="{00000000-0005-0000-0000-0000D5060000}"/>
    <cellStyle name="標準 86" xfId="1694" xr:uid="{00000000-0005-0000-0000-0000D6060000}"/>
    <cellStyle name="標準 86 2" xfId="1695" xr:uid="{00000000-0005-0000-0000-0000D7060000}"/>
    <cellStyle name="標準 86 2 2" xfId="1696" xr:uid="{00000000-0005-0000-0000-0000D8060000}"/>
    <cellStyle name="標準 86 2 2 2" xfId="1697" xr:uid="{00000000-0005-0000-0000-0000D9060000}"/>
    <cellStyle name="標準 86 2 2 3" xfId="1698" xr:uid="{00000000-0005-0000-0000-0000DA060000}"/>
    <cellStyle name="標準 86 2 2 4" xfId="1699" xr:uid="{00000000-0005-0000-0000-0000DB060000}"/>
    <cellStyle name="標準 86 2 3" xfId="1700" xr:uid="{00000000-0005-0000-0000-0000DC060000}"/>
    <cellStyle name="標準 86 2 4" xfId="1701" xr:uid="{00000000-0005-0000-0000-0000DD060000}"/>
    <cellStyle name="標準 86 2 5" xfId="1702" xr:uid="{00000000-0005-0000-0000-0000DE060000}"/>
    <cellStyle name="標準 86 3" xfId="1703" xr:uid="{00000000-0005-0000-0000-0000DF060000}"/>
    <cellStyle name="標準 86 3 2" xfId="1704" xr:uid="{00000000-0005-0000-0000-0000E0060000}"/>
    <cellStyle name="標準 86 3 3" xfId="1705" xr:uid="{00000000-0005-0000-0000-0000E1060000}"/>
    <cellStyle name="標準 86 3 4" xfId="1706" xr:uid="{00000000-0005-0000-0000-0000E2060000}"/>
    <cellStyle name="標準 86 4" xfId="1707" xr:uid="{00000000-0005-0000-0000-0000E3060000}"/>
    <cellStyle name="標準 86 5" xfId="1708" xr:uid="{00000000-0005-0000-0000-0000E4060000}"/>
    <cellStyle name="標準 86 6" xfId="1709" xr:uid="{00000000-0005-0000-0000-0000E5060000}"/>
    <cellStyle name="標準 87" xfId="1710" xr:uid="{00000000-0005-0000-0000-0000E6060000}"/>
    <cellStyle name="標準 87 2" xfId="1711" xr:uid="{00000000-0005-0000-0000-0000E7060000}"/>
    <cellStyle name="標準 87 2 2" xfId="1712" xr:uid="{00000000-0005-0000-0000-0000E8060000}"/>
    <cellStyle name="標準 87 2 2 2" xfId="1713" xr:uid="{00000000-0005-0000-0000-0000E9060000}"/>
    <cellStyle name="標準 87 2 2 3" xfId="1714" xr:uid="{00000000-0005-0000-0000-0000EA060000}"/>
    <cellStyle name="標準 87 2 2 4" xfId="1715" xr:uid="{00000000-0005-0000-0000-0000EB060000}"/>
    <cellStyle name="標準 87 2 3" xfId="1716" xr:uid="{00000000-0005-0000-0000-0000EC060000}"/>
    <cellStyle name="標準 87 2 4" xfId="1717" xr:uid="{00000000-0005-0000-0000-0000ED060000}"/>
    <cellStyle name="標準 87 2 5" xfId="1718" xr:uid="{00000000-0005-0000-0000-0000EE060000}"/>
    <cellStyle name="標準 87 3" xfId="1719" xr:uid="{00000000-0005-0000-0000-0000EF060000}"/>
    <cellStyle name="標準 87 3 2" xfId="1720" xr:uid="{00000000-0005-0000-0000-0000F0060000}"/>
    <cellStyle name="標準 87 3 3" xfId="1721" xr:uid="{00000000-0005-0000-0000-0000F1060000}"/>
    <cellStyle name="標準 87 3 4" xfId="1722" xr:uid="{00000000-0005-0000-0000-0000F2060000}"/>
    <cellStyle name="標準 87 4" xfId="1723" xr:uid="{00000000-0005-0000-0000-0000F3060000}"/>
    <cellStyle name="標準 87 5" xfId="1724" xr:uid="{00000000-0005-0000-0000-0000F4060000}"/>
    <cellStyle name="標準 87 6" xfId="1725" xr:uid="{00000000-0005-0000-0000-0000F5060000}"/>
    <cellStyle name="標準 88" xfId="1726" xr:uid="{00000000-0005-0000-0000-0000F6060000}"/>
    <cellStyle name="標準 88 2" xfId="1727" xr:uid="{00000000-0005-0000-0000-0000F7060000}"/>
    <cellStyle name="標準 88 2 2" xfId="1728" xr:uid="{00000000-0005-0000-0000-0000F8060000}"/>
    <cellStyle name="標準 88 2 2 2" xfId="1729" xr:uid="{00000000-0005-0000-0000-0000F9060000}"/>
    <cellStyle name="標準 88 2 2 3" xfId="1730" xr:uid="{00000000-0005-0000-0000-0000FA060000}"/>
    <cellStyle name="標準 88 2 2 4" xfId="1731" xr:uid="{00000000-0005-0000-0000-0000FB060000}"/>
    <cellStyle name="標準 88 2 3" xfId="1732" xr:uid="{00000000-0005-0000-0000-0000FC060000}"/>
    <cellStyle name="標準 88 2 4" xfId="1733" xr:uid="{00000000-0005-0000-0000-0000FD060000}"/>
    <cellStyle name="標準 88 2 5" xfId="1734" xr:uid="{00000000-0005-0000-0000-0000FE060000}"/>
    <cellStyle name="標準 88 3" xfId="1735" xr:uid="{00000000-0005-0000-0000-0000FF060000}"/>
    <cellStyle name="標準 88 3 2" xfId="1736" xr:uid="{00000000-0005-0000-0000-000000070000}"/>
    <cellStyle name="標準 88 3 3" xfId="1737" xr:uid="{00000000-0005-0000-0000-000001070000}"/>
    <cellStyle name="標準 88 3 4" xfId="1738" xr:uid="{00000000-0005-0000-0000-000002070000}"/>
    <cellStyle name="標準 88 4" xfId="1739" xr:uid="{00000000-0005-0000-0000-000003070000}"/>
    <cellStyle name="標準 88 5" xfId="1740" xr:uid="{00000000-0005-0000-0000-000004070000}"/>
    <cellStyle name="標準 88 6" xfId="1741" xr:uid="{00000000-0005-0000-0000-000005070000}"/>
    <cellStyle name="標準 89" xfId="1742" xr:uid="{00000000-0005-0000-0000-000006070000}"/>
    <cellStyle name="標準 89 2" xfId="1743" xr:uid="{00000000-0005-0000-0000-000007070000}"/>
    <cellStyle name="標準 89 2 2" xfId="1744" xr:uid="{00000000-0005-0000-0000-000008070000}"/>
    <cellStyle name="標準 89 2 2 2" xfId="1745" xr:uid="{00000000-0005-0000-0000-000009070000}"/>
    <cellStyle name="標準 89 2 2 3" xfId="1746" xr:uid="{00000000-0005-0000-0000-00000A070000}"/>
    <cellStyle name="標準 89 2 2 4" xfId="1747" xr:uid="{00000000-0005-0000-0000-00000B070000}"/>
    <cellStyle name="標準 89 2 3" xfId="1748" xr:uid="{00000000-0005-0000-0000-00000C070000}"/>
    <cellStyle name="標準 89 2 4" xfId="1749" xr:uid="{00000000-0005-0000-0000-00000D070000}"/>
    <cellStyle name="標準 89 2 5" xfId="1750" xr:uid="{00000000-0005-0000-0000-00000E070000}"/>
    <cellStyle name="標準 89 3" xfId="1751" xr:uid="{00000000-0005-0000-0000-00000F070000}"/>
    <cellStyle name="標準 89 3 2" xfId="1752" xr:uid="{00000000-0005-0000-0000-000010070000}"/>
    <cellStyle name="標準 89 3 3" xfId="1753" xr:uid="{00000000-0005-0000-0000-000011070000}"/>
    <cellStyle name="標準 89 3 4" xfId="1754" xr:uid="{00000000-0005-0000-0000-000012070000}"/>
    <cellStyle name="標準 89 4" xfId="1755" xr:uid="{00000000-0005-0000-0000-000013070000}"/>
    <cellStyle name="標準 89 5" xfId="1756" xr:uid="{00000000-0005-0000-0000-000014070000}"/>
    <cellStyle name="標準 89 6" xfId="1757" xr:uid="{00000000-0005-0000-0000-000015070000}"/>
    <cellStyle name="標準 9" xfId="1758" xr:uid="{00000000-0005-0000-0000-000016070000}"/>
    <cellStyle name="標準 9 2" xfId="1759" xr:uid="{00000000-0005-0000-0000-000017070000}"/>
    <cellStyle name="標準 9 3" xfId="1760" xr:uid="{00000000-0005-0000-0000-000018070000}"/>
    <cellStyle name="標準 90" xfId="1761" xr:uid="{00000000-0005-0000-0000-000019070000}"/>
    <cellStyle name="標準 90 2" xfId="1762" xr:uid="{00000000-0005-0000-0000-00001A070000}"/>
    <cellStyle name="標準 90 2 2" xfId="1763" xr:uid="{00000000-0005-0000-0000-00001B070000}"/>
    <cellStyle name="標準 90 2 2 2" xfId="1764" xr:uid="{00000000-0005-0000-0000-00001C070000}"/>
    <cellStyle name="標準 90 2 2 3" xfId="1765" xr:uid="{00000000-0005-0000-0000-00001D070000}"/>
    <cellStyle name="標準 90 2 2 4" xfId="1766" xr:uid="{00000000-0005-0000-0000-00001E070000}"/>
    <cellStyle name="標準 90 2 3" xfId="1767" xr:uid="{00000000-0005-0000-0000-00001F070000}"/>
    <cellStyle name="標準 90 2 4" xfId="1768" xr:uid="{00000000-0005-0000-0000-000020070000}"/>
    <cellStyle name="標準 90 2 5" xfId="1769" xr:uid="{00000000-0005-0000-0000-000021070000}"/>
    <cellStyle name="標準 90 3" xfId="1770" xr:uid="{00000000-0005-0000-0000-000022070000}"/>
    <cellStyle name="標準 90 3 2" xfId="1771" xr:uid="{00000000-0005-0000-0000-000023070000}"/>
    <cellStyle name="標準 90 3 3" xfId="1772" xr:uid="{00000000-0005-0000-0000-000024070000}"/>
    <cellStyle name="標準 90 3 4" xfId="1773" xr:uid="{00000000-0005-0000-0000-000025070000}"/>
    <cellStyle name="標準 90 4" xfId="1774" xr:uid="{00000000-0005-0000-0000-000026070000}"/>
    <cellStyle name="標準 90 5" xfId="1775" xr:uid="{00000000-0005-0000-0000-000027070000}"/>
    <cellStyle name="標準 90 6" xfId="1776" xr:uid="{00000000-0005-0000-0000-000028070000}"/>
    <cellStyle name="標準 91" xfId="1777" xr:uid="{00000000-0005-0000-0000-000029070000}"/>
    <cellStyle name="標準 91 2" xfId="1778" xr:uid="{00000000-0005-0000-0000-00002A070000}"/>
    <cellStyle name="標準 91 2 2" xfId="1779" xr:uid="{00000000-0005-0000-0000-00002B070000}"/>
    <cellStyle name="標準 91 2 2 2" xfId="1780" xr:uid="{00000000-0005-0000-0000-00002C070000}"/>
    <cellStyle name="標準 91 2 2 3" xfId="1781" xr:uid="{00000000-0005-0000-0000-00002D070000}"/>
    <cellStyle name="標準 91 2 2 4" xfId="1782" xr:uid="{00000000-0005-0000-0000-00002E070000}"/>
    <cellStyle name="標準 91 2 3" xfId="1783" xr:uid="{00000000-0005-0000-0000-00002F070000}"/>
    <cellStyle name="標準 91 2 4" xfId="1784" xr:uid="{00000000-0005-0000-0000-000030070000}"/>
    <cellStyle name="標準 91 2 5" xfId="1785" xr:uid="{00000000-0005-0000-0000-000031070000}"/>
    <cellStyle name="標準 91 3" xfId="1786" xr:uid="{00000000-0005-0000-0000-000032070000}"/>
    <cellStyle name="標準 91 3 2" xfId="1787" xr:uid="{00000000-0005-0000-0000-000033070000}"/>
    <cellStyle name="標準 91 3 3" xfId="1788" xr:uid="{00000000-0005-0000-0000-000034070000}"/>
    <cellStyle name="標準 91 3 4" xfId="1789" xr:uid="{00000000-0005-0000-0000-000035070000}"/>
    <cellStyle name="標準 91 4" xfId="1790" xr:uid="{00000000-0005-0000-0000-000036070000}"/>
    <cellStyle name="標準 91 5" xfId="1791" xr:uid="{00000000-0005-0000-0000-000037070000}"/>
    <cellStyle name="標準 91 6" xfId="1792" xr:uid="{00000000-0005-0000-0000-000038070000}"/>
    <cellStyle name="標準 92" xfId="1793" xr:uid="{00000000-0005-0000-0000-000039070000}"/>
    <cellStyle name="標準 92 2" xfId="1794" xr:uid="{00000000-0005-0000-0000-00003A070000}"/>
    <cellStyle name="標準 92 2 2" xfId="1795" xr:uid="{00000000-0005-0000-0000-00003B070000}"/>
    <cellStyle name="標準 92 2 2 2" xfId="1796" xr:uid="{00000000-0005-0000-0000-00003C070000}"/>
    <cellStyle name="標準 92 2 2 3" xfId="1797" xr:uid="{00000000-0005-0000-0000-00003D070000}"/>
    <cellStyle name="標準 92 2 2 4" xfId="1798" xr:uid="{00000000-0005-0000-0000-00003E070000}"/>
    <cellStyle name="標準 92 2 3" xfId="1799" xr:uid="{00000000-0005-0000-0000-00003F070000}"/>
    <cellStyle name="標準 92 2 4" xfId="1800" xr:uid="{00000000-0005-0000-0000-000040070000}"/>
    <cellStyle name="標準 92 2 5" xfId="1801" xr:uid="{00000000-0005-0000-0000-000041070000}"/>
    <cellStyle name="標準 92 3" xfId="1802" xr:uid="{00000000-0005-0000-0000-000042070000}"/>
    <cellStyle name="標準 92 3 2" xfId="1803" xr:uid="{00000000-0005-0000-0000-000043070000}"/>
    <cellStyle name="標準 92 3 3" xfId="1804" xr:uid="{00000000-0005-0000-0000-000044070000}"/>
    <cellStyle name="標準 92 3 4" xfId="1805" xr:uid="{00000000-0005-0000-0000-000045070000}"/>
    <cellStyle name="標準 92 4" xfId="1806" xr:uid="{00000000-0005-0000-0000-000046070000}"/>
    <cellStyle name="標準 92 5" xfId="1807" xr:uid="{00000000-0005-0000-0000-000047070000}"/>
    <cellStyle name="標準 92 6" xfId="1808" xr:uid="{00000000-0005-0000-0000-000048070000}"/>
    <cellStyle name="標準 93" xfId="1809" xr:uid="{00000000-0005-0000-0000-000049070000}"/>
    <cellStyle name="標準 93 2" xfId="1810" xr:uid="{00000000-0005-0000-0000-00004A070000}"/>
    <cellStyle name="標準 93 2 2" xfId="1811" xr:uid="{00000000-0005-0000-0000-00004B070000}"/>
    <cellStyle name="標準 93 2 2 2" xfId="1812" xr:uid="{00000000-0005-0000-0000-00004C070000}"/>
    <cellStyle name="標準 93 2 2 3" xfId="1813" xr:uid="{00000000-0005-0000-0000-00004D070000}"/>
    <cellStyle name="標準 93 2 2 4" xfId="1814" xr:uid="{00000000-0005-0000-0000-00004E070000}"/>
    <cellStyle name="標準 93 2 3" xfId="1815" xr:uid="{00000000-0005-0000-0000-00004F070000}"/>
    <cellStyle name="標準 93 2 4" xfId="1816" xr:uid="{00000000-0005-0000-0000-000050070000}"/>
    <cellStyle name="標準 93 2 5" xfId="1817" xr:uid="{00000000-0005-0000-0000-000051070000}"/>
    <cellStyle name="標準 93 3" xfId="1818" xr:uid="{00000000-0005-0000-0000-000052070000}"/>
    <cellStyle name="標準 93 3 2" xfId="1819" xr:uid="{00000000-0005-0000-0000-000053070000}"/>
    <cellStyle name="標準 93 3 3" xfId="1820" xr:uid="{00000000-0005-0000-0000-000054070000}"/>
    <cellStyle name="標準 93 3 4" xfId="1821" xr:uid="{00000000-0005-0000-0000-000055070000}"/>
    <cellStyle name="標準 93 4" xfId="1822" xr:uid="{00000000-0005-0000-0000-000056070000}"/>
    <cellStyle name="標準 93 5" xfId="1823" xr:uid="{00000000-0005-0000-0000-000057070000}"/>
    <cellStyle name="標準 93 6" xfId="1824" xr:uid="{00000000-0005-0000-0000-000058070000}"/>
    <cellStyle name="標準 94" xfId="1825" xr:uid="{00000000-0005-0000-0000-000059070000}"/>
    <cellStyle name="標準 94 2" xfId="1826" xr:uid="{00000000-0005-0000-0000-00005A070000}"/>
    <cellStyle name="標準 94 2 2" xfId="1827" xr:uid="{00000000-0005-0000-0000-00005B070000}"/>
    <cellStyle name="標準 94 2 2 2" xfId="1828" xr:uid="{00000000-0005-0000-0000-00005C070000}"/>
    <cellStyle name="標準 94 2 2 3" xfId="1829" xr:uid="{00000000-0005-0000-0000-00005D070000}"/>
    <cellStyle name="標準 94 2 2 4" xfId="1830" xr:uid="{00000000-0005-0000-0000-00005E070000}"/>
    <cellStyle name="標準 94 2 3" xfId="1831" xr:uid="{00000000-0005-0000-0000-00005F070000}"/>
    <cellStyle name="標準 94 2 4" xfId="1832" xr:uid="{00000000-0005-0000-0000-000060070000}"/>
    <cellStyle name="標準 94 2 5" xfId="1833" xr:uid="{00000000-0005-0000-0000-000061070000}"/>
    <cellStyle name="標準 94 3" xfId="1834" xr:uid="{00000000-0005-0000-0000-000062070000}"/>
    <cellStyle name="標準 94 3 2" xfId="1835" xr:uid="{00000000-0005-0000-0000-000063070000}"/>
    <cellStyle name="標準 94 3 3" xfId="1836" xr:uid="{00000000-0005-0000-0000-000064070000}"/>
    <cellStyle name="標準 94 3 4" xfId="1837" xr:uid="{00000000-0005-0000-0000-000065070000}"/>
    <cellStyle name="標準 94 4" xfId="1838" xr:uid="{00000000-0005-0000-0000-000066070000}"/>
    <cellStyle name="標準 94 5" xfId="1839" xr:uid="{00000000-0005-0000-0000-000067070000}"/>
    <cellStyle name="標準 94 6" xfId="1840" xr:uid="{00000000-0005-0000-0000-000068070000}"/>
    <cellStyle name="標準 95" xfId="1841" xr:uid="{00000000-0005-0000-0000-000069070000}"/>
    <cellStyle name="標準 95 2" xfId="1842" xr:uid="{00000000-0005-0000-0000-00006A070000}"/>
    <cellStyle name="標準 95 2 2" xfId="1843" xr:uid="{00000000-0005-0000-0000-00006B070000}"/>
    <cellStyle name="標準 95 2 2 2" xfId="1844" xr:uid="{00000000-0005-0000-0000-00006C070000}"/>
    <cellStyle name="標準 95 2 2 3" xfId="1845" xr:uid="{00000000-0005-0000-0000-00006D070000}"/>
    <cellStyle name="標準 95 2 2 4" xfId="1846" xr:uid="{00000000-0005-0000-0000-00006E070000}"/>
    <cellStyle name="標準 95 2 3" xfId="1847" xr:uid="{00000000-0005-0000-0000-00006F070000}"/>
    <cellStyle name="標準 95 2 4" xfId="1848" xr:uid="{00000000-0005-0000-0000-000070070000}"/>
    <cellStyle name="標準 95 2 5" xfId="1849" xr:uid="{00000000-0005-0000-0000-000071070000}"/>
    <cellStyle name="標準 95 3" xfId="1850" xr:uid="{00000000-0005-0000-0000-000072070000}"/>
    <cellStyle name="標準 95 3 2" xfId="1851" xr:uid="{00000000-0005-0000-0000-000073070000}"/>
    <cellStyle name="標準 95 3 3" xfId="1852" xr:uid="{00000000-0005-0000-0000-000074070000}"/>
    <cellStyle name="標準 95 3 4" xfId="1853" xr:uid="{00000000-0005-0000-0000-000075070000}"/>
    <cellStyle name="標準 95 4" xfId="1854" xr:uid="{00000000-0005-0000-0000-000076070000}"/>
    <cellStyle name="標準 95 5" xfId="1855" xr:uid="{00000000-0005-0000-0000-000077070000}"/>
    <cellStyle name="標準 95 6" xfId="1856" xr:uid="{00000000-0005-0000-0000-000078070000}"/>
    <cellStyle name="標準 96" xfId="1857" xr:uid="{00000000-0005-0000-0000-000079070000}"/>
    <cellStyle name="標準 96 2" xfId="1858" xr:uid="{00000000-0005-0000-0000-00007A070000}"/>
    <cellStyle name="標準 96 2 2" xfId="1859" xr:uid="{00000000-0005-0000-0000-00007B070000}"/>
    <cellStyle name="標準 96 2 2 2" xfId="1860" xr:uid="{00000000-0005-0000-0000-00007C070000}"/>
    <cellStyle name="標準 96 2 2 3" xfId="1861" xr:uid="{00000000-0005-0000-0000-00007D070000}"/>
    <cellStyle name="標準 96 2 2 4" xfId="1862" xr:uid="{00000000-0005-0000-0000-00007E070000}"/>
    <cellStyle name="標準 96 2 3" xfId="1863" xr:uid="{00000000-0005-0000-0000-00007F070000}"/>
    <cellStyle name="標準 96 2 4" xfId="1864" xr:uid="{00000000-0005-0000-0000-000080070000}"/>
    <cellStyle name="標準 96 2 5" xfId="1865" xr:uid="{00000000-0005-0000-0000-000081070000}"/>
    <cellStyle name="標準 96 3" xfId="1866" xr:uid="{00000000-0005-0000-0000-000082070000}"/>
    <cellStyle name="標準 96 3 2" xfId="1867" xr:uid="{00000000-0005-0000-0000-000083070000}"/>
    <cellStyle name="標準 96 3 3" xfId="1868" xr:uid="{00000000-0005-0000-0000-000084070000}"/>
    <cellStyle name="標準 96 3 4" xfId="1869" xr:uid="{00000000-0005-0000-0000-000085070000}"/>
    <cellStyle name="標準 96 4" xfId="1870" xr:uid="{00000000-0005-0000-0000-000086070000}"/>
    <cellStyle name="標準 96 5" xfId="1871" xr:uid="{00000000-0005-0000-0000-000087070000}"/>
    <cellStyle name="標準 96 6" xfId="1872" xr:uid="{00000000-0005-0000-0000-000088070000}"/>
    <cellStyle name="標準 97" xfId="1873" xr:uid="{00000000-0005-0000-0000-000089070000}"/>
    <cellStyle name="標準 97 2" xfId="1874" xr:uid="{00000000-0005-0000-0000-00008A070000}"/>
    <cellStyle name="標準 97 2 2" xfId="1875" xr:uid="{00000000-0005-0000-0000-00008B070000}"/>
    <cellStyle name="標準 97 2 2 2" xfId="1876" xr:uid="{00000000-0005-0000-0000-00008C070000}"/>
    <cellStyle name="標準 97 2 2 3" xfId="1877" xr:uid="{00000000-0005-0000-0000-00008D070000}"/>
    <cellStyle name="標準 97 2 2 4" xfId="1878" xr:uid="{00000000-0005-0000-0000-00008E070000}"/>
    <cellStyle name="標準 97 2 3" xfId="1879" xr:uid="{00000000-0005-0000-0000-00008F070000}"/>
    <cellStyle name="標準 97 2 4" xfId="1880" xr:uid="{00000000-0005-0000-0000-000090070000}"/>
    <cellStyle name="標準 97 2 5" xfId="1881" xr:uid="{00000000-0005-0000-0000-000091070000}"/>
    <cellStyle name="標準 97 3" xfId="1882" xr:uid="{00000000-0005-0000-0000-000092070000}"/>
    <cellStyle name="標準 97 3 2" xfId="1883" xr:uid="{00000000-0005-0000-0000-000093070000}"/>
    <cellStyle name="標準 97 3 3" xfId="1884" xr:uid="{00000000-0005-0000-0000-000094070000}"/>
    <cellStyle name="標準 97 3 4" xfId="1885" xr:uid="{00000000-0005-0000-0000-000095070000}"/>
    <cellStyle name="標準 97 4" xfId="1886" xr:uid="{00000000-0005-0000-0000-000096070000}"/>
    <cellStyle name="標準 97 5" xfId="1887" xr:uid="{00000000-0005-0000-0000-000097070000}"/>
    <cellStyle name="標準 97 6" xfId="1888" xr:uid="{00000000-0005-0000-0000-000098070000}"/>
    <cellStyle name="標準 98" xfId="1889" xr:uid="{00000000-0005-0000-0000-000099070000}"/>
    <cellStyle name="標準 98 2" xfId="1890" xr:uid="{00000000-0005-0000-0000-00009A070000}"/>
    <cellStyle name="標準 98 2 2" xfId="1891" xr:uid="{00000000-0005-0000-0000-00009B070000}"/>
    <cellStyle name="標準 98 2 2 2" xfId="1892" xr:uid="{00000000-0005-0000-0000-00009C070000}"/>
    <cellStyle name="標準 98 2 2 3" xfId="1893" xr:uid="{00000000-0005-0000-0000-00009D070000}"/>
    <cellStyle name="標準 98 2 2 4" xfId="1894" xr:uid="{00000000-0005-0000-0000-00009E070000}"/>
    <cellStyle name="標準 98 2 3" xfId="1895" xr:uid="{00000000-0005-0000-0000-00009F070000}"/>
    <cellStyle name="標準 98 2 4" xfId="1896" xr:uid="{00000000-0005-0000-0000-0000A0070000}"/>
    <cellStyle name="標準 98 2 5" xfId="1897" xr:uid="{00000000-0005-0000-0000-0000A1070000}"/>
    <cellStyle name="標準 98 3" xfId="1898" xr:uid="{00000000-0005-0000-0000-0000A2070000}"/>
    <cellStyle name="標準 98 3 2" xfId="1899" xr:uid="{00000000-0005-0000-0000-0000A3070000}"/>
    <cellStyle name="標準 98 3 3" xfId="1900" xr:uid="{00000000-0005-0000-0000-0000A4070000}"/>
    <cellStyle name="標準 98 3 4" xfId="1901" xr:uid="{00000000-0005-0000-0000-0000A5070000}"/>
    <cellStyle name="標準 98 4" xfId="1902" xr:uid="{00000000-0005-0000-0000-0000A6070000}"/>
    <cellStyle name="標準 98 5" xfId="1903" xr:uid="{00000000-0005-0000-0000-0000A7070000}"/>
    <cellStyle name="標準 98 6" xfId="1904" xr:uid="{00000000-0005-0000-0000-0000A8070000}"/>
    <cellStyle name="標準 99" xfId="1905" xr:uid="{00000000-0005-0000-0000-0000A9070000}"/>
    <cellStyle name="標準 99 2" xfId="1906" xr:uid="{00000000-0005-0000-0000-0000AA070000}"/>
    <cellStyle name="標準 99 2 2" xfId="1907" xr:uid="{00000000-0005-0000-0000-0000AB070000}"/>
    <cellStyle name="標準 99 2 2 2" xfId="1908" xr:uid="{00000000-0005-0000-0000-0000AC070000}"/>
    <cellStyle name="標準 99 2 2 3" xfId="1909" xr:uid="{00000000-0005-0000-0000-0000AD070000}"/>
    <cellStyle name="標準 99 2 2 4" xfId="1910" xr:uid="{00000000-0005-0000-0000-0000AE070000}"/>
    <cellStyle name="標準 99 2 3" xfId="1911" xr:uid="{00000000-0005-0000-0000-0000AF070000}"/>
    <cellStyle name="標準 99 2 4" xfId="1912" xr:uid="{00000000-0005-0000-0000-0000B0070000}"/>
    <cellStyle name="標準 99 2 5" xfId="1913" xr:uid="{00000000-0005-0000-0000-0000B1070000}"/>
    <cellStyle name="標準 99 3" xfId="1914" xr:uid="{00000000-0005-0000-0000-0000B2070000}"/>
    <cellStyle name="標準 99 3 2" xfId="1915" xr:uid="{00000000-0005-0000-0000-0000B3070000}"/>
    <cellStyle name="標準 99 3 3" xfId="1916" xr:uid="{00000000-0005-0000-0000-0000B4070000}"/>
    <cellStyle name="標準 99 3 4" xfId="1917" xr:uid="{00000000-0005-0000-0000-0000B5070000}"/>
    <cellStyle name="標準 99 4" xfId="1918" xr:uid="{00000000-0005-0000-0000-0000B6070000}"/>
    <cellStyle name="標準 99 5" xfId="1919" xr:uid="{00000000-0005-0000-0000-0000B7070000}"/>
    <cellStyle name="標準 99 6" xfId="1920" xr:uid="{00000000-0005-0000-0000-0000B8070000}"/>
    <cellStyle name="標準１" xfId="1921" xr:uid="{00000000-0005-0000-0000-0000B9070000}"/>
    <cellStyle name="標準10" xfId="1922" xr:uid="{00000000-0005-0000-0000-0000BA070000}"/>
    <cellStyle name="標準12" xfId="1923" xr:uid="{00000000-0005-0000-0000-0000BB070000}"/>
    <cellStyle name="文字列" xfId="1924" xr:uid="{00000000-0005-0000-0000-0000BC070000}"/>
    <cellStyle name="未定義" xfId="12" xr:uid="{00000000-0005-0000-0000-0000BD070000}"/>
    <cellStyle name="未定義 2" xfId="1925" xr:uid="{00000000-0005-0000-0000-0000BE070000}"/>
    <cellStyle name="未定義 3" xfId="1926" xr:uid="{00000000-0005-0000-0000-0000BF070000}"/>
    <cellStyle name="未定義_030_上場有価証券総括表_詳細設計書_府令改正対応" xfId="1927" xr:uid="{00000000-0005-0000-0000-0000C0070000}"/>
    <cellStyle name="良い" xfId="1943" builtinId="26" customBuiltin="1"/>
    <cellStyle name="良い 2" xfId="1928" xr:uid="{00000000-0005-0000-0000-0000C2070000}"/>
    <cellStyle name="良い 3" xfId="1929" xr:uid="{00000000-0005-0000-0000-0000C3070000}"/>
    <cellStyle name="良い 4" xfId="1930" xr:uid="{00000000-0005-0000-0000-0000C4070000}"/>
    <cellStyle name="良い 5" xfId="1931" xr:uid="{00000000-0005-0000-0000-0000C5070000}"/>
    <cellStyle name="良い 6" xfId="1932" xr:uid="{00000000-0005-0000-0000-0000C6070000}"/>
    <cellStyle name="良い 7" xfId="1933" xr:uid="{00000000-0005-0000-0000-0000C7070000}"/>
    <cellStyle name="良い 8" xfId="1934" xr:uid="{00000000-0005-0000-0000-0000C8070000}"/>
    <cellStyle name="良い 9" xfId="1935" xr:uid="{00000000-0005-0000-0000-0000C9070000}"/>
    <cellStyle name="표준_4.3.1_取引処理（取引処理制御１－１）" xfId="1936" xr:uid="{00000000-0005-0000-0000-0000CA07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9"/>
  <sheetViews>
    <sheetView showGridLines="0" tabSelected="1" view="pageBreakPreview" zoomScaleNormal="85" zoomScaleSheetLayoutView="100" workbookViewId="0">
      <pane ySplit="5" topLeftCell="A6" activePane="bottomLeft" state="frozen"/>
      <selection pane="bottomLeft" activeCell="A6" sqref="A6"/>
    </sheetView>
  </sheetViews>
  <sheetFormatPr defaultRowHeight="13.5" customHeight="1"/>
  <cols>
    <col min="1" max="1" width="6.25" style="1" customWidth="1"/>
    <col min="2" max="2" width="33.25" style="1" customWidth="1"/>
    <col min="3" max="3" width="37.5" style="1" bestFit="1" customWidth="1"/>
    <col min="4" max="4" width="5.375" style="1" customWidth="1"/>
    <col min="5" max="5" width="26.875" style="1" customWidth="1"/>
    <col min="6" max="6" width="5.375" style="1" customWidth="1"/>
    <col min="7" max="7" width="26.875" style="1" customWidth="1"/>
    <col min="8" max="8" width="5.375" style="1" customWidth="1"/>
    <col min="9" max="9" width="26.875" style="1" customWidth="1"/>
    <col min="10" max="10" width="5.375" style="1" customWidth="1"/>
    <col min="11" max="11" width="26.875" style="1" customWidth="1"/>
    <col min="12" max="16384" width="9" style="2"/>
  </cols>
  <sheetData>
    <row r="1" spans="1:11" ht="30" customHeight="1">
      <c r="A1" s="14" t="s">
        <v>13</v>
      </c>
      <c r="B1" s="14"/>
      <c r="C1" s="14"/>
    </row>
    <row r="2" spans="1:11" ht="30" customHeight="1">
      <c r="A2" s="14" t="s">
        <v>15</v>
      </c>
      <c r="B2" s="14"/>
      <c r="C2" s="14"/>
    </row>
    <row r="3" spans="1:11" ht="17.100000000000001" customHeight="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r="4" spans="1:11" ht="17.100000000000001" customHeight="1">
      <c r="A4" s="7" t="s">
        <v>0</v>
      </c>
      <c r="B4" s="13" t="s">
        <v>10</v>
      </c>
      <c r="C4" s="13" t="s">
        <v>14</v>
      </c>
      <c r="D4" s="13" t="s">
        <v>1</v>
      </c>
      <c r="E4" s="13"/>
      <c r="F4" s="13" t="s">
        <v>3</v>
      </c>
      <c r="G4" s="13"/>
      <c r="H4" s="13" t="s">
        <v>4</v>
      </c>
      <c r="I4" s="13"/>
      <c r="J4" s="13" t="s">
        <v>5</v>
      </c>
      <c r="K4" s="13"/>
    </row>
    <row r="5" spans="1:11" ht="17.100000000000001" customHeight="1">
      <c r="A5" s="7" t="s">
        <v>2</v>
      </c>
      <c r="B5" s="13"/>
      <c r="C5" s="13"/>
      <c r="D5" s="13" t="s">
        <v>6</v>
      </c>
      <c r="E5" s="13"/>
      <c r="F5" s="13" t="s">
        <v>7</v>
      </c>
      <c r="G5" s="13"/>
      <c r="H5" s="13" t="s">
        <v>8</v>
      </c>
      <c r="I5" s="13"/>
      <c r="J5" s="13" t="s">
        <v>9</v>
      </c>
      <c r="K5" s="13"/>
    </row>
    <row r="6" spans="1:11" s="12" customFormat="1" ht="13.5" customHeight="1">
      <c r="A6" s="8" t="s">
        <v>16</v>
      </c>
      <c r="B6" s="9" t="s">
        <v>17</v>
      </c>
      <c r="C6" s="9" t="s">
        <v>18</v>
      </c>
      <c r="D6" s="10"/>
      <c r="E6" s="11">
        <f>38762</f>
        <v>38762</v>
      </c>
      <c r="F6" s="10"/>
      <c r="G6" s="11">
        <f>272816606000</f>
        <v>272816606000</v>
      </c>
      <c r="H6" s="10" t="s">
        <v>19</v>
      </c>
      <c r="I6" s="11" t="str">
        <f>"－"</f>
        <v>－</v>
      </c>
      <c r="J6" s="10"/>
      <c r="K6" s="11">
        <f>43413</f>
        <v>43413</v>
      </c>
    </row>
    <row r="7" spans="1:11">
      <c r="A7" s="8" t="s">
        <v>20</v>
      </c>
      <c r="B7" s="9" t="s">
        <v>17</v>
      </c>
      <c r="C7" s="9" t="s">
        <v>18</v>
      </c>
      <c r="D7" s="10"/>
      <c r="E7" s="11">
        <f>56527</f>
        <v>56527</v>
      </c>
      <c r="F7" s="10"/>
      <c r="G7" s="11">
        <f>401452435000</f>
        <v>401452435000</v>
      </c>
      <c r="H7" s="10"/>
      <c r="I7" s="11" t="str">
        <f>"－"</f>
        <v>－</v>
      </c>
      <c r="J7" s="10"/>
      <c r="K7" s="11">
        <f>44181</f>
        <v>44181</v>
      </c>
    </row>
    <row r="8" spans="1:11">
      <c r="A8" s="8" t="s">
        <v>21</v>
      </c>
      <c r="B8" s="9" t="s">
        <v>17</v>
      </c>
      <c r="C8" s="9" t="s">
        <v>18</v>
      </c>
      <c r="D8" s="10"/>
      <c r="E8" s="11">
        <f>48931</f>
        <v>48931</v>
      </c>
      <c r="F8" s="10"/>
      <c r="G8" s="11">
        <f>349380279000</f>
        <v>349380279000</v>
      </c>
      <c r="H8" s="10"/>
      <c r="I8" s="11" t="str">
        <f>"－"</f>
        <v>－</v>
      </c>
      <c r="J8" s="10"/>
      <c r="K8" s="11">
        <f>44146</f>
        <v>44146</v>
      </c>
    </row>
    <row r="9" spans="1:11">
      <c r="A9" s="8" t="s">
        <v>22</v>
      </c>
      <c r="B9" s="9" t="s">
        <v>17</v>
      </c>
      <c r="C9" s="9" t="s">
        <v>18</v>
      </c>
      <c r="D9" s="10"/>
      <c r="E9" s="11">
        <f>51153</f>
        <v>51153</v>
      </c>
      <c r="F9" s="10"/>
      <c r="G9" s="11">
        <f>366999384000</f>
        <v>366999384000</v>
      </c>
      <c r="H9" s="10"/>
      <c r="I9" s="11" t="str">
        <f>"－"</f>
        <v>－</v>
      </c>
      <c r="J9" s="10"/>
      <c r="K9" s="11">
        <f>44343</f>
        <v>44343</v>
      </c>
    </row>
    <row r="10" spans="1:11">
      <c r="A10" s="8" t="s">
        <v>23</v>
      </c>
      <c r="B10" s="9" t="s">
        <v>17</v>
      </c>
      <c r="C10" s="9" t="s">
        <v>18</v>
      </c>
      <c r="D10" s="10"/>
      <c r="E10" s="11"/>
      <c r="F10" s="10"/>
      <c r="G10" s="11"/>
      <c r="H10" s="10"/>
      <c r="I10" s="11"/>
      <c r="J10" s="10"/>
      <c r="K10" s="11"/>
    </row>
    <row r="11" spans="1:11">
      <c r="A11" s="8" t="s">
        <v>24</v>
      </c>
      <c r="B11" s="9" t="s">
        <v>17</v>
      </c>
      <c r="C11" s="9" t="s">
        <v>18</v>
      </c>
      <c r="D11" s="10"/>
      <c r="E11" s="11"/>
      <c r="F11" s="10"/>
      <c r="G11" s="11"/>
      <c r="H11" s="10"/>
      <c r="I11" s="11"/>
      <c r="J11" s="10"/>
      <c r="K11" s="11"/>
    </row>
    <row r="12" spans="1:11">
      <c r="A12" s="8" t="s">
        <v>25</v>
      </c>
      <c r="B12" s="9" t="s">
        <v>17</v>
      </c>
      <c r="C12" s="9" t="s">
        <v>18</v>
      </c>
      <c r="D12" s="10"/>
      <c r="E12" s="11">
        <f>70887</f>
        <v>70887</v>
      </c>
      <c r="F12" s="10"/>
      <c r="G12" s="11">
        <f>516040427000</f>
        <v>516040427000</v>
      </c>
      <c r="H12" s="10"/>
      <c r="I12" s="11" t="str">
        <f>"－"</f>
        <v>－</v>
      </c>
      <c r="J12" s="10" t="s">
        <v>26</v>
      </c>
      <c r="K12" s="11">
        <f>46632</f>
        <v>46632</v>
      </c>
    </row>
    <row r="13" spans="1:11">
      <c r="A13" s="8" t="s">
        <v>27</v>
      </c>
      <c r="B13" s="9" t="s">
        <v>17</v>
      </c>
      <c r="C13" s="9" t="s">
        <v>18</v>
      </c>
      <c r="D13" s="10"/>
      <c r="E13" s="11">
        <f>76140</f>
        <v>76140</v>
      </c>
      <c r="F13" s="10"/>
      <c r="G13" s="11">
        <f>559386757000</f>
        <v>559386757000</v>
      </c>
      <c r="H13" s="10"/>
      <c r="I13" s="11" t="str">
        <f>"－"</f>
        <v>－</v>
      </c>
      <c r="J13" s="10"/>
      <c r="K13" s="11">
        <f>44041</f>
        <v>44041</v>
      </c>
    </row>
    <row r="14" spans="1:11">
      <c r="A14" s="8" t="s">
        <v>28</v>
      </c>
      <c r="B14" s="9" t="s">
        <v>17</v>
      </c>
      <c r="C14" s="9" t="s">
        <v>18</v>
      </c>
      <c r="D14" s="10" t="s">
        <v>26</v>
      </c>
      <c r="E14" s="11">
        <f>132967</f>
        <v>132967</v>
      </c>
      <c r="F14" s="10" t="s">
        <v>26</v>
      </c>
      <c r="G14" s="11">
        <f>1004823275000</f>
        <v>1004823275000</v>
      </c>
      <c r="H14" s="10"/>
      <c r="I14" s="11" t="str">
        <f>"－"</f>
        <v>－</v>
      </c>
      <c r="J14" s="10"/>
      <c r="K14" s="11">
        <f>44150</f>
        <v>44150</v>
      </c>
    </row>
    <row r="15" spans="1:11">
      <c r="A15" s="8" t="s">
        <v>29</v>
      </c>
      <c r="B15" s="9" t="s">
        <v>17</v>
      </c>
      <c r="C15" s="9" t="s">
        <v>18</v>
      </c>
      <c r="D15" s="10"/>
      <c r="E15" s="11">
        <f>102675</f>
        <v>102675</v>
      </c>
      <c r="F15" s="10"/>
      <c r="G15" s="11">
        <f>763418424000</f>
        <v>763418424000</v>
      </c>
      <c r="H15" s="10"/>
      <c r="I15" s="11" t="str">
        <f>"－"</f>
        <v>－</v>
      </c>
      <c r="J15" s="10"/>
      <c r="K15" s="11">
        <f>40603</f>
        <v>40603</v>
      </c>
    </row>
    <row r="16" spans="1:11">
      <c r="A16" s="8" t="s">
        <v>30</v>
      </c>
      <c r="B16" s="9" t="s">
        <v>17</v>
      </c>
      <c r="C16" s="9" t="s">
        <v>18</v>
      </c>
      <c r="D16" s="10"/>
      <c r="E16" s="11">
        <f>59661</f>
        <v>59661</v>
      </c>
      <c r="F16" s="10"/>
      <c r="G16" s="11">
        <f>443464703000</f>
        <v>443464703000</v>
      </c>
      <c r="H16" s="10"/>
      <c r="I16" s="11" t="str">
        <f>"－"</f>
        <v>－</v>
      </c>
      <c r="J16" s="10"/>
      <c r="K16" s="11">
        <f>39891</f>
        <v>39891</v>
      </c>
    </row>
    <row r="17" spans="1:11">
      <c r="A17" s="8" t="s">
        <v>31</v>
      </c>
      <c r="B17" s="9" t="s">
        <v>17</v>
      </c>
      <c r="C17" s="9" t="s">
        <v>18</v>
      </c>
      <c r="D17" s="10"/>
      <c r="E17" s="11"/>
      <c r="F17" s="10"/>
      <c r="G17" s="11"/>
      <c r="H17" s="10"/>
      <c r="I17" s="11"/>
      <c r="J17" s="10"/>
      <c r="K17" s="11"/>
    </row>
    <row r="18" spans="1:11">
      <c r="A18" s="8" t="s">
        <v>32</v>
      </c>
      <c r="B18" s="9" t="s">
        <v>17</v>
      </c>
      <c r="C18" s="9" t="s">
        <v>18</v>
      </c>
      <c r="D18" s="10"/>
      <c r="E18" s="11"/>
      <c r="F18" s="10"/>
      <c r="G18" s="11"/>
      <c r="H18" s="10"/>
      <c r="I18" s="11"/>
      <c r="J18" s="10"/>
      <c r="K18" s="11"/>
    </row>
    <row r="19" spans="1:11">
      <c r="A19" s="8" t="s">
        <v>33</v>
      </c>
      <c r="B19" s="9" t="s">
        <v>17</v>
      </c>
      <c r="C19" s="9" t="s">
        <v>18</v>
      </c>
      <c r="D19" s="10"/>
      <c r="E19" s="11">
        <f>62328</f>
        <v>62328</v>
      </c>
      <c r="F19" s="10"/>
      <c r="G19" s="11">
        <f>463016435000</f>
        <v>463016435000</v>
      </c>
      <c r="H19" s="10"/>
      <c r="I19" s="11" t="str">
        <f>"－"</f>
        <v>－</v>
      </c>
      <c r="J19" s="10"/>
      <c r="K19" s="11">
        <f>39028</f>
        <v>39028</v>
      </c>
    </row>
    <row r="20" spans="1:11">
      <c r="A20" s="8" t="s">
        <v>34</v>
      </c>
      <c r="B20" s="9" t="s">
        <v>17</v>
      </c>
      <c r="C20" s="9" t="s">
        <v>18</v>
      </c>
      <c r="D20" s="10"/>
      <c r="E20" s="11">
        <f>50508</f>
        <v>50508</v>
      </c>
      <c r="F20" s="10"/>
      <c r="G20" s="11">
        <f>373235165000</f>
        <v>373235165000</v>
      </c>
      <c r="H20" s="10"/>
      <c r="I20" s="11" t="str">
        <f>"－"</f>
        <v>－</v>
      </c>
      <c r="J20" s="10"/>
      <c r="K20" s="11">
        <f>38584</f>
        <v>38584</v>
      </c>
    </row>
    <row r="21" spans="1:11">
      <c r="A21" s="8" t="s">
        <v>35</v>
      </c>
      <c r="B21" s="9" t="s">
        <v>17</v>
      </c>
      <c r="C21" s="9" t="s">
        <v>18</v>
      </c>
      <c r="D21" s="10"/>
      <c r="E21" s="11">
        <f>52180</f>
        <v>52180</v>
      </c>
      <c r="F21" s="10"/>
      <c r="G21" s="11">
        <f>379921853000</f>
        <v>379921853000</v>
      </c>
      <c r="H21" s="10"/>
      <c r="I21" s="11" t="str">
        <f>"－"</f>
        <v>－</v>
      </c>
      <c r="J21" s="10" t="s">
        <v>36</v>
      </c>
      <c r="K21" s="11">
        <f>37680</f>
        <v>37680</v>
      </c>
    </row>
    <row r="22" spans="1:11">
      <c r="A22" s="8" t="s">
        <v>37</v>
      </c>
      <c r="B22" s="9" t="s">
        <v>17</v>
      </c>
      <c r="C22" s="9" t="s">
        <v>18</v>
      </c>
      <c r="D22" s="10"/>
      <c r="E22" s="11">
        <f>44486</f>
        <v>44486</v>
      </c>
      <c r="F22" s="10"/>
      <c r="G22" s="11">
        <f>324866888000</f>
        <v>324866888000</v>
      </c>
      <c r="H22" s="10"/>
      <c r="I22" s="11" t="str">
        <f>"－"</f>
        <v>－</v>
      </c>
      <c r="J22" s="10"/>
      <c r="K22" s="11">
        <f>37697</f>
        <v>37697</v>
      </c>
    </row>
    <row r="23" spans="1:11">
      <c r="A23" s="8" t="s">
        <v>38</v>
      </c>
      <c r="B23" s="9" t="s">
        <v>17</v>
      </c>
      <c r="C23" s="9" t="s">
        <v>18</v>
      </c>
      <c r="D23" s="10"/>
      <c r="E23" s="11">
        <f>37332</f>
        <v>37332</v>
      </c>
      <c r="F23" s="10"/>
      <c r="G23" s="11">
        <f>275767263000</f>
        <v>275767263000</v>
      </c>
      <c r="H23" s="10"/>
      <c r="I23" s="11" t="str">
        <f>"－"</f>
        <v>－</v>
      </c>
      <c r="J23" s="10"/>
      <c r="K23" s="11">
        <f>38149</f>
        <v>38149</v>
      </c>
    </row>
    <row r="24" spans="1:11">
      <c r="A24" s="8" t="s">
        <v>39</v>
      </c>
      <c r="B24" s="9" t="s">
        <v>17</v>
      </c>
      <c r="C24" s="9" t="s">
        <v>18</v>
      </c>
      <c r="D24" s="10"/>
      <c r="E24" s="11"/>
      <c r="F24" s="10"/>
      <c r="G24" s="11"/>
      <c r="H24" s="10"/>
      <c r="I24" s="11"/>
      <c r="J24" s="10"/>
      <c r="K24" s="11"/>
    </row>
    <row r="25" spans="1:11">
      <c r="A25" s="8" t="s">
        <v>40</v>
      </c>
      <c r="B25" s="9" t="s">
        <v>17</v>
      </c>
      <c r="C25" s="9" t="s">
        <v>18</v>
      </c>
      <c r="D25" s="10"/>
      <c r="E25" s="11"/>
      <c r="F25" s="10"/>
      <c r="G25" s="11"/>
      <c r="H25" s="10"/>
      <c r="I25" s="11"/>
      <c r="J25" s="10"/>
      <c r="K25" s="11"/>
    </row>
    <row r="26" spans="1:11">
      <c r="A26" s="8" t="s">
        <v>41</v>
      </c>
      <c r="B26" s="9" t="s">
        <v>17</v>
      </c>
      <c r="C26" s="9" t="s">
        <v>18</v>
      </c>
      <c r="D26" s="10"/>
      <c r="E26" s="11"/>
      <c r="F26" s="10"/>
      <c r="G26" s="11"/>
      <c r="H26" s="10"/>
      <c r="I26" s="11"/>
      <c r="J26" s="10"/>
      <c r="K26" s="11"/>
    </row>
    <row r="27" spans="1:11">
      <c r="A27" s="8" t="s">
        <v>42</v>
      </c>
      <c r="B27" s="9" t="s">
        <v>17</v>
      </c>
      <c r="C27" s="9" t="s">
        <v>18</v>
      </c>
      <c r="D27" s="10"/>
      <c r="E27" s="11">
        <f>44019</f>
        <v>44019</v>
      </c>
      <c r="F27" s="10"/>
      <c r="G27" s="11">
        <f>326094770000</f>
        <v>326094770000</v>
      </c>
      <c r="H27" s="10"/>
      <c r="I27" s="11" t="str">
        <f>"－"</f>
        <v>－</v>
      </c>
      <c r="J27" s="10"/>
      <c r="K27" s="11">
        <f>38057</f>
        <v>38057</v>
      </c>
    </row>
    <row r="28" spans="1:11">
      <c r="A28" s="8" t="s">
        <v>43</v>
      </c>
      <c r="B28" s="9" t="s">
        <v>17</v>
      </c>
      <c r="C28" s="9" t="s">
        <v>18</v>
      </c>
      <c r="D28" s="10"/>
      <c r="E28" s="11">
        <f>35324</f>
        <v>35324</v>
      </c>
      <c r="F28" s="10"/>
      <c r="G28" s="11">
        <f>263176038000</f>
        <v>263176038000</v>
      </c>
      <c r="H28" s="10"/>
      <c r="I28" s="11" t="str">
        <f>"－"</f>
        <v>－</v>
      </c>
      <c r="J28" s="10"/>
      <c r="K28" s="11">
        <f>38546</f>
        <v>38546</v>
      </c>
    </row>
    <row r="29" spans="1:11">
      <c r="A29" s="8" t="s">
        <v>44</v>
      </c>
      <c r="B29" s="9" t="s">
        <v>17</v>
      </c>
      <c r="C29" s="9" t="s">
        <v>18</v>
      </c>
      <c r="D29" s="10"/>
      <c r="E29" s="11">
        <f>40993</f>
        <v>40993</v>
      </c>
      <c r="F29" s="10"/>
      <c r="G29" s="11">
        <f>307996170000</f>
        <v>307996170000</v>
      </c>
      <c r="H29" s="10"/>
      <c r="I29" s="11" t="str">
        <f>"－"</f>
        <v>－</v>
      </c>
      <c r="J29" s="10"/>
      <c r="K29" s="11">
        <f>38025</f>
        <v>38025</v>
      </c>
    </row>
    <row r="30" spans="1:11">
      <c r="A30" s="8" t="s">
        <v>45</v>
      </c>
      <c r="B30" s="9" t="s">
        <v>17</v>
      </c>
      <c r="C30" s="9" t="s">
        <v>18</v>
      </c>
      <c r="D30" s="10"/>
      <c r="E30" s="11">
        <f>50607</f>
        <v>50607</v>
      </c>
      <c r="F30" s="10"/>
      <c r="G30" s="11">
        <f>386799435000</f>
        <v>386799435000</v>
      </c>
      <c r="H30" s="10"/>
      <c r="I30" s="11" t="str">
        <f>"－"</f>
        <v>－</v>
      </c>
      <c r="J30" s="10"/>
      <c r="K30" s="11">
        <f>38363</f>
        <v>38363</v>
      </c>
    </row>
    <row r="31" spans="1:11">
      <c r="A31" s="8" t="s">
        <v>46</v>
      </c>
      <c r="B31" s="9" t="s">
        <v>17</v>
      </c>
      <c r="C31" s="9" t="s">
        <v>18</v>
      </c>
      <c r="D31" s="10"/>
      <c r="E31" s="11"/>
      <c r="F31" s="10"/>
      <c r="G31" s="11"/>
      <c r="H31" s="10"/>
      <c r="I31" s="11"/>
      <c r="J31" s="10"/>
      <c r="K31" s="11"/>
    </row>
    <row r="32" spans="1:11">
      <c r="A32" s="8" t="s">
        <v>47</v>
      </c>
      <c r="B32" s="9" t="s">
        <v>17</v>
      </c>
      <c r="C32" s="9" t="s">
        <v>18</v>
      </c>
      <c r="D32" s="10"/>
      <c r="E32" s="11"/>
      <c r="F32" s="10"/>
      <c r="G32" s="11"/>
      <c r="H32" s="10"/>
      <c r="I32" s="11"/>
      <c r="J32" s="10"/>
      <c r="K32" s="11"/>
    </row>
    <row r="33" spans="1:11">
      <c r="A33" s="8" t="s">
        <v>48</v>
      </c>
      <c r="B33" s="9" t="s">
        <v>17</v>
      </c>
      <c r="C33" s="9" t="s">
        <v>18</v>
      </c>
      <c r="D33" s="10"/>
      <c r="E33" s="11">
        <f>32246</f>
        <v>32246</v>
      </c>
      <c r="F33" s="10"/>
      <c r="G33" s="11">
        <f>246633919000</f>
        <v>246633919000</v>
      </c>
      <c r="H33" s="10"/>
      <c r="I33" s="11" t="str">
        <f t="shared" ref="I33:I40" si="0">"－"</f>
        <v>－</v>
      </c>
      <c r="J33" s="10"/>
      <c r="K33" s="11">
        <f>38385</f>
        <v>38385</v>
      </c>
    </row>
    <row r="34" spans="1:11">
      <c r="A34" s="8" t="s">
        <v>49</v>
      </c>
      <c r="B34" s="9" t="s">
        <v>17</v>
      </c>
      <c r="C34" s="9" t="s">
        <v>18</v>
      </c>
      <c r="D34" s="10"/>
      <c r="E34" s="11">
        <f>39236</f>
        <v>39236</v>
      </c>
      <c r="F34" s="10"/>
      <c r="G34" s="11">
        <f>300563046000</f>
        <v>300563046000</v>
      </c>
      <c r="H34" s="10"/>
      <c r="I34" s="11" t="str">
        <f t="shared" si="0"/>
        <v>－</v>
      </c>
      <c r="J34" s="10"/>
      <c r="K34" s="11">
        <f>38069</f>
        <v>38069</v>
      </c>
    </row>
    <row r="35" spans="1:11">
      <c r="A35" s="8" t="s">
        <v>50</v>
      </c>
      <c r="B35" s="9" t="s">
        <v>17</v>
      </c>
      <c r="C35" s="9" t="s">
        <v>18</v>
      </c>
      <c r="D35" s="10"/>
      <c r="E35" s="11">
        <f>50242</f>
        <v>50242</v>
      </c>
      <c r="F35" s="10"/>
      <c r="G35" s="11">
        <f>378075198000</f>
        <v>378075198000</v>
      </c>
      <c r="H35" s="10"/>
      <c r="I35" s="11" t="str">
        <f t="shared" si="0"/>
        <v>－</v>
      </c>
      <c r="J35" s="10"/>
      <c r="K35" s="11">
        <f>38441</f>
        <v>38441</v>
      </c>
    </row>
    <row r="36" spans="1:11">
      <c r="A36" s="8" t="s">
        <v>51</v>
      </c>
      <c r="B36" s="9" t="s">
        <v>17</v>
      </c>
      <c r="C36" s="9" t="s">
        <v>18</v>
      </c>
      <c r="D36" s="10" t="s">
        <v>36</v>
      </c>
      <c r="E36" s="11">
        <f>28707</f>
        <v>28707</v>
      </c>
      <c r="F36" s="10" t="s">
        <v>36</v>
      </c>
      <c r="G36" s="11">
        <f>216504347000</f>
        <v>216504347000</v>
      </c>
      <c r="H36" s="10"/>
      <c r="I36" s="11" t="str">
        <f t="shared" si="0"/>
        <v>－</v>
      </c>
      <c r="J36" s="10"/>
      <c r="K36" s="11">
        <f>38461</f>
        <v>38461</v>
      </c>
    </row>
    <row r="37" spans="1:11">
      <c r="A37" s="8" t="s">
        <v>16</v>
      </c>
      <c r="B37" s="9" t="s">
        <v>52</v>
      </c>
      <c r="C37" s="9" t="s">
        <v>53</v>
      </c>
      <c r="D37" s="10" t="s">
        <v>36</v>
      </c>
      <c r="E37" s="11">
        <f>9007</f>
        <v>9007</v>
      </c>
      <c r="F37" s="10" t="s">
        <v>36</v>
      </c>
      <c r="G37" s="11">
        <f>6343032100</f>
        <v>6343032100</v>
      </c>
      <c r="H37" s="10" t="s">
        <v>19</v>
      </c>
      <c r="I37" s="11" t="str">
        <f t="shared" si="0"/>
        <v>－</v>
      </c>
      <c r="J37" s="10"/>
      <c r="K37" s="11">
        <f>10661</f>
        <v>10661</v>
      </c>
    </row>
    <row r="38" spans="1:11">
      <c r="A38" s="8" t="s">
        <v>20</v>
      </c>
      <c r="B38" s="9" t="s">
        <v>52</v>
      </c>
      <c r="C38" s="9" t="s">
        <v>53</v>
      </c>
      <c r="D38" s="10"/>
      <c r="E38" s="11">
        <f>12623</f>
        <v>12623</v>
      </c>
      <c r="F38" s="10"/>
      <c r="G38" s="11">
        <f>8961899200</f>
        <v>8961899200</v>
      </c>
      <c r="H38" s="10"/>
      <c r="I38" s="11" t="str">
        <f t="shared" si="0"/>
        <v>－</v>
      </c>
      <c r="J38" s="10"/>
      <c r="K38" s="11">
        <f>10806</f>
        <v>10806</v>
      </c>
    </row>
    <row r="39" spans="1:11">
      <c r="A39" s="8" t="s">
        <v>21</v>
      </c>
      <c r="B39" s="9" t="s">
        <v>52</v>
      </c>
      <c r="C39" s="9" t="s">
        <v>53</v>
      </c>
      <c r="D39" s="10"/>
      <c r="E39" s="11">
        <f>11319</f>
        <v>11319</v>
      </c>
      <c r="F39" s="10"/>
      <c r="G39" s="11">
        <f>8083969200</f>
        <v>8083969200</v>
      </c>
      <c r="H39" s="10"/>
      <c r="I39" s="11" t="str">
        <f t="shared" si="0"/>
        <v>－</v>
      </c>
      <c r="J39" s="10" t="s">
        <v>26</v>
      </c>
      <c r="K39" s="11">
        <f>10934</f>
        <v>10934</v>
      </c>
    </row>
    <row r="40" spans="1:11">
      <c r="A40" s="8" t="s">
        <v>22</v>
      </c>
      <c r="B40" s="9" t="s">
        <v>52</v>
      </c>
      <c r="C40" s="9" t="s">
        <v>53</v>
      </c>
      <c r="D40" s="10"/>
      <c r="E40" s="11">
        <f>11734</f>
        <v>11734</v>
      </c>
      <c r="F40" s="10"/>
      <c r="G40" s="11">
        <f>8418374000</f>
        <v>8418374000</v>
      </c>
      <c r="H40" s="10"/>
      <c r="I40" s="11" t="str">
        <f t="shared" si="0"/>
        <v>－</v>
      </c>
      <c r="J40" s="10"/>
      <c r="K40" s="11">
        <f>10782</f>
        <v>10782</v>
      </c>
    </row>
    <row r="41" spans="1:11">
      <c r="A41" s="8" t="s">
        <v>23</v>
      </c>
      <c r="B41" s="9" t="s">
        <v>52</v>
      </c>
      <c r="C41" s="9" t="s">
        <v>53</v>
      </c>
      <c r="D41" s="10"/>
      <c r="E41" s="11"/>
      <c r="F41" s="10"/>
      <c r="G41" s="11"/>
      <c r="H41" s="10"/>
      <c r="I41" s="11"/>
      <c r="J41" s="10"/>
      <c r="K41" s="11"/>
    </row>
    <row r="42" spans="1:11">
      <c r="A42" s="8" t="s">
        <v>24</v>
      </c>
      <c r="B42" s="9" t="s">
        <v>52</v>
      </c>
      <c r="C42" s="9" t="s">
        <v>53</v>
      </c>
      <c r="D42" s="10"/>
      <c r="E42" s="11"/>
      <c r="F42" s="10"/>
      <c r="G42" s="11"/>
      <c r="H42" s="10"/>
      <c r="I42" s="11"/>
      <c r="J42" s="10"/>
      <c r="K42" s="11"/>
    </row>
    <row r="43" spans="1:11">
      <c r="A43" s="8" t="s">
        <v>25</v>
      </c>
      <c r="B43" s="9" t="s">
        <v>52</v>
      </c>
      <c r="C43" s="9" t="s">
        <v>53</v>
      </c>
      <c r="D43" s="10"/>
      <c r="E43" s="11">
        <f>16737</f>
        <v>16737</v>
      </c>
      <c r="F43" s="10"/>
      <c r="G43" s="11">
        <f>12172360600</f>
        <v>12172360600</v>
      </c>
      <c r="H43" s="10"/>
      <c r="I43" s="11" t="str">
        <f>"－"</f>
        <v>－</v>
      </c>
      <c r="J43" s="10"/>
      <c r="K43" s="11">
        <f>10669</f>
        <v>10669</v>
      </c>
    </row>
    <row r="44" spans="1:11">
      <c r="A44" s="8" t="s">
        <v>27</v>
      </c>
      <c r="B44" s="9" t="s">
        <v>52</v>
      </c>
      <c r="C44" s="9" t="s">
        <v>53</v>
      </c>
      <c r="D44" s="10"/>
      <c r="E44" s="11">
        <f>24466</f>
        <v>24466</v>
      </c>
      <c r="F44" s="10"/>
      <c r="G44" s="11">
        <f>17968888000</f>
        <v>17968888000</v>
      </c>
      <c r="H44" s="10"/>
      <c r="I44" s="11" t="str">
        <f>"－"</f>
        <v>－</v>
      </c>
      <c r="J44" s="10"/>
      <c r="K44" s="11">
        <f>10830</f>
        <v>10830</v>
      </c>
    </row>
    <row r="45" spans="1:11">
      <c r="A45" s="8" t="s">
        <v>28</v>
      </c>
      <c r="B45" s="9" t="s">
        <v>52</v>
      </c>
      <c r="C45" s="9" t="s">
        <v>53</v>
      </c>
      <c r="D45" s="10" t="s">
        <v>26</v>
      </c>
      <c r="E45" s="11">
        <f>44650</f>
        <v>44650</v>
      </c>
      <c r="F45" s="10" t="s">
        <v>26</v>
      </c>
      <c r="G45" s="11">
        <f>33722915200</f>
        <v>33722915200</v>
      </c>
      <c r="H45" s="10"/>
      <c r="I45" s="11" t="str">
        <f>"－"</f>
        <v>－</v>
      </c>
      <c r="J45" s="10"/>
      <c r="K45" s="11">
        <f>10856</f>
        <v>10856</v>
      </c>
    </row>
    <row r="46" spans="1:11">
      <c r="A46" s="8" t="s">
        <v>29</v>
      </c>
      <c r="B46" s="9" t="s">
        <v>52</v>
      </c>
      <c r="C46" s="9" t="s">
        <v>53</v>
      </c>
      <c r="D46" s="10"/>
      <c r="E46" s="11">
        <f>35159</f>
        <v>35159</v>
      </c>
      <c r="F46" s="10"/>
      <c r="G46" s="11">
        <f>26173278300</f>
        <v>26173278300</v>
      </c>
      <c r="H46" s="10"/>
      <c r="I46" s="11" t="str">
        <f>"－"</f>
        <v>－</v>
      </c>
      <c r="J46" s="10"/>
      <c r="K46" s="11">
        <f>10487</f>
        <v>10487</v>
      </c>
    </row>
    <row r="47" spans="1:11">
      <c r="A47" s="8" t="s">
        <v>30</v>
      </c>
      <c r="B47" s="9" t="s">
        <v>52</v>
      </c>
      <c r="C47" s="9" t="s">
        <v>53</v>
      </c>
      <c r="D47" s="10"/>
      <c r="E47" s="11">
        <f>21954</f>
        <v>21954</v>
      </c>
      <c r="F47" s="10"/>
      <c r="G47" s="11">
        <f>16307409800</f>
        <v>16307409800</v>
      </c>
      <c r="H47" s="10"/>
      <c r="I47" s="11" t="str">
        <f>"－"</f>
        <v>－</v>
      </c>
      <c r="J47" s="10"/>
      <c r="K47" s="11">
        <f>10391</f>
        <v>10391</v>
      </c>
    </row>
    <row r="48" spans="1:11">
      <c r="A48" s="8" t="s">
        <v>31</v>
      </c>
      <c r="B48" s="9" t="s">
        <v>52</v>
      </c>
      <c r="C48" s="9" t="s">
        <v>53</v>
      </c>
      <c r="D48" s="10"/>
      <c r="E48" s="11"/>
      <c r="F48" s="10"/>
      <c r="G48" s="11"/>
      <c r="H48" s="10"/>
      <c r="I48" s="11"/>
      <c r="J48" s="10"/>
      <c r="K48" s="11"/>
    </row>
    <row r="49" spans="1:11">
      <c r="A49" s="8" t="s">
        <v>32</v>
      </c>
      <c r="B49" s="9" t="s">
        <v>52</v>
      </c>
      <c r="C49" s="9" t="s">
        <v>53</v>
      </c>
      <c r="D49" s="10"/>
      <c r="E49" s="11"/>
      <c r="F49" s="10"/>
      <c r="G49" s="11"/>
      <c r="H49" s="10"/>
      <c r="I49" s="11"/>
      <c r="J49" s="10"/>
      <c r="K49" s="11"/>
    </row>
    <row r="50" spans="1:11">
      <c r="A50" s="8" t="s">
        <v>33</v>
      </c>
      <c r="B50" s="9" t="s">
        <v>52</v>
      </c>
      <c r="C50" s="9" t="s">
        <v>53</v>
      </c>
      <c r="D50" s="10"/>
      <c r="E50" s="11">
        <f>23478</f>
        <v>23478</v>
      </c>
      <c r="F50" s="10"/>
      <c r="G50" s="11">
        <f>17426171800</f>
        <v>17426171800</v>
      </c>
      <c r="H50" s="10"/>
      <c r="I50" s="11" t="str">
        <f>"－"</f>
        <v>－</v>
      </c>
      <c r="J50" s="10" t="s">
        <v>36</v>
      </c>
      <c r="K50" s="11">
        <f>10229</f>
        <v>10229</v>
      </c>
    </row>
    <row r="51" spans="1:11">
      <c r="A51" s="8" t="s">
        <v>34</v>
      </c>
      <c r="B51" s="9" t="s">
        <v>52</v>
      </c>
      <c r="C51" s="9" t="s">
        <v>53</v>
      </c>
      <c r="D51" s="10"/>
      <c r="E51" s="11">
        <f>23551</f>
        <v>23551</v>
      </c>
      <c r="F51" s="10"/>
      <c r="G51" s="11">
        <f>17423371600</f>
        <v>17423371600</v>
      </c>
      <c r="H51" s="10"/>
      <c r="I51" s="11" t="str">
        <f>"－"</f>
        <v>－</v>
      </c>
      <c r="J51" s="10"/>
      <c r="K51" s="11">
        <f>10696</f>
        <v>10696</v>
      </c>
    </row>
    <row r="52" spans="1:11">
      <c r="A52" s="8" t="s">
        <v>35</v>
      </c>
      <c r="B52" s="9" t="s">
        <v>52</v>
      </c>
      <c r="C52" s="9" t="s">
        <v>53</v>
      </c>
      <c r="D52" s="10"/>
      <c r="E52" s="11">
        <f>20594</f>
        <v>20594</v>
      </c>
      <c r="F52" s="10"/>
      <c r="G52" s="11">
        <f>14990530600</f>
        <v>14990530600</v>
      </c>
      <c r="H52" s="10"/>
      <c r="I52" s="11" t="str">
        <f>"－"</f>
        <v>－</v>
      </c>
      <c r="J52" s="10"/>
      <c r="K52" s="11">
        <f>10538</f>
        <v>10538</v>
      </c>
    </row>
    <row r="53" spans="1:11">
      <c r="A53" s="8" t="s">
        <v>37</v>
      </c>
      <c r="B53" s="9" t="s">
        <v>52</v>
      </c>
      <c r="C53" s="9" t="s">
        <v>53</v>
      </c>
      <c r="D53" s="10"/>
      <c r="E53" s="11">
        <f>16005</f>
        <v>16005</v>
      </c>
      <c r="F53" s="10"/>
      <c r="G53" s="11">
        <f>11681150300</f>
        <v>11681150300</v>
      </c>
      <c r="H53" s="10"/>
      <c r="I53" s="11" t="str">
        <f>"－"</f>
        <v>－</v>
      </c>
      <c r="J53" s="10"/>
      <c r="K53" s="11">
        <f>10535</f>
        <v>10535</v>
      </c>
    </row>
    <row r="54" spans="1:11">
      <c r="A54" s="8" t="s">
        <v>38</v>
      </c>
      <c r="B54" s="9" t="s">
        <v>52</v>
      </c>
      <c r="C54" s="9" t="s">
        <v>53</v>
      </c>
      <c r="D54" s="10"/>
      <c r="E54" s="11">
        <f>13511</f>
        <v>13511</v>
      </c>
      <c r="F54" s="10"/>
      <c r="G54" s="11">
        <f>9981343800</f>
        <v>9981343800</v>
      </c>
      <c r="H54" s="10"/>
      <c r="I54" s="11" t="str">
        <f>"－"</f>
        <v>－</v>
      </c>
      <c r="J54" s="10"/>
      <c r="K54" s="11">
        <f>10616</f>
        <v>10616</v>
      </c>
    </row>
    <row r="55" spans="1:11">
      <c r="A55" s="8" t="s">
        <v>39</v>
      </c>
      <c r="B55" s="9" t="s">
        <v>52</v>
      </c>
      <c r="C55" s="9" t="s">
        <v>53</v>
      </c>
      <c r="D55" s="10"/>
      <c r="E55" s="11"/>
      <c r="F55" s="10"/>
      <c r="G55" s="11"/>
      <c r="H55" s="10"/>
      <c r="I55" s="11"/>
      <c r="J55" s="10"/>
      <c r="K55" s="11"/>
    </row>
    <row r="56" spans="1:11">
      <c r="A56" s="8" t="s">
        <v>40</v>
      </c>
      <c r="B56" s="9" t="s">
        <v>52</v>
      </c>
      <c r="C56" s="9" t="s">
        <v>53</v>
      </c>
      <c r="D56" s="10"/>
      <c r="E56" s="11"/>
      <c r="F56" s="10"/>
      <c r="G56" s="11"/>
      <c r="H56" s="10"/>
      <c r="I56" s="11"/>
      <c r="J56" s="10"/>
      <c r="K56" s="11"/>
    </row>
    <row r="57" spans="1:11">
      <c r="A57" s="8" t="s">
        <v>41</v>
      </c>
      <c r="B57" s="9" t="s">
        <v>52</v>
      </c>
      <c r="C57" s="9" t="s">
        <v>53</v>
      </c>
      <c r="D57" s="10"/>
      <c r="E57" s="11"/>
      <c r="F57" s="10"/>
      <c r="G57" s="11"/>
      <c r="H57" s="10"/>
      <c r="I57" s="11"/>
      <c r="J57" s="10"/>
      <c r="K57" s="11"/>
    </row>
    <row r="58" spans="1:11">
      <c r="A58" s="8" t="s">
        <v>42</v>
      </c>
      <c r="B58" s="9" t="s">
        <v>52</v>
      </c>
      <c r="C58" s="9" t="s">
        <v>53</v>
      </c>
      <c r="D58" s="10"/>
      <c r="E58" s="11">
        <f>12112</f>
        <v>12112</v>
      </c>
      <c r="F58" s="10"/>
      <c r="G58" s="11">
        <f>8967112300</f>
        <v>8967112300</v>
      </c>
      <c r="H58" s="10"/>
      <c r="I58" s="11" t="str">
        <f>"－"</f>
        <v>－</v>
      </c>
      <c r="J58" s="10"/>
      <c r="K58" s="11">
        <f>10620</f>
        <v>10620</v>
      </c>
    </row>
    <row r="59" spans="1:11">
      <c r="A59" s="8" t="s">
        <v>43</v>
      </c>
      <c r="B59" s="9" t="s">
        <v>52</v>
      </c>
      <c r="C59" s="9" t="s">
        <v>53</v>
      </c>
      <c r="D59" s="10"/>
      <c r="E59" s="11">
        <f>14636</f>
        <v>14636</v>
      </c>
      <c r="F59" s="10"/>
      <c r="G59" s="11">
        <f>10899480900</f>
        <v>10899480900</v>
      </c>
      <c r="H59" s="10"/>
      <c r="I59" s="11" t="str">
        <f>"－"</f>
        <v>－</v>
      </c>
      <c r="J59" s="10"/>
      <c r="K59" s="11">
        <f>10686</f>
        <v>10686</v>
      </c>
    </row>
    <row r="60" spans="1:11">
      <c r="A60" s="8" t="s">
        <v>44</v>
      </c>
      <c r="B60" s="9" t="s">
        <v>52</v>
      </c>
      <c r="C60" s="9" t="s">
        <v>53</v>
      </c>
      <c r="D60" s="10"/>
      <c r="E60" s="11">
        <f>11108</f>
        <v>11108</v>
      </c>
      <c r="F60" s="10"/>
      <c r="G60" s="11">
        <f>8336871600</f>
        <v>8336871600</v>
      </c>
      <c r="H60" s="10"/>
      <c r="I60" s="11" t="str">
        <f>"－"</f>
        <v>－</v>
      </c>
      <c r="J60" s="10"/>
      <c r="K60" s="11">
        <f>10654</f>
        <v>10654</v>
      </c>
    </row>
    <row r="61" spans="1:11">
      <c r="A61" s="8" t="s">
        <v>45</v>
      </c>
      <c r="B61" s="9" t="s">
        <v>52</v>
      </c>
      <c r="C61" s="9" t="s">
        <v>53</v>
      </c>
      <c r="D61" s="10"/>
      <c r="E61" s="11">
        <f>16903</f>
        <v>16903</v>
      </c>
      <c r="F61" s="10"/>
      <c r="G61" s="11">
        <f>12904472000</f>
        <v>12904472000</v>
      </c>
      <c r="H61" s="10"/>
      <c r="I61" s="11" t="str">
        <f>"－"</f>
        <v>－</v>
      </c>
      <c r="J61" s="10"/>
      <c r="K61" s="11">
        <f>10463</f>
        <v>10463</v>
      </c>
    </row>
    <row r="62" spans="1:11">
      <c r="A62" s="8" t="s">
        <v>46</v>
      </c>
      <c r="B62" s="9" t="s">
        <v>52</v>
      </c>
      <c r="C62" s="9" t="s">
        <v>53</v>
      </c>
      <c r="D62" s="10"/>
      <c r="E62" s="11"/>
      <c r="F62" s="10"/>
      <c r="G62" s="11"/>
      <c r="H62" s="10"/>
      <c r="I62" s="11"/>
      <c r="J62" s="10"/>
      <c r="K62" s="11"/>
    </row>
    <row r="63" spans="1:11">
      <c r="A63" s="8" t="s">
        <v>47</v>
      </c>
      <c r="B63" s="9" t="s">
        <v>52</v>
      </c>
      <c r="C63" s="9" t="s">
        <v>53</v>
      </c>
      <c r="D63" s="10"/>
      <c r="E63" s="11"/>
      <c r="F63" s="10"/>
      <c r="G63" s="11"/>
      <c r="H63" s="10"/>
      <c r="I63" s="11"/>
      <c r="J63" s="10"/>
      <c r="K63" s="11"/>
    </row>
    <row r="64" spans="1:11">
      <c r="A64" s="8" t="s">
        <v>48</v>
      </c>
      <c r="B64" s="9" t="s">
        <v>52</v>
      </c>
      <c r="C64" s="9" t="s">
        <v>53</v>
      </c>
      <c r="D64" s="10"/>
      <c r="E64" s="11">
        <f>12725</f>
        <v>12725</v>
      </c>
      <c r="F64" s="10"/>
      <c r="G64" s="11">
        <f>9731888400</f>
        <v>9731888400</v>
      </c>
      <c r="H64" s="10"/>
      <c r="I64" s="11" t="str">
        <f t="shared" ref="I64:I71" si="1">"－"</f>
        <v>－</v>
      </c>
      <c r="J64" s="10"/>
      <c r="K64" s="11">
        <f>10614</f>
        <v>10614</v>
      </c>
    </row>
    <row r="65" spans="1:11">
      <c r="A65" s="8" t="s">
        <v>49</v>
      </c>
      <c r="B65" s="9" t="s">
        <v>52</v>
      </c>
      <c r="C65" s="9" t="s">
        <v>53</v>
      </c>
      <c r="D65" s="10"/>
      <c r="E65" s="11">
        <f>19325</f>
        <v>19325</v>
      </c>
      <c r="F65" s="10"/>
      <c r="G65" s="11">
        <f>14800680300</f>
        <v>14800680300</v>
      </c>
      <c r="H65" s="10"/>
      <c r="I65" s="11" t="str">
        <f t="shared" si="1"/>
        <v>－</v>
      </c>
      <c r="J65" s="10"/>
      <c r="K65" s="11">
        <f>10669</f>
        <v>10669</v>
      </c>
    </row>
    <row r="66" spans="1:11">
      <c r="A66" s="8" t="s">
        <v>50</v>
      </c>
      <c r="B66" s="9" t="s">
        <v>52</v>
      </c>
      <c r="C66" s="9" t="s">
        <v>53</v>
      </c>
      <c r="D66" s="10"/>
      <c r="E66" s="11">
        <f>19974</f>
        <v>19974</v>
      </c>
      <c r="F66" s="10"/>
      <c r="G66" s="11">
        <f>15024118600</f>
        <v>15024118600</v>
      </c>
      <c r="H66" s="10"/>
      <c r="I66" s="11" t="str">
        <f t="shared" si="1"/>
        <v>－</v>
      </c>
      <c r="J66" s="10"/>
      <c r="K66" s="11">
        <f>10584</f>
        <v>10584</v>
      </c>
    </row>
    <row r="67" spans="1:11">
      <c r="A67" s="8" t="s">
        <v>51</v>
      </c>
      <c r="B67" s="9" t="s">
        <v>52</v>
      </c>
      <c r="C67" s="9" t="s">
        <v>53</v>
      </c>
      <c r="D67" s="10"/>
      <c r="E67" s="11">
        <f>9874</f>
        <v>9874</v>
      </c>
      <c r="F67" s="10"/>
      <c r="G67" s="11">
        <f>7438738800</f>
        <v>7438738800</v>
      </c>
      <c r="H67" s="10"/>
      <c r="I67" s="11" t="str">
        <f t="shared" si="1"/>
        <v>－</v>
      </c>
      <c r="J67" s="10"/>
      <c r="K67" s="11">
        <f>10833</f>
        <v>10833</v>
      </c>
    </row>
    <row r="68" spans="1:11">
      <c r="A68" s="8" t="s">
        <v>16</v>
      </c>
      <c r="B68" s="9" t="s">
        <v>54</v>
      </c>
      <c r="C68" s="9" t="s">
        <v>55</v>
      </c>
      <c r="D68" s="10"/>
      <c r="E68" s="11">
        <f>3543</f>
        <v>3543</v>
      </c>
      <c r="F68" s="10"/>
      <c r="G68" s="11">
        <f>2504702200</f>
        <v>2504702200</v>
      </c>
      <c r="H68" s="10" t="s">
        <v>19</v>
      </c>
      <c r="I68" s="11" t="str">
        <f t="shared" si="1"/>
        <v>－</v>
      </c>
      <c r="J68" s="10"/>
      <c r="K68" s="11">
        <f>52690</f>
        <v>52690</v>
      </c>
    </row>
    <row r="69" spans="1:11">
      <c r="A69" s="8" t="s">
        <v>20</v>
      </c>
      <c r="B69" s="9" t="s">
        <v>54</v>
      </c>
      <c r="C69" s="9" t="s">
        <v>55</v>
      </c>
      <c r="D69" s="10"/>
      <c r="E69" s="11">
        <f>5942</f>
        <v>5942</v>
      </c>
      <c r="F69" s="10"/>
      <c r="G69" s="11">
        <f>4241305600</f>
        <v>4241305600</v>
      </c>
      <c r="H69" s="10"/>
      <c r="I69" s="11" t="str">
        <f t="shared" si="1"/>
        <v>－</v>
      </c>
      <c r="J69" s="10"/>
      <c r="K69" s="11">
        <f>52704</f>
        <v>52704</v>
      </c>
    </row>
    <row r="70" spans="1:11">
      <c r="A70" s="8" t="s">
        <v>21</v>
      </c>
      <c r="B70" s="9" t="s">
        <v>54</v>
      </c>
      <c r="C70" s="9" t="s">
        <v>55</v>
      </c>
      <c r="D70" s="10"/>
      <c r="E70" s="11">
        <f>6756</f>
        <v>6756</v>
      </c>
      <c r="F70" s="10"/>
      <c r="G70" s="11">
        <f>4852571700</f>
        <v>4852571700</v>
      </c>
      <c r="H70" s="10"/>
      <c r="I70" s="11" t="str">
        <f t="shared" si="1"/>
        <v>－</v>
      </c>
      <c r="J70" s="10"/>
      <c r="K70" s="11">
        <f>53225</f>
        <v>53225</v>
      </c>
    </row>
    <row r="71" spans="1:11">
      <c r="A71" s="8" t="s">
        <v>22</v>
      </c>
      <c r="B71" s="9" t="s">
        <v>54</v>
      </c>
      <c r="C71" s="9" t="s">
        <v>55</v>
      </c>
      <c r="D71" s="10"/>
      <c r="E71" s="11">
        <f>4567</f>
        <v>4567</v>
      </c>
      <c r="F71" s="10"/>
      <c r="G71" s="11">
        <f>3294486200</f>
        <v>3294486200</v>
      </c>
      <c r="H71" s="10"/>
      <c r="I71" s="11" t="str">
        <f t="shared" si="1"/>
        <v>－</v>
      </c>
      <c r="J71" s="10" t="s">
        <v>26</v>
      </c>
      <c r="K71" s="11">
        <f>53576</f>
        <v>53576</v>
      </c>
    </row>
    <row r="72" spans="1:11">
      <c r="A72" s="8" t="s">
        <v>23</v>
      </c>
      <c r="B72" s="9" t="s">
        <v>54</v>
      </c>
      <c r="C72" s="9" t="s">
        <v>55</v>
      </c>
      <c r="D72" s="10"/>
      <c r="E72" s="11"/>
      <c r="F72" s="10"/>
      <c r="G72" s="11"/>
      <c r="H72" s="10"/>
      <c r="I72" s="11"/>
      <c r="J72" s="10"/>
      <c r="K72" s="11"/>
    </row>
    <row r="73" spans="1:11">
      <c r="A73" s="8" t="s">
        <v>24</v>
      </c>
      <c r="B73" s="9" t="s">
        <v>54</v>
      </c>
      <c r="C73" s="9" t="s">
        <v>55</v>
      </c>
      <c r="D73" s="10"/>
      <c r="E73" s="11"/>
      <c r="F73" s="10"/>
      <c r="G73" s="11"/>
      <c r="H73" s="10"/>
      <c r="I73" s="11"/>
      <c r="J73" s="10"/>
      <c r="K73" s="11"/>
    </row>
    <row r="74" spans="1:11">
      <c r="A74" s="8" t="s">
        <v>25</v>
      </c>
      <c r="B74" s="9" t="s">
        <v>54</v>
      </c>
      <c r="C74" s="9" t="s">
        <v>55</v>
      </c>
      <c r="D74" s="10"/>
      <c r="E74" s="11">
        <f>10371</f>
        <v>10371</v>
      </c>
      <c r="F74" s="10"/>
      <c r="G74" s="11">
        <f>7612343100</f>
        <v>7612343100</v>
      </c>
      <c r="H74" s="10"/>
      <c r="I74" s="11" t="str">
        <f>"－"</f>
        <v>－</v>
      </c>
      <c r="J74" s="10"/>
      <c r="K74" s="11">
        <f>53023</f>
        <v>53023</v>
      </c>
    </row>
    <row r="75" spans="1:11">
      <c r="A75" s="8" t="s">
        <v>27</v>
      </c>
      <c r="B75" s="9" t="s">
        <v>54</v>
      </c>
      <c r="C75" s="9" t="s">
        <v>55</v>
      </c>
      <c r="D75" s="10"/>
      <c r="E75" s="11">
        <f>11833</f>
        <v>11833</v>
      </c>
      <c r="F75" s="10"/>
      <c r="G75" s="11">
        <f>8750480200</f>
        <v>8750480200</v>
      </c>
      <c r="H75" s="10"/>
      <c r="I75" s="11" t="str">
        <f>"－"</f>
        <v>－</v>
      </c>
      <c r="J75" s="10"/>
      <c r="K75" s="11">
        <f>52724</f>
        <v>52724</v>
      </c>
    </row>
    <row r="76" spans="1:11">
      <c r="A76" s="8" t="s">
        <v>28</v>
      </c>
      <c r="B76" s="9" t="s">
        <v>54</v>
      </c>
      <c r="C76" s="9" t="s">
        <v>55</v>
      </c>
      <c r="D76" s="10"/>
      <c r="E76" s="11">
        <f>16112</f>
        <v>16112</v>
      </c>
      <c r="F76" s="10"/>
      <c r="G76" s="11">
        <f>12246734600</f>
        <v>12246734600</v>
      </c>
      <c r="H76" s="10"/>
      <c r="I76" s="11" t="str">
        <f>"－"</f>
        <v>－</v>
      </c>
      <c r="J76" s="10"/>
      <c r="K76" s="11">
        <f>52453</f>
        <v>52453</v>
      </c>
    </row>
    <row r="77" spans="1:11">
      <c r="A77" s="8" t="s">
        <v>29</v>
      </c>
      <c r="B77" s="9" t="s">
        <v>54</v>
      </c>
      <c r="C77" s="9" t="s">
        <v>55</v>
      </c>
      <c r="D77" s="10" t="s">
        <v>26</v>
      </c>
      <c r="E77" s="11">
        <f>18540</f>
        <v>18540</v>
      </c>
      <c r="F77" s="10" t="s">
        <v>26</v>
      </c>
      <c r="G77" s="11">
        <f>13867816100</f>
        <v>13867816100</v>
      </c>
      <c r="H77" s="10"/>
      <c r="I77" s="11" t="str">
        <f>"－"</f>
        <v>－</v>
      </c>
      <c r="J77" s="10"/>
      <c r="K77" s="11">
        <f>52354</f>
        <v>52354</v>
      </c>
    </row>
    <row r="78" spans="1:11">
      <c r="A78" s="8" t="s">
        <v>30</v>
      </c>
      <c r="B78" s="9" t="s">
        <v>54</v>
      </c>
      <c r="C78" s="9" t="s">
        <v>55</v>
      </c>
      <c r="D78" s="10"/>
      <c r="E78" s="11">
        <f>7682</f>
        <v>7682</v>
      </c>
      <c r="F78" s="10"/>
      <c r="G78" s="11">
        <f>5745004300</f>
        <v>5745004300</v>
      </c>
      <c r="H78" s="10"/>
      <c r="I78" s="11" t="str">
        <f>"－"</f>
        <v>－</v>
      </c>
      <c r="J78" s="10"/>
      <c r="K78" s="11">
        <f>52325</f>
        <v>52325</v>
      </c>
    </row>
    <row r="79" spans="1:11">
      <c r="A79" s="8" t="s">
        <v>31</v>
      </c>
      <c r="B79" s="9" t="s">
        <v>54</v>
      </c>
      <c r="C79" s="9" t="s">
        <v>55</v>
      </c>
      <c r="D79" s="10"/>
      <c r="E79" s="11"/>
      <c r="F79" s="10"/>
      <c r="G79" s="11"/>
      <c r="H79" s="10"/>
      <c r="I79" s="11"/>
      <c r="J79" s="10"/>
      <c r="K79" s="11"/>
    </row>
    <row r="80" spans="1:11">
      <c r="A80" s="8" t="s">
        <v>32</v>
      </c>
      <c r="B80" s="9" t="s">
        <v>54</v>
      </c>
      <c r="C80" s="9" t="s">
        <v>55</v>
      </c>
      <c r="D80" s="10"/>
      <c r="E80" s="11"/>
      <c r="F80" s="10"/>
      <c r="G80" s="11"/>
      <c r="H80" s="10"/>
      <c r="I80" s="11"/>
      <c r="J80" s="10"/>
      <c r="K80" s="11"/>
    </row>
    <row r="81" spans="1:11">
      <c r="A81" s="8" t="s">
        <v>33</v>
      </c>
      <c r="B81" s="9" t="s">
        <v>54</v>
      </c>
      <c r="C81" s="9" t="s">
        <v>55</v>
      </c>
      <c r="D81" s="10"/>
      <c r="E81" s="11">
        <f>5720</f>
        <v>5720</v>
      </c>
      <c r="F81" s="10"/>
      <c r="G81" s="11">
        <f>4276821100</f>
        <v>4276821100</v>
      </c>
      <c r="H81" s="10"/>
      <c r="I81" s="11" t="str">
        <f>"－"</f>
        <v>－</v>
      </c>
      <c r="J81" s="10"/>
      <c r="K81" s="11">
        <f>52101</f>
        <v>52101</v>
      </c>
    </row>
    <row r="82" spans="1:11">
      <c r="A82" s="8" t="s">
        <v>34</v>
      </c>
      <c r="B82" s="9" t="s">
        <v>54</v>
      </c>
      <c r="C82" s="9" t="s">
        <v>55</v>
      </c>
      <c r="D82" s="10"/>
      <c r="E82" s="11">
        <f>11142</f>
        <v>11142</v>
      </c>
      <c r="F82" s="10"/>
      <c r="G82" s="11">
        <f>8257542900</f>
        <v>8257542900</v>
      </c>
      <c r="H82" s="10"/>
      <c r="I82" s="11" t="str">
        <f>"－"</f>
        <v>－</v>
      </c>
      <c r="J82" s="10"/>
      <c r="K82" s="11">
        <f>50742</f>
        <v>50742</v>
      </c>
    </row>
    <row r="83" spans="1:11">
      <c r="A83" s="8" t="s">
        <v>35</v>
      </c>
      <c r="B83" s="9" t="s">
        <v>54</v>
      </c>
      <c r="C83" s="9" t="s">
        <v>55</v>
      </c>
      <c r="D83" s="10"/>
      <c r="E83" s="11">
        <f>5661</f>
        <v>5661</v>
      </c>
      <c r="F83" s="10"/>
      <c r="G83" s="11">
        <f>4144187700</f>
        <v>4144187700</v>
      </c>
      <c r="H83" s="10"/>
      <c r="I83" s="11" t="str">
        <f>"－"</f>
        <v>－</v>
      </c>
      <c r="J83" s="10"/>
      <c r="K83" s="11">
        <f>50519</f>
        <v>50519</v>
      </c>
    </row>
    <row r="84" spans="1:11">
      <c r="A84" s="8" t="s">
        <v>37</v>
      </c>
      <c r="B84" s="9" t="s">
        <v>54</v>
      </c>
      <c r="C84" s="9" t="s">
        <v>55</v>
      </c>
      <c r="D84" s="10"/>
      <c r="E84" s="11">
        <f>3880</f>
        <v>3880</v>
      </c>
      <c r="F84" s="10"/>
      <c r="G84" s="11">
        <f>2854518200</f>
        <v>2854518200</v>
      </c>
      <c r="H84" s="10"/>
      <c r="I84" s="11" t="str">
        <f>"－"</f>
        <v>－</v>
      </c>
      <c r="J84" s="10"/>
      <c r="K84" s="11">
        <f>50494</f>
        <v>50494</v>
      </c>
    </row>
    <row r="85" spans="1:11">
      <c r="A85" s="8" t="s">
        <v>38</v>
      </c>
      <c r="B85" s="9" t="s">
        <v>54</v>
      </c>
      <c r="C85" s="9" t="s">
        <v>55</v>
      </c>
      <c r="D85" s="10"/>
      <c r="E85" s="11">
        <f>3719</f>
        <v>3719</v>
      </c>
      <c r="F85" s="10"/>
      <c r="G85" s="11">
        <f>2756972700</f>
        <v>2756972700</v>
      </c>
      <c r="H85" s="10"/>
      <c r="I85" s="11" t="str">
        <f>"－"</f>
        <v>－</v>
      </c>
      <c r="J85" s="10"/>
      <c r="K85" s="11">
        <f>50587</f>
        <v>50587</v>
      </c>
    </row>
    <row r="86" spans="1:11">
      <c r="A86" s="8" t="s">
        <v>39</v>
      </c>
      <c r="B86" s="9" t="s">
        <v>54</v>
      </c>
      <c r="C86" s="9" t="s">
        <v>55</v>
      </c>
      <c r="D86" s="10"/>
      <c r="E86" s="11"/>
      <c r="F86" s="10"/>
      <c r="G86" s="11"/>
      <c r="H86" s="10"/>
      <c r="I86" s="11"/>
      <c r="J86" s="10"/>
      <c r="K86" s="11"/>
    </row>
    <row r="87" spans="1:11">
      <c r="A87" s="8" t="s">
        <v>40</v>
      </c>
      <c r="B87" s="9" t="s">
        <v>54</v>
      </c>
      <c r="C87" s="9" t="s">
        <v>55</v>
      </c>
      <c r="D87" s="10"/>
      <c r="E87" s="11"/>
      <c r="F87" s="10"/>
      <c r="G87" s="11"/>
      <c r="H87" s="10"/>
      <c r="I87" s="11"/>
      <c r="J87" s="10"/>
      <c r="K87" s="11"/>
    </row>
    <row r="88" spans="1:11">
      <c r="A88" s="8" t="s">
        <v>41</v>
      </c>
      <c r="B88" s="9" t="s">
        <v>54</v>
      </c>
      <c r="C88" s="9" t="s">
        <v>55</v>
      </c>
      <c r="D88" s="10"/>
      <c r="E88" s="11"/>
      <c r="F88" s="10"/>
      <c r="G88" s="11"/>
      <c r="H88" s="10"/>
      <c r="I88" s="11"/>
      <c r="J88" s="10"/>
      <c r="K88" s="11"/>
    </row>
    <row r="89" spans="1:11">
      <c r="A89" s="8" t="s">
        <v>42</v>
      </c>
      <c r="B89" s="9" t="s">
        <v>54</v>
      </c>
      <c r="C89" s="9" t="s">
        <v>55</v>
      </c>
      <c r="D89" s="10"/>
      <c r="E89" s="11">
        <f>3422</f>
        <v>3422</v>
      </c>
      <c r="F89" s="10"/>
      <c r="G89" s="11">
        <f>2547999800</f>
        <v>2547999800</v>
      </c>
      <c r="H89" s="10"/>
      <c r="I89" s="11" t="str">
        <f>"－"</f>
        <v>－</v>
      </c>
      <c r="J89" s="10"/>
      <c r="K89" s="11">
        <f>50481</f>
        <v>50481</v>
      </c>
    </row>
    <row r="90" spans="1:11">
      <c r="A90" s="8" t="s">
        <v>43</v>
      </c>
      <c r="B90" s="9" t="s">
        <v>54</v>
      </c>
      <c r="C90" s="9" t="s">
        <v>55</v>
      </c>
      <c r="D90" s="10" t="s">
        <v>36</v>
      </c>
      <c r="E90" s="11">
        <f>2896</f>
        <v>2896</v>
      </c>
      <c r="F90" s="10" t="s">
        <v>36</v>
      </c>
      <c r="G90" s="11">
        <f>2168548700</f>
        <v>2168548700</v>
      </c>
      <c r="H90" s="10"/>
      <c r="I90" s="11" t="str">
        <f>"－"</f>
        <v>－</v>
      </c>
      <c r="J90" s="10" t="s">
        <v>36</v>
      </c>
      <c r="K90" s="11">
        <f>50399</f>
        <v>50399</v>
      </c>
    </row>
    <row r="91" spans="1:11">
      <c r="A91" s="8" t="s">
        <v>44</v>
      </c>
      <c r="B91" s="9" t="s">
        <v>54</v>
      </c>
      <c r="C91" s="9" t="s">
        <v>55</v>
      </c>
      <c r="D91" s="10"/>
      <c r="E91" s="11">
        <f>6160</f>
        <v>6160</v>
      </c>
      <c r="F91" s="10"/>
      <c r="G91" s="11">
        <f>4667033400</f>
        <v>4667033400</v>
      </c>
      <c r="H91" s="10"/>
      <c r="I91" s="11" t="str">
        <f>"－"</f>
        <v>－</v>
      </c>
      <c r="J91" s="10"/>
      <c r="K91" s="11">
        <f>50779</f>
        <v>50779</v>
      </c>
    </row>
    <row r="92" spans="1:11">
      <c r="A92" s="8" t="s">
        <v>45</v>
      </c>
      <c r="B92" s="9" t="s">
        <v>54</v>
      </c>
      <c r="C92" s="9" t="s">
        <v>55</v>
      </c>
      <c r="D92" s="10"/>
      <c r="E92" s="11">
        <f>7355</f>
        <v>7355</v>
      </c>
      <c r="F92" s="10"/>
      <c r="G92" s="11">
        <f>5654351600</f>
        <v>5654351600</v>
      </c>
      <c r="H92" s="10"/>
      <c r="I92" s="11" t="str">
        <f>"－"</f>
        <v>－</v>
      </c>
      <c r="J92" s="10"/>
      <c r="K92" s="11">
        <f>51004</f>
        <v>51004</v>
      </c>
    </row>
    <row r="93" spans="1:11">
      <c r="A93" s="8" t="s">
        <v>46</v>
      </c>
      <c r="B93" s="9" t="s">
        <v>54</v>
      </c>
      <c r="C93" s="9" t="s">
        <v>55</v>
      </c>
      <c r="D93" s="10"/>
      <c r="E93" s="11"/>
      <c r="F93" s="10"/>
      <c r="G93" s="11"/>
      <c r="H93" s="10"/>
      <c r="I93" s="11"/>
      <c r="J93" s="10"/>
      <c r="K93" s="11"/>
    </row>
    <row r="94" spans="1:11">
      <c r="A94" s="8" t="s">
        <v>47</v>
      </c>
      <c r="B94" s="9" t="s">
        <v>54</v>
      </c>
      <c r="C94" s="9" t="s">
        <v>55</v>
      </c>
      <c r="D94" s="10"/>
      <c r="E94" s="11"/>
      <c r="F94" s="10"/>
      <c r="G94" s="11"/>
      <c r="H94" s="10"/>
      <c r="I94" s="11"/>
      <c r="J94" s="10"/>
      <c r="K94" s="11"/>
    </row>
    <row r="95" spans="1:11">
      <c r="A95" s="8" t="s">
        <v>48</v>
      </c>
      <c r="B95" s="9" t="s">
        <v>54</v>
      </c>
      <c r="C95" s="9" t="s">
        <v>55</v>
      </c>
      <c r="D95" s="10"/>
      <c r="E95" s="11">
        <f>4038</f>
        <v>4038</v>
      </c>
      <c r="F95" s="10"/>
      <c r="G95" s="11">
        <f>3100729400</f>
        <v>3100729400</v>
      </c>
      <c r="H95" s="10"/>
      <c r="I95" s="11" t="str">
        <f t="shared" ref="I95:I102" si="2">"－"</f>
        <v>－</v>
      </c>
      <c r="J95" s="10"/>
      <c r="K95" s="11">
        <f>50999</f>
        <v>50999</v>
      </c>
    </row>
    <row r="96" spans="1:11">
      <c r="A96" s="8" t="s">
        <v>49</v>
      </c>
      <c r="B96" s="9" t="s">
        <v>54</v>
      </c>
      <c r="C96" s="9" t="s">
        <v>55</v>
      </c>
      <c r="D96" s="10"/>
      <c r="E96" s="11">
        <f>6770</f>
        <v>6770</v>
      </c>
      <c r="F96" s="10"/>
      <c r="G96" s="11">
        <f>5202648100</f>
        <v>5202648100</v>
      </c>
      <c r="H96" s="10"/>
      <c r="I96" s="11" t="str">
        <f t="shared" si="2"/>
        <v>－</v>
      </c>
      <c r="J96" s="10"/>
      <c r="K96" s="11">
        <f>51455</f>
        <v>51455</v>
      </c>
    </row>
    <row r="97" spans="1:11">
      <c r="A97" s="8" t="s">
        <v>50</v>
      </c>
      <c r="B97" s="9" t="s">
        <v>54</v>
      </c>
      <c r="C97" s="9" t="s">
        <v>55</v>
      </c>
      <c r="D97" s="10"/>
      <c r="E97" s="11">
        <f>6698</f>
        <v>6698</v>
      </c>
      <c r="F97" s="10"/>
      <c r="G97" s="11">
        <f>5067165100</f>
        <v>5067165100</v>
      </c>
      <c r="H97" s="10"/>
      <c r="I97" s="11" t="str">
        <f t="shared" si="2"/>
        <v>－</v>
      </c>
      <c r="J97" s="10"/>
      <c r="K97" s="11">
        <f>51533</f>
        <v>51533</v>
      </c>
    </row>
    <row r="98" spans="1:11">
      <c r="A98" s="8" t="s">
        <v>51</v>
      </c>
      <c r="B98" s="9" t="s">
        <v>54</v>
      </c>
      <c r="C98" s="9" t="s">
        <v>55</v>
      </c>
      <c r="D98" s="10"/>
      <c r="E98" s="11">
        <f>5349</f>
        <v>5349</v>
      </c>
      <c r="F98" s="10"/>
      <c r="G98" s="11">
        <f>4056436200</f>
        <v>4056436200</v>
      </c>
      <c r="H98" s="10"/>
      <c r="I98" s="11" t="str">
        <f t="shared" si="2"/>
        <v>－</v>
      </c>
      <c r="J98" s="10"/>
      <c r="K98" s="11">
        <f>52669</f>
        <v>52669</v>
      </c>
    </row>
    <row r="99" spans="1:11">
      <c r="A99" s="8" t="s">
        <v>16</v>
      </c>
      <c r="B99" s="9" t="s">
        <v>56</v>
      </c>
      <c r="C99" s="9" t="s">
        <v>57</v>
      </c>
      <c r="D99" s="10"/>
      <c r="E99" s="11">
        <f>262</f>
        <v>262</v>
      </c>
      <c r="F99" s="10"/>
      <c r="G99" s="11">
        <f>235982000</f>
        <v>235982000</v>
      </c>
      <c r="H99" s="10" t="s">
        <v>19</v>
      </c>
      <c r="I99" s="11" t="str">
        <f t="shared" si="2"/>
        <v>－</v>
      </c>
      <c r="J99" s="10"/>
      <c r="K99" s="11">
        <f>1645</f>
        <v>1645</v>
      </c>
    </row>
    <row r="100" spans="1:11">
      <c r="A100" s="8" t="s">
        <v>20</v>
      </c>
      <c r="B100" s="9" t="s">
        <v>56</v>
      </c>
      <c r="C100" s="9" t="s">
        <v>57</v>
      </c>
      <c r="D100" s="10"/>
      <c r="E100" s="11">
        <f>404</f>
        <v>404</v>
      </c>
      <c r="F100" s="10"/>
      <c r="G100" s="11">
        <f>373393000</f>
        <v>373393000</v>
      </c>
      <c r="H100" s="10"/>
      <c r="I100" s="11" t="str">
        <f t="shared" si="2"/>
        <v>－</v>
      </c>
      <c r="J100" s="10"/>
      <c r="K100" s="11">
        <f>1582</f>
        <v>1582</v>
      </c>
    </row>
    <row r="101" spans="1:11">
      <c r="A101" s="8" t="s">
        <v>21</v>
      </c>
      <c r="B101" s="9" t="s">
        <v>56</v>
      </c>
      <c r="C101" s="9" t="s">
        <v>57</v>
      </c>
      <c r="D101" s="10"/>
      <c r="E101" s="11">
        <f>157</f>
        <v>157</v>
      </c>
      <c r="F101" s="10"/>
      <c r="G101" s="11">
        <f>145923000</f>
        <v>145923000</v>
      </c>
      <c r="H101" s="10"/>
      <c r="I101" s="11" t="str">
        <f t="shared" si="2"/>
        <v>－</v>
      </c>
      <c r="J101" s="10"/>
      <c r="K101" s="11">
        <f>1584</f>
        <v>1584</v>
      </c>
    </row>
    <row r="102" spans="1:11">
      <c r="A102" s="8" t="s">
        <v>22</v>
      </c>
      <c r="B102" s="9" t="s">
        <v>56</v>
      </c>
      <c r="C102" s="9" t="s">
        <v>57</v>
      </c>
      <c r="D102" s="10"/>
      <c r="E102" s="11">
        <f>225</f>
        <v>225</v>
      </c>
      <c r="F102" s="10"/>
      <c r="G102" s="11">
        <f>210520000</f>
        <v>210520000</v>
      </c>
      <c r="H102" s="10"/>
      <c r="I102" s="11" t="str">
        <f t="shared" si="2"/>
        <v>－</v>
      </c>
      <c r="J102" s="10" t="s">
        <v>36</v>
      </c>
      <c r="K102" s="11">
        <f>1521</f>
        <v>1521</v>
      </c>
    </row>
    <row r="103" spans="1:11">
      <c r="A103" s="8" t="s">
        <v>23</v>
      </c>
      <c r="B103" s="9" t="s">
        <v>56</v>
      </c>
      <c r="C103" s="9" t="s">
        <v>57</v>
      </c>
      <c r="D103" s="10"/>
      <c r="E103" s="11"/>
      <c r="F103" s="10"/>
      <c r="G103" s="11"/>
      <c r="H103" s="10"/>
      <c r="I103" s="11"/>
      <c r="J103" s="10"/>
      <c r="K103" s="11"/>
    </row>
    <row r="104" spans="1:11">
      <c r="A104" s="8" t="s">
        <v>24</v>
      </c>
      <c r="B104" s="9" t="s">
        <v>56</v>
      </c>
      <c r="C104" s="9" t="s">
        <v>57</v>
      </c>
      <c r="D104" s="10"/>
      <c r="E104" s="11"/>
      <c r="F104" s="10"/>
      <c r="G104" s="11"/>
      <c r="H104" s="10"/>
      <c r="I104" s="11"/>
      <c r="J104" s="10"/>
      <c r="K104" s="11"/>
    </row>
    <row r="105" spans="1:11">
      <c r="A105" s="8" t="s">
        <v>25</v>
      </c>
      <c r="B105" s="9" t="s">
        <v>56</v>
      </c>
      <c r="C105" s="9" t="s">
        <v>57</v>
      </c>
      <c r="D105" s="10"/>
      <c r="E105" s="11">
        <f>322</f>
        <v>322</v>
      </c>
      <c r="F105" s="10"/>
      <c r="G105" s="11">
        <f>307290000</f>
        <v>307290000</v>
      </c>
      <c r="H105" s="10"/>
      <c r="I105" s="11" t="str">
        <f>"－"</f>
        <v>－</v>
      </c>
      <c r="J105" s="10"/>
      <c r="K105" s="11">
        <f>1560</f>
        <v>1560</v>
      </c>
    </row>
    <row r="106" spans="1:11">
      <c r="A106" s="8" t="s">
        <v>27</v>
      </c>
      <c r="B106" s="9" t="s">
        <v>56</v>
      </c>
      <c r="C106" s="9" t="s">
        <v>57</v>
      </c>
      <c r="D106" s="10"/>
      <c r="E106" s="11">
        <f>281</f>
        <v>281</v>
      </c>
      <c r="F106" s="10"/>
      <c r="G106" s="11">
        <f>266987000</f>
        <v>266987000</v>
      </c>
      <c r="H106" s="10"/>
      <c r="I106" s="11" t="str">
        <f>"－"</f>
        <v>－</v>
      </c>
      <c r="J106" s="10"/>
      <c r="K106" s="11">
        <f>1583</f>
        <v>1583</v>
      </c>
    </row>
    <row r="107" spans="1:11">
      <c r="A107" s="8" t="s">
        <v>28</v>
      </c>
      <c r="B107" s="9" t="s">
        <v>56</v>
      </c>
      <c r="C107" s="9" t="s">
        <v>57</v>
      </c>
      <c r="D107" s="10" t="s">
        <v>26</v>
      </c>
      <c r="E107" s="11">
        <f>563</f>
        <v>563</v>
      </c>
      <c r="F107" s="10" t="s">
        <v>26</v>
      </c>
      <c r="G107" s="11">
        <f>551495000</f>
        <v>551495000</v>
      </c>
      <c r="H107" s="10"/>
      <c r="I107" s="11" t="str">
        <f>"－"</f>
        <v>－</v>
      </c>
      <c r="J107" s="10"/>
      <c r="K107" s="11">
        <f>1671</f>
        <v>1671</v>
      </c>
    </row>
    <row r="108" spans="1:11">
      <c r="A108" s="8" t="s">
        <v>29</v>
      </c>
      <c r="B108" s="9" t="s">
        <v>56</v>
      </c>
      <c r="C108" s="9" t="s">
        <v>57</v>
      </c>
      <c r="D108" s="10"/>
      <c r="E108" s="11">
        <f>343</f>
        <v>343</v>
      </c>
      <c r="F108" s="10"/>
      <c r="G108" s="11">
        <f>328010000</f>
        <v>328010000</v>
      </c>
      <c r="H108" s="10"/>
      <c r="I108" s="11" t="str">
        <f>"－"</f>
        <v>－</v>
      </c>
      <c r="J108" s="10"/>
      <c r="K108" s="11">
        <f>1658</f>
        <v>1658</v>
      </c>
    </row>
    <row r="109" spans="1:11">
      <c r="A109" s="8" t="s">
        <v>30</v>
      </c>
      <c r="B109" s="9" t="s">
        <v>56</v>
      </c>
      <c r="C109" s="9" t="s">
        <v>57</v>
      </c>
      <c r="D109" s="10"/>
      <c r="E109" s="11">
        <f>199</f>
        <v>199</v>
      </c>
      <c r="F109" s="10"/>
      <c r="G109" s="11">
        <f>191482000</f>
        <v>191482000</v>
      </c>
      <c r="H109" s="10"/>
      <c r="I109" s="11" t="str">
        <f>"－"</f>
        <v>－</v>
      </c>
      <c r="J109" s="10"/>
      <c r="K109" s="11">
        <f>1705</f>
        <v>1705</v>
      </c>
    </row>
    <row r="110" spans="1:11">
      <c r="A110" s="8" t="s">
        <v>31</v>
      </c>
      <c r="B110" s="9" t="s">
        <v>56</v>
      </c>
      <c r="C110" s="9" t="s">
        <v>57</v>
      </c>
      <c r="D110" s="10"/>
      <c r="E110" s="11"/>
      <c r="F110" s="10"/>
      <c r="G110" s="11"/>
      <c r="H110" s="10"/>
      <c r="I110" s="11"/>
      <c r="J110" s="10"/>
      <c r="K110" s="11"/>
    </row>
    <row r="111" spans="1:11">
      <c r="A111" s="8" t="s">
        <v>32</v>
      </c>
      <c r="B111" s="9" t="s">
        <v>56</v>
      </c>
      <c r="C111" s="9" t="s">
        <v>57</v>
      </c>
      <c r="D111" s="10"/>
      <c r="E111" s="11"/>
      <c r="F111" s="10"/>
      <c r="G111" s="11"/>
      <c r="H111" s="10"/>
      <c r="I111" s="11"/>
      <c r="J111" s="10"/>
      <c r="K111" s="11"/>
    </row>
    <row r="112" spans="1:11">
      <c r="A112" s="8" t="s">
        <v>33</v>
      </c>
      <c r="B112" s="9" t="s">
        <v>56</v>
      </c>
      <c r="C112" s="9" t="s">
        <v>57</v>
      </c>
      <c r="D112" s="10"/>
      <c r="E112" s="11">
        <f>201</f>
        <v>201</v>
      </c>
      <c r="F112" s="10"/>
      <c r="G112" s="11">
        <f>192826000</f>
        <v>192826000</v>
      </c>
      <c r="H112" s="10"/>
      <c r="I112" s="11" t="str">
        <f>"－"</f>
        <v>－</v>
      </c>
      <c r="J112" s="10"/>
      <c r="K112" s="11">
        <f>1681</f>
        <v>1681</v>
      </c>
    </row>
    <row r="113" spans="1:11">
      <c r="A113" s="8" t="s">
        <v>34</v>
      </c>
      <c r="B113" s="9" t="s">
        <v>56</v>
      </c>
      <c r="C113" s="9" t="s">
        <v>57</v>
      </c>
      <c r="D113" s="10"/>
      <c r="E113" s="11">
        <f>371</f>
        <v>371</v>
      </c>
      <c r="F113" s="10"/>
      <c r="G113" s="11">
        <f>350422000</f>
        <v>350422000</v>
      </c>
      <c r="H113" s="10"/>
      <c r="I113" s="11" t="str">
        <f>"－"</f>
        <v>－</v>
      </c>
      <c r="J113" s="10"/>
      <c r="K113" s="11">
        <f>1679</f>
        <v>1679</v>
      </c>
    </row>
    <row r="114" spans="1:11">
      <c r="A114" s="8" t="s">
        <v>35</v>
      </c>
      <c r="B114" s="9" t="s">
        <v>56</v>
      </c>
      <c r="C114" s="9" t="s">
        <v>57</v>
      </c>
      <c r="D114" s="10"/>
      <c r="E114" s="11">
        <f>284</f>
        <v>284</v>
      </c>
      <c r="F114" s="10"/>
      <c r="G114" s="11">
        <f>265367000</f>
        <v>265367000</v>
      </c>
      <c r="H114" s="10"/>
      <c r="I114" s="11" t="str">
        <f>"－"</f>
        <v>－</v>
      </c>
      <c r="J114" s="10"/>
      <c r="K114" s="11">
        <f>1678</f>
        <v>1678</v>
      </c>
    </row>
    <row r="115" spans="1:11">
      <c r="A115" s="8" t="s">
        <v>37</v>
      </c>
      <c r="B115" s="9" t="s">
        <v>56</v>
      </c>
      <c r="C115" s="9" t="s">
        <v>57</v>
      </c>
      <c r="D115" s="10"/>
      <c r="E115" s="11">
        <f>305</f>
        <v>305</v>
      </c>
      <c r="F115" s="10"/>
      <c r="G115" s="11">
        <f>288956000</f>
        <v>288956000</v>
      </c>
      <c r="H115" s="10"/>
      <c r="I115" s="11" t="str">
        <f>"－"</f>
        <v>－</v>
      </c>
      <c r="J115" s="10"/>
      <c r="K115" s="11">
        <f>1683</f>
        <v>1683</v>
      </c>
    </row>
    <row r="116" spans="1:11">
      <c r="A116" s="8" t="s">
        <v>38</v>
      </c>
      <c r="B116" s="9" t="s">
        <v>56</v>
      </c>
      <c r="C116" s="9" t="s">
        <v>57</v>
      </c>
      <c r="D116" s="10" t="s">
        <v>36</v>
      </c>
      <c r="E116" s="11">
        <f>89</f>
        <v>89</v>
      </c>
      <c r="F116" s="10" t="s">
        <v>36</v>
      </c>
      <c r="G116" s="11">
        <f>85950000</f>
        <v>85950000</v>
      </c>
      <c r="H116" s="10"/>
      <c r="I116" s="11" t="str">
        <f>"－"</f>
        <v>－</v>
      </c>
      <c r="J116" s="10"/>
      <c r="K116" s="11">
        <f>1704</f>
        <v>1704</v>
      </c>
    </row>
    <row r="117" spans="1:11">
      <c r="A117" s="8" t="s">
        <v>39</v>
      </c>
      <c r="B117" s="9" t="s">
        <v>56</v>
      </c>
      <c r="C117" s="9" t="s">
        <v>57</v>
      </c>
      <c r="D117" s="10"/>
      <c r="E117" s="11"/>
      <c r="F117" s="10"/>
      <c r="G117" s="11"/>
      <c r="H117" s="10"/>
      <c r="I117" s="11"/>
      <c r="J117" s="10"/>
      <c r="K117" s="11"/>
    </row>
    <row r="118" spans="1:11">
      <c r="A118" s="8" t="s">
        <v>40</v>
      </c>
      <c r="B118" s="9" t="s">
        <v>56</v>
      </c>
      <c r="C118" s="9" t="s">
        <v>57</v>
      </c>
      <c r="D118" s="10"/>
      <c r="E118" s="11"/>
      <c r="F118" s="10"/>
      <c r="G118" s="11"/>
      <c r="H118" s="10"/>
      <c r="I118" s="11"/>
      <c r="J118" s="10"/>
      <c r="K118" s="11"/>
    </row>
    <row r="119" spans="1:11">
      <c r="A119" s="8" t="s">
        <v>41</v>
      </c>
      <c r="B119" s="9" t="s">
        <v>56</v>
      </c>
      <c r="C119" s="9" t="s">
        <v>57</v>
      </c>
      <c r="D119" s="10"/>
      <c r="E119" s="11"/>
      <c r="F119" s="10"/>
      <c r="G119" s="11"/>
      <c r="H119" s="10"/>
      <c r="I119" s="11"/>
      <c r="J119" s="10"/>
      <c r="K119" s="11"/>
    </row>
    <row r="120" spans="1:11">
      <c r="A120" s="8" t="s">
        <v>42</v>
      </c>
      <c r="B120" s="9" t="s">
        <v>56</v>
      </c>
      <c r="C120" s="9" t="s">
        <v>57</v>
      </c>
      <c r="D120" s="10"/>
      <c r="E120" s="11">
        <f>151</f>
        <v>151</v>
      </c>
      <c r="F120" s="10"/>
      <c r="G120" s="11">
        <f>146708000</f>
        <v>146708000</v>
      </c>
      <c r="H120" s="10"/>
      <c r="I120" s="11" t="str">
        <f>"－"</f>
        <v>－</v>
      </c>
      <c r="J120" s="10"/>
      <c r="K120" s="11">
        <f>1708</f>
        <v>1708</v>
      </c>
    </row>
    <row r="121" spans="1:11">
      <c r="A121" s="8" t="s">
        <v>43</v>
      </c>
      <c r="B121" s="9" t="s">
        <v>56</v>
      </c>
      <c r="C121" s="9" t="s">
        <v>57</v>
      </c>
      <c r="D121" s="10"/>
      <c r="E121" s="11">
        <f>114</f>
        <v>114</v>
      </c>
      <c r="F121" s="10"/>
      <c r="G121" s="11">
        <f>110044000</f>
        <v>110044000</v>
      </c>
      <c r="H121" s="10"/>
      <c r="I121" s="11" t="str">
        <f>"－"</f>
        <v>－</v>
      </c>
      <c r="J121" s="10"/>
      <c r="K121" s="11">
        <f>1714</f>
        <v>1714</v>
      </c>
    </row>
    <row r="122" spans="1:11">
      <c r="A122" s="8" t="s">
        <v>44</v>
      </c>
      <c r="B122" s="9" t="s">
        <v>56</v>
      </c>
      <c r="C122" s="9" t="s">
        <v>57</v>
      </c>
      <c r="D122" s="10"/>
      <c r="E122" s="11">
        <f>99</f>
        <v>99</v>
      </c>
      <c r="F122" s="10"/>
      <c r="G122" s="11">
        <f>96394000</f>
        <v>96394000</v>
      </c>
      <c r="H122" s="10"/>
      <c r="I122" s="11" t="str">
        <f>"－"</f>
        <v>－</v>
      </c>
      <c r="J122" s="10"/>
      <c r="K122" s="11">
        <f>1719</f>
        <v>1719</v>
      </c>
    </row>
    <row r="123" spans="1:11">
      <c r="A123" s="8" t="s">
        <v>45</v>
      </c>
      <c r="B123" s="9" t="s">
        <v>56</v>
      </c>
      <c r="C123" s="9" t="s">
        <v>57</v>
      </c>
      <c r="D123" s="10"/>
      <c r="E123" s="11">
        <f>258</f>
        <v>258</v>
      </c>
      <c r="F123" s="10"/>
      <c r="G123" s="11">
        <f>259145000</f>
        <v>259145000</v>
      </c>
      <c r="H123" s="10"/>
      <c r="I123" s="11" t="str">
        <f>"－"</f>
        <v>－</v>
      </c>
      <c r="J123" s="10"/>
      <c r="K123" s="11">
        <f>1693</f>
        <v>1693</v>
      </c>
    </row>
    <row r="124" spans="1:11">
      <c r="A124" s="8" t="s">
        <v>46</v>
      </c>
      <c r="B124" s="9" t="s">
        <v>56</v>
      </c>
      <c r="C124" s="9" t="s">
        <v>57</v>
      </c>
      <c r="D124" s="10"/>
      <c r="E124" s="11"/>
      <c r="F124" s="10"/>
      <c r="G124" s="11"/>
      <c r="H124" s="10"/>
      <c r="I124" s="11"/>
      <c r="J124" s="10"/>
      <c r="K124" s="11"/>
    </row>
    <row r="125" spans="1:11">
      <c r="A125" s="8" t="s">
        <v>47</v>
      </c>
      <c r="B125" s="9" t="s">
        <v>56</v>
      </c>
      <c r="C125" s="9" t="s">
        <v>57</v>
      </c>
      <c r="D125" s="10"/>
      <c r="E125" s="11"/>
      <c r="F125" s="10"/>
      <c r="G125" s="11"/>
      <c r="H125" s="10"/>
      <c r="I125" s="11"/>
      <c r="J125" s="10"/>
      <c r="K125" s="11"/>
    </row>
    <row r="126" spans="1:11">
      <c r="A126" s="8" t="s">
        <v>48</v>
      </c>
      <c r="B126" s="9" t="s">
        <v>56</v>
      </c>
      <c r="C126" s="9" t="s">
        <v>57</v>
      </c>
      <c r="D126" s="10"/>
      <c r="E126" s="11">
        <f>150</f>
        <v>150</v>
      </c>
      <c r="F126" s="10"/>
      <c r="G126" s="11">
        <f>149996000</f>
        <v>149996000</v>
      </c>
      <c r="H126" s="10"/>
      <c r="I126" s="11" t="str">
        <f t="shared" ref="I126:I132" si="3">"－"</f>
        <v>－</v>
      </c>
      <c r="J126" s="10"/>
      <c r="K126" s="11">
        <f>1749</f>
        <v>1749</v>
      </c>
    </row>
    <row r="127" spans="1:11">
      <c r="A127" s="8" t="s">
        <v>49</v>
      </c>
      <c r="B127" s="9" t="s">
        <v>56</v>
      </c>
      <c r="C127" s="9" t="s">
        <v>57</v>
      </c>
      <c r="D127" s="10"/>
      <c r="E127" s="11">
        <f>128</f>
        <v>128</v>
      </c>
      <c r="F127" s="10"/>
      <c r="G127" s="11">
        <f>127311000</f>
        <v>127311000</v>
      </c>
      <c r="H127" s="10"/>
      <c r="I127" s="11" t="str">
        <f t="shared" si="3"/>
        <v>－</v>
      </c>
      <c r="J127" s="10"/>
      <c r="K127" s="11">
        <f>1761</f>
        <v>1761</v>
      </c>
    </row>
    <row r="128" spans="1:11">
      <c r="A128" s="8" t="s">
        <v>50</v>
      </c>
      <c r="B128" s="9" t="s">
        <v>56</v>
      </c>
      <c r="C128" s="9" t="s">
        <v>57</v>
      </c>
      <c r="D128" s="10"/>
      <c r="E128" s="11">
        <f>221</f>
        <v>221</v>
      </c>
      <c r="F128" s="10"/>
      <c r="G128" s="11">
        <f>214454000</f>
        <v>214454000</v>
      </c>
      <c r="H128" s="10"/>
      <c r="I128" s="11" t="str">
        <f t="shared" si="3"/>
        <v>－</v>
      </c>
      <c r="J128" s="10"/>
      <c r="K128" s="11">
        <f>1770</f>
        <v>1770</v>
      </c>
    </row>
    <row r="129" spans="1:11">
      <c r="A129" s="8" t="s">
        <v>51</v>
      </c>
      <c r="B129" s="9" t="s">
        <v>56</v>
      </c>
      <c r="C129" s="9" t="s">
        <v>57</v>
      </c>
      <c r="D129" s="10"/>
      <c r="E129" s="11">
        <f>108</f>
        <v>108</v>
      </c>
      <c r="F129" s="10"/>
      <c r="G129" s="11">
        <f>105467000</f>
        <v>105467000</v>
      </c>
      <c r="H129" s="10"/>
      <c r="I129" s="11" t="str">
        <f t="shared" si="3"/>
        <v>－</v>
      </c>
      <c r="J129" s="10" t="s">
        <v>26</v>
      </c>
      <c r="K129" s="11">
        <f>1796</f>
        <v>1796</v>
      </c>
    </row>
    <row r="130" spans="1:11">
      <c r="A130" s="8" t="s">
        <v>16</v>
      </c>
      <c r="B130" s="9" t="s">
        <v>58</v>
      </c>
      <c r="C130" s="9" t="s">
        <v>59</v>
      </c>
      <c r="D130" s="10"/>
      <c r="E130" s="11">
        <f>8943</f>
        <v>8943</v>
      </c>
      <c r="F130" s="10"/>
      <c r="G130" s="11">
        <f>17162205000</f>
        <v>17162205000</v>
      </c>
      <c r="H130" s="10" t="s">
        <v>36</v>
      </c>
      <c r="I130" s="11" t="str">
        <f t="shared" si="3"/>
        <v>－</v>
      </c>
      <c r="J130" s="10"/>
      <c r="K130" s="11">
        <f>29921</f>
        <v>29921</v>
      </c>
    </row>
    <row r="131" spans="1:11">
      <c r="A131" s="8" t="s">
        <v>20</v>
      </c>
      <c r="B131" s="9" t="s">
        <v>58</v>
      </c>
      <c r="C131" s="9" t="s">
        <v>59</v>
      </c>
      <c r="D131" s="10"/>
      <c r="E131" s="11">
        <f>10010</f>
        <v>10010</v>
      </c>
      <c r="F131" s="10"/>
      <c r="G131" s="11">
        <f>19307574000</f>
        <v>19307574000</v>
      </c>
      <c r="H131" s="10"/>
      <c r="I131" s="11" t="str">
        <f t="shared" si="3"/>
        <v>－</v>
      </c>
      <c r="J131" s="10"/>
      <c r="K131" s="11">
        <f>29866</f>
        <v>29866</v>
      </c>
    </row>
    <row r="132" spans="1:11">
      <c r="A132" s="8" t="s">
        <v>21</v>
      </c>
      <c r="B132" s="9" t="s">
        <v>58</v>
      </c>
      <c r="C132" s="9" t="s">
        <v>59</v>
      </c>
      <c r="D132" s="10"/>
      <c r="E132" s="11">
        <f>11137</f>
        <v>11137</v>
      </c>
      <c r="F132" s="10"/>
      <c r="G132" s="11">
        <f>21781445000</f>
        <v>21781445000</v>
      </c>
      <c r="H132" s="10"/>
      <c r="I132" s="11" t="str">
        <f t="shared" si="3"/>
        <v>－</v>
      </c>
      <c r="J132" s="10"/>
      <c r="K132" s="11">
        <f>29549</f>
        <v>29549</v>
      </c>
    </row>
    <row r="133" spans="1:11">
      <c r="A133" s="8" t="s">
        <v>22</v>
      </c>
      <c r="B133" s="9" t="s">
        <v>58</v>
      </c>
      <c r="C133" s="9" t="s">
        <v>59</v>
      </c>
      <c r="D133" s="10"/>
      <c r="E133" s="11">
        <f>12857</f>
        <v>12857</v>
      </c>
      <c r="F133" s="10"/>
      <c r="G133" s="11">
        <f>25533492500</f>
        <v>25533492500</v>
      </c>
      <c r="H133" s="10"/>
      <c r="I133" s="11">
        <f>1</f>
        <v>1</v>
      </c>
      <c r="J133" s="10"/>
      <c r="K133" s="11">
        <f>29654</f>
        <v>29654</v>
      </c>
    </row>
    <row r="134" spans="1:11">
      <c r="A134" s="8" t="s">
        <v>23</v>
      </c>
      <c r="B134" s="9" t="s">
        <v>58</v>
      </c>
      <c r="C134" s="9" t="s">
        <v>59</v>
      </c>
      <c r="D134" s="10"/>
      <c r="E134" s="11"/>
      <c r="F134" s="10"/>
      <c r="G134" s="11"/>
      <c r="H134" s="10"/>
      <c r="I134" s="11"/>
      <c r="J134" s="10"/>
      <c r="K134" s="11"/>
    </row>
    <row r="135" spans="1:11">
      <c r="A135" s="8" t="s">
        <v>24</v>
      </c>
      <c r="B135" s="9" t="s">
        <v>58</v>
      </c>
      <c r="C135" s="9" t="s">
        <v>59</v>
      </c>
      <c r="D135" s="10"/>
      <c r="E135" s="11"/>
      <c r="F135" s="10"/>
      <c r="G135" s="11"/>
      <c r="H135" s="10"/>
      <c r="I135" s="11"/>
      <c r="J135" s="10"/>
      <c r="K135" s="11"/>
    </row>
    <row r="136" spans="1:11">
      <c r="A136" s="8" t="s">
        <v>25</v>
      </c>
      <c r="B136" s="9" t="s">
        <v>58</v>
      </c>
      <c r="C136" s="9" t="s">
        <v>59</v>
      </c>
      <c r="D136" s="10"/>
      <c r="E136" s="11">
        <f>19325</f>
        <v>19325</v>
      </c>
      <c r="F136" s="10"/>
      <c r="G136" s="11">
        <f>39448297000</f>
        <v>39448297000</v>
      </c>
      <c r="H136" s="10"/>
      <c r="I136" s="11">
        <f>1</f>
        <v>1</v>
      </c>
      <c r="J136" s="10" t="s">
        <v>26</v>
      </c>
      <c r="K136" s="11">
        <f>31028</f>
        <v>31028</v>
      </c>
    </row>
    <row r="137" spans="1:11">
      <c r="A137" s="8" t="s">
        <v>27</v>
      </c>
      <c r="B137" s="9" t="s">
        <v>58</v>
      </c>
      <c r="C137" s="9" t="s">
        <v>59</v>
      </c>
      <c r="D137" s="10"/>
      <c r="E137" s="11">
        <f>18521</f>
        <v>18521</v>
      </c>
      <c r="F137" s="10"/>
      <c r="G137" s="11">
        <f>38236057500</f>
        <v>38236057500</v>
      </c>
      <c r="H137" s="10"/>
      <c r="I137" s="11">
        <f>2</f>
        <v>2</v>
      </c>
      <c r="J137" s="10"/>
      <c r="K137" s="11">
        <f>29128</f>
        <v>29128</v>
      </c>
    </row>
    <row r="138" spans="1:11">
      <c r="A138" s="8" t="s">
        <v>28</v>
      </c>
      <c r="B138" s="9" t="s">
        <v>58</v>
      </c>
      <c r="C138" s="9" t="s">
        <v>59</v>
      </c>
      <c r="D138" s="10" t="s">
        <v>26</v>
      </c>
      <c r="E138" s="11">
        <f>27241</f>
        <v>27241</v>
      </c>
      <c r="F138" s="10" t="s">
        <v>26</v>
      </c>
      <c r="G138" s="11">
        <f>57900030000</f>
        <v>57900030000</v>
      </c>
      <c r="H138" s="10" t="s">
        <v>26</v>
      </c>
      <c r="I138" s="11">
        <f>4</f>
        <v>4</v>
      </c>
      <c r="J138" s="10"/>
      <c r="K138" s="11">
        <f>29254</f>
        <v>29254</v>
      </c>
    </row>
    <row r="139" spans="1:11">
      <c r="A139" s="8" t="s">
        <v>29</v>
      </c>
      <c r="B139" s="9" t="s">
        <v>58</v>
      </c>
      <c r="C139" s="9" t="s">
        <v>59</v>
      </c>
      <c r="D139" s="10"/>
      <c r="E139" s="11">
        <f>25084</f>
        <v>25084</v>
      </c>
      <c r="F139" s="10"/>
      <c r="G139" s="11">
        <f>51020309500</f>
        <v>51020309500</v>
      </c>
      <c r="H139" s="10"/>
      <c r="I139" s="11">
        <f>3</f>
        <v>3</v>
      </c>
      <c r="J139" s="10"/>
      <c r="K139" s="11">
        <f>29562</f>
        <v>29562</v>
      </c>
    </row>
    <row r="140" spans="1:11">
      <c r="A140" s="8" t="s">
        <v>30</v>
      </c>
      <c r="B140" s="9" t="s">
        <v>58</v>
      </c>
      <c r="C140" s="9" t="s">
        <v>59</v>
      </c>
      <c r="D140" s="10"/>
      <c r="E140" s="11">
        <f>11316</f>
        <v>11316</v>
      </c>
      <c r="F140" s="10"/>
      <c r="G140" s="11">
        <f>22344143000</f>
        <v>22344143000</v>
      </c>
      <c r="H140" s="10"/>
      <c r="I140" s="11" t="str">
        <f>"－"</f>
        <v>－</v>
      </c>
      <c r="J140" s="10"/>
      <c r="K140" s="11">
        <f>29320</f>
        <v>29320</v>
      </c>
    </row>
    <row r="141" spans="1:11">
      <c r="A141" s="8" t="s">
        <v>31</v>
      </c>
      <c r="B141" s="9" t="s">
        <v>58</v>
      </c>
      <c r="C141" s="9" t="s">
        <v>59</v>
      </c>
      <c r="D141" s="10"/>
      <c r="E141" s="11"/>
      <c r="F141" s="10"/>
      <c r="G141" s="11"/>
      <c r="H141" s="10"/>
      <c r="I141" s="11"/>
      <c r="J141" s="10"/>
      <c r="K141" s="11"/>
    </row>
    <row r="142" spans="1:11">
      <c r="A142" s="8" t="s">
        <v>32</v>
      </c>
      <c r="B142" s="9" t="s">
        <v>58</v>
      </c>
      <c r="C142" s="9" t="s">
        <v>59</v>
      </c>
      <c r="D142" s="10"/>
      <c r="E142" s="11"/>
      <c r="F142" s="10"/>
      <c r="G142" s="11"/>
      <c r="H142" s="10"/>
      <c r="I142" s="11"/>
      <c r="J142" s="10"/>
      <c r="K142" s="11"/>
    </row>
    <row r="143" spans="1:11">
      <c r="A143" s="8" t="s">
        <v>33</v>
      </c>
      <c r="B143" s="9" t="s">
        <v>58</v>
      </c>
      <c r="C143" s="9" t="s">
        <v>59</v>
      </c>
      <c r="D143" s="10"/>
      <c r="E143" s="11">
        <f>13534</f>
        <v>13534</v>
      </c>
      <c r="F143" s="10"/>
      <c r="G143" s="11">
        <f>26598842500</f>
        <v>26598842500</v>
      </c>
      <c r="H143" s="10"/>
      <c r="I143" s="11" t="str">
        <f>"－"</f>
        <v>－</v>
      </c>
      <c r="J143" s="10"/>
      <c r="K143" s="11">
        <f>28281</f>
        <v>28281</v>
      </c>
    </row>
    <row r="144" spans="1:11">
      <c r="A144" s="8" t="s">
        <v>34</v>
      </c>
      <c r="B144" s="9" t="s">
        <v>58</v>
      </c>
      <c r="C144" s="9" t="s">
        <v>59</v>
      </c>
      <c r="D144" s="10"/>
      <c r="E144" s="11">
        <f>11882</f>
        <v>11882</v>
      </c>
      <c r="F144" s="10"/>
      <c r="G144" s="11">
        <f>22873822000</f>
        <v>22873822000</v>
      </c>
      <c r="H144" s="10"/>
      <c r="I144" s="11" t="str">
        <f>"－"</f>
        <v>－</v>
      </c>
      <c r="J144" s="10" t="s">
        <v>36</v>
      </c>
      <c r="K144" s="11">
        <f>27642</f>
        <v>27642</v>
      </c>
    </row>
    <row r="145" spans="1:11">
      <c r="A145" s="8" t="s">
        <v>35</v>
      </c>
      <c r="B145" s="9" t="s">
        <v>58</v>
      </c>
      <c r="C145" s="9" t="s">
        <v>59</v>
      </c>
      <c r="D145" s="10"/>
      <c r="E145" s="11">
        <f>16083</f>
        <v>16083</v>
      </c>
      <c r="F145" s="10"/>
      <c r="G145" s="11">
        <f>29939214500</f>
        <v>29939214500</v>
      </c>
      <c r="H145" s="10"/>
      <c r="I145" s="11" t="str">
        <f>"－"</f>
        <v>－</v>
      </c>
      <c r="J145" s="10"/>
      <c r="K145" s="11">
        <f>27785</f>
        <v>27785</v>
      </c>
    </row>
    <row r="146" spans="1:11">
      <c r="A146" s="8" t="s">
        <v>37</v>
      </c>
      <c r="B146" s="9" t="s">
        <v>58</v>
      </c>
      <c r="C146" s="9" t="s">
        <v>59</v>
      </c>
      <c r="D146" s="10"/>
      <c r="E146" s="11">
        <f>9709</f>
        <v>9709</v>
      </c>
      <c r="F146" s="10"/>
      <c r="G146" s="11">
        <f>18451876000</f>
        <v>18451876000</v>
      </c>
      <c r="H146" s="10"/>
      <c r="I146" s="11" t="str">
        <f>"－"</f>
        <v>－</v>
      </c>
      <c r="J146" s="10"/>
      <c r="K146" s="11">
        <f>27755</f>
        <v>27755</v>
      </c>
    </row>
    <row r="147" spans="1:11">
      <c r="A147" s="8" t="s">
        <v>38</v>
      </c>
      <c r="B147" s="9" t="s">
        <v>58</v>
      </c>
      <c r="C147" s="9" t="s">
        <v>59</v>
      </c>
      <c r="D147" s="10"/>
      <c r="E147" s="11">
        <f>6717</f>
        <v>6717</v>
      </c>
      <c r="F147" s="10"/>
      <c r="G147" s="11">
        <f>12902432000</f>
        <v>12902432000</v>
      </c>
      <c r="H147" s="10"/>
      <c r="I147" s="11" t="str">
        <f>"－"</f>
        <v>－</v>
      </c>
      <c r="J147" s="10"/>
      <c r="K147" s="11">
        <f>27995</f>
        <v>27995</v>
      </c>
    </row>
    <row r="148" spans="1:11">
      <c r="A148" s="8" t="s">
        <v>39</v>
      </c>
      <c r="B148" s="9" t="s">
        <v>58</v>
      </c>
      <c r="C148" s="9" t="s">
        <v>59</v>
      </c>
      <c r="D148" s="10"/>
      <c r="E148" s="11"/>
      <c r="F148" s="10"/>
      <c r="G148" s="11"/>
      <c r="H148" s="10"/>
      <c r="I148" s="11"/>
      <c r="J148" s="10"/>
      <c r="K148" s="11"/>
    </row>
    <row r="149" spans="1:11">
      <c r="A149" s="8" t="s">
        <v>40</v>
      </c>
      <c r="B149" s="9" t="s">
        <v>58</v>
      </c>
      <c r="C149" s="9" t="s">
        <v>59</v>
      </c>
      <c r="D149" s="10"/>
      <c r="E149" s="11"/>
      <c r="F149" s="10"/>
      <c r="G149" s="11"/>
      <c r="H149" s="10"/>
      <c r="I149" s="11"/>
      <c r="J149" s="10"/>
      <c r="K149" s="11"/>
    </row>
    <row r="150" spans="1:11">
      <c r="A150" s="8" t="s">
        <v>41</v>
      </c>
      <c r="B150" s="9" t="s">
        <v>58</v>
      </c>
      <c r="C150" s="9" t="s">
        <v>59</v>
      </c>
      <c r="D150" s="10"/>
      <c r="E150" s="11"/>
      <c r="F150" s="10"/>
      <c r="G150" s="11"/>
      <c r="H150" s="10"/>
      <c r="I150" s="11"/>
      <c r="J150" s="10"/>
      <c r="K150" s="11"/>
    </row>
    <row r="151" spans="1:11">
      <c r="A151" s="8" t="s">
        <v>42</v>
      </c>
      <c r="B151" s="9" t="s">
        <v>58</v>
      </c>
      <c r="C151" s="9" t="s">
        <v>59</v>
      </c>
      <c r="D151" s="10"/>
      <c r="E151" s="11">
        <f>7584</f>
        <v>7584</v>
      </c>
      <c r="F151" s="10"/>
      <c r="G151" s="11">
        <f>14811389500</f>
        <v>14811389500</v>
      </c>
      <c r="H151" s="10"/>
      <c r="I151" s="11" t="str">
        <f>"－"</f>
        <v>－</v>
      </c>
      <c r="J151" s="10"/>
      <c r="K151" s="11">
        <f>27694</f>
        <v>27694</v>
      </c>
    </row>
    <row r="152" spans="1:11">
      <c r="A152" s="8" t="s">
        <v>43</v>
      </c>
      <c r="B152" s="9" t="s">
        <v>58</v>
      </c>
      <c r="C152" s="9" t="s">
        <v>59</v>
      </c>
      <c r="D152" s="10"/>
      <c r="E152" s="11">
        <f>7421</f>
        <v>7421</v>
      </c>
      <c r="F152" s="10"/>
      <c r="G152" s="11">
        <f>14484582000</f>
        <v>14484582000</v>
      </c>
      <c r="H152" s="10"/>
      <c r="I152" s="11" t="str">
        <f>"－"</f>
        <v>－</v>
      </c>
      <c r="J152" s="10"/>
      <c r="K152" s="11">
        <f>27933</f>
        <v>27933</v>
      </c>
    </row>
    <row r="153" spans="1:11">
      <c r="A153" s="8" t="s">
        <v>44</v>
      </c>
      <c r="B153" s="9" t="s">
        <v>58</v>
      </c>
      <c r="C153" s="9" t="s">
        <v>59</v>
      </c>
      <c r="D153" s="10"/>
      <c r="E153" s="11">
        <f>6318</f>
        <v>6318</v>
      </c>
      <c r="F153" s="10"/>
      <c r="G153" s="11">
        <f>12315190000</f>
        <v>12315190000</v>
      </c>
      <c r="H153" s="10"/>
      <c r="I153" s="11" t="str">
        <f>"－"</f>
        <v>－</v>
      </c>
      <c r="J153" s="10"/>
      <c r="K153" s="11">
        <f>27721</f>
        <v>27721</v>
      </c>
    </row>
    <row r="154" spans="1:11">
      <c r="A154" s="8" t="s">
        <v>45</v>
      </c>
      <c r="B154" s="9" t="s">
        <v>58</v>
      </c>
      <c r="C154" s="9" t="s">
        <v>59</v>
      </c>
      <c r="D154" s="10"/>
      <c r="E154" s="11">
        <f>8852</f>
        <v>8852</v>
      </c>
      <c r="F154" s="10"/>
      <c r="G154" s="11">
        <f>17449670000</f>
        <v>17449670000</v>
      </c>
      <c r="H154" s="10"/>
      <c r="I154" s="11" t="str">
        <f>"－"</f>
        <v>－</v>
      </c>
      <c r="J154" s="10"/>
      <c r="K154" s="11">
        <f>27956</f>
        <v>27956</v>
      </c>
    </row>
    <row r="155" spans="1:11">
      <c r="A155" s="8" t="s">
        <v>46</v>
      </c>
      <c r="B155" s="9" t="s">
        <v>58</v>
      </c>
      <c r="C155" s="9" t="s">
        <v>59</v>
      </c>
      <c r="D155" s="10"/>
      <c r="E155" s="11"/>
      <c r="F155" s="10"/>
      <c r="G155" s="11"/>
      <c r="H155" s="10"/>
      <c r="I155" s="11"/>
      <c r="J155" s="10"/>
      <c r="K155" s="11"/>
    </row>
    <row r="156" spans="1:11">
      <c r="A156" s="8" t="s">
        <v>47</v>
      </c>
      <c r="B156" s="9" t="s">
        <v>58</v>
      </c>
      <c r="C156" s="9" t="s">
        <v>59</v>
      </c>
      <c r="D156" s="10"/>
      <c r="E156" s="11"/>
      <c r="F156" s="10"/>
      <c r="G156" s="11"/>
      <c r="H156" s="10"/>
      <c r="I156" s="11"/>
      <c r="J156" s="10"/>
      <c r="K156" s="11"/>
    </row>
    <row r="157" spans="1:11">
      <c r="A157" s="8" t="s">
        <v>48</v>
      </c>
      <c r="B157" s="9" t="s">
        <v>58</v>
      </c>
      <c r="C157" s="9" t="s">
        <v>59</v>
      </c>
      <c r="D157" s="10"/>
      <c r="E157" s="11">
        <f>8170</f>
        <v>8170</v>
      </c>
      <c r="F157" s="10"/>
      <c r="G157" s="11">
        <f>15898263500</f>
        <v>15898263500</v>
      </c>
      <c r="H157" s="10"/>
      <c r="I157" s="11" t="str">
        <f t="shared" ref="I157:I164" si="4">"－"</f>
        <v>－</v>
      </c>
      <c r="J157" s="10"/>
      <c r="K157" s="11">
        <f>28249</f>
        <v>28249</v>
      </c>
    </row>
    <row r="158" spans="1:11">
      <c r="A158" s="8" t="s">
        <v>49</v>
      </c>
      <c r="B158" s="9" t="s">
        <v>58</v>
      </c>
      <c r="C158" s="9" t="s">
        <v>59</v>
      </c>
      <c r="D158" s="10"/>
      <c r="E158" s="11">
        <f>8713</f>
        <v>8713</v>
      </c>
      <c r="F158" s="10"/>
      <c r="G158" s="11">
        <f>16846493500</f>
        <v>16846493500</v>
      </c>
      <c r="H158" s="10"/>
      <c r="I158" s="11" t="str">
        <f t="shared" si="4"/>
        <v>－</v>
      </c>
      <c r="J158" s="10"/>
      <c r="K158" s="11">
        <f>28040</f>
        <v>28040</v>
      </c>
    </row>
    <row r="159" spans="1:11">
      <c r="A159" s="8" t="s">
        <v>50</v>
      </c>
      <c r="B159" s="9" t="s">
        <v>58</v>
      </c>
      <c r="C159" s="9" t="s">
        <v>59</v>
      </c>
      <c r="D159" s="10"/>
      <c r="E159" s="11">
        <f>12287</f>
        <v>12287</v>
      </c>
      <c r="F159" s="10"/>
      <c r="G159" s="11">
        <f>23302581000</f>
        <v>23302581000</v>
      </c>
      <c r="H159" s="10"/>
      <c r="I159" s="11" t="str">
        <f t="shared" si="4"/>
        <v>－</v>
      </c>
      <c r="J159" s="10"/>
      <c r="K159" s="11">
        <f>27984</f>
        <v>27984</v>
      </c>
    </row>
    <row r="160" spans="1:11">
      <c r="A160" s="8" t="s">
        <v>51</v>
      </c>
      <c r="B160" s="9" t="s">
        <v>58</v>
      </c>
      <c r="C160" s="9" t="s">
        <v>59</v>
      </c>
      <c r="D160" s="10" t="s">
        <v>36</v>
      </c>
      <c r="E160" s="11">
        <f>5735</f>
        <v>5735</v>
      </c>
      <c r="F160" s="10" t="s">
        <v>36</v>
      </c>
      <c r="G160" s="11">
        <f>10971644000</f>
        <v>10971644000</v>
      </c>
      <c r="H160" s="10"/>
      <c r="I160" s="11" t="str">
        <f t="shared" si="4"/>
        <v>－</v>
      </c>
      <c r="J160" s="10"/>
      <c r="K160" s="11">
        <f>27972</f>
        <v>27972</v>
      </c>
    </row>
    <row r="161" spans="1:11">
      <c r="A161" s="8" t="s">
        <v>16</v>
      </c>
      <c r="B161" s="9" t="s">
        <v>60</v>
      </c>
      <c r="C161" s="9" t="s">
        <v>61</v>
      </c>
      <c r="D161" s="10" t="s">
        <v>36</v>
      </c>
      <c r="E161" s="11">
        <f>1205</f>
        <v>1205</v>
      </c>
      <c r="F161" s="10" t="s">
        <v>36</v>
      </c>
      <c r="G161" s="11">
        <f>462856800</f>
        <v>462856800</v>
      </c>
      <c r="H161" s="10" t="s">
        <v>19</v>
      </c>
      <c r="I161" s="11" t="str">
        <f t="shared" si="4"/>
        <v>－</v>
      </c>
      <c r="J161" s="10" t="s">
        <v>36</v>
      </c>
      <c r="K161" s="11">
        <f>2797</f>
        <v>2797</v>
      </c>
    </row>
    <row r="162" spans="1:11">
      <c r="A162" s="8" t="s">
        <v>20</v>
      </c>
      <c r="B162" s="9" t="s">
        <v>60</v>
      </c>
      <c r="C162" s="9" t="s">
        <v>61</v>
      </c>
      <c r="D162" s="10"/>
      <c r="E162" s="11">
        <f>1902</f>
        <v>1902</v>
      </c>
      <c r="F162" s="10"/>
      <c r="G162" s="11">
        <f>733211400</f>
        <v>733211400</v>
      </c>
      <c r="H162" s="10"/>
      <c r="I162" s="11" t="str">
        <f t="shared" si="4"/>
        <v>－</v>
      </c>
      <c r="J162" s="10"/>
      <c r="K162" s="11">
        <f>2858</f>
        <v>2858</v>
      </c>
    </row>
    <row r="163" spans="1:11">
      <c r="A163" s="8" t="s">
        <v>21</v>
      </c>
      <c r="B163" s="9" t="s">
        <v>60</v>
      </c>
      <c r="C163" s="9" t="s">
        <v>61</v>
      </c>
      <c r="D163" s="10"/>
      <c r="E163" s="11">
        <f>2320</f>
        <v>2320</v>
      </c>
      <c r="F163" s="10"/>
      <c r="G163" s="11">
        <f>906059300</f>
        <v>906059300</v>
      </c>
      <c r="H163" s="10"/>
      <c r="I163" s="11" t="str">
        <f t="shared" si="4"/>
        <v>－</v>
      </c>
      <c r="J163" s="10"/>
      <c r="K163" s="11">
        <f>2945</f>
        <v>2945</v>
      </c>
    </row>
    <row r="164" spans="1:11">
      <c r="A164" s="8" t="s">
        <v>22</v>
      </c>
      <c r="B164" s="9" t="s">
        <v>60</v>
      </c>
      <c r="C164" s="9" t="s">
        <v>61</v>
      </c>
      <c r="D164" s="10"/>
      <c r="E164" s="11">
        <f>2098</f>
        <v>2098</v>
      </c>
      <c r="F164" s="10"/>
      <c r="G164" s="11">
        <f>832250900</f>
        <v>832250900</v>
      </c>
      <c r="H164" s="10"/>
      <c r="I164" s="11" t="str">
        <f t="shared" si="4"/>
        <v>－</v>
      </c>
      <c r="J164" s="10"/>
      <c r="K164" s="11">
        <f>3134</f>
        <v>3134</v>
      </c>
    </row>
    <row r="165" spans="1:11">
      <c r="A165" s="8" t="s">
        <v>23</v>
      </c>
      <c r="B165" s="9" t="s">
        <v>60</v>
      </c>
      <c r="C165" s="9" t="s">
        <v>61</v>
      </c>
      <c r="D165" s="10"/>
      <c r="E165" s="11"/>
      <c r="F165" s="10"/>
      <c r="G165" s="11"/>
      <c r="H165" s="10"/>
      <c r="I165" s="11"/>
      <c r="J165" s="10"/>
      <c r="K165" s="11"/>
    </row>
    <row r="166" spans="1:11">
      <c r="A166" s="8" t="s">
        <v>24</v>
      </c>
      <c r="B166" s="9" t="s">
        <v>60</v>
      </c>
      <c r="C166" s="9" t="s">
        <v>61</v>
      </c>
      <c r="D166" s="10"/>
      <c r="E166" s="11"/>
      <c r="F166" s="10"/>
      <c r="G166" s="11"/>
      <c r="H166" s="10"/>
      <c r="I166" s="11"/>
      <c r="J166" s="10"/>
      <c r="K166" s="11"/>
    </row>
    <row r="167" spans="1:11">
      <c r="A167" s="8" t="s">
        <v>25</v>
      </c>
      <c r="B167" s="9" t="s">
        <v>60</v>
      </c>
      <c r="C167" s="9" t="s">
        <v>61</v>
      </c>
      <c r="D167" s="10"/>
      <c r="E167" s="11">
        <f>3200</f>
        <v>3200</v>
      </c>
      <c r="F167" s="10"/>
      <c r="G167" s="11">
        <f>1299457700</f>
        <v>1299457700</v>
      </c>
      <c r="H167" s="10"/>
      <c r="I167" s="11" t="str">
        <f>"－"</f>
        <v>－</v>
      </c>
      <c r="J167" s="10"/>
      <c r="K167" s="11">
        <f>3143</f>
        <v>3143</v>
      </c>
    </row>
    <row r="168" spans="1:11">
      <c r="A168" s="8" t="s">
        <v>27</v>
      </c>
      <c r="B168" s="9" t="s">
        <v>60</v>
      </c>
      <c r="C168" s="9" t="s">
        <v>61</v>
      </c>
      <c r="D168" s="10"/>
      <c r="E168" s="11">
        <f>5722</f>
        <v>5722</v>
      </c>
      <c r="F168" s="10"/>
      <c r="G168" s="11">
        <f>2359306600</f>
        <v>2359306600</v>
      </c>
      <c r="H168" s="10"/>
      <c r="I168" s="11" t="str">
        <f>"－"</f>
        <v>－</v>
      </c>
      <c r="J168" s="10"/>
      <c r="K168" s="11">
        <f>3059</f>
        <v>3059</v>
      </c>
    </row>
    <row r="169" spans="1:11">
      <c r="A169" s="8" t="s">
        <v>28</v>
      </c>
      <c r="B169" s="9" t="s">
        <v>60</v>
      </c>
      <c r="C169" s="9" t="s">
        <v>61</v>
      </c>
      <c r="D169" s="10" t="s">
        <v>26</v>
      </c>
      <c r="E169" s="11">
        <f>6430</f>
        <v>6430</v>
      </c>
      <c r="F169" s="10" t="s">
        <v>26</v>
      </c>
      <c r="G169" s="11">
        <f>2716228500</f>
        <v>2716228500</v>
      </c>
      <c r="H169" s="10"/>
      <c r="I169" s="11" t="str">
        <f>"－"</f>
        <v>－</v>
      </c>
      <c r="J169" s="10"/>
      <c r="K169" s="11">
        <f>3356</f>
        <v>3356</v>
      </c>
    </row>
    <row r="170" spans="1:11">
      <c r="A170" s="8" t="s">
        <v>29</v>
      </c>
      <c r="B170" s="9" t="s">
        <v>60</v>
      </c>
      <c r="C170" s="9" t="s">
        <v>61</v>
      </c>
      <c r="D170" s="10"/>
      <c r="E170" s="11">
        <f>5310</f>
        <v>5310</v>
      </c>
      <c r="F170" s="10"/>
      <c r="G170" s="11">
        <f>2156978600</f>
        <v>2156978600</v>
      </c>
      <c r="H170" s="10"/>
      <c r="I170" s="11" t="str">
        <f>"－"</f>
        <v>－</v>
      </c>
      <c r="J170" s="10" t="s">
        <v>26</v>
      </c>
      <c r="K170" s="11">
        <f>3685</f>
        <v>3685</v>
      </c>
    </row>
    <row r="171" spans="1:11">
      <c r="A171" s="8" t="s">
        <v>30</v>
      </c>
      <c r="B171" s="9" t="s">
        <v>60</v>
      </c>
      <c r="C171" s="9" t="s">
        <v>61</v>
      </c>
      <c r="D171" s="10"/>
      <c r="E171" s="11">
        <f>3442</f>
        <v>3442</v>
      </c>
      <c r="F171" s="10"/>
      <c r="G171" s="11">
        <f>1358616900</f>
        <v>1358616900</v>
      </c>
      <c r="H171" s="10"/>
      <c r="I171" s="11" t="str">
        <f>"－"</f>
        <v>－</v>
      </c>
      <c r="J171" s="10"/>
      <c r="K171" s="11">
        <f>3611</f>
        <v>3611</v>
      </c>
    </row>
    <row r="172" spans="1:11">
      <c r="A172" s="8" t="s">
        <v>31</v>
      </c>
      <c r="B172" s="9" t="s">
        <v>60</v>
      </c>
      <c r="C172" s="9" t="s">
        <v>61</v>
      </c>
      <c r="D172" s="10"/>
      <c r="E172" s="11"/>
      <c r="F172" s="10"/>
      <c r="G172" s="11"/>
      <c r="H172" s="10"/>
      <c r="I172" s="11"/>
      <c r="J172" s="10"/>
      <c r="K172" s="11"/>
    </row>
    <row r="173" spans="1:11">
      <c r="A173" s="8" t="s">
        <v>32</v>
      </c>
      <c r="B173" s="9" t="s">
        <v>60</v>
      </c>
      <c r="C173" s="9" t="s">
        <v>61</v>
      </c>
      <c r="D173" s="10"/>
      <c r="E173" s="11"/>
      <c r="F173" s="10"/>
      <c r="G173" s="11"/>
      <c r="H173" s="10"/>
      <c r="I173" s="11"/>
      <c r="J173" s="10"/>
      <c r="K173" s="11"/>
    </row>
    <row r="174" spans="1:11">
      <c r="A174" s="8" t="s">
        <v>33</v>
      </c>
      <c r="B174" s="9" t="s">
        <v>60</v>
      </c>
      <c r="C174" s="9" t="s">
        <v>61</v>
      </c>
      <c r="D174" s="10"/>
      <c r="E174" s="11">
        <f>2151</f>
        <v>2151</v>
      </c>
      <c r="F174" s="10"/>
      <c r="G174" s="11">
        <f>845787700</f>
        <v>845787700</v>
      </c>
      <c r="H174" s="10"/>
      <c r="I174" s="11" t="str">
        <f>"－"</f>
        <v>－</v>
      </c>
      <c r="J174" s="10"/>
      <c r="K174" s="11">
        <f>3411</f>
        <v>3411</v>
      </c>
    </row>
    <row r="175" spans="1:11">
      <c r="A175" s="8" t="s">
        <v>34</v>
      </c>
      <c r="B175" s="9" t="s">
        <v>60</v>
      </c>
      <c r="C175" s="9" t="s">
        <v>61</v>
      </c>
      <c r="D175" s="10"/>
      <c r="E175" s="11">
        <f>3381</f>
        <v>3381</v>
      </c>
      <c r="F175" s="10"/>
      <c r="G175" s="11">
        <f>1303915900</f>
        <v>1303915900</v>
      </c>
      <c r="H175" s="10"/>
      <c r="I175" s="11" t="str">
        <f>"－"</f>
        <v>－</v>
      </c>
      <c r="J175" s="10"/>
      <c r="K175" s="11">
        <f>3059</f>
        <v>3059</v>
      </c>
    </row>
    <row r="176" spans="1:11">
      <c r="A176" s="8" t="s">
        <v>35</v>
      </c>
      <c r="B176" s="9" t="s">
        <v>60</v>
      </c>
      <c r="C176" s="9" t="s">
        <v>61</v>
      </c>
      <c r="D176" s="10"/>
      <c r="E176" s="11">
        <f>2751</f>
        <v>2751</v>
      </c>
      <c r="F176" s="10"/>
      <c r="G176" s="11">
        <f>1025545500</f>
        <v>1025545500</v>
      </c>
      <c r="H176" s="10"/>
      <c r="I176" s="11" t="str">
        <f>"－"</f>
        <v>－</v>
      </c>
      <c r="J176" s="10"/>
      <c r="K176" s="11">
        <f>3121</f>
        <v>3121</v>
      </c>
    </row>
    <row r="177" spans="1:11">
      <c r="A177" s="8" t="s">
        <v>37</v>
      </c>
      <c r="B177" s="9" t="s">
        <v>60</v>
      </c>
      <c r="C177" s="9" t="s">
        <v>61</v>
      </c>
      <c r="D177" s="10"/>
      <c r="E177" s="11">
        <f>2217</f>
        <v>2217</v>
      </c>
      <c r="F177" s="10"/>
      <c r="G177" s="11">
        <f>840681600</f>
        <v>840681600</v>
      </c>
      <c r="H177" s="10"/>
      <c r="I177" s="11" t="str">
        <f>"－"</f>
        <v>－</v>
      </c>
      <c r="J177" s="10"/>
      <c r="K177" s="11">
        <f>3051</f>
        <v>3051</v>
      </c>
    </row>
    <row r="178" spans="1:11">
      <c r="A178" s="8" t="s">
        <v>38</v>
      </c>
      <c r="B178" s="9" t="s">
        <v>60</v>
      </c>
      <c r="C178" s="9" t="s">
        <v>61</v>
      </c>
      <c r="D178" s="10"/>
      <c r="E178" s="11">
        <f>1487</f>
        <v>1487</v>
      </c>
      <c r="F178" s="10"/>
      <c r="G178" s="11">
        <f>571030700</f>
        <v>571030700</v>
      </c>
      <c r="H178" s="10"/>
      <c r="I178" s="11" t="str">
        <f>"－"</f>
        <v>－</v>
      </c>
      <c r="J178" s="10"/>
      <c r="K178" s="11">
        <f>2965</f>
        <v>2965</v>
      </c>
    </row>
    <row r="179" spans="1:11">
      <c r="A179" s="8" t="s">
        <v>39</v>
      </c>
      <c r="B179" s="9" t="s">
        <v>60</v>
      </c>
      <c r="C179" s="9" t="s">
        <v>61</v>
      </c>
      <c r="D179" s="10"/>
      <c r="E179" s="11"/>
      <c r="F179" s="10"/>
      <c r="G179" s="11"/>
      <c r="H179" s="10"/>
      <c r="I179" s="11"/>
      <c r="J179" s="10"/>
      <c r="K179" s="11"/>
    </row>
    <row r="180" spans="1:11">
      <c r="A180" s="8" t="s">
        <v>40</v>
      </c>
      <c r="B180" s="9" t="s">
        <v>60</v>
      </c>
      <c r="C180" s="9" t="s">
        <v>61</v>
      </c>
      <c r="D180" s="10"/>
      <c r="E180" s="11"/>
      <c r="F180" s="10"/>
      <c r="G180" s="11"/>
      <c r="H180" s="10"/>
      <c r="I180" s="11"/>
      <c r="J180" s="10"/>
      <c r="K180" s="11"/>
    </row>
    <row r="181" spans="1:11">
      <c r="A181" s="8" t="s">
        <v>41</v>
      </c>
      <c r="B181" s="9" t="s">
        <v>60</v>
      </c>
      <c r="C181" s="9" t="s">
        <v>61</v>
      </c>
      <c r="D181" s="10"/>
      <c r="E181" s="11"/>
      <c r="F181" s="10"/>
      <c r="G181" s="11"/>
      <c r="H181" s="10"/>
      <c r="I181" s="11"/>
      <c r="J181" s="10"/>
      <c r="K181" s="11"/>
    </row>
    <row r="182" spans="1:11">
      <c r="A182" s="8" t="s">
        <v>42</v>
      </c>
      <c r="B182" s="9" t="s">
        <v>60</v>
      </c>
      <c r="C182" s="9" t="s">
        <v>61</v>
      </c>
      <c r="D182" s="10"/>
      <c r="E182" s="11">
        <f>3282</f>
        <v>3282</v>
      </c>
      <c r="F182" s="10"/>
      <c r="G182" s="11">
        <f>1280410100</f>
        <v>1280410100</v>
      </c>
      <c r="H182" s="10"/>
      <c r="I182" s="11" t="str">
        <f>"－"</f>
        <v>－</v>
      </c>
      <c r="J182" s="10"/>
      <c r="K182" s="11">
        <f>3012</f>
        <v>3012</v>
      </c>
    </row>
    <row r="183" spans="1:11">
      <c r="A183" s="8" t="s">
        <v>43</v>
      </c>
      <c r="B183" s="9" t="s">
        <v>60</v>
      </c>
      <c r="C183" s="9" t="s">
        <v>61</v>
      </c>
      <c r="D183" s="10"/>
      <c r="E183" s="11">
        <f>2096</f>
        <v>2096</v>
      </c>
      <c r="F183" s="10"/>
      <c r="G183" s="11">
        <f>818800700</f>
        <v>818800700</v>
      </c>
      <c r="H183" s="10"/>
      <c r="I183" s="11" t="str">
        <f>"－"</f>
        <v>－</v>
      </c>
      <c r="J183" s="10"/>
      <c r="K183" s="11">
        <f>3029</f>
        <v>3029</v>
      </c>
    </row>
    <row r="184" spans="1:11">
      <c r="A184" s="8" t="s">
        <v>44</v>
      </c>
      <c r="B184" s="9" t="s">
        <v>60</v>
      </c>
      <c r="C184" s="9" t="s">
        <v>61</v>
      </c>
      <c r="D184" s="10"/>
      <c r="E184" s="11">
        <f>3007</f>
        <v>3007</v>
      </c>
      <c r="F184" s="10"/>
      <c r="G184" s="11">
        <f>1170730100</f>
        <v>1170730100</v>
      </c>
      <c r="H184" s="10"/>
      <c r="I184" s="11" t="str">
        <f>"－"</f>
        <v>－</v>
      </c>
      <c r="J184" s="10"/>
      <c r="K184" s="11">
        <f>3088</f>
        <v>3088</v>
      </c>
    </row>
    <row r="185" spans="1:11">
      <c r="A185" s="8" t="s">
        <v>45</v>
      </c>
      <c r="B185" s="9" t="s">
        <v>60</v>
      </c>
      <c r="C185" s="9" t="s">
        <v>61</v>
      </c>
      <c r="D185" s="10"/>
      <c r="E185" s="11">
        <f>2948</f>
        <v>2948</v>
      </c>
      <c r="F185" s="10"/>
      <c r="G185" s="11">
        <f>1161937500</f>
        <v>1161937500</v>
      </c>
      <c r="H185" s="10"/>
      <c r="I185" s="11" t="str">
        <f>"－"</f>
        <v>－</v>
      </c>
      <c r="J185" s="10"/>
      <c r="K185" s="11">
        <f>3337</f>
        <v>3337</v>
      </c>
    </row>
    <row r="186" spans="1:11">
      <c r="A186" s="8" t="s">
        <v>46</v>
      </c>
      <c r="B186" s="9" t="s">
        <v>60</v>
      </c>
      <c r="C186" s="9" t="s">
        <v>61</v>
      </c>
      <c r="D186" s="10"/>
      <c r="E186" s="11"/>
      <c r="F186" s="10"/>
      <c r="G186" s="11"/>
      <c r="H186" s="10"/>
      <c r="I186" s="11"/>
      <c r="J186" s="10"/>
      <c r="K186" s="11"/>
    </row>
    <row r="187" spans="1:11">
      <c r="A187" s="8" t="s">
        <v>47</v>
      </c>
      <c r="B187" s="9" t="s">
        <v>60</v>
      </c>
      <c r="C187" s="9" t="s">
        <v>61</v>
      </c>
      <c r="D187" s="10"/>
      <c r="E187" s="11"/>
      <c r="F187" s="10"/>
      <c r="G187" s="11"/>
      <c r="H187" s="10"/>
      <c r="I187" s="11"/>
      <c r="J187" s="10"/>
      <c r="K187" s="11"/>
    </row>
    <row r="188" spans="1:11">
      <c r="A188" s="8" t="s">
        <v>48</v>
      </c>
      <c r="B188" s="9" t="s">
        <v>60</v>
      </c>
      <c r="C188" s="9" t="s">
        <v>61</v>
      </c>
      <c r="D188" s="10"/>
      <c r="E188" s="11">
        <f>2650</f>
        <v>2650</v>
      </c>
      <c r="F188" s="10"/>
      <c r="G188" s="11">
        <f>1034356000</f>
        <v>1034356000</v>
      </c>
      <c r="H188" s="10"/>
      <c r="I188" s="11" t="str">
        <f t="shared" ref="I188:I195" si="5">"－"</f>
        <v>－</v>
      </c>
      <c r="J188" s="10"/>
      <c r="K188" s="11">
        <f>3298</f>
        <v>3298</v>
      </c>
    </row>
    <row r="189" spans="1:11">
      <c r="A189" s="8" t="s">
        <v>49</v>
      </c>
      <c r="B189" s="9" t="s">
        <v>60</v>
      </c>
      <c r="C189" s="9" t="s">
        <v>61</v>
      </c>
      <c r="D189" s="10"/>
      <c r="E189" s="11">
        <f>1462</f>
        <v>1462</v>
      </c>
      <c r="F189" s="10"/>
      <c r="G189" s="11">
        <f>564985800</f>
        <v>564985800</v>
      </c>
      <c r="H189" s="10"/>
      <c r="I189" s="11" t="str">
        <f t="shared" si="5"/>
        <v>－</v>
      </c>
      <c r="J189" s="10"/>
      <c r="K189" s="11">
        <f>3240</f>
        <v>3240</v>
      </c>
    </row>
    <row r="190" spans="1:11">
      <c r="A190" s="8" t="s">
        <v>50</v>
      </c>
      <c r="B190" s="9" t="s">
        <v>60</v>
      </c>
      <c r="C190" s="9" t="s">
        <v>61</v>
      </c>
      <c r="D190" s="10"/>
      <c r="E190" s="11">
        <f>3049</f>
        <v>3049</v>
      </c>
      <c r="F190" s="10"/>
      <c r="G190" s="11">
        <f>1157366700</f>
        <v>1157366700</v>
      </c>
      <c r="H190" s="10"/>
      <c r="I190" s="11" t="str">
        <f t="shared" si="5"/>
        <v>－</v>
      </c>
      <c r="J190" s="10"/>
      <c r="K190" s="11">
        <f>3326</f>
        <v>3326</v>
      </c>
    </row>
    <row r="191" spans="1:11">
      <c r="A191" s="8" t="s">
        <v>51</v>
      </c>
      <c r="B191" s="9" t="s">
        <v>60</v>
      </c>
      <c r="C191" s="9" t="s">
        <v>61</v>
      </c>
      <c r="D191" s="10"/>
      <c r="E191" s="11">
        <f>1626</f>
        <v>1626</v>
      </c>
      <c r="F191" s="10"/>
      <c r="G191" s="11">
        <f>622021700</f>
        <v>622021700</v>
      </c>
      <c r="H191" s="10"/>
      <c r="I191" s="11" t="str">
        <f t="shared" si="5"/>
        <v>－</v>
      </c>
      <c r="J191" s="10"/>
      <c r="K191" s="11">
        <f>3278</f>
        <v>3278</v>
      </c>
    </row>
    <row r="192" spans="1:11">
      <c r="A192" s="8" t="s">
        <v>16</v>
      </c>
      <c r="B192" s="9" t="s">
        <v>62</v>
      </c>
      <c r="C192" s="9" t="s">
        <v>63</v>
      </c>
      <c r="D192" s="10"/>
      <c r="E192" s="11">
        <f>645</f>
        <v>645</v>
      </c>
      <c r="F192" s="10"/>
      <c r="G192" s="11">
        <f>252117900</f>
        <v>252117900</v>
      </c>
      <c r="H192" s="10" t="s">
        <v>19</v>
      </c>
      <c r="I192" s="11" t="str">
        <f t="shared" si="5"/>
        <v>－</v>
      </c>
      <c r="J192" s="10"/>
      <c r="K192" s="11">
        <f>13416</f>
        <v>13416</v>
      </c>
    </row>
    <row r="193" spans="1:11">
      <c r="A193" s="8" t="s">
        <v>20</v>
      </c>
      <c r="B193" s="9" t="s">
        <v>62</v>
      </c>
      <c r="C193" s="9" t="s">
        <v>63</v>
      </c>
      <c r="D193" s="10"/>
      <c r="E193" s="11">
        <f>341</f>
        <v>341</v>
      </c>
      <c r="F193" s="10"/>
      <c r="G193" s="11">
        <f>134171900</f>
        <v>134171900</v>
      </c>
      <c r="H193" s="10"/>
      <c r="I193" s="11" t="str">
        <f t="shared" si="5"/>
        <v>－</v>
      </c>
      <c r="J193" s="10"/>
      <c r="K193" s="11">
        <f>13358</f>
        <v>13358</v>
      </c>
    </row>
    <row r="194" spans="1:11">
      <c r="A194" s="8" t="s">
        <v>21</v>
      </c>
      <c r="B194" s="9" t="s">
        <v>62</v>
      </c>
      <c r="C194" s="9" t="s">
        <v>63</v>
      </c>
      <c r="D194" s="10"/>
      <c r="E194" s="11">
        <f>767</f>
        <v>767</v>
      </c>
      <c r="F194" s="10"/>
      <c r="G194" s="11">
        <f>305290600</f>
        <v>305290600</v>
      </c>
      <c r="H194" s="10"/>
      <c r="I194" s="11" t="str">
        <f t="shared" si="5"/>
        <v>－</v>
      </c>
      <c r="J194" s="10"/>
      <c r="K194" s="11">
        <f>13189</f>
        <v>13189</v>
      </c>
    </row>
    <row r="195" spans="1:11">
      <c r="A195" s="8" t="s">
        <v>22</v>
      </c>
      <c r="B195" s="9" t="s">
        <v>62</v>
      </c>
      <c r="C195" s="9" t="s">
        <v>63</v>
      </c>
      <c r="D195" s="10"/>
      <c r="E195" s="11">
        <f>433</f>
        <v>433</v>
      </c>
      <c r="F195" s="10"/>
      <c r="G195" s="11">
        <f>174327700</f>
        <v>174327700</v>
      </c>
      <c r="H195" s="10"/>
      <c r="I195" s="11" t="str">
        <f t="shared" si="5"/>
        <v>－</v>
      </c>
      <c r="J195" s="10"/>
      <c r="K195" s="11">
        <f>13089</f>
        <v>13089</v>
      </c>
    </row>
    <row r="196" spans="1:11">
      <c r="A196" s="8" t="s">
        <v>23</v>
      </c>
      <c r="B196" s="9" t="s">
        <v>62</v>
      </c>
      <c r="C196" s="9" t="s">
        <v>63</v>
      </c>
      <c r="D196" s="10"/>
      <c r="E196" s="11"/>
      <c r="F196" s="10"/>
      <c r="G196" s="11"/>
      <c r="H196" s="10"/>
      <c r="I196" s="11"/>
      <c r="J196" s="10"/>
      <c r="K196" s="11"/>
    </row>
    <row r="197" spans="1:11">
      <c r="A197" s="8" t="s">
        <v>24</v>
      </c>
      <c r="B197" s="9" t="s">
        <v>62</v>
      </c>
      <c r="C197" s="9" t="s">
        <v>63</v>
      </c>
      <c r="D197" s="10"/>
      <c r="E197" s="11"/>
      <c r="F197" s="10"/>
      <c r="G197" s="11"/>
      <c r="H197" s="10"/>
      <c r="I197" s="11"/>
      <c r="J197" s="10"/>
      <c r="K197" s="11"/>
    </row>
    <row r="198" spans="1:11">
      <c r="A198" s="8" t="s">
        <v>25</v>
      </c>
      <c r="B198" s="9" t="s">
        <v>62</v>
      </c>
      <c r="C198" s="9" t="s">
        <v>63</v>
      </c>
      <c r="D198" s="10"/>
      <c r="E198" s="11">
        <f>695</f>
        <v>695</v>
      </c>
      <c r="F198" s="10"/>
      <c r="G198" s="11">
        <f>287862200</f>
        <v>287862200</v>
      </c>
      <c r="H198" s="10"/>
      <c r="I198" s="11" t="str">
        <f>"－"</f>
        <v>－</v>
      </c>
      <c r="J198" s="10"/>
      <c r="K198" s="11">
        <f>13058</f>
        <v>13058</v>
      </c>
    </row>
    <row r="199" spans="1:11">
      <c r="A199" s="8" t="s">
        <v>27</v>
      </c>
      <c r="B199" s="9" t="s">
        <v>62</v>
      </c>
      <c r="C199" s="9" t="s">
        <v>63</v>
      </c>
      <c r="D199" s="10"/>
      <c r="E199" s="11">
        <f>846</f>
        <v>846</v>
      </c>
      <c r="F199" s="10"/>
      <c r="G199" s="11">
        <f>354825200</f>
        <v>354825200</v>
      </c>
      <c r="H199" s="10"/>
      <c r="I199" s="11" t="str">
        <f>"－"</f>
        <v>－</v>
      </c>
      <c r="J199" s="10"/>
      <c r="K199" s="11">
        <f>13057</f>
        <v>13057</v>
      </c>
    </row>
    <row r="200" spans="1:11">
      <c r="A200" s="8" t="s">
        <v>28</v>
      </c>
      <c r="B200" s="9" t="s">
        <v>62</v>
      </c>
      <c r="C200" s="9" t="s">
        <v>63</v>
      </c>
      <c r="D200" s="10" t="s">
        <v>26</v>
      </c>
      <c r="E200" s="11">
        <f>1713</f>
        <v>1713</v>
      </c>
      <c r="F200" s="10" t="s">
        <v>26</v>
      </c>
      <c r="G200" s="11">
        <f>732928600</f>
        <v>732928600</v>
      </c>
      <c r="H200" s="10"/>
      <c r="I200" s="11" t="str">
        <f>"－"</f>
        <v>－</v>
      </c>
      <c r="J200" s="10" t="s">
        <v>36</v>
      </c>
      <c r="K200" s="11">
        <f>12853</f>
        <v>12853</v>
      </c>
    </row>
    <row r="201" spans="1:11">
      <c r="A201" s="8" t="s">
        <v>29</v>
      </c>
      <c r="B201" s="9" t="s">
        <v>62</v>
      </c>
      <c r="C201" s="9" t="s">
        <v>63</v>
      </c>
      <c r="D201" s="10"/>
      <c r="E201" s="11">
        <f>1397</f>
        <v>1397</v>
      </c>
      <c r="F201" s="10"/>
      <c r="G201" s="11">
        <f>570382700</f>
        <v>570382700</v>
      </c>
      <c r="H201" s="10"/>
      <c r="I201" s="11" t="str">
        <f>"－"</f>
        <v>－</v>
      </c>
      <c r="J201" s="10"/>
      <c r="K201" s="11">
        <f>12969</f>
        <v>12969</v>
      </c>
    </row>
    <row r="202" spans="1:11">
      <c r="A202" s="8" t="s">
        <v>30</v>
      </c>
      <c r="B202" s="9" t="s">
        <v>62</v>
      </c>
      <c r="C202" s="9" t="s">
        <v>63</v>
      </c>
      <c r="D202" s="10"/>
      <c r="E202" s="11">
        <f>754</f>
        <v>754</v>
      </c>
      <c r="F202" s="10"/>
      <c r="G202" s="11">
        <f>302379400</f>
        <v>302379400</v>
      </c>
      <c r="H202" s="10"/>
      <c r="I202" s="11" t="str">
        <f>"－"</f>
        <v>－</v>
      </c>
      <c r="J202" s="10"/>
      <c r="K202" s="11">
        <f>12976</f>
        <v>12976</v>
      </c>
    </row>
    <row r="203" spans="1:11">
      <c r="A203" s="8" t="s">
        <v>31</v>
      </c>
      <c r="B203" s="9" t="s">
        <v>62</v>
      </c>
      <c r="C203" s="9" t="s">
        <v>63</v>
      </c>
      <c r="D203" s="10"/>
      <c r="E203" s="11"/>
      <c r="F203" s="10"/>
      <c r="G203" s="11"/>
      <c r="H203" s="10"/>
      <c r="I203" s="11"/>
      <c r="J203" s="10"/>
      <c r="K203" s="11"/>
    </row>
    <row r="204" spans="1:11">
      <c r="A204" s="8" t="s">
        <v>32</v>
      </c>
      <c r="B204" s="9" t="s">
        <v>62</v>
      </c>
      <c r="C204" s="9" t="s">
        <v>63</v>
      </c>
      <c r="D204" s="10"/>
      <c r="E204" s="11"/>
      <c r="F204" s="10"/>
      <c r="G204" s="11"/>
      <c r="H204" s="10"/>
      <c r="I204" s="11"/>
      <c r="J204" s="10"/>
      <c r="K204" s="11"/>
    </row>
    <row r="205" spans="1:11">
      <c r="A205" s="8" t="s">
        <v>33</v>
      </c>
      <c r="B205" s="9" t="s">
        <v>62</v>
      </c>
      <c r="C205" s="9" t="s">
        <v>63</v>
      </c>
      <c r="D205" s="10"/>
      <c r="E205" s="11">
        <f>334</f>
        <v>334</v>
      </c>
      <c r="F205" s="10"/>
      <c r="G205" s="11">
        <f>133310900</f>
        <v>133310900</v>
      </c>
      <c r="H205" s="10"/>
      <c r="I205" s="11" t="str">
        <f>"－"</f>
        <v>－</v>
      </c>
      <c r="J205" s="10"/>
      <c r="K205" s="11">
        <f>12920</f>
        <v>12920</v>
      </c>
    </row>
    <row r="206" spans="1:11">
      <c r="A206" s="8" t="s">
        <v>34</v>
      </c>
      <c r="B206" s="9" t="s">
        <v>62</v>
      </c>
      <c r="C206" s="9" t="s">
        <v>63</v>
      </c>
      <c r="D206" s="10"/>
      <c r="E206" s="11">
        <f>630</f>
        <v>630</v>
      </c>
      <c r="F206" s="10"/>
      <c r="G206" s="11">
        <f>246259200</f>
        <v>246259200</v>
      </c>
      <c r="H206" s="10"/>
      <c r="I206" s="11" t="str">
        <f>"－"</f>
        <v>－</v>
      </c>
      <c r="J206" s="10"/>
      <c r="K206" s="11">
        <f>12891</f>
        <v>12891</v>
      </c>
    </row>
    <row r="207" spans="1:11">
      <c r="A207" s="8" t="s">
        <v>35</v>
      </c>
      <c r="B207" s="9" t="s">
        <v>62</v>
      </c>
      <c r="C207" s="9" t="s">
        <v>63</v>
      </c>
      <c r="D207" s="10"/>
      <c r="E207" s="11">
        <f>921</f>
        <v>921</v>
      </c>
      <c r="F207" s="10"/>
      <c r="G207" s="11">
        <f>348026600</f>
        <v>348026600</v>
      </c>
      <c r="H207" s="10"/>
      <c r="I207" s="11" t="str">
        <f>"－"</f>
        <v>－</v>
      </c>
      <c r="J207" s="10"/>
      <c r="K207" s="11">
        <f>13120</f>
        <v>13120</v>
      </c>
    </row>
    <row r="208" spans="1:11">
      <c r="A208" s="8" t="s">
        <v>37</v>
      </c>
      <c r="B208" s="9" t="s">
        <v>62</v>
      </c>
      <c r="C208" s="9" t="s">
        <v>63</v>
      </c>
      <c r="D208" s="10"/>
      <c r="E208" s="11">
        <f>308</f>
        <v>308</v>
      </c>
      <c r="F208" s="10"/>
      <c r="G208" s="11">
        <f>119605300</f>
        <v>119605300</v>
      </c>
      <c r="H208" s="10"/>
      <c r="I208" s="11" t="str">
        <f>"－"</f>
        <v>－</v>
      </c>
      <c r="J208" s="10"/>
      <c r="K208" s="11">
        <f>13113</f>
        <v>13113</v>
      </c>
    </row>
    <row r="209" spans="1:11">
      <c r="A209" s="8" t="s">
        <v>38</v>
      </c>
      <c r="B209" s="9" t="s">
        <v>62</v>
      </c>
      <c r="C209" s="9" t="s">
        <v>63</v>
      </c>
      <c r="D209" s="10"/>
      <c r="E209" s="11">
        <f>233</f>
        <v>233</v>
      </c>
      <c r="F209" s="10"/>
      <c r="G209" s="11">
        <f>90936400</f>
        <v>90936400</v>
      </c>
      <c r="H209" s="10"/>
      <c r="I209" s="11" t="str">
        <f>"－"</f>
        <v>－</v>
      </c>
      <c r="J209" s="10"/>
      <c r="K209" s="11">
        <f>13092</f>
        <v>13092</v>
      </c>
    </row>
    <row r="210" spans="1:11">
      <c r="A210" s="8" t="s">
        <v>39</v>
      </c>
      <c r="B210" s="9" t="s">
        <v>62</v>
      </c>
      <c r="C210" s="9" t="s">
        <v>63</v>
      </c>
      <c r="D210" s="10"/>
      <c r="E210" s="11"/>
      <c r="F210" s="10"/>
      <c r="G210" s="11"/>
      <c r="H210" s="10"/>
      <c r="I210" s="11"/>
      <c r="J210" s="10"/>
      <c r="K210" s="11"/>
    </row>
    <row r="211" spans="1:11">
      <c r="A211" s="8" t="s">
        <v>40</v>
      </c>
      <c r="B211" s="9" t="s">
        <v>62</v>
      </c>
      <c r="C211" s="9" t="s">
        <v>63</v>
      </c>
      <c r="D211" s="10"/>
      <c r="E211" s="11"/>
      <c r="F211" s="10"/>
      <c r="G211" s="11"/>
      <c r="H211" s="10"/>
      <c r="I211" s="11"/>
      <c r="J211" s="10"/>
      <c r="K211" s="11"/>
    </row>
    <row r="212" spans="1:11">
      <c r="A212" s="8" t="s">
        <v>41</v>
      </c>
      <c r="B212" s="9" t="s">
        <v>62</v>
      </c>
      <c r="C212" s="9" t="s">
        <v>63</v>
      </c>
      <c r="D212" s="10"/>
      <c r="E212" s="11"/>
      <c r="F212" s="10"/>
      <c r="G212" s="11"/>
      <c r="H212" s="10"/>
      <c r="I212" s="11"/>
      <c r="J212" s="10"/>
      <c r="K212" s="11"/>
    </row>
    <row r="213" spans="1:11">
      <c r="A213" s="8" t="s">
        <v>42</v>
      </c>
      <c r="B213" s="9" t="s">
        <v>62</v>
      </c>
      <c r="C213" s="9" t="s">
        <v>63</v>
      </c>
      <c r="D213" s="10"/>
      <c r="E213" s="11">
        <f>343</f>
        <v>343</v>
      </c>
      <c r="F213" s="10"/>
      <c r="G213" s="11">
        <f>136453500</f>
        <v>136453500</v>
      </c>
      <c r="H213" s="10"/>
      <c r="I213" s="11" t="str">
        <f>"－"</f>
        <v>－</v>
      </c>
      <c r="J213" s="10"/>
      <c r="K213" s="11">
        <f>13157</f>
        <v>13157</v>
      </c>
    </row>
    <row r="214" spans="1:11">
      <c r="A214" s="8" t="s">
        <v>43</v>
      </c>
      <c r="B214" s="9" t="s">
        <v>62</v>
      </c>
      <c r="C214" s="9" t="s">
        <v>63</v>
      </c>
      <c r="D214" s="10"/>
      <c r="E214" s="11">
        <f>197</f>
        <v>197</v>
      </c>
      <c r="F214" s="10"/>
      <c r="G214" s="11">
        <f>78073000</f>
        <v>78073000</v>
      </c>
      <c r="H214" s="10"/>
      <c r="I214" s="11" t="str">
        <f>"－"</f>
        <v>－</v>
      </c>
      <c r="J214" s="10"/>
      <c r="K214" s="11">
        <f>13185</f>
        <v>13185</v>
      </c>
    </row>
    <row r="215" spans="1:11">
      <c r="A215" s="8" t="s">
        <v>44</v>
      </c>
      <c r="B215" s="9" t="s">
        <v>62</v>
      </c>
      <c r="C215" s="9" t="s">
        <v>63</v>
      </c>
      <c r="D215" s="10"/>
      <c r="E215" s="11">
        <f>768</f>
        <v>768</v>
      </c>
      <c r="F215" s="10"/>
      <c r="G215" s="11">
        <f>303326200</f>
        <v>303326200</v>
      </c>
      <c r="H215" s="10"/>
      <c r="I215" s="11" t="str">
        <f>"－"</f>
        <v>－</v>
      </c>
      <c r="J215" s="10"/>
      <c r="K215" s="11">
        <f>13160</f>
        <v>13160</v>
      </c>
    </row>
    <row r="216" spans="1:11">
      <c r="A216" s="8" t="s">
        <v>45</v>
      </c>
      <c r="B216" s="9" t="s">
        <v>62</v>
      </c>
      <c r="C216" s="9" t="s">
        <v>63</v>
      </c>
      <c r="D216" s="10"/>
      <c r="E216" s="11">
        <f>332</f>
        <v>332</v>
      </c>
      <c r="F216" s="10"/>
      <c r="G216" s="11">
        <f>132603200</f>
        <v>132603200</v>
      </c>
      <c r="H216" s="10"/>
      <c r="I216" s="11" t="str">
        <f>"－"</f>
        <v>－</v>
      </c>
      <c r="J216" s="10"/>
      <c r="K216" s="11">
        <f>13144</f>
        <v>13144</v>
      </c>
    </row>
    <row r="217" spans="1:11">
      <c r="A217" s="8" t="s">
        <v>46</v>
      </c>
      <c r="B217" s="9" t="s">
        <v>62</v>
      </c>
      <c r="C217" s="9" t="s">
        <v>63</v>
      </c>
      <c r="D217" s="10"/>
      <c r="E217" s="11"/>
      <c r="F217" s="10"/>
      <c r="G217" s="11"/>
      <c r="H217" s="10"/>
      <c r="I217" s="11"/>
      <c r="J217" s="10"/>
      <c r="K217" s="11"/>
    </row>
    <row r="218" spans="1:11">
      <c r="A218" s="8" t="s">
        <v>47</v>
      </c>
      <c r="B218" s="9" t="s">
        <v>62</v>
      </c>
      <c r="C218" s="9" t="s">
        <v>63</v>
      </c>
      <c r="D218" s="10"/>
      <c r="E218" s="11"/>
      <c r="F218" s="10"/>
      <c r="G218" s="11"/>
      <c r="H218" s="10"/>
      <c r="I218" s="11"/>
      <c r="J218" s="10"/>
      <c r="K218" s="11"/>
    </row>
    <row r="219" spans="1:11">
      <c r="A219" s="8" t="s">
        <v>48</v>
      </c>
      <c r="B219" s="9" t="s">
        <v>62</v>
      </c>
      <c r="C219" s="9" t="s">
        <v>63</v>
      </c>
      <c r="D219" s="10"/>
      <c r="E219" s="11">
        <f>393</f>
        <v>393</v>
      </c>
      <c r="F219" s="10"/>
      <c r="G219" s="11">
        <f>155102400</f>
        <v>155102400</v>
      </c>
      <c r="H219" s="10"/>
      <c r="I219" s="11" t="str">
        <f t="shared" ref="I219:I226" si="6">"－"</f>
        <v>－</v>
      </c>
      <c r="J219" s="10"/>
      <c r="K219" s="11">
        <f>13117</f>
        <v>13117</v>
      </c>
    </row>
    <row r="220" spans="1:11">
      <c r="A220" s="8" t="s">
        <v>49</v>
      </c>
      <c r="B220" s="9" t="s">
        <v>62</v>
      </c>
      <c r="C220" s="9" t="s">
        <v>63</v>
      </c>
      <c r="D220" s="10" t="s">
        <v>36</v>
      </c>
      <c r="E220" s="11">
        <f>183</f>
        <v>183</v>
      </c>
      <c r="F220" s="10" t="s">
        <v>36</v>
      </c>
      <c r="G220" s="11">
        <f>71954400</f>
        <v>71954400</v>
      </c>
      <c r="H220" s="10"/>
      <c r="I220" s="11" t="str">
        <f t="shared" si="6"/>
        <v>－</v>
      </c>
      <c r="J220" s="10"/>
      <c r="K220" s="11">
        <f>13120</f>
        <v>13120</v>
      </c>
    </row>
    <row r="221" spans="1:11">
      <c r="A221" s="8" t="s">
        <v>50</v>
      </c>
      <c r="B221" s="9" t="s">
        <v>62</v>
      </c>
      <c r="C221" s="9" t="s">
        <v>63</v>
      </c>
      <c r="D221" s="10"/>
      <c r="E221" s="11">
        <f>1052</f>
        <v>1052</v>
      </c>
      <c r="F221" s="10"/>
      <c r="G221" s="11">
        <f>405058800</f>
        <v>405058800</v>
      </c>
      <c r="H221" s="10"/>
      <c r="I221" s="11" t="str">
        <f t="shared" si="6"/>
        <v>－</v>
      </c>
      <c r="J221" s="10" t="s">
        <v>26</v>
      </c>
      <c r="K221" s="11">
        <f>13434</f>
        <v>13434</v>
      </c>
    </row>
    <row r="222" spans="1:11">
      <c r="A222" s="8" t="s">
        <v>51</v>
      </c>
      <c r="B222" s="9" t="s">
        <v>62</v>
      </c>
      <c r="C222" s="9" t="s">
        <v>63</v>
      </c>
      <c r="D222" s="10"/>
      <c r="E222" s="11">
        <f>701</f>
        <v>701</v>
      </c>
      <c r="F222" s="10"/>
      <c r="G222" s="11">
        <f>271445700</f>
        <v>271445700</v>
      </c>
      <c r="H222" s="10"/>
      <c r="I222" s="11" t="str">
        <f t="shared" si="6"/>
        <v>－</v>
      </c>
      <c r="J222" s="10"/>
      <c r="K222" s="11">
        <f>13344</f>
        <v>13344</v>
      </c>
    </row>
    <row r="223" spans="1:11">
      <c r="A223" s="8" t="s">
        <v>16</v>
      </c>
      <c r="B223" s="9" t="s">
        <v>64</v>
      </c>
      <c r="C223" s="9" t="s">
        <v>65</v>
      </c>
      <c r="D223" s="10" t="s">
        <v>36</v>
      </c>
      <c r="E223" s="11" t="str">
        <f>"－"</f>
        <v>－</v>
      </c>
      <c r="F223" s="10" t="s">
        <v>36</v>
      </c>
      <c r="G223" s="11" t="str">
        <f>"－"</f>
        <v>－</v>
      </c>
      <c r="H223" s="10" t="s">
        <v>19</v>
      </c>
      <c r="I223" s="11" t="str">
        <f t="shared" si="6"/>
        <v>－</v>
      </c>
      <c r="J223" s="10"/>
      <c r="K223" s="11">
        <f>41</f>
        <v>41</v>
      </c>
    </row>
    <row r="224" spans="1:11">
      <c r="A224" s="8" t="s">
        <v>20</v>
      </c>
      <c r="B224" s="9" t="s">
        <v>64</v>
      </c>
      <c r="C224" s="9" t="s">
        <v>65</v>
      </c>
      <c r="D224" s="10"/>
      <c r="E224" s="11" t="str">
        <f>"－"</f>
        <v>－</v>
      </c>
      <c r="F224" s="10"/>
      <c r="G224" s="11" t="str">
        <f>"－"</f>
        <v>－</v>
      </c>
      <c r="H224" s="10"/>
      <c r="I224" s="11" t="str">
        <f t="shared" si="6"/>
        <v>－</v>
      </c>
      <c r="J224" s="10"/>
      <c r="K224" s="11">
        <f>41</f>
        <v>41</v>
      </c>
    </row>
    <row r="225" spans="1:11">
      <c r="A225" s="8" t="s">
        <v>21</v>
      </c>
      <c r="B225" s="9" t="s">
        <v>64</v>
      </c>
      <c r="C225" s="9" t="s">
        <v>65</v>
      </c>
      <c r="D225" s="10"/>
      <c r="E225" s="11">
        <f>2</f>
        <v>2</v>
      </c>
      <c r="F225" s="10"/>
      <c r="G225" s="11">
        <f>10100000</f>
        <v>10100000</v>
      </c>
      <c r="H225" s="10"/>
      <c r="I225" s="11" t="str">
        <f t="shared" si="6"/>
        <v>－</v>
      </c>
      <c r="J225" s="10"/>
      <c r="K225" s="11">
        <f>40</f>
        <v>40</v>
      </c>
    </row>
    <row r="226" spans="1:11">
      <c r="A226" s="8" t="s">
        <v>22</v>
      </c>
      <c r="B226" s="9" t="s">
        <v>64</v>
      </c>
      <c r="C226" s="9" t="s">
        <v>65</v>
      </c>
      <c r="D226" s="10"/>
      <c r="E226" s="11">
        <f>5</f>
        <v>5</v>
      </c>
      <c r="F226" s="10"/>
      <c r="G226" s="11">
        <f>25775500</f>
        <v>25775500</v>
      </c>
      <c r="H226" s="10"/>
      <c r="I226" s="11" t="str">
        <f t="shared" si="6"/>
        <v>－</v>
      </c>
      <c r="J226" s="10"/>
      <c r="K226" s="11">
        <f>39</f>
        <v>39</v>
      </c>
    </row>
    <row r="227" spans="1:11">
      <c r="A227" s="8" t="s">
        <v>23</v>
      </c>
      <c r="B227" s="9" t="s">
        <v>64</v>
      </c>
      <c r="C227" s="9" t="s">
        <v>65</v>
      </c>
      <c r="D227" s="10"/>
      <c r="E227" s="11"/>
      <c r="F227" s="10"/>
      <c r="G227" s="11"/>
      <c r="H227" s="10"/>
      <c r="I227" s="11"/>
      <c r="J227" s="10"/>
      <c r="K227" s="11"/>
    </row>
    <row r="228" spans="1:11">
      <c r="A228" s="8" t="s">
        <v>24</v>
      </c>
      <c r="B228" s="9" t="s">
        <v>64</v>
      </c>
      <c r="C228" s="9" t="s">
        <v>65</v>
      </c>
      <c r="D228" s="10"/>
      <c r="E228" s="11"/>
      <c r="F228" s="10"/>
      <c r="G228" s="11"/>
      <c r="H228" s="10"/>
      <c r="I228" s="11"/>
      <c r="J228" s="10"/>
      <c r="K228" s="11"/>
    </row>
    <row r="229" spans="1:11">
      <c r="A229" s="8" t="s">
        <v>25</v>
      </c>
      <c r="B229" s="9" t="s">
        <v>64</v>
      </c>
      <c r="C229" s="9" t="s">
        <v>65</v>
      </c>
      <c r="D229" s="10"/>
      <c r="E229" s="11">
        <f>11</f>
        <v>11</v>
      </c>
      <c r="F229" s="10"/>
      <c r="G229" s="11">
        <f>61825000</f>
        <v>61825000</v>
      </c>
      <c r="H229" s="10"/>
      <c r="I229" s="11" t="str">
        <f>"－"</f>
        <v>－</v>
      </c>
      <c r="J229" s="10" t="s">
        <v>36</v>
      </c>
      <c r="K229" s="11">
        <f>35</f>
        <v>35</v>
      </c>
    </row>
    <row r="230" spans="1:11">
      <c r="A230" s="8" t="s">
        <v>27</v>
      </c>
      <c r="B230" s="9" t="s">
        <v>64</v>
      </c>
      <c r="C230" s="9" t="s">
        <v>65</v>
      </c>
      <c r="D230" s="10" t="s">
        <v>26</v>
      </c>
      <c r="E230" s="11">
        <f>14</f>
        <v>14</v>
      </c>
      <c r="F230" s="10" t="s">
        <v>26</v>
      </c>
      <c r="G230" s="11">
        <f>79612500</f>
        <v>79612500</v>
      </c>
      <c r="H230" s="10"/>
      <c r="I230" s="11" t="str">
        <f>"－"</f>
        <v>－</v>
      </c>
      <c r="J230" s="10"/>
      <c r="K230" s="11">
        <f>37</f>
        <v>37</v>
      </c>
    </row>
    <row r="231" spans="1:11">
      <c r="A231" s="8" t="s">
        <v>28</v>
      </c>
      <c r="B231" s="9" t="s">
        <v>64</v>
      </c>
      <c r="C231" s="9" t="s">
        <v>65</v>
      </c>
      <c r="D231" s="10"/>
      <c r="E231" s="11">
        <f>2</f>
        <v>2</v>
      </c>
      <c r="F231" s="10"/>
      <c r="G231" s="11">
        <f>11100000</f>
        <v>11100000</v>
      </c>
      <c r="H231" s="10"/>
      <c r="I231" s="11" t="str">
        <f>"－"</f>
        <v>－</v>
      </c>
      <c r="J231" s="10"/>
      <c r="K231" s="11">
        <f>37</f>
        <v>37</v>
      </c>
    </row>
    <row r="232" spans="1:11">
      <c r="A232" s="8" t="s">
        <v>29</v>
      </c>
      <c r="B232" s="9" t="s">
        <v>64</v>
      </c>
      <c r="C232" s="9" t="s">
        <v>65</v>
      </c>
      <c r="D232" s="10"/>
      <c r="E232" s="11">
        <f>3</f>
        <v>3</v>
      </c>
      <c r="F232" s="10"/>
      <c r="G232" s="11">
        <f>16800000</f>
        <v>16800000</v>
      </c>
      <c r="H232" s="10"/>
      <c r="I232" s="11" t="str">
        <f>"－"</f>
        <v>－</v>
      </c>
      <c r="J232" s="10"/>
      <c r="K232" s="11">
        <f>36</f>
        <v>36</v>
      </c>
    </row>
    <row r="233" spans="1:11">
      <c r="A233" s="8" t="s">
        <v>30</v>
      </c>
      <c r="B233" s="9" t="s">
        <v>64</v>
      </c>
      <c r="C233" s="9" t="s">
        <v>65</v>
      </c>
      <c r="D233" s="10"/>
      <c r="E233" s="11">
        <f>1</f>
        <v>1</v>
      </c>
      <c r="F233" s="10"/>
      <c r="G233" s="11">
        <f>5699500</f>
        <v>5699500</v>
      </c>
      <c r="H233" s="10"/>
      <c r="I233" s="11" t="str">
        <f>"－"</f>
        <v>－</v>
      </c>
      <c r="J233" s="10"/>
      <c r="K233" s="11">
        <f>36</f>
        <v>36</v>
      </c>
    </row>
    <row r="234" spans="1:11">
      <c r="A234" s="8" t="s">
        <v>31</v>
      </c>
      <c r="B234" s="9" t="s">
        <v>64</v>
      </c>
      <c r="C234" s="9" t="s">
        <v>65</v>
      </c>
      <c r="D234" s="10"/>
      <c r="E234" s="11"/>
      <c r="F234" s="10"/>
      <c r="G234" s="11"/>
      <c r="H234" s="10"/>
      <c r="I234" s="11"/>
      <c r="J234" s="10"/>
      <c r="K234" s="11"/>
    </row>
    <row r="235" spans="1:11">
      <c r="A235" s="8" t="s">
        <v>32</v>
      </c>
      <c r="B235" s="9" t="s">
        <v>64</v>
      </c>
      <c r="C235" s="9" t="s">
        <v>65</v>
      </c>
      <c r="D235" s="10"/>
      <c r="E235" s="11"/>
      <c r="F235" s="10"/>
      <c r="G235" s="11"/>
      <c r="H235" s="10"/>
      <c r="I235" s="11"/>
      <c r="J235" s="10"/>
      <c r="K235" s="11"/>
    </row>
    <row r="236" spans="1:11">
      <c r="A236" s="8" t="s">
        <v>33</v>
      </c>
      <c r="B236" s="9" t="s">
        <v>64</v>
      </c>
      <c r="C236" s="9" t="s">
        <v>65</v>
      </c>
      <c r="D236" s="10"/>
      <c r="E236" s="11">
        <f>2</f>
        <v>2</v>
      </c>
      <c r="F236" s="10"/>
      <c r="G236" s="11">
        <f>10795000</f>
        <v>10795000</v>
      </c>
      <c r="H236" s="10"/>
      <c r="I236" s="11" t="str">
        <f>"－"</f>
        <v>－</v>
      </c>
      <c r="J236" s="10"/>
      <c r="K236" s="11">
        <f>36</f>
        <v>36</v>
      </c>
    </row>
    <row r="237" spans="1:11">
      <c r="A237" s="8" t="s">
        <v>34</v>
      </c>
      <c r="B237" s="9" t="s">
        <v>64</v>
      </c>
      <c r="C237" s="9" t="s">
        <v>65</v>
      </c>
      <c r="D237" s="10"/>
      <c r="E237" s="11">
        <f>1</f>
        <v>1</v>
      </c>
      <c r="F237" s="10"/>
      <c r="G237" s="11">
        <f>5149500</f>
        <v>5149500</v>
      </c>
      <c r="H237" s="10"/>
      <c r="I237" s="11" t="str">
        <f>"－"</f>
        <v>－</v>
      </c>
      <c r="J237" s="10"/>
      <c r="K237" s="11">
        <f>37</f>
        <v>37</v>
      </c>
    </row>
    <row r="238" spans="1:11">
      <c r="A238" s="8" t="s">
        <v>35</v>
      </c>
      <c r="B238" s="9" t="s">
        <v>64</v>
      </c>
      <c r="C238" s="9" t="s">
        <v>65</v>
      </c>
      <c r="D238" s="10"/>
      <c r="E238" s="11">
        <f>2</f>
        <v>2</v>
      </c>
      <c r="F238" s="10"/>
      <c r="G238" s="11">
        <f>9491000</f>
        <v>9491000</v>
      </c>
      <c r="H238" s="10"/>
      <c r="I238" s="11" t="str">
        <f>"－"</f>
        <v>－</v>
      </c>
      <c r="J238" s="10"/>
      <c r="K238" s="11">
        <f>38</f>
        <v>38</v>
      </c>
    </row>
    <row r="239" spans="1:11">
      <c r="A239" s="8" t="s">
        <v>37</v>
      </c>
      <c r="B239" s="9" t="s">
        <v>64</v>
      </c>
      <c r="C239" s="9" t="s">
        <v>65</v>
      </c>
      <c r="D239" s="10"/>
      <c r="E239" s="11">
        <f>4</f>
        <v>4</v>
      </c>
      <c r="F239" s="10"/>
      <c r="G239" s="11">
        <f>19055000</f>
        <v>19055000</v>
      </c>
      <c r="H239" s="10"/>
      <c r="I239" s="11" t="str">
        <f>"－"</f>
        <v>－</v>
      </c>
      <c r="J239" s="10"/>
      <c r="K239" s="11">
        <f>38</f>
        <v>38</v>
      </c>
    </row>
    <row r="240" spans="1:11">
      <c r="A240" s="8" t="s">
        <v>38</v>
      </c>
      <c r="B240" s="9" t="s">
        <v>64</v>
      </c>
      <c r="C240" s="9" t="s">
        <v>65</v>
      </c>
      <c r="D240" s="10"/>
      <c r="E240" s="11" t="str">
        <f>"－"</f>
        <v>－</v>
      </c>
      <c r="F240" s="10"/>
      <c r="G240" s="11" t="str">
        <f>"－"</f>
        <v>－</v>
      </c>
      <c r="H240" s="10"/>
      <c r="I240" s="11" t="str">
        <f>"－"</f>
        <v>－</v>
      </c>
      <c r="J240" s="10"/>
      <c r="K240" s="11">
        <f>38</f>
        <v>38</v>
      </c>
    </row>
    <row r="241" spans="1:11">
      <c r="A241" s="8" t="s">
        <v>39</v>
      </c>
      <c r="B241" s="9" t="s">
        <v>64</v>
      </c>
      <c r="C241" s="9" t="s">
        <v>65</v>
      </c>
      <c r="D241" s="10"/>
      <c r="E241" s="11"/>
      <c r="F241" s="10"/>
      <c r="G241" s="11"/>
      <c r="H241" s="10"/>
      <c r="I241" s="11"/>
      <c r="J241" s="10"/>
      <c r="K241" s="11"/>
    </row>
    <row r="242" spans="1:11">
      <c r="A242" s="8" t="s">
        <v>40</v>
      </c>
      <c r="B242" s="9" t="s">
        <v>64</v>
      </c>
      <c r="C242" s="9" t="s">
        <v>65</v>
      </c>
      <c r="D242" s="10"/>
      <c r="E242" s="11"/>
      <c r="F242" s="10"/>
      <c r="G242" s="11"/>
      <c r="H242" s="10"/>
      <c r="I242" s="11"/>
      <c r="J242" s="10"/>
      <c r="K242" s="11"/>
    </row>
    <row r="243" spans="1:11">
      <c r="A243" s="8" t="s">
        <v>41</v>
      </c>
      <c r="B243" s="9" t="s">
        <v>64</v>
      </c>
      <c r="C243" s="9" t="s">
        <v>65</v>
      </c>
      <c r="D243" s="10"/>
      <c r="E243" s="11"/>
      <c r="F243" s="10"/>
      <c r="G243" s="11"/>
      <c r="H243" s="10"/>
      <c r="I243" s="11"/>
      <c r="J243" s="10"/>
      <c r="K243" s="11"/>
    </row>
    <row r="244" spans="1:11">
      <c r="A244" s="8" t="s">
        <v>42</v>
      </c>
      <c r="B244" s="9" t="s">
        <v>64</v>
      </c>
      <c r="C244" s="9" t="s">
        <v>65</v>
      </c>
      <c r="D244" s="10"/>
      <c r="E244" s="11">
        <f>4</f>
        <v>4</v>
      </c>
      <c r="F244" s="10"/>
      <c r="G244" s="11">
        <f>20320000</f>
        <v>20320000</v>
      </c>
      <c r="H244" s="10"/>
      <c r="I244" s="11" t="str">
        <f>"－"</f>
        <v>－</v>
      </c>
      <c r="J244" s="10"/>
      <c r="K244" s="11">
        <f>38</f>
        <v>38</v>
      </c>
    </row>
    <row r="245" spans="1:11">
      <c r="A245" s="8" t="s">
        <v>43</v>
      </c>
      <c r="B245" s="9" t="s">
        <v>64</v>
      </c>
      <c r="C245" s="9" t="s">
        <v>65</v>
      </c>
      <c r="D245" s="10"/>
      <c r="E245" s="11">
        <f>2</f>
        <v>2</v>
      </c>
      <c r="F245" s="10"/>
      <c r="G245" s="11">
        <f>10071000</f>
        <v>10071000</v>
      </c>
      <c r="H245" s="10"/>
      <c r="I245" s="11" t="str">
        <f>"－"</f>
        <v>－</v>
      </c>
      <c r="J245" s="10"/>
      <c r="K245" s="11">
        <f>39</f>
        <v>39</v>
      </c>
    </row>
    <row r="246" spans="1:11">
      <c r="A246" s="8" t="s">
        <v>44</v>
      </c>
      <c r="B246" s="9" t="s">
        <v>64</v>
      </c>
      <c r="C246" s="9" t="s">
        <v>65</v>
      </c>
      <c r="D246" s="10"/>
      <c r="E246" s="11" t="str">
        <f>"－"</f>
        <v>－</v>
      </c>
      <c r="F246" s="10"/>
      <c r="G246" s="11" t="str">
        <f>"－"</f>
        <v>－</v>
      </c>
      <c r="H246" s="10"/>
      <c r="I246" s="11" t="str">
        <f>"－"</f>
        <v>－</v>
      </c>
      <c r="J246" s="10"/>
      <c r="K246" s="11">
        <f>39</f>
        <v>39</v>
      </c>
    </row>
    <row r="247" spans="1:11">
      <c r="A247" s="8" t="s">
        <v>45</v>
      </c>
      <c r="B247" s="9" t="s">
        <v>64</v>
      </c>
      <c r="C247" s="9" t="s">
        <v>65</v>
      </c>
      <c r="D247" s="10"/>
      <c r="E247" s="11" t="str">
        <f>"－"</f>
        <v>－</v>
      </c>
      <c r="F247" s="10"/>
      <c r="G247" s="11" t="str">
        <f>"－"</f>
        <v>－</v>
      </c>
      <c r="H247" s="10"/>
      <c r="I247" s="11" t="str">
        <f>"－"</f>
        <v>－</v>
      </c>
      <c r="J247" s="10"/>
      <c r="K247" s="11">
        <f>39</f>
        <v>39</v>
      </c>
    </row>
    <row r="248" spans="1:11">
      <c r="A248" s="8" t="s">
        <v>46</v>
      </c>
      <c r="B248" s="9" t="s">
        <v>64</v>
      </c>
      <c r="C248" s="9" t="s">
        <v>65</v>
      </c>
      <c r="D248" s="10"/>
      <c r="E248" s="11"/>
      <c r="F248" s="10"/>
      <c r="G248" s="11"/>
      <c r="H248" s="10"/>
      <c r="I248" s="11"/>
      <c r="J248" s="10"/>
      <c r="K248" s="11"/>
    </row>
    <row r="249" spans="1:11">
      <c r="A249" s="8" t="s">
        <v>47</v>
      </c>
      <c r="B249" s="9" t="s">
        <v>64</v>
      </c>
      <c r="C249" s="9" t="s">
        <v>65</v>
      </c>
      <c r="D249" s="10"/>
      <c r="E249" s="11"/>
      <c r="F249" s="10"/>
      <c r="G249" s="11"/>
      <c r="H249" s="10"/>
      <c r="I249" s="11"/>
      <c r="J249" s="10"/>
      <c r="K249" s="11"/>
    </row>
    <row r="250" spans="1:11">
      <c r="A250" s="8" t="s">
        <v>48</v>
      </c>
      <c r="B250" s="9" t="s">
        <v>64</v>
      </c>
      <c r="C250" s="9" t="s">
        <v>65</v>
      </c>
      <c r="D250" s="10"/>
      <c r="E250" s="11" t="str">
        <f>"－"</f>
        <v>－</v>
      </c>
      <c r="F250" s="10"/>
      <c r="G250" s="11" t="str">
        <f>"－"</f>
        <v>－</v>
      </c>
      <c r="H250" s="10"/>
      <c r="I250" s="11" t="str">
        <f t="shared" ref="I250:I257" si="7">"－"</f>
        <v>－</v>
      </c>
      <c r="J250" s="10"/>
      <c r="K250" s="11">
        <f>39</f>
        <v>39</v>
      </c>
    </row>
    <row r="251" spans="1:11">
      <c r="A251" s="8" t="s">
        <v>49</v>
      </c>
      <c r="B251" s="9" t="s">
        <v>64</v>
      </c>
      <c r="C251" s="9" t="s">
        <v>65</v>
      </c>
      <c r="D251" s="10"/>
      <c r="E251" s="11">
        <f>3</f>
        <v>3</v>
      </c>
      <c r="F251" s="10"/>
      <c r="G251" s="11">
        <f>13948000</f>
        <v>13948000</v>
      </c>
      <c r="H251" s="10"/>
      <c r="I251" s="11" t="str">
        <f t="shared" si="7"/>
        <v>－</v>
      </c>
      <c r="J251" s="10"/>
      <c r="K251" s="11">
        <f>39</f>
        <v>39</v>
      </c>
    </row>
    <row r="252" spans="1:11">
      <c r="A252" s="8" t="s">
        <v>50</v>
      </c>
      <c r="B252" s="9" t="s">
        <v>64</v>
      </c>
      <c r="C252" s="9" t="s">
        <v>65</v>
      </c>
      <c r="D252" s="10"/>
      <c r="E252" s="11">
        <f>6</f>
        <v>6</v>
      </c>
      <c r="F252" s="10"/>
      <c r="G252" s="11">
        <f>26257500</f>
        <v>26257500</v>
      </c>
      <c r="H252" s="10"/>
      <c r="I252" s="11" t="str">
        <f t="shared" si="7"/>
        <v>－</v>
      </c>
      <c r="J252" s="10" t="s">
        <v>26</v>
      </c>
      <c r="K252" s="11">
        <f>42</f>
        <v>42</v>
      </c>
    </row>
    <row r="253" spans="1:11">
      <c r="A253" s="8" t="s">
        <v>51</v>
      </c>
      <c r="B253" s="9" t="s">
        <v>64</v>
      </c>
      <c r="C253" s="9" t="s">
        <v>65</v>
      </c>
      <c r="D253" s="10"/>
      <c r="E253" s="11">
        <f>1</f>
        <v>1</v>
      </c>
      <c r="F253" s="10"/>
      <c r="G253" s="11">
        <f>4350000</f>
        <v>4350000</v>
      </c>
      <c r="H253" s="10"/>
      <c r="I253" s="11" t="str">
        <f t="shared" si="7"/>
        <v>－</v>
      </c>
      <c r="J253" s="10"/>
      <c r="K253" s="11">
        <f>41</f>
        <v>41</v>
      </c>
    </row>
    <row r="254" spans="1:11">
      <c r="A254" s="8" t="s">
        <v>16</v>
      </c>
      <c r="B254" s="9" t="s">
        <v>66</v>
      </c>
      <c r="C254" s="9" t="s">
        <v>67</v>
      </c>
      <c r="D254" s="10"/>
      <c r="E254" s="11">
        <f>113</f>
        <v>113</v>
      </c>
      <c r="F254" s="10"/>
      <c r="G254" s="11">
        <f>263312000</f>
        <v>263312000</v>
      </c>
      <c r="H254" s="10" t="s">
        <v>19</v>
      </c>
      <c r="I254" s="11" t="str">
        <f t="shared" si="7"/>
        <v>－</v>
      </c>
      <c r="J254" s="10"/>
      <c r="K254" s="11">
        <f>199</f>
        <v>199</v>
      </c>
    </row>
    <row r="255" spans="1:11">
      <c r="A255" s="8" t="s">
        <v>20</v>
      </c>
      <c r="B255" s="9" t="s">
        <v>66</v>
      </c>
      <c r="C255" s="9" t="s">
        <v>67</v>
      </c>
      <c r="D255" s="10" t="s">
        <v>26</v>
      </c>
      <c r="E255" s="11">
        <f>161</f>
        <v>161</v>
      </c>
      <c r="F255" s="10" t="s">
        <v>26</v>
      </c>
      <c r="G255" s="11">
        <f>389987500</f>
        <v>389987500</v>
      </c>
      <c r="H255" s="10"/>
      <c r="I255" s="11" t="str">
        <f t="shared" si="7"/>
        <v>－</v>
      </c>
      <c r="J255" s="10" t="s">
        <v>26</v>
      </c>
      <c r="K255" s="11">
        <f>207</f>
        <v>207</v>
      </c>
    </row>
    <row r="256" spans="1:11">
      <c r="A256" s="8" t="s">
        <v>21</v>
      </c>
      <c r="B256" s="9" t="s">
        <v>66</v>
      </c>
      <c r="C256" s="9" t="s">
        <v>67</v>
      </c>
      <c r="D256" s="10"/>
      <c r="E256" s="11">
        <f>131</f>
        <v>131</v>
      </c>
      <c r="F256" s="10"/>
      <c r="G256" s="11">
        <f>340951000</f>
        <v>340951000</v>
      </c>
      <c r="H256" s="10"/>
      <c r="I256" s="11" t="str">
        <f t="shared" si="7"/>
        <v>－</v>
      </c>
      <c r="J256" s="10"/>
      <c r="K256" s="11">
        <f>151</f>
        <v>151</v>
      </c>
    </row>
    <row r="257" spans="1:11">
      <c r="A257" s="8" t="s">
        <v>22</v>
      </c>
      <c r="B257" s="9" t="s">
        <v>66</v>
      </c>
      <c r="C257" s="9" t="s">
        <v>67</v>
      </c>
      <c r="D257" s="10"/>
      <c r="E257" s="11">
        <f>72</f>
        <v>72</v>
      </c>
      <c r="F257" s="10"/>
      <c r="G257" s="11">
        <f>191886000</f>
        <v>191886000</v>
      </c>
      <c r="H257" s="10"/>
      <c r="I257" s="11" t="str">
        <f t="shared" si="7"/>
        <v>－</v>
      </c>
      <c r="J257" s="10"/>
      <c r="K257" s="11">
        <f>151</f>
        <v>151</v>
      </c>
    </row>
    <row r="258" spans="1:11">
      <c r="A258" s="8" t="s">
        <v>23</v>
      </c>
      <c r="B258" s="9" t="s">
        <v>66</v>
      </c>
      <c r="C258" s="9" t="s">
        <v>67</v>
      </c>
      <c r="D258" s="10"/>
      <c r="E258" s="11"/>
      <c r="F258" s="10"/>
      <c r="G258" s="11"/>
      <c r="H258" s="10"/>
      <c r="I258" s="11"/>
      <c r="J258" s="10"/>
      <c r="K258" s="11"/>
    </row>
    <row r="259" spans="1:11">
      <c r="A259" s="8" t="s">
        <v>24</v>
      </c>
      <c r="B259" s="9" t="s">
        <v>66</v>
      </c>
      <c r="C259" s="9" t="s">
        <v>67</v>
      </c>
      <c r="D259" s="10"/>
      <c r="E259" s="11"/>
      <c r="F259" s="10"/>
      <c r="G259" s="11"/>
      <c r="H259" s="10"/>
      <c r="I259" s="11"/>
      <c r="J259" s="10"/>
      <c r="K259" s="11"/>
    </row>
    <row r="260" spans="1:11">
      <c r="A260" s="8" t="s">
        <v>25</v>
      </c>
      <c r="B260" s="9" t="s">
        <v>66</v>
      </c>
      <c r="C260" s="9" t="s">
        <v>67</v>
      </c>
      <c r="D260" s="10"/>
      <c r="E260" s="11">
        <f>42</f>
        <v>42</v>
      </c>
      <c r="F260" s="10"/>
      <c r="G260" s="11">
        <f>120003500</f>
        <v>120003500</v>
      </c>
      <c r="H260" s="10"/>
      <c r="I260" s="11" t="str">
        <f>"－"</f>
        <v>－</v>
      </c>
      <c r="J260" s="10"/>
      <c r="K260" s="11">
        <f>150</f>
        <v>150</v>
      </c>
    </row>
    <row r="261" spans="1:11">
      <c r="A261" s="8" t="s">
        <v>27</v>
      </c>
      <c r="B261" s="9" t="s">
        <v>66</v>
      </c>
      <c r="C261" s="9" t="s">
        <v>67</v>
      </c>
      <c r="D261" s="10"/>
      <c r="E261" s="11">
        <f>5</f>
        <v>5</v>
      </c>
      <c r="F261" s="10"/>
      <c r="G261" s="11">
        <f>13844000</f>
        <v>13844000</v>
      </c>
      <c r="H261" s="10"/>
      <c r="I261" s="11" t="str">
        <f>"－"</f>
        <v>－</v>
      </c>
      <c r="J261" s="10"/>
      <c r="K261" s="11">
        <f>148</f>
        <v>148</v>
      </c>
    </row>
    <row r="262" spans="1:11">
      <c r="A262" s="8" t="s">
        <v>28</v>
      </c>
      <c r="B262" s="9" t="s">
        <v>66</v>
      </c>
      <c r="C262" s="9" t="s">
        <v>67</v>
      </c>
      <c r="D262" s="10"/>
      <c r="E262" s="11">
        <f>8</f>
        <v>8</v>
      </c>
      <c r="F262" s="10"/>
      <c r="G262" s="11">
        <f>23361500</f>
        <v>23361500</v>
      </c>
      <c r="H262" s="10"/>
      <c r="I262" s="11" t="str">
        <f>"－"</f>
        <v>－</v>
      </c>
      <c r="J262" s="10"/>
      <c r="K262" s="11">
        <f>144</f>
        <v>144</v>
      </c>
    </row>
    <row r="263" spans="1:11">
      <c r="A263" s="8" t="s">
        <v>29</v>
      </c>
      <c r="B263" s="9" t="s">
        <v>66</v>
      </c>
      <c r="C263" s="9" t="s">
        <v>67</v>
      </c>
      <c r="D263" s="10"/>
      <c r="E263" s="11">
        <f>55</f>
        <v>55</v>
      </c>
      <c r="F263" s="10"/>
      <c r="G263" s="11">
        <f>152264000</f>
        <v>152264000</v>
      </c>
      <c r="H263" s="10"/>
      <c r="I263" s="11" t="str">
        <f>"－"</f>
        <v>－</v>
      </c>
      <c r="J263" s="10"/>
      <c r="K263" s="11">
        <f>100</f>
        <v>100</v>
      </c>
    </row>
    <row r="264" spans="1:11">
      <c r="A264" s="8" t="s">
        <v>30</v>
      </c>
      <c r="B264" s="9" t="s">
        <v>66</v>
      </c>
      <c r="C264" s="9" t="s">
        <v>67</v>
      </c>
      <c r="D264" s="10"/>
      <c r="E264" s="11">
        <f>1</f>
        <v>1</v>
      </c>
      <c r="F264" s="10"/>
      <c r="G264" s="11">
        <f>2454500</f>
        <v>2454500</v>
      </c>
      <c r="H264" s="10"/>
      <c r="I264" s="11" t="str">
        <f>"－"</f>
        <v>－</v>
      </c>
      <c r="J264" s="10"/>
      <c r="K264" s="11">
        <f>100</f>
        <v>100</v>
      </c>
    </row>
    <row r="265" spans="1:11">
      <c r="A265" s="8" t="s">
        <v>31</v>
      </c>
      <c r="B265" s="9" t="s">
        <v>66</v>
      </c>
      <c r="C265" s="9" t="s">
        <v>67</v>
      </c>
      <c r="D265" s="10"/>
      <c r="E265" s="11"/>
      <c r="F265" s="10"/>
      <c r="G265" s="11"/>
      <c r="H265" s="10"/>
      <c r="I265" s="11"/>
      <c r="J265" s="10"/>
      <c r="K265" s="11"/>
    </row>
    <row r="266" spans="1:11">
      <c r="A266" s="8" t="s">
        <v>32</v>
      </c>
      <c r="B266" s="9" t="s">
        <v>66</v>
      </c>
      <c r="C266" s="9" t="s">
        <v>67</v>
      </c>
      <c r="D266" s="10"/>
      <c r="E266" s="11"/>
      <c r="F266" s="10"/>
      <c r="G266" s="11"/>
      <c r="H266" s="10"/>
      <c r="I266" s="11"/>
      <c r="J266" s="10"/>
      <c r="K266" s="11"/>
    </row>
    <row r="267" spans="1:11">
      <c r="A267" s="8" t="s">
        <v>33</v>
      </c>
      <c r="B267" s="9" t="s">
        <v>66</v>
      </c>
      <c r="C267" s="9" t="s">
        <v>67</v>
      </c>
      <c r="D267" s="10" t="s">
        <v>36</v>
      </c>
      <c r="E267" s="11" t="str">
        <f>"－"</f>
        <v>－</v>
      </c>
      <c r="F267" s="10" t="s">
        <v>36</v>
      </c>
      <c r="G267" s="11" t="str">
        <f>"－"</f>
        <v>－</v>
      </c>
      <c r="H267" s="10"/>
      <c r="I267" s="11" t="str">
        <f>"－"</f>
        <v>－</v>
      </c>
      <c r="J267" s="10"/>
      <c r="K267" s="11">
        <f>100</f>
        <v>100</v>
      </c>
    </row>
    <row r="268" spans="1:11">
      <c r="A268" s="8" t="s">
        <v>34</v>
      </c>
      <c r="B268" s="9" t="s">
        <v>66</v>
      </c>
      <c r="C268" s="9" t="s">
        <v>67</v>
      </c>
      <c r="D268" s="10"/>
      <c r="E268" s="11">
        <f>2</f>
        <v>2</v>
      </c>
      <c r="F268" s="10"/>
      <c r="G268" s="11">
        <f>4616000</f>
        <v>4616000</v>
      </c>
      <c r="H268" s="10"/>
      <c r="I268" s="11" t="str">
        <f>"－"</f>
        <v>－</v>
      </c>
      <c r="J268" s="10"/>
      <c r="K268" s="11">
        <f>99</f>
        <v>99</v>
      </c>
    </row>
    <row r="269" spans="1:11">
      <c r="A269" s="8" t="s">
        <v>35</v>
      </c>
      <c r="B269" s="9" t="s">
        <v>66</v>
      </c>
      <c r="C269" s="9" t="s">
        <v>67</v>
      </c>
      <c r="D269" s="10"/>
      <c r="E269" s="11">
        <f>2</f>
        <v>2</v>
      </c>
      <c r="F269" s="10"/>
      <c r="G269" s="11">
        <f>4616000</f>
        <v>4616000</v>
      </c>
      <c r="H269" s="10"/>
      <c r="I269" s="11" t="str">
        <f>"－"</f>
        <v>－</v>
      </c>
      <c r="J269" s="10"/>
      <c r="K269" s="11">
        <f>97</f>
        <v>97</v>
      </c>
    </row>
    <row r="270" spans="1:11">
      <c r="A270" s="8" t="s">
        <v>37</v>
      </c>
      <c r="B270" s="9" t="s">
        <v>66</v>
      </c>
      <c r="C270" s="9" t="s">
        <v>67</v>
      </c>
      <c r="D270" s="10"/>
      <c r="E270" s="11">
        <f>2</f>
        <v>2</v>
      </c>
      <c r="F270" s="10"/>
      <c r="G270" s="11">
        <f>4480500</f>
        <v>4480500</v>
      </c>
      <c r="H270" s="10"/>
      <c r="I270" s="11" t="str">
        <f>"－"</f>
        <v>－</v>
      </c>
      <c r="J270" s="10"/>
      <c r="K270" s="11">
        <f>96</f>
        <v>96</v>
      </c>
    </row>
    <row r="271" spans="1:11">
      <c r="A271" s="8" t="s">
        <v>38</v>
      </c>
      <c r="B271" s="9" t="s">
        <v>66</v>
      </c>
      <c r="C271" s="9" t="s">
        <v>67</v>
      </c>
      <c r="D271" s="10"/>
      <c r="E271" s="11">
        <f>1</f>
        <v>1</v>
      </c>
      <c r="F271" s="10"/>
      <c r="G271" s="11">
        <f>2352000</f>
        <v>2352000</v>
      </c>
      <c r="H271" s="10"/>
      <c r="I271" s="11" t="str">
        <f>"－"</f>
        <v>－</v>
      </c>
      <c r="J271" s="10"/>
      <c r="K271" s="11">
        <f>97</f>
        <v>97</v>
      </c>
    </row>
    <row r="272" spans="1:11">
      <c r="A272" s="8" t="s">
        <v>39</v>
      </c>
      <c r="B272" s="9" t="s">
        <v>66</v>
      </c>
      <c r="C272" s="9" t="s">
        <v>67</v>
      </c>
      <c r="D272" s="10"/>
      <c r="E272" s="11"/>
      <c r="F272" s="10"/>
      <c r="G272" s="11"/>
      <c r="H272" s="10"/>
      <c r="I272" s="11"/>
      <c r="J272" s="10"/>
      <c r="K272" s="11"/>
    </row>
    <row r="273" spans="1:11">
      <c r="A273" s="8" t="s">
        <v>40</v>
      </c>
      <c r="B273" s="9" t="s">
        <v>66</v>
      </c>
      <c r="C273" s="9" t="s">
        <v>67</v>
      </c>
      <c r="D273" s="10"/>
      <c r="E273" s="11"/>
      <c r="F273" s="10"/>
      <c r="G273" s="11"/>
      <c r="H273" s="10"/>
      <c r="I273" s="11"/>
      <c r="J273" s="10"/>
      <c r="K273" s="11"/>
    </row>
    <row r="274" spans="1:11">
      <c r="A274" s="8" t="s">
        <v>41</v>
      </c>
      <c r="B274" s="9" t="s">
        <v>66</v>
      </c>
      <c r="C274" s="9" t="s">
        <v>67</v>
      </c>
      <c r="D274" s="10"/>
      <c r="E274" s="11"/>
      <c r="F274" s="10"/>
      <c r="G274" s="11"/>
      <c r="H274" s="10"/>
      <c r="I274" s="11"/>
      <c r="J274" s="10"/>
      <c r="K274" s="11"/>
    </row>
    <row r="275" spans="1:11">
      <c r="A275" s="8" t="s">
        <v>42</v>
      </c>
      <c r="B275" s="9" t="s">
        <v>66</v>
      </c>
      <c r="C275" s="9" t="s">
        <v>67</v>
      </c>
      <c r="D275" s="10"/>
      <c r="E275" s="11" t="str">
        <f>"－"</f>
        <v>－</v>
      </c>
      <c r="F275" s="10"/>
      <c r="G275" s="11" t="str">
        <f>"－"</f>
        <v>－</v>
      </c>
      <c r="H275" s="10"/>
      <c r="I275" s="11" t="str">
        <f>"－"</f>
        <v>－</v>
      </c>
      <c r="J275" s="10"/>
      <c r="K275" s="11">
        <f>97</f>
        <v>97</v>
      </c>
    </row>
    <row r="276" spans="1:11">
      <c r="A276" s="8" t="s">
        <v>43</v>
      </c>
      <c r="B276" s="9" t="s">
        <v>66</v>
      </c>
      <c r="C276" s="9" t="s">
        <v>67</v>
      </c>
      <c r="D276" s="10"/>
      <c r="E276" s="11">
        <f>2</f>
        <v>2</v>
      </c>
      <c r="F276" s="10"/>
      <c r="G276" s="11">
        <f>5428500</f>
        <v>5428500</v>
      </c>
      <c r="H276" s="10"/>
      <c r="I276" s="11" t="str">
        <f>"－"</f>
        <v>－</v>
      </c>
      <c r="J276" s="10"/>
      <c r="K276" s="11">
        <f>96</f>
        <v>96</v>
      </c>
    </row>
    <row r="277" spans="1:11">
      <c r="A277" s="8" t="s">
        <v>44</v>
      </c>
      <c r="B277" s="9" t="s">
        <v>66</v>
      </c>
      <c r="C277" s="9" t="s">
        <v>67</v>
      </c>
      <c r="D277" s="10"/>
      <c r="E277" s="11" t="str">
        <f>"－"</f>
        <v>－</v>
      </c>
      <c r="F277" s="10"/>
      <c r="G277" s="11" t="str">
        <f>"－"</f>
        <v>－</v>
      </c>
      <c r="H277" s="10"/>
      <c r="I277" s="11" t="str">
        <f>"－"</f>
        <v>－</v>
      </c>
      <c r="J277" s="10"/>
      <c r="K277" s="11">
        <f>96</f>
        <v>96</v>
      </c>
    </row>
    <row r="278" spans="1:11">
      <c r="A278" s="8" t="s">
        <v>45</v>
      </c>
      <c r="B278" s="9" t="s">
        <v>66</v>
      </c>
      <c r="C278" s="9" t="s">
        <v>67</v>
      </c>
      <c r="D278" s="10"/>
      <c r="E278" s="11">
        <f>5</f>
        <v>5</v>
      </c>
      <c r="F278" s="10"/>
      <c r="G278" s="11">
        <f>12948000</f>
        <v>12948000</v>
      </c>
      <c r="H278" s="10"/>
      <c r="I278" s="11" t="str">
        <f>"－"</f>
        <v>－</v>
      </c>
      <c r="J278" s="10"/>
      <c r="K278" s="11">
        <f>93</f>
        <v>93</v>
      </c>
    </row>
    <row r="279" spans="1:11">
      <c r="A279" s="8" t="s">
        <v>46</v>
      </c>
      <c r="B279" s="9" t="s">
        <v>66</v>
      </c>
      <c r="C279" s="9" t="s">
        <v>67</v>
      </c>
      <c r="D279" s="10"/>
      <c r="E279" s="11"/>
      <c r="F279" s="10"/>
      <c r="G279" s="11"/>
      <c r="H279" s="10"/>
      <c r="I279" s="11"/>
      <c r="J279" s="10"/>
      <c r="K279" s="11"/>
    </row>
    <row r="280" spans="1:11">
      <c r="A280" s="8" t="s">
        <v>47</v>
      </c>
      <c r="B280" s="9" t="s">
        <v>66</v>
      </c>
      <c r="C280" s="9" t="s">
        <v>67</v>
      </c>
      <c r="D280" s="10"/>
      <c r="E280" s="11"/>
      <c r="F280" s="10"/>
      <c r="G280" s="11"/>
      <c r="H280" s="10"/>
      <c r="I280" s="11"/>
      <c r="J280" s="10"/>
      <c r="K280" s="11"/>
    </row>
    <row r="281" spans="1:11">
      <c r="A281" s="8" t="s">
        <v>48</v>
      </c>
      <c r="B281" s="9" t="s">
        <v>66</v>
      </c>
      <c r="C281" s="9" t="s">
        <v>67</v>
      </c>
      <c r="D281" s="10"/>
      <c r="E281" s="11" t="str">
        <f>"－"</f>
        <v>－</v>
      </c>
      <c r="F281" s="10"/>
      <c r="G281" s="11" t="str">
        <f>"－"</f>
        <v>－</v>
      </c>
      <c r="H281" s="10"/>
      <c r="I281" s="11" t="str">
        <f t="shared" ref="I281:I288" si="8">"－"</f>
        <v>－</v>
      </c>
      <c r="J281" s="10"/>
      <c r="K281" s="11">
        <f>93</f>
        <v>93</v>
      </c>
    </row>
    <row r="282" spans="1:11">
      <c r="A282" s="8" t="s">
        <v>49</v>
      </c>
      <c r="B282" s="9" t="s">
        <v>66</v>
      </c>
      <c r="C282" s="9" t="s">
        <v>67</v>
      </c>
      <c r="D282" s="10"/>
      <c r="E282" s="11">
        <f>2</f>
        <v>2</v>
      </c>
      <c r="F282" s="10"/>
      <c r="G282" s="11">
        <f>5184000</f>
        <v>5184000</v>
      </c>
      <c r="H282" s="10"/>
      <c r="I282" s="11" t="str">
        <f t="shared" si="8"/>
        <v>－</v>
      </c>
      <c r="J282" s="10" t="s">
        <v>36</v>
      </c>
      <c r="K282" s="11">
        <f>92</f>
        <v>92</v>
      </c>
    </row>
    <row r="283" spans="1:11">
      <c r="A283" s="8" t="s">
        <v>50</v>
      </c>
      <c r="B283" s="9" t="s">
        <v>66</v>
      </c>
      <c r="C283" s="9" t="s">
        <v>67</v>
      </c>
      <c r="D283" s="10"/>
      <c r="E283" s="11" t="str">
        <f>"－"</f>
        <v>－</v>
      </c>
      <c r="F283" s="10"/>
      <c r="G283" s="11" t="str">
        <f>"－"</f>
        <v>－</v>
      </c>
      <c r="H283" s="10"/>
      <c r="I283" s="11" t="str">
        <f t="shared" si="8"/>
        <v>－</v>
      </c>
      <c r="J283" s="10"/>
      <c r="K283" s="11">
        <f>92</f>
        <v>92</v>
      </c>
    </row>
    <row r="284" spans="1:11">
      <c r="A284" s="8" t="s">
        <v>51</v>
      </c>
      <c r="B284" s="9" t="s">
        <v>66</v>
      </c>
      <c r="C284" s="9" t="s">
        <v>67</v>
      </c>
      <c r="D284" s="10"/>
      <c r="E284" s="11">
        <f>1</f>
        <v>1</v>
      </c>
      <c r="F284" s="10"/>
      <c r="G284" s="11">
        <f>2383500</f>
        <v>2383500</v>
      </c>
      <c r="H284" s="10"/>
      <c r="I284" s="11" t="str">
        <f t="shared" si="8"/>
        <v>－</v>
      </c>
      <c r="J284" s="10"/>
      <c r="K284" s="11">
        <f>92</f>
        <v>92</v>
      </c>
    </row>
    <row r="285" spans="1:11">
      <c r="A285" s="8" t="s">
        <v>16</v>
      </c>
      <c r="B285" s="9" t="s">
        <v>68</v>
      </c>
      <c r="C285" s="9" t="s">
        <v>69</v>
      </c>
      <c r="D285" s="10"/>
      <c r="E285" s="11">
        <f>3448</f>
        <v>3448</v>
      </c>
      <c r="F285" s="10"/>
      <c r="G285" s="11">
        <f>4426007500</f>
        <v>4426007500</v>
      </c>
      <c r="H285" s="10" t="s">
        <v>19</v>
      </c>
      <c r="I285" s="11" t="str">
        <f t="shared" si="8"/>
        <v>－</v>
      </c>
      <c r="J285" s="10"/>
      <c r="K285" s="11">
        <f>10374</f>
        <v>10374</v>
      </c>
    </row>
    <row r="286" spans="1:11">
      <c r="A286" s="8" t="s">
        <v>20</v>
      </c>
      <c r="B286" s="9" t="s">
        <v>68</v>
      </c>
      <c r="C286" s="9" t="s">
        <v>69</v>
      </c>
      <c r="D286" s="10"/>
      <c r="E286" s="11">
        <f>2983</f>
        <v>2983</v>
      </c>
      <c r="F286" s="10"/>
      <c r="G286" s="11">
        <f>3869972500</f>
        <v>3869972500</v>
      </c>
      <c r="H286" s="10"/>
      <c r="I286" s="11" t="str">
        <f t="shared" si="8"/>
        <v>－</v>
      </c>
      <c r="J286" s="10" t="s">
        <v>26</v>
      </c>
      <c r="K286" s="11">
        <f>10418</f>
        <v>10418</v>
      </c>
    </row>
    <row r="287" spans="1:11">
      <c r="A287" s="8" t="s">
        <v>21</v>
      </c>
      <c r="B287" s="9" t="s">
        <v>68</v>
      </c>
      <c r="C287" s="9" t="s">
        <v>69</v>
      </c>
      <c r="D287" s="10"/>
      <c r="E287" s="11">
        <f>2153</f>
        <v>2153</v>
      </c>
      <c r="F287" s="10"/>
      <c r="G287" s="11">
        <f>2795623000</f>
        <v>2795623000</v>
      </c>
      <c r="H287" s="10"/>
      <c r="I287" s="11" t="str">
        <f t="shared" si="8"/>
        <v>－</v>
      </c>
      <c r="J287" s="10"/>
      <c r="K287" s="11">
        <f>10335</f>
        <v>10335</v>
      </c>
    </row>
    <row r="288" spans="1:11">
      <c r="A288" s="8" t="s">
        <v>22</v>
      </c>
      <c r="B288" s="9" t="s">
        <v>68</v>
      </c>
      <c r="C288" s="9" t="s">
        <v>69</v>
      </c>
      <c r="D288" s="10"/>
      <c r="E288" s="11">
        <f>2634</f>
        <v>2634</v>
      </c>
      <c r="F288" s="10"/>
      <c r="G288" s="11">
        <f>3360863000</f>
        <v>3360863000</v>
      </c>
      <c r="H288" s="10"/>
      <c r="I288" s="11" t="str">
        <f t="shared" si="8"/>
        <v>－</v>
      </c>
      <c r="J288" s="10"/>
      <c r="K288" s="11">
        <f>10146</f>
        <v>10146</v>
      </c>
    </row>
    <row r="289" spans="1:11">
      <c r="A289" s="8" t="s">
        <v>23</v>
      </c>
      <c r="B289" s="9" t="s">
        <v>68</v>
      </c>
      <c r="C289" s="9" t="s">
        <v>69</v>
      </c>
      <c r="D289" s="10"/>
      <c r="E289" s="11"/>
      <c r="F289" s="10"/>
      <c r="G289" s="11"/>
      <c r="H289" s="10"/>
      <c r="I289" s="11"/>
      <c r="J289" s="10"/>
      <c r="K289" s="11"/>
    </row>
    <row r="290" spans="1:11">
      <c r="A290" s="8" t="s">
        <v>24</v>
      </c>
      <c r="B290" s="9" t="s">
        <v>68</v>
      </c>
      <c r="C290" s="9" t="s">
        <v>69</v>
      </c>
      <c r="D290" s="10"/>
      <c r="E290" s="11"/>
      <c r="F290" s="10"/>
      <c r="G290" s="11"/>
      <c r="H290" s="10"/>
      <c r="I290" s="11"/>
      <c r="J290" s="10"/>
      <c r="K290" s="11"/>
    </row>
    <row r="291" spans="1:11">
      <c r="A291" s="8" t="s">
        <v>25</v>
      </c>
      <c r="B291" s="9" t="s">
        <v>68</v>
      </c>
      <c r="C291" s="9" t="s">
        <v>69</v>
      </c>
      <c r="D291" s="10"/>
      <c r="E291" s="11">
        <f>2862</f>
        <v>2862</v>
      </c>
      <c r="F291" s="10"/>
      <c r="G291" s="11">
        <f>3615278500</f>
        <v>3615278500</v>
      </c>
      <c r="H291" s="10"/>
      <c r="I291" s="11" t="str">
        <f>"－"</f>
        <v>－</v>
      </c>
      <c r="J291" s="10"/>
      <c r="K291" s="11">
        <f>9917</f>
        <v>9917</v>
      </c>
    </row>
    <row r="292" spans="1:11">
      <c r="A292" s="8" t="s">
        <v>27</v>
      </c>
      <c r="B292" s="9" t="s">
        <v>68</v>
      </c>
      <c r="C292" s="9" t="s">
        <v>69</v>
      </c>
      <c r="D292" s="10" t="s">
        <v>26</v>
      </c>
      <c r="E292" s="11">
        <f>6607</f>
        <v>6607</v>
      </c>
      <c r="F292" s="10" t="s">
        <v>26</v>
      </c>
      <c r="G292" s="11">
        <f>8018867000</f>
        <v>8018867000</v>
      </c>
      <c r="H292" s="10"/>
      <c r="I292" s="11" t="str">
        <f>"－"</f>
        <v>－</v>
      </c>
      <c r="J292" s="10"/>
      <c r="K292" s="11">
        <f>8765</f>
        <v>8765</v>
      </c>
    </row>
    <row r="293" spans="1:11">
      <c r="A293" s="8" t="s">
        <v>28</v>
      </c>
      <c r="B293" s="9" t="s">
        <v>68</v>
      </c>
      <c r="C293" s="9" t="s">
        <v>69</v>
      </c>
      <c r="D293" s="10"/>
      <c r="E293" s="11">
        <f>2767</f>
        <v>2767</v>
      </c>
      <c r="F293" s="10"/>
      <c r="G293" s="11">
        <f>3430855500</f>
        <v>3430855500</v>
      </c>
      <c r="H293" s="10"/>
      <c r="I293" s="11" t="str">
        <f>"－"</f>
        <v>－</v>
      </c>
      <c r="J293" s="10"/>
      <c r="K293" s="11">
        <f>8627</f>
        <v>8627</v>
      </c>
    </row>
    <row r="294" spans="1:11">
      <c r="A294" s="8" t="s">
        <v>29</v>
      </c>
      <c r="B294" s="9" t="s">
        <v>68</v>
      </c>
      <c r="C294" s="9" t="s">
        <v>69</v>
      </c>
      <c r="D294" s="10"/>
      <c r="E294" s="11">
        <f>4235</f>
        <v>4235</v>
      </c>
      <c r="F294" s="10"/>
      <c r="G294" s="11">
        <f>5195585500</f>
        <v>5195585500</v>
      </c>
      <c r="H294" s="10"/>
      <c r="I294" s="11" t="str">
        <f>"－"</f>
        <v>－</v>
      </c>
      <c r="J294" s="10"/>
      <c r="K294" s="11">
        <f>8690</f>
        <v>8690</v>
      </c>
    </row>
    <row r="295" spans="1:11">
      <c r="A295" s="8" t="s">
        <v>30</v>
      </c>
      <c r="B295" s="9" t="s">
        <v>68</v>
      </c>
      <c r="C295" s="9" t="s">
        <v>69</v>
      </c>
      <c r="D295" s="10"/>
      <c r="E295" s="11">
        <f>3238</f>
        <v>3238</v>
      </c>
      <c r="F295" s="10"/>
      <c r="G295" s="11">
        <f>3920616000</f>
        <v>3920616000</v>
      </c>
      <c r="H295" s="10"/>
      <c r="I295" s="11" t="str">
        <f>"－"</f>
        <v>－</v>
      </c>
      <c r="J295" s="10"/>
      <c r="K295" s="11">
        <f>8601</f>
        <v>8601</v>
      </c>
    </row>
    <row r="296" spans="1:11">
      <c r="A296" s="8" t="s">
        <v>31</v>
      </c>
      <c r="B296" s="9" t="s">
        <v>68</v>
      </c>
      <c r="C296" s="9" t="s">
        <v>69</v>
      </c>
      <c r="D296" s="10"/>
      <c r="E296" s="11"/>
      <c r="F296" s="10"/>
      <c r="G296" s="11"/>
      <c r="H296" s="10"/>
      <c r="I296" s="11"/>
      <c r="J296" s="10"/>
      <c r="K296" s="11"/>
    </row>
    <row r="297" spans="1:11">
      <c r="A297" s="8" t="s">
        <v>32</v>
      </c>
      <c r="B297" s="9" t="s">
        <v>68</v>
      </c>
      <c r="C297" s="9" t="s">
        <v>69</v>
      </c>
      <c r="D297" s="10"/>
      <c r="E297" s="11"/>
      <c r="F297" s="10"/>
      <c r="G297" s="11"/>
      <c r="H297" s="10"/>
      <c r="I297" s="11"/>
      <c r="J297" s="10"/>
      <c r="K297" s="11"/>
    </row>
    <row r="298" spans="1:11">
      <c r="A298" s="8" t="s">
        <v>33</v>
      </c>
      <c r="B298" s="9" t="s">
        <v>68</v>
      </c>
      <c r="C298" s="9" t="s">
        <v>69</v>
      </c>
      <c r="D298" s="10"/>
      <c r="E298" s="11">
        <f>3339</f>
        <v>3339</v>
      </c>
      <c r="F298" s="10"/>
      <c r="G298" s="11">
        <f>4065410000</f>
        <v>4065410000</v>
      </c>
      <c r="H298" s="10"/>
      <c r="I298" s="11" t="str">
        <f>"－"</f>
        <v>－</v>
      </c>
      <c r="J298" s="10"/>
      <c r="K298" s="11">
        <f>8677</f>
        <v>8677</v>
      </c>
    </row>
    <row r="299" spans="1:11">
      <c r="A299" s="8" t="s">
        <v>34</v>
      </c>
      <c r="B299" s="9" t="s">
        <v>68</v>
      </c>
      <c r="C299" s="9" t="s">
        <v>69</v>
      </c>
      <c r="D299" s="10"/>
      <c r="E299" s="11">
        <f>1752</f>
        <v>1752</v>
      </c>
      <c r="F299" s="10"/>
      <c r="G299" s="11">
        <f>2136456000</f>
        <v>2136456000</v>
      </c>
      <c r="H299" s="10"/>
      <c r="I299" s="11" t="str">
        <f>"－"</f>
        <v>－</v>
      </c>
      <c r="J299" s="10"/>
      <c r="K299" s="11">
        <f>8515</f>
        <v>8515</v>
      </c>
    </row>
    <row r="300" spans="1:11">
      <c r="A300" s="8" t="s">
        <v>35</v>
      </c>
      <c r="B300" s="9" t="s">
        <v>68</v>
      </c>
      <c r="C300" s="9" t="s">
        <v>69</v>
      </c>
      <c r="D300" s="10"/>
      <c r="E300" s="11">
        <f>2804</f>
        <v>2804</v>
      </c>
      <c r="F300" s="10"/>
      <c r="G300" s="11">
        <f>3399728000</f>
        <v>3399728000</v>
      </c>
      <c r="H300" s="10"/>
      <c r="I300" s="11" t="str">
        <f>"－"</f>
        <v>－</v>
      </c>
      <c r="J300" s="10"/>
      <c r="K300" s="11">
        <f>8445</f>
        <v>8445</v>
      </c>
    </row>
    <row r="301" spans="1:11">
      <c r="A301" s="8" t="s">
        <v>37</v>
      </c>
      <c r="B301" s="9" t="s">
        <v>68</v>
      </c>
      <c r="C301" s="9" t="s">
        <v>69</v>
      </c>
      <c r="D301" s="10" t="s">
        <v>36</v>
      </c>
      <c r="E301" s="11">
        <f>812</f>
        <v>812</v>
      </c>
      <c r="F301" s="10" t="s">
        <v>36</v>
      </c>
      <c r="G301" s="11">
        <f>990407500</f>
        <v>990407500</v>
      </c>
      <c r="H301" s="10"/>
      <c r="I301" s="11" t="str">
        <f>"－"</f>
        <v>－</v>
      </c>
      <c r="J301" s="10"/>
      <c r="K301" s="11">
        <f>8481</f>
        <v>8481</v>
      </c>
    </row>
    <row r="302" spans="1:11">
      <c r="A302" s="8" t="s">
        <v>38</v>
      </c>
      <c r="B302" s="9" t="s">
        <v>68</v>
      </c>
      <c r="C302" s="9" t="s">
        <v>69</v>
      </c>
      <c r="D302" s="10"/>
      <c r="E302" s="11">
        <f>1159</f>
        <v>1159</v>
      </c>
      <c r="F302" s="10"/>
      <c r="G302" s="11">
        <f>1432427000</f>
        <v>1432427000</v>
      </c>
      <c r="H302" s="10"/>
      <c r="I302" s="11" t="str">
        <f>"－"</f>
        <v>－</v>
      </c>
      <c r="J302" s="10"/>
      <c r="K302" s="11">
        <f>8370</f>
        <v>8370</v>
      </c>
    </row>
    <row r="303" spans="1:11">
      <c r="A303" s="8" t="s">
        <v>39</v>
      </c>
      <c r="B303" s="9" t="s">
        <v>68</v>
      </c>
      <c r="C303" s="9" t="s">
        <v>69</v>
      </c>
      <c r="D303" s="10"/>
      <c r="E303" s="11"/>
      <c r="F303" s="10"/>
      <c r="G303" s="11"/>
      <c r="H303" s="10"/>
      <c r="I303" s="11"/>
      <c r="J303" s="10"/>
      <c r="K303" s="11"/>
    </row>
    <row r="304" spans="1:11">
      <c r="A304" s="8" t="s">
        <v>40</v>
      </c>
      <c r="B304" s="9" t="s">
        <v>68</v>
      </c>
      <c r="C304" s="9" t="s">
        <v>69</v>
      </c>
      <c r="D304" s="10"/>
      <c r="E304" s="11"/>
      <c r="F304" s="10"/>
      <c r="G304" s="11"/>
      <c r="H304" s="10"/>
      <c r="I304" s="11"/>
      <c r="J304" s="10"/>
      <c r="K304" s="11"/>
    </row>
    <row r="305" spans="1:11">
      <c r="A305" s="8" t="s">
        <v>41</v>
      </c>
      <c r="B305" s="9" t="s">
        <v>68</v>
      </c>
      <c r="C305" s="9" t="s">
        <v>69</v>
      </c>
      <c r="D305" s="10"/>
      <c r="E305" s="11"/>
      <c r="F305" s="10"/>
      <c r="G305" s="11"/>
      <c r="H305" s="10"/>
      <c r="I305" s="11"/>
      <c r="J305" s="10"/>
      <c r="K305" s="11"/>
    </row>
    <row r="306" spans="1:11">
      <c r="A306" s="8" t="s">
        <v>42</v>
      </c>
      <c r="B306" s="9" t="s">
        <v>68</v>
      </c>
      <c r="C306" s="9" t="s">
        <v>69</v>
      </c>
      <c r="D306" s="10"/>
      <c r="E306" s="11">
        <f>1744</f>
        <v>1744</v>
      </c>
      <c r="F306" s="10"/>
      <c r="G306" s="11">
        <f>2179018000</f>
        <v>2179018000</v>
      </c>
      <c r="H306" s="10"/>
      <c r="I306" s="11" t="str">
        <f>"－"</f>
        <v>－</v>
      </c>
      <c r="J306" s="10"/>
      <c r="K306" s="11">
        <f>8299</f>
        <v>8299</v>
      </c>
    </row>
    <row r="307" spans="1:11">
      <c r="A307" s="8" t="s">
        <v>43</v>
      </c>
      <c r="B307" s="9" t="s">
        <v>68</v>
      </c>
      <c r="C307" s="9" t="s">
        <v>69</v>
      </c>
      <c r="D307" s="10"/>
      <c r="E307" s="11">
        <f>2142</f>
        <v>2142</v>
      </c>
      <c r="F307" s="10"/>
      <c r="G307" s="11">
        <f>2703276000</f>
        <v>2703276000</v>
      </c>
      <c r="H307" s="10"/>
      <c r="I307" s="11" t="str">
        <f>"－"</f>
        <v>－</v>
      </c>
      <c r="J307" s="10"/>
      <c r="K307" s="11">
        <f>7992</f>
        <v>7992</v>
      </c>
    </row>
    <row r="308" spans="1:11">
      <c r="A308" s="8" t="s">
        <v>44</v>
      </c>
      <c r="B308" s="9" t="s">
        <v>68</v>
      </c>
      <c r="C308" s="9" t="s">
        <v>69</v>
      </c>
      <c r="D308" s="10"/>
      <c r="E308" s="11">
        <f>984</f>
        <v>984</v>
      </c>
      <c r="F308" s="10"/>
      <c r="G308" s="11">
        <f>1247880000</f>
        <v>1247880000</v>
      </c>
      <c r="H308" s="10"/>
      <c r="I308" s="11" t="str">
        <f>"－"</f>
        <v>－</v>
      </c>
      <c r="J308" s="10"/>
      <c r="K308" s="11">
        <f>7951</f>
        <v>7951</v>
      </c>
    </row>
    <row r="309" spans="1:11">
      <c r="A309" s="8" t="s">
        <v>45</v>
      </c>
      <c r="B309" s="9" t="s">
        <v>68</v>
      </c>
      <c r="C309" s="9" t="s">
        <v>69</v>
      </c>
      <c r="D309" s="10"/>
      <c r="E309" s="11">
        <f>1337</f>
        <v>1337</v>
      </c>
      <c r="F309" s="10"/>
      <c r="G309" s="11">
        <f>1707086500</f>
        <v>1707086500</v>
      </c>
      <c r="H309" s="10"/>
      <c r="I309" s="11" t="str">
        <f>"－"</f>
        <v>－</v>
      </c>
      <c r="J309" s="10"/>
      <c r="K309" s="11">
        <f>7840</f>
        <v>7840</v>
      </c>
    </row>
    <row r="310" spans="1:11">
      <c r="A310" s="8" t="s">
        <v>46</v>
      </c>
      <c r="B310" s="9" t="s">
        <v>68</v>
      </c>
      <c r="C310" s="9" t="s">
        <v>69</v>
      </c>
      <c r="D310" s="10"/>
      <c r="E310" s="11"/>
      <c r="F310" s="10"/>
      <c r="G310" s="11"/>
      <c r="H310" s="10"/>
      <c r="I310" s="11"/>
      <c r="J310" s="10"/>
      <c r="K310" s="11"/>
    </row>
    <row r="311" spans="1:11">
      <c r="A311" s="8" t="s">
        <v>47</v>
      </c>
      <c r="B311" s="9" t="s">
        <v>68</v>
      </c>
      <c r="C311" s="9" t="s">
        <v>69</v>
      </c>
      <c r="D311" s="10"/>
      <c r="E311" s="11"/>
      <c r="F311" s="10"/>
      <c r="G311" s="11"/>
      <c r="H311" s="10"/>
      <c r="I311" s="11"/>
      <c r="J311" s="10"/>
      <c r="K311" s="11"/>
    </row>
    <row r="312" spans="1:11">
      <c r="A312" s="8" t="s">
        <v>48</v>
      </c>
      <c r="B312" s="9" t="s">
        <v>68</v>
      </c>
      <c r="C312" s="9" t="s">
        <v>69</v>
      </c>
      <c r="D312" s="10"/>
      <c r="E312" s="11">
        <f>2184</f>
        <v>2184</v>
      </c>
      <c r="F312" s="10"/>
      <c r="G312" s="11">
        <f>2774507500</f>
        <v>2774507500</v>
      </c>
      <c r="H312" s="10"/>
      <c r="I312" s="11" t="str">
        <f t="shared" ref="I312:I319" si="9">"－"</f>
        <v>－</v>
      </c>
      <c r="J312" s="10" t="s">
        <v>36</v>
      </c>
      <c r="K312" s="11">
        <f>7533</f>
        <v>7533</v>
      </c>
    </row>
    <row r="313" spans="1:11">
      <c r="A313" s="8" t="s">
        <v>49</v>
      </c>
      <c r="B313" s="9" t="s">
        <v>68</v>
      </c>
      <c r="C313" s="9" t="s">
        <v>69</v>
      </c>
      <c r="D313" s="10"/>
      <c r="E313" s="11">
        <f>1668</f>
        <v>1668</v>
      </c>
      <c r="F313" s="10"/>
      <c r="G313" s="11">
        <f>2104634000</f>
        <v>2104634000</v>
      </c>
      <c r="H313" s="10"/>
      <c r="I313" s="11" t="str">
        <f t="shared" si="9"/>
        <v>－</v>
      </c>
      <c r="J313" s="10"/>
      <c r="K313" s="11">
        <f>7634</f>
        <v>7634</v>
      </c>
    </row>
    <row r="314" spans="1:11">
      <c r="A314" s="8" t="s">
        <v>50</v>
      </c>
      <c r="B314" s="9" t="s">
        <v>68</v>
      </c>
      <c r="C314" s="9" t="s">
        <v>69</v>
      </c>
      <c r="D314" s="10"/>
      <c r="E314" s="11">
        <f>2760</f>
        <v>2760</v>
      </c>
      <c r="F314" s="10"/>
      <c r="G314" s="11">
        <f>3515226500</f>
        <v>3515226500</v>
      </c>
      <c r="H314" s="10"/>
      <c r="I314" s="11" t="str">
        <f t="shared" si="9"/>
        <v>－</v>
      </c>
      <c r="J314" s="10"/>
      <c r="K314" s="11">
        <f>7898</f>
        <v>7898</v>
      </c>
    </row>
    <row r="315" spans="1:11">
      <c r="A315" s="8" t="s">
        <v>51</v>
      </c>
      <c r="B315" s="9" t="s">
        <v>68</v>
      </c>
      <c r="C315" s="9" t="s">
        <v>69</v>
      </c>
      <c r="D315" s="10"/>
      <c r="E315" s="11">
        <f>3589</f>
        <v>3589</v>
      </c>
      <c r="F315" s="10"/>
      <c r="G315" s="11">
        <f>4624884000</f>
        <v>4624884000</v>
      </c>
      <c r="H315" s="10"/>
      <c r="I315" s="11" t="str">
        <f t="shared" si="9"/>
        <v>－</v>
      </c>
      <c r="J315" s="10"/>
      <c r="K315" s="11">
        <f>8013</f>
        <v>8013</v>
      </c>
    </row>
    <row r="316" spans="1:11">
      <c r="A316" s="8" t="s">
        <v>16</v>
      </c>
      <c r="B316" s="9" t="s">
        <v>70</v>
      </c>
      <c r="C316" s="9" t="s">
        <v>71</v>
      </c>
      <c r="D316" s="10" t="s">
        <v>36</v>
      </c>
      <c r="E316" s="11" t="str">
        <f>"－"</f>
        <v>－</v>
      </c>
      <c r="F316" s="10" t="s">
        <v>36</v>
      </c>
      <c r="G316" s="11" t="str">
        <f>"－"</f>
        <v>－</v>
      </c>
      <c r="H316" s="10" t="s">
        <v>19</v>
      </c>
      <c r="I316" s="11" t="str">
        <f t="shared" si="9"/>
        <v>－</v>
      </c>
      <c r="J316" s="10" t="s">
        <v>19</v>
      </c>
      <c r="K316" s="11" t="str">
        <f>"－"</f>
        <v>－</v>
      </c>
    </row>
    <row r="317" spans="1:11">
      <c r="A317" s="8" t="s">
        <v>20</v>
      </c>
      <c r="B317" s="9" t="s">
        <v>70</v>
      </c>
      <c r="C317" s="9" t="s">
        <v>71</v>
      </c>
      <c r="D317" s="10"/>
      <c r="E317" s="11" t="str">
        <f>"－"</f>
        <v>－</v>
      </c>
      <c r="F317" s="10"/>
      <c r="G317" s="11" t="str">
        <f>"－"</f>
        <v>－</v>
      </c>
      <c r="H317" s="10"/>
      <c r="I317" s="11" t="str">
        <f t="shared" si="9"/>
        <v>－</v>
      </c>
      <c r="J317" s="10"/>
      <c r="K317" s="11" t="str">
        <f>"－"</f>
        <v>－</v>
      </c>
    </row>
    <row r="318" spans="1:11">
      <c r="A318" s="8" t="s">
        <v>21</v>
      </c>
      <c r="B318" s="9" t="s">
        <v>70</v>
      </c>
      <c r="C318" s="9" t="s">
        <v>71</v>
      </c>
      <c r="D318" s="10"/>
      <c r="E318" s="11" t="str">
        <f>"－"</f>
        <v>－</v>
      </c>
      <c r="F318" s="10"/>
      <c r="G318" s="11" t="str">
        <f>"－"</f>
        <v>－</v>
      </c>
      <c r="H318" s="10"/>
      <c r="I318" s="11" t="str">
        <f t="shared" si="9"/>
        <v>－</v>
      </c>
      <c r="J318" s="10"/>
      <c r="K318" s="11" t="str">
        <f>"－"</f>
        <v>－</v>
      </c>
    </row>
    <row r="319" spans="1:11">
      <c r="A319" s="8" t="s">
        <v>22</v>
      </c>
      <c r="B319" s="9" t="s">
        <v>70</v>
      </c>
      <c r="C319" s="9" t="s">
        <v>71</v>
      </c>
      <c r="D319" s="10"/>
      <c r="E319" s="11" t="str">
        <f>"－"</f>
        <v>－</v>
      </c>
      <c r="F319" s="10"/>
      <c r="G319" s="11" t="str">
        <f>"－"</f>
        <v>－</v>
      </c>
      <c r="H319" s="10"/>
      <c r="I319" s="11" t="str">
        <f t="shared" si="9"/>
        <v>－</v>
      </c>
      <c r="J319" s="10"/>
      <c r="K319" s="11" t="str">
        <f>"－"</f>
        <v>－</v>
      </c>
    </row>
    <row r="320" spans="1:11">
      <c r="A320" s="8" t="s">
        <v>23</v>
      </c>
      <c r="B320" s="9" t="s">
        <v>70</v>
      </c>
      <c r="C320" s="9" t="s">
        <v>71</v>
      </c>
      <c r="D320" s="10"/>
      <c r="E320" s="11"/>
      <c r="F320" s="10"/>
      <c r="G320" s="11"/>
      <c r="H320" s="10"/>
      <c r="I320" s="11"/>
      <c r="J320" s="10"/>
      <c r="K320" s="11"/>
    </row>
    <row r="321" spans="1:11">
      <c r="A321" s="8" t="s">
        <v>24</v>
      </c>
      <c r="B321" s="9" t="s">
        <v>70</v>
      </c>
      <c r="C321" s="9" t="s">
        <v>71</v>
      </c>
      <c r="D321" s="10"/>
      <c r="E321" s="11"/>
      <c r="F321" s="10"/>
      <c r="G321" s="11"/>
      <c r="H321" s="10"/>
      <c r="I321" s="11"/>
      <c r="J321" s="10"/>
      <c r="K321" s="11"/>
    </row>
    <row r="322" spans="1:11">
      <c r="A322" s="8" t="s">
        <v>25</v>
      </c>
      <c r="B322" s="9" t="s">
        <v>70</v>
      </c>
      <c r="C322" s="9" t="s">
        <v>71</v>
      </c>
      <c r="D322" s="10"/>
      <c r="E322" s="11">
        <f>6</f>
        <v>6</v>
      </c>
      <c r="F322" s="10"/>
      <c r="G322" s="11">
        <f>6082500</f>
        <v>6082500</v>
      </c>
      <c r="H322" s="10"/>
      <c r="I322" s="11" t="str">
        <f>"－"</f>
        <v>－</v>
      </c>
      <c r="J322" s="10"/>
      <c r="K322" s="11" t="str">
        <f>"－"</f>
        <v>－</v>
      </c>
    </row>
    <row r="323" spans="1:11">
      <c r="A323" s="8" t="s">
        <v>27</v>
      </c>
      <c r="B323" s="9" t="s">
        <v>70</v>
      </c>
      <c r="C323" s="9" t="s">
        <v>71</v>
      </c>
      <c r="D323" s="10"/>
      <c r="E323" s="11" t="str">
        <f>"－"</f>
        <v>－</v>
      </c>
      <c r="F323" s="10"/>
      <c r="G323" s="11" t="str">
        <f>"－"</f>
        <v>－</v>
      </c>
      <c r="H323" s="10"/>
      <c r="I323" s="11" t="str">
        <f>"－"</f>
        <v>－</v>
      </c>
      <c r="J323" s="10"/>
      <c r="K323" s="11" t="str">
        <f>"－"</f>
        <v>－</v>
      </c>
    </row>
    <row r="324" spans="1:11">
      <c r="A324" s="8" t="s">
        <v>28</v>
      </c>
      <c r="B324" s="9" t="s">
        <v>70</v>
      </c>
      <c r="C324" s="9" t="s">
        <v>71</v>
      </c>
      <c r="D324" s="10"/>
      <c r="E324" s="11" t="str">
        <f>"－"</f>
        <v>－</v>
      </c>
      <c r="F324" s="10"/>
      <c r="G324" s="11" t="str">
        <f>"－"</f>
        <v>－</v>
      </c>
      <c r="H324" s="10"/>
      <c r="I324" s="11" t="str">
        <f>"－"</f>
        <v>－</v>
      </c>
      <c r="J324" s="10"/>
      <c r="K324" s="11" t="str">
        <f>"－"</f>
        <v>－</v>
      </c>
    </row>
    <row r="325" spans="1:11">
      <c r="A325" s="8" t="s">
        <v>29</v>
      </c>
      <c r="B325" s="9" t="s">
        <v>70</v>
      </c>
      <c r="C325" s="9" t="s">
        <v>71</v>
      </c>
      <c r="D325" s="10" t="s">
        <v>26</v>
      </c>
      <c r="E325" s="11">
        <f>30</f>
        <v>30</v>
      </c>
      <c r="F325" s="10" t="s">
        <v>26</v>
      </c>
      <c r="G325" s="11">
        <f>30802500</f>
        <v>30802500</v>
      </c>
      <c r="H325" s="10"/>
      <c r="I325" s="11" t="str">
        <f>"－"</f>
        <v>－</v>
      </c>
      <c r="J325" s="10"/>
      <c r="K325" s="11" t="str">
        <f>"－"</f>
        <v>－</v>
      </c>
    </row>
    <row r="326" spans="1:11">
      <c r="A326" s="8" t="s">
        <v>30</v>
      </c>
      <c r="B326" s="9" t="s">
        <v>70</v>
      </c>
      <c r="C326" s="9" t="s">
        <v>71</v>
      </c>
      <c r="D326" s="10"/>
      <c r="E326" s="11" t="str">
        <f>"－"</f>
        <v>－</v>
      </c>
      <c r="F326" s="10"/>
      <c r="G326" s="11" t="str">
        <f>"－"</f>
        <v>－</v>
      </c>
      <c r="H326" s="10"/>
      <c r="I326" s="11" t="str">
        <f>"－"</f>
        <v>－</v>
      </c>
      <c r="J326" s="10"/>
      <c r="K326" s="11" t="str">
        <f>"－"</f>
        <v>－</v>
      </c>
    </row>
    <row r="327" spans="1:11">
      <c r="A327" s="8" t="s">
        <v>31</v>
      </c>
      <c r="B327" s="9" t="s">
        <v>70</v>
      </c>
      <c r="C327" s="9" t="s">
        <v>71</v>
      </c>
      <c r="D327" s="10"/>
      <c r="E327" s="11"/>
      <c r="F327" s="10"/>
      <c r="G327" s="11"/>
      <c r="H327" s="10"/>
      <c r="I327" s="11"/>
      <c r="J327" s="10"/>
      <c r="K327" s="11"/>
    </row>
    <row r="328" spans="1:11">
      <c r="A328" s="8" t="s">
        <v>32</v>
      </c>
      <c r="B328" s="9" t="s">
        <v>70</v>
      </c>
      <c r="C328" s="9" t="s">
        <v>71</v>
      </c>
      <c r="D328" s="10"/>
      <c r="E328" s="11"/>
      <c r="F328" s="10"/>
      <c r="G328" s="11"/>
      <c r="H328" s="10"/>
      <c r="I328" s="11"/>
      <c r="J328" s="10"/>
      <c r="K328" s="11"/>
    </row>
    <row r="329" spans="1:11">
      <c r="A329" s="8" t="s">
        <v>33</v>
      </c>
      <c r="B329" s="9" t="s">
        <v>70</v>
      </c>
      <c r="C329" s="9" t="s">
        <v>71</v>
      </c>
      <c r="D329" s="10"/>
      <c r="E329" s="11" t="str">
        <f>"－"</f>
        <v>－</v>
      </c>
      <c r="F329" s="10"/>
      <c r="G329" s="11" t="str">
        <f>"－"</f>
        <v>－</v>
      </c>
      <c r="H329" s="10"/>
      <c r="I329" s="11" t="str">
        <f>"－"</f>
        <v>－</v>
      </c>
      <c r="J329" s="10"/>
      <c r="K329" s="11" t="str">
        <f>"－"</f>
        <v>－</v>
      </c>
    </row>
    <row r="330" spans="1:11">
      <c r="A330" s="8" t="s">
        <v>34</v>
      </c>
      <c r="B330" s="9" t="s">
        <v>70</v>
      </c>
      <c r="C330" s="9" t="s">
        <v>71</v>
      </c>
      <c r="D330" s="10"/>
      <c r="E330" s="11" t="str">
        <f>"－"</f>
        <v>－</v>
      </c>
      <c r="F330" s="10"/>
      <c r="G330" s="11" t="str">
        <f>"－"</f>
        <v>－</v>
      </c>
      <c r="H330" s="10"/>
      <c r="I330" s="11" t="str">
        <f>"－"</f>
        <v>－</v>
      </c>
      <c r="J330" s="10"/>
      <c r="K330" s="11" t="str">
        <f>"－"</f>
        <v>－</v>
      </c>
    </row>
    <row r="331" spans="1:11">
      <c r="A331" s="8" t="s">
        <v>35</v>
      </c>
      <c r="B331" s="9" t="s">
        <v>70</v>
      </c>
      <c r="C331" s="9" t="s">
        <v>71</v>
      </c>
      <c r="D331" s="10"/>
      <c r="E331" s="11" t="str">
        <f>"－"</f>
        <v>－</v>
      </c>
      <c r="F331" s="10"/>
      <c r="G331" s="11" t="str">
        <f>"－"</f>
        <v>－</v>
      </c>
      <c r="H331" s="10"/>
      <c r="I331" s="11" t="str">
        <f>"－"</f>
        <v>－</v>
      </c>
      <c r="J331" s="10"/>
      <c r="K331" s="11" t="str">
        <f>"－"</f>
        <v>－</v>
      </c>
    </row>
    <row r="332" spans="1:11">
      <c r="A332" s="8" t="s">
        <v>37</v>
      </c>
      <c r="B332" s="9" t="s">
        <v>70</v>
      </c>
      <c r="C332" s="9" t="s">
        <v>71</v>
      </c>
      <c r="D332" s="10"/>
      <c r="E332" s="11" t="str">
        <f>"－"</f>
        <v>－</v>
      </c>
      <c r="F332" s="10"/>
      <c r="G332" s="11" t="str">
        <f>"－"</f>
        <v>－</v>
      </c>
      <c r="H332" s="10"/>
      <c r="I332" s="11" t="str">
        <f>"－"</f>
        <v>－</v>
      </c>
      <c r="J332" s="10"/>
      <c r="K332" s="11" t="str">
        <f>"－"</f>
        <v>－</v>
      </c>
    </row>
    <row r="333" spans="1:11">
      <c r="A333" s="8" t="s">
        <v>38</v>
      </c>
      <c r="B333" s="9" t="s">
        <v>70</v>
      </c>
      <c r="C333" s="9" t="s">
        <v>71</v>
      </c>
      <c r="D333" s="10"/>
      <c r="E333" s="11" t="str">
        <f>"－"</f>
        <v>－</v>
      </c>
      <c r="F333" s="10"/>
      <c r="G333" s="11" t="str">
        <f>"－"</f>
        <v>－</v>
      </c>
      <c r="H333" s="10"/>
      <c r="I333" s="11" t="str">
        <f>"－"</f>
        <v>－</v>
      </c>
      <c r="J333" s="10"/>
      <c r="K333" s="11" t="str">
        <f>"－"</f>
        <v>－</v>
      </c>
    </row>
    <row r="334" spans="1:11">
      <c r="A334" s="8" t="s">
        <v>39</v>
      </c>
      <c r="B334" s="9" t="s">
        <v>70</v>
      </c>
      <c r="C334" s="9" t="s">
        <v>71</v>
      </c>
      <c r="D334" s="10"/>
      <c r="E334" s="11"/>
      <c r="F334" s="10"/>
      <c r="G334" s="11"/>
      <c r="H334" s="10"/>
      <c r="I334" s="11"/>
      <c r="J334" s="10"/>
      <c r="K334" s="11"/>
    </row>
    <row r="335" spans="1:11">
      <c r="A335" s="8" t="s">
        <v>40</v>
      </c>
      <c r="B335" s="9" t="s">
        <v>70</v>
      </c>
      <c r="C335" s="9" t="s">
        <v>71</v>
      </c>
      <c r="D335" s="10"/>
      <c r="E335" s="11"/>
      <c r="F335" s="10"/>
      <c r="G335" s="11"/>
      <c r="H335" s="10"/>
      <c r="I335" s="11"/>
      <c r="J335" s="10"/>
      <c r="K335" s="11"/>
    </row>
    <row r="336" spans="1:11">
      <c r="A336" s="8" t="s">
        <v>41</v>
      </c>
      <c r="B336" s="9" t="s">
        <v>70</v>
      </c>
      <c r="C336" s="9" t="s">
        <v>71</v>
      </c>
      <c r="D336" s="10"/>
      <c r="E336" s="11"/>
      <c r="F336" s="10"/>
      <c r="G336" s="11"/>
      <c r="H336" s="10"/>
      <c r="I336" s="11"/>
      <c r="J336" s="10"/>
      <c r="K336" s="11"/>
    </row>
    <row r="337" spans="1:11">
      <c r="A337" s="8" t="s">
        <v>42</v>
      </c>
      <c r="B337" s="9" t="s">
        <v>70</v>
      </c>
      <c r="C337" s="9" t="s">
        <v>71</v>
      </c>
      <c r="D337" s="10"/>
      <c r="E337" s="11" t="str">
        <f>"－"</f>
        <v>－</v>
      </c>
      <c r="F337" s="10"/>
      <c r="G337" s="11" t="str">
        <f>"－"</f>
        <v>－</v>
      </c>
      <c r="H337" s="10"/>
      <c r="I337" s="11" t="str">
        <f>"－"</f>
        <v>－</v>
      </c>
      <c r="J337" s="10"/>
      <c r="K337" s="11" t="str">
        <f>"－"</f>
        <v>－</v>
      </c>
    </row>
    <row r="338" spans="1:11">
      <c r="A338" s="8" t="s">
        <v>43</v>
      </c>
      <c r="B338" s="9" t="s">
        <v>70</v>
      </c>
      <c r="C338" s="9" t="s">
        <v>71</v>
      </c>
      <c r="D338" s="10"/>
      <c r="E338" s="11" t="str">
        <f>"－"</f>
        <v>－</v>
      </c>
      <c r="F338" s="10"/>
      <c r="G338" s="11" t="str">
        <f>"－"</f>
        <v>－</v>
      </c>
      <c r="H338" s="10"/>
      <c r="I338" s="11" t="str">
        <f>"－"</f>
        <v>－</v>
      </c>
      <c r="J338" s="10"/>
      <c r="K338" s="11" t="str">
        <f>"－"</f>
        <v>－</v>
      </c>
    </row>
    <row r="339" spans="1:11">
      <c r="A339" s="8" t="s">
        <v>44</v>
      </c>
      <c r="B339" s="9" t="s">
        <v>70</v>
      </c>
      <c r="C339" s="9" t="s">
        <v>71</v>
      </c>
      <c r="D339" s="10"/>
      <c r="E339" s="11" t="str">
        <f>"－"</f>
        <v>－</v>
      </c>
      <c r="F339" s="10"/>
      <c r="G339" s="11" t="str">
        <f>"－"</f>
        <v>－</v>
      </c>
      <c r="H339" s="10"/>
      <c r="I339" s="11" t="str">
        <f>"－"</f>
        <v>－</v>
      </c>
      <c r="J339" s="10"/>
      <c r="K339" s="11" t="str">
        <f>"－"</f>
        <v>－</v>
      </c>
    </row>
    <row r="340" spans="1:11">
      <c r="A340" s="8" t="s">
        <v>45</v>
      </c>
      <c r="B340" s="9" t="s">
        <v>70</v>
      </c>
      <c r="C340" s="9" t="s">
        <v>71</v>
      </c>
      <c r="D340" s="10"/>
      <c r="E340" s="11" t="str">
        <f>"－"</f>
        <v>－</v>
      </c>
      <c r="F340" s="10"/>
      <c r="G340" s="11" t="str">
        <f>"－"</f>
        <v>－</v>
      </c>
      <c r="H340" s="10"/>
      <c r="I340" s="11" t="str">
        <f>"－"</f>
        <v>－</v>
      </c>
      <c r="J340" s="10"/>
      <c r="K340" s="11" t="str">
        <f>"－"</f>
        <v>－</v>
      </c>
    </row>
    <row r="341" spans="1:11">
      <c r="A341" s="8" t="s">
        <v>46</v>
      </c>
      <c r="B341" s="9" t="s">
        <v>70</v>
      </c>
      <c r="C341" s="9" t="s">
        <v>71</v>
      </c>
      <c r="D341" s="10"/>
      <c r="E341" s="11"/>
      <c r="F341" s="10"/>
      <c r="G341" s="11"/>
      <c r="H341" s="10"/>
      <c r="I341" s="11"/>
      <c r="J341" s="10"/>
      <c r="K341" s="11"/>
    </row>
    <row r="342" spans="1:11">
      <c r="A342" s="8" t="s">
        <v>47</v>
      </c>
      <c r="B342" s="9" t="s">
        <v>70</v>
      </c>
      <c r="C342" s="9" t="s">
        <v>71</v>
      </c>
      <c r="D342" s="10"/>
      <c r="E342" s="11"/>
      <c r="F342" s="10"/>
      <c r="G342" s="11"/>
      <c r="H342" s="10"/>
      <c r="I342" s="11"/>
      <c r="J342" s="10"/>
      <c r="K342" s="11"/>
    </row>
    <row r="343" spans="1:11">
      <c r="A343" s="8" t="s">
        <v>48</v>
      </c>
      <c r="B343" s="9" t="s">
        <v>70</v>
      </c>
      <c r="C343" s="9" t="s">
        <v>71</v>
      </c>
      <c r="D343" s="10"/>
      <c r="E343" s="11" t="str">
        <f>"－"</f>
        <v>－</v>
      </c>
      <c r="F343" s="10"/>
      <c r="G343" s="11" t="str">
        <f>"－"</f>
        <v>－</v>
      </c>
      <c r="H343" s="10"/>
      <c r="I343" s="11" t="str">
        <f t="shared" ref="I343:I350" si="10">"－"</f>
        <v>－</v>
      </c>
      <c r="J343" s="10"/>
      <c r="K343" s="11" t="str">
        <f>"－"</f>
        <v>－</v>
      </c>
    </row>
    <row r="344" spans="1:11">
      <c r="A344" s="8" t="s">
        <v>49</v>
      </c>
      <c r="B344" s="9" t="s">
        <v>70</v>
      </c>
      <c r="C344" s="9" t="s">
        <v>71</v>
      </c>
      <c r="D344" s="10"/>
      <c r="E344" s="11" t="str">
        <f>"－"</f>
        <v>－</v>
      </c>
      <c r="F344" s="10"/>
      <c r="G344" s="11" t="str">
        <f>"－"</f>
        <v>－</v>
      </c>
      <c r="H344" s="10"/>
      <c r="I344" s="11" t="str">
        <f t="shared" si="10"/>
        <v>－</v>
      </c>
      <c r="J344" s="10"/>
      <c r="K344" s="11" t="str">
        <f>"－"</f>
        <v>－</v>
      </c>
    </row>
    <row r="345" spans="1:11">
      <c r="A345" s="8" t="s">
        <v>50</v>
      </c>
      <c r="B345" s="9" t="s">
        <v>70</v>
      </c>
      <c r="C345" s="9" t="s">
        <v>71</v>
      </c>
      <c r="D345" s="10"/>
      <c r="E345" s="11" t="str">
        <f>"－"</f>
        <v>－</v>
      </c>
      <c r="F345" s="10"/>
      <c r="G345" s="11" t="str">
        <f>"－"</f>
        <v>－</v>
      </c>
      <c r="H345" s="10"/>
      <c r="I345" s="11" t="str">
        <f t="shared" si="10"/>
        <v>－</v>
      </c>
      <c r="J345" s="10"/>
      <c r="K345" s="11" t="str">
        <f>"－"</f>
        <v>－</v>
      </c>
    </row>
    <row r="346" spans="1:11">
      <c r="A346" s="8" t="s">
        <v>51</v>
      </c>
      <c r="B346" s="9" t="s">
        <v>70</v>
      </c>
      <c r="C346" s="9" t="s">
        <v>71</v>
      </c>
      <c r="D346" s="10"/>
      <c r="E346" s="11" t="str">
        <f>"－"</f>
        <v>－</v>
      </c>
      <c r="F346" s="10"/>
      <c r="G346" s="11" t="str">
        <f>"－"</f>
        <v>－</v>
      </c>
      <c r="H346" s="10"/>
      <c r="I346" s="11" t="str">
        <f t="shared" si="10"/>
        <v>－</v>
      </c>
      <c r="J346" s="10"/>
      <c r="K346" s="11" t="str">
        <f>"－"</f>
        <v>－</v>
      </c>
    </row>
    <row r="347" spans="1:11">
      <c r="A347" s="8" t="s">
        <v>16</v>
      </c>
      <c r="B347" s="9" t="s">
        <v>72</v>
      </c>
      <c r="C347" s="9" t="s">
        <v>73</v>
      </c>
      <c r="D347" s="10"/>
      <c r="E347" s="11">
        <f>288</f>
        <v>288</v>
      </c>
      <c r="F347" s="10"/>
      <c r="G347" s="11">
        <f>635093000</f>
        <v>635093000</v>
      </c>
      <c r="H347" s="10" t="s">
        <v>19</v>
      </c>
      <c r="I347" s="11" t="str">
        <f t="shared" si="10"/>
        <v>－</v>
      </c>
      <c r="J347" s="10"/>
      <c r="K347" s="11">
        <f>2074</f>
        <v>2074</v>
      </c>
    </row>
    <row r="348" spans="1:11">
      <c r="A348" s="8" t="s">
        <v>20</v>
      </c>
      <c r="B348" s="9" t="s">
        <v>72</v>
      </c>
      <c r="C348" s="9" t="s">
        <v>73</v>
      </c>
      <c r="D348" s="10"/>
      <c r="E348" s="11">
        <f>243</f>
        <v>243</v>
      </c>
      <c r="F348" s="10"/>
      <c r="G348" s="11">
        <f>545770500</f>
        <v>545770500</v>
      </c>
      <c r="H348" s="10"/>
      <c r="I348" s="11" t="str">
        <f t="shared" si="10"/>
        <v>－</v>
      </c>
      <c r="J348" s="10"/>
      <c r="K348" s="11">
        <f>2080</f>
        <v>2080</v>
      </c>
    </row>
    <row r="349" spans="1:11">
      <c r="A349" s="8" t="s">
        <v>21</v>
      </c>
      <c r="B349" s="9" t="s">
        <v>72</v>
      </c>
      <c r="C349" s="9" t="s">
        <v>73</v>
      </c>
      <c r="D349" s="10"/>
      <c r="E349" s="11">
        <f>242</f>
        <v>242</v>
      </c>
      <c r="F349" s="10"/>
      <c r="G349" s="11">
        <f>546198000</f>
        <v>546198000</v>
      </c>
      <c r="H349" s="10"/>
      <c r="I349" s="11" t="str">
        <f t="shared" si="10"/>
        <v>－</v>
      </c>
      <c r="J349" s="10"/>
      <c r="K349" s="11">
        <f>2104</f>
        <v>2104</v>
      </c>
    </row>
    <row r="350" spans="1:11">
      <c r="A350" s="8" t="s">
        <v>22</v>
      </c>
      <c r="B350" s="9" t="s">
        <v>72</v>
      </c>
      <c r="C350" s="9" t="s">
        <v>73</v>
      </c>
      <c r="D350" s="10"/>
      <c r="E350" s="11">
        <f>409</f>
        <v>409</v>
      </c>
      <c r="F350" s="10"/>
      <c r="G350" s="11">
        <f>938582000</f>
        <v>938582000</v>
      </c>
      <c r="H350" s="10"/>
      <c r="I350" s="11" t="str">
        <f t="shared" si="10"/>
        <v>－</v>
      </c>
      <c r="J350" s="10"/>
      <c r="K350" s="11">
        <f>2074</f>
        <v>2074</v>
      </c>
    </row>
    <row r="351" spans="1:11">
      <c r="A351" s="8" t="s">
        <v>23</v>
      </c>
      <c r="B351" s="9" t="s">
        <v>72</v>
      </c>
      <c r="C351" s="9" t="s">
        <v>73</v>
      </c>
      <c r="D351" s="10"/>
      <c r="E351" s="11"/>
      <c r="F351" s="10"/>
      <c r="G351" s="11"/>
      <c r="H351" s="10"/>
      <c r="I351" s="11"/>
      <c r="J351" s="10"/>
      <c r="K351" s="11"/>
    </row>
    <row r="352" spans="1:11">
      <c r="A352" s="8" t="s">
        <v>24</v>
      </c>
      <c r="B352" s="9" t="s">
        <v>72</v>
      </c>
      <c r="C352" s="9" t="s">
        <v>73</v>
      </c>
      <c r="D352" s="10"/>
      <c r="E352" s="11"/>
      <c r="F352" s="10"/>
      <c r="G352" s="11"/>
      <c r="H352" s="10"/>
      <c r="I352" s="11"/>
      <c r="J352" s="10"/>
      <c r="K352" s="11"/>
    </row>
    <row r="353" spans="1:11">
      <c r="A353" s="8" t="s">
        <v>25</v>
      </c>
      <c r="B353" s="9" t="s">
        <v>72</v>
      </c>
      <c r="C353" s="9" t="s">
        <v>73</v>
      </c>
      <c r="D353" s="10" t="s">
        <v>26</v>
      </c>
      <c r="E353" s="11">
        <f>541</f>
        <v>541</v>
      </c>
      <c r="F353" s="10"/>
      <c r="G353" s="11">
        <f>1288462000</f>
        <v>1288462000</v>
      </c>
      <c r="H353" s="10"/>
      <c r="I353" s="11" t="str">
        <f>"－"</f>
        <v>－</v>
      </c>
      <c r="J353" s="10"/>
      <c r="K353" s="11">
        <f>2157</f>
        <v>2157</v>
      </c>
    </row>
    <row r="354" spans="1:11">
      <c r="A354" s="8" t="s">
        <v>27</v>
      </c>
      <c r="B354" s="9" t="s">
        <v>72</v>
      </c>
      <c r="C354" s="9" t="s">
        <v>73</v>
      </c>
      <c r="D354" s="10"/>
      <c r="E354" s="11">
        <f>460</f>
        <v>460</v>
      </c>
      <c r="F354" s="10"/>
      <c r="G354" s="11">
        <f>1124692000</f>
        <v>1124692000</v>
      </c>
      <c r="H354" s="10"/>
      <c r="I354" s="11" t="str">
        <f>"－"</f>
        <v>－</v>
      </c>
      <c r="J354" s="10"/>
      <c r="K354" s="11">
        <f>2075</f>
        <v>2075</v>
      </c>
    </row>
    <row r="355" spans="1:11">
      <c r="A355" s="8" t="s">
        <v>28</v>
      </c>
      <c r="B355" s="9" t="s">
        <v>72</v>
      </c>
      <c r="C355" s="9" t="s">
        <v>73</v>
      </c>
      <c r="D355" s="10"/>
      <c r="E355" s="11">
        <f>432</f>
        <v>432</v>
      </c>
      <c r="F355" s="10"/>
      <c r="G355" s="11">
        <f>1078784500</f>
        <v>1078784500</v>
      </c>
      <c r="H355" s="10"/>
      <c r="I355" s="11" t="str">
        <f>"－"</f>
        <v>－</v>
      </c>
      <c r="J355" s="10"/>
      <c r="K355" s="11">
        <f>2050</f>
        <v>2050</v>
      </c>
    </row>
    <row r="356" spans="1:11">
      <c r="A356" s="8" t="s">
        <v>29</v>
      </c>
      <c r="B356" s="9" t="s">
        <v>72</v>
      </c>
      <c r="C356" s="9" t="s">
        <v>73</v>
      </c>
      <c r="D356" s="10"/>
      <c r="E356" s="11">
        <f>531</f>
        <v>531</v>
      </c>
      <c r="F356" s="10" t="s">
        <v>26</v>
      </c>
      <c r="G356" s="11">
        <f>1366903500</f>
        <v>1366903500</v>
      </c>
      <c r="H356" s="10"/>
      <c r="I356" s="11" t="str">
        <f>"－"</f>
        <v>－</v>
      </c>
      <c r="J356" s="10"/>
      <c r="K356" s="11">
        <f>2025</f>
        <v>2025</v>
      </c>
    </row>
    <row r="357" spans="1:11">
      <c r="A357" s="8" t="s">
        <v>30</v>
      </c>
      <c r="B357" s="9" t="s">
        <v>72</v>
      </c>
      <c r="C357" s="9" t="s">
        <v>73</v>
      </c>
      <c r="D357" s="10"/>
      <c r="E357" s="11">
        <f>272</f>
        <v>272</v>
      </c>
      <c r="F357" s="10"/>
      <c r="G357" s="11">
        <f>705443000</f>
        <v>705443000</v>
      </c>
      <c r="H357" s="10"/>
      <c r="I357" s="11" t="str">
        <f>"－"</f>
        <v>－</v>
      </c>
      <c r="J357" s="10"/>
      <c r="K357" s="11">
        <f>2019</f>
        <v>2019</v>
      </c>
    </row>
    <row r="358" spans="1:11">
      <c r="A358" s="8" t="s">
        <v>31</v>
      </c>
      <c r="B358" s="9" t="s">
        <v>72</v>
      </c>
      <c r="C358" s="9" t="s">
        <v>73</v>
      </c>
      <c r="D358" s="10"/>
      <c r="E358" s="11"/>
      <c r="F358" s="10"/>
      <c r="G358" s="11"/>
      <c r="H358" s="10"/>
      <c r="I358" s="11"/>
      <c r="J358" s="10"/>
      <c r="K358" s="11"/>
    </row>
    <row r="359" spans="1:11">
      <c r="A359" s="8" t="s">
        <v>32</v>
      </c>
      <c r="B359" s="9" t="s">
        <v>72</v>
      </c>
      <c r="C359" s="9" t="s">
        <v>73</v>
      </c>
      <c r="D359" s="10"/>
      <c r="E359" s="11"/>
      <c r="F359" s="10"/>
      <c r="G359" s="11"/>
      <c r="H359" s="10"/>
      <c r="I359" s="11"/>
      <c r="J359" s="10"/>
      <c r="K359" s="11"/>
    </row>
    <row r="360" spans="1:11">
      <c r="A360" s="8" t="s">
        <v>33</v>
      </c>
      <c r="B360" s="9" t="s">
        <v>72</v>
      </c>
      <c r="C360" s="9" t="s">
        <v>73</v>
      </c>
      <c r="D360" s="10"/>
      <c r="E360" s="11">
        <f>236</f>
        <v>236</v>
      </c>
      <c r="F360" s="10"/>
      <c r="G360" s="11">
        <f>620314500</f>
        <v>620314500</v>
      </c>
      <c r="H360" s="10"/>
      <c r="I360" s="11" t="str">
        <f>"－"</f>
        <v>－</v>
      </c>
      <c r="J360" s="10"/>
      <c r="K360" s="11">
        <f>2029</f>
        <v>2029</v>
      </c>
    </row>
    <row r="361" spans="1:11">
      <c r="A361" s="8" t="s">
        <v>34</v>
      </c>
      <c r="B361" s="9" t="s">
        <v>72</v>
      </c>
      <c r="C361" s="9" t="s">
        <v>73</v>
      </c>
      <c r="D361" s="10"/>
      <c r="E361" s="11">
        <f>406</f>
        <v>406</v>
      </c>
      <c r="F361" s="10"/>
      <c r="G361" s="11">
        <f>1057166500</f>
        <v>1057166500</v>
      </c>
      <c r="H361" s="10"/>
      <c r="I361" s="11" t="str">
        <f>"－"</f>
        <v>－</v>
      </c>
      <c r="J361" s="10"/>
      <c r="K361" s="11">
        <f>2006</f>
        <v>2006</v>
      </c>
    </row>
    <row r="362" spans="1:11">
      <c r="A362" s="8" t="s">
        <v>35</v>
      </c>
      <c r="B362" s="9" t="s">
        <v>72</v>
      </c>
      <c r="C362" s="9" t="s">
        <v>73</v>
      </c>
      <c r="D362" s="10"/>
      <c r="E362" s="11">
        <f>436</f>
        <v>436</v>
      </c>
      <c r="F362" s="10"/>
      <c r="G362" s="11">
        <f>1068257000</f>
        <v>1068257000</v>
      </c>
      <c r="H362" s="10"/>
      <c r="I362" s="11" t="str">
        <f>"－"</f>
        <v>－</v>
      </c>
      <c r="J362" s="10" t="s">
        <v>36</v>
      </c>
      <c r="K362" s="11">
        <f>1967</f>
        <v>1967</v>
      </c>
    </row>
    <row r="363" spans="1:11">
      <c r="A363" s="8" t="s">
        <v>37</v>
      </c>
      <c r="B363" s="9" t="s">
        <v>72</v>
      </c>
      <c r="C363" s="9" t="s">
        <v>73</v>
      </c>
      <c r="D363" s="10"/>
      <c r="E363" s="11">
        <f>398</f>
        <v>398</v>
      </c>
      <c r="F363" s="10"/>
      <c r="G363" s="11">
        <f>947614000</f>
        <v>947614000</v>
      </c>
      <c r="H363" s="10"/>
      <c r="I363" s="11" t="str">
        <f>"－"</f>
        <v>－</v>
      </c>
      <c r="J363" s="10"/>
      <c r="K363" s="11">
        <f>1978</f>
        <v>1978</v>
      </c>
    </row>
    <row r="364" spans="1:11">
      <c r="A364" s="8" t="s">
        <v>38</v>
      </c>
      <c r="B364" s="9" t="s">
        <v>72</v>
      </c>
      <c r="C364" s="9" t="s">
        <v>73</v>
      </c>
      <c r="D364" s="10"/>
      <c r="E364" s="11">
        <f>270</f>
        <v>270</v>
      </c>
      <c r="F364" s="10"/>
      <c r="G364" s="11">
        <f>652113000</f>
        <v>652113000</v>
      </c>
      <c r="H364" s="10"/>
      <c r="I364" s="11" t="str">
        <f>"－"</f>
        <v>－</v>
      </c>
      <c r="J364" s="10"/>
      <c r="K364" s="11">
        <f>1975</f>
        <v>1975</v>
      </c>
    </row>
    <row r="365" spans="1:11">
      <c r="A365" s="8" t="s">
        <v>39</v>
      </c>
      <c r="B365" s="9" t="s">
        <v>72</v>
      </c>
      <c r="C365" s="9" t="s">
        <v>73</v>
      </c>
      <c r="D365" s="10"/>
      <c r="E365" s="11"/>
      <c r="F365" s="10"/>
      <c r="G365" s="11"/>
      <c r="H365" s="10"/>
      <c r="I365" s="11"/>
      <c r="J365" s="10"/>
      <c r="K365" s="11"/>
    </row>
    <row r="366" spans="1:11">
      <c r="A366" s="8" t="s">
        <v>40</v>
      </c>
      <c r="B366" s="9" t="s">
        <v>72</v>
      </c>
      <c r="C366" s="9" t="s">
        <v>73</v>
      </c>
      <c r="D366" s="10"/>
      <c r="E366" s="11"/>
      <c r="F366" s="10"/>
      <c r="G366" s="11"/>
      <c r="H366" s="10"/>
      <c r="I366" s="11"/>
      <c r="J366" s="10"/>
      <c r="K366" s="11"/>
    </row>
    <row r="367" spans="1:11">
      <c r="A367" s="8" t="s">
        <v>41</v>
      </c>
      <c r="B367" s="9" t="s">
        <v>72</v>
      </c>
      <c r="C367" s="9" t="s">
        <v>73</v>
      </c>
      <c r="D367" s="10"/>
      <c r="E367" s="11"/>
      <c r="F367" s="10"/>
      <c r="G367" s="11"/>
      <c r="H367" s="10"/>
      <c r="I367" s="11"/>
      <c r="J367" s="10"/>
      <c r="K367" s="11"/>
    </row>
    <row r="368" spans="1:11">
      <c r="A368" s="8" t="s">
        <v>42</v>
      </c>
      <c r="B368" s="9" t="s">
        <v>72</v>
      </c>
      <c r="C368" s="9" t="s">
        <v>73</v>
      </c>
      <c r="D368" s="10"/>
      <c r="E368" s="11">
        <f>196</f>
        <v>196</v>
      </c>
      <c r="F368" s="10"/>
      <c r="G368" s="11">
        <f>488919000</f>
        <v>488919000</v>
      </c>
      <c r="H368" s="10"/>
      <c r="I368" s="11" t="str">
        <f>"－"</f>
        <v>－</v>
      </c>
      <c r="J368" s="10"/>
      <c r="K368" s="11">
        <f>1990</f>
        <v>1990</v>
      </c>
    </row>
    <row r="369" spans="1:11">
      <c r="A369" s="8" t="s">
        <v>43</v>
      </c>
      <c r="B369" s="9" t="s">
        <v>72</v>
      </c>
      <c r="C369" s="9" t="s">
        <v>73</v>
      </c>
      <c r="D369" s="10"/>
      <c r="E369" s="11">
        <f>212</f>
        <v>212</v>
      </c>
      <c r="F369" s="10"/>
      <c r="G369" s="11">
        <f>540987500</f>
        <v>540987500</v>
      </c>
      <c r="H369" s="10"/>
      <c r="I369" s="11" t="str">
        <f>"－"</f>
        <v>－</v>
      </c>
      <c r="J369" s="10"/>
      <c r="K369" s="11">
        <f>1990</f>
        <v>1990</v>
      </c>
    </row>
    <row r="370" spans="1:11">
      <c r="A370" s="8" t="s">
        <v>44</v>
      </c>
      <c r="B370" s="9" t="s">
        <v>72</v>
      </c>
      <c r="C370" s="9" t="s">
        <v>73</v>
      </c>
      <c r="D370" s="10"/>
      <c r="E370" s="11">
        <f>447</f>
        <v>447</v>
      </c>
      <c r="F370" s="10"/>
      <c r="G370" s="11">
        <f>1164028500</f>
        <v>1164028500</v>
      </c>
      <c r="H370" s="10"/>
      <c r="I370" s="11" t="str">
        <f>"－"</f>
        <v>－</v>
      </c>
      <c r="J370" s="10"/>
      <c r="K370" s="11">
        <f>2067</f>
        <v>2067</v>
      </c>
    </row>
    <row r="371" spans="1:11">
      <c r="A371" s="8" t="s">
        <v>45</v>
      </c>
      <c r="B371" s="9" t="s">
        <v>72</v>
      </c>
      <c r="C371" s="9" t="s">
        <v>73</v>
      </c>
      <c r="D371" s="10"/>
      <c r="E371" s="11">
        <f>247</f>
        <v>247</v>
      </c>
      <c r="F371" s="10"/>
      <c r="G371" s="11">
        <f>636360000</f>
        <v>636360000</v>
      </c>
      <c r="H371" s="10"/>
      <c r="I371" s="11" t="str">
        <f>"－"</f>
        <v>－</v>
      </c>
      <c r="J371" s="10"/>
      <c r="K371" s="11">
        <f>2113</f>
        <v>2113</v>
      </c>
    </row>
    <row r="372" spans="1:11">
      <c r="A372" s="8" t="s">
        <v>46</v>
      </c>
      <c r="B372" s="9" t="s">
        <v>72</v>
      </c>
      <c r="C372" s="9" t="s">
        <v>73</v>
      </c>
      <c r="D372" s="10"/>
      <c r="E372" s="11"/>
      <c r="F372" s="10"/>
      <c r="G372" s="11"/>
      <c r="H372" s="10"/>
      <c r="I372" s="11"/>
      <c r="J372" s="10"/>
      <c r="K372" s="11"/>
    </row>
    <row r="373" spans="1:11">
      <c r="A373" s="8" t="s">
        <v>47</v>
      </c>
      <c r="B373" s="9" t="s">
        <v>72</v>
      </c>
      <c r="C373" s="9" t="s">
        <v>73</v>
      </c>
      <c r="D373" s="10"/>
      <c r="E373" s="11"/>
      <c r="F373" s="10"/>
      <c r="G373" s="11"/>
      <c r="H373" s="10"/>
      <c r="I373" s="11"/>
      <c r="J373" s="10"/>
      <c r="K373" s="11"/>
    </row>
    <row r="374" spans="1:11">
      <c r="A374" s="8" t="s">
        <v>48</v>
      </c>
      <c r="B374" s="9" t="s">
        <v>72</v>
      </c>
      <c r="C374" s="9" t="s">
        <v>73</v>
      </c>
      <c r="D374" s="10"/>
      <c r="E374" s="11">
        <f>279</f>
        <v>279</v>
      </c>
      <c r="F374" s="10"/>
      <c r="G374" s="11">
        <f>704498000</f>
        <v>704498000</v>
      </c>
      <c r="H374" s="10"/>
      <c r="I374" s="11" t="str">
        <f t="shared" ref="I374:I381" si="11">"－"</f>
        <v>－</v>
      </c>
      <c r="J374" s="10"/>
      <c r="K374" s="11">
        <f>2136</f>
        <v>2136</v>
      </c>
    </row>
    <row r="375" spans="1:11">
      <c r="A375" s="8" t="s">
        <v>49</v>
      </c>
      <c r="B375" s="9" t="s">
        <v>72</v>
      </c>
      <c r="C375" s="9" t="s">
        <v>73</v>
      </c>
      <c r="D375" s="10" t="s">
        <v>36</v>
      </c>
      <c r="E375" s="11">
        <f>117</f>
        <v>117</v>
      </c>
      <c r="F375" s="10" t="s">
        <v>36</v>
      </c>
      <c r="G375" s="11">
        <f>297671500</f>
        <v>297671500</v>
      </c>
      <c r="H375" s="10"/>
      <c r="I375" s="11" t="str">
        <f t="shared" si="11"/>
        <v>－</v>
      </c>
      <c r="J375" s="10"/>
      <c r="K375" s="11">
        <f>2138</f>
        <v>2138</v>
      </c>
    </row>
    <row r="376" spans="1:11">
      <c r="A376" s="8" t="s">
        <v>50</v>
      </c>
      <c r="B376" s="9" t="s">
        <v>72</v>
      </c>
      <c r="C376" s="9" t="s">
        <v>73</v>
      </c>
      <c r="D376" s="10"/>
      <c r="E376" s="11">
        <f>232</f>
        <v>232</v>
      </c>
      <c r="F376" s="10"/>
      <c r="G376" s="11">
        <f>578694000</f>
        <v>578694000</v>
      </c>
      <c r="H376" s="10"/>
      <c r="I376" s="11" t="str">
        <f t="shared" si="11"/>
        <v>－</v>
      </c>
      <c r="J376" s="10"/>
      <c r="K376" s="11">
        <f>2148</f>
        <v>2148</v>
      </c>
    </row>
    <row r="377" spans="1:11">
      <c r="A377" s="8" t="s">
        <v>51</v>
      </c>
      <c r="B377" s="9" t="s">
        <v>72</v>
      </c>
      <c r="C377" s="9" t="s">
        <v>73</v>
      </c>
      <c r="D377" s="10"/>
      <c r="E377" s="11">
        <f>155</f>
        <v>155</v>
      </c>
      <c r="F377" s="10"/>
      <c r="G377" s="11">
        <f>387837500</f>
        <v>387837500</v>
      </c>
      <c r="H377" s="10"/>
      <c r="I377" s="11" t="str">
        <f t="shared" si="11"/>
        <v>－</v>
      </c>
      <c r="J377" s="10" t="s">
        <v>26</v>
      </c>
      <c r="K377" s="11">
        <f>2162</f>
        <v>2162</v>
      </c>
    </row>
    <row r="378" spans="1:11">
      <c r="A378" s="8" t="s">
        <v>16</v>
      </c>
      <c r="B378" s="9" t="s">
        <v>74</v>
      </c>
      <c r="C378" s="9" t="s">
        <v>75</v>
      </c>
      <c r="D378" s="10" t="s">
        <v>19</v>
      </c>
      <c r="E378" s="11" t="str">
        <f>"－"</f>
        <v>－</v>
      </c>
      <c r="F378" s="10" t="s">
        <v>19</v>
      </c>
      <c r="G378" s="11" t="str">
        <f>"－"</f>
        <v>－</v>
      </c>
      <c r="H378" s="10" t="s">
        <v>19</v>
      </c>
      <c r="I378" s="11" t="str">
        <f t="shared" si="11"/>
        <v>－</v>
      </c>
      <c r="J378" s="10" t="s">
        <v>19</v>
      </c>
      <c r="K378" s="11" t="str">
        <f>"－"</f>
        <v>－</v>
      </c>
    </row>
    <row r="379" spans="1:11">
      <c r="A379" s="8" t="s">
        <v>20</v>
      </c>
      <c r="B379" s="9" t="s">
        <v>74</v>
      </c>
      <c r="C379" s="9" t="s">
        <v>75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 t="shared" si="11"/>
        <v>－</v>
      </c>
      <c r="J379" s="10"/>
      <c r="K379" s="11" t="str">
        <f>"－"</f>
        <v>－</v>
      </c>
    </row>
    <row r="380" spans="1:11">
      <c r="A380" s="8" t="s">
        <v>21</v>
      </c>
      <c r="B380" s="9" t="s">
        <v>74</v>
      </c>
      <c r="C380" s="9" t="s">
        <v>75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 t="shared" si="11"/>
        <v>－</v>
      </c>
      <c r="J380" s="10"/>
      <c r="K380" s="11" t="str">
        <f>"－"</f>
        <v>－</v>
      </c>
    </row>
    <row r="381" spans="1:11">
      <c r="A381" s="8" t="s">
        <v>22</v>
      </c>
      <c r="B381" s="9" t="s">
        <v>74</v>
      </c>
      <c r="C381" s="9" t="s">
        <v>75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 t="shared" si="11"/>
        <v>－</v>
      </c>
      <c r="J381" s="10"/>
      <c r="K381" s="11" t="str">
        <f>"－"</f>
        <v>－</v>
      </c>
    </row>
    <row r="382" spans="1:11">
      <c r="A382" s="8" t="s">
        <v>23</v>
      </c>
      <c r="B382" s="9" t="s">
        <v>74</v>
      </c>
      <c r="C382" s="9" t="s">
        <v>75</v>
      </c>
      <c r="D382" s="10"/>
      <c r="E382" s="11"/>
      <c r="F382" s="10"/>
      <c r="G382" s="11"/>
      <c r="H382" s="10"/>
      <c r="I382" s="11"/>
      <c r="J382" s="10"/>
      <c r="K382" s="11"/>
    </row>
    <row r="383" spans="1:11">
      <c r="A383" s="8" t="s">
        <v>24</v>
      </c>
      <c r="B383" s="9" t="s">
        <v>74</v>
      </c>
      <c r="C383" s="9" t="s">
        <v>75</v>
      </c>
      <c r="D383" s="10"/>
      <c r="E383" s="11"/>
      <c r="F383" s="10"/>
      <c r="G383" s="11"/>
      <c r="H383" s="10"/>
      <c r="I383" s="11"/>
      <c r="J383" s="10"/>
      <c r="K383" s="11"/>
    </row>
    <row r="384" spans="1:11">
      <c r="A384" s="8" t="s">
        <v>25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str">
        <f>"－"</f>
        <v>－</v>
      </c>
    </row>
    <row r="385" spans="1:11">
      <c r="A385" s="8" t="s">
        <v>27</v>
      </c>
      <c r="B385" s="9" t="s">
        <v>74</v>
      </c>
      <c r="C385" s="9" t="s">
        <v>75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 spans="1:11">
      <c r="A386" s="8" t="s">
        <v>28</v>
      </c>
      <c r="B386" s="9" t="s">
        <v>74</v>
      </c>
      <c r="C386" s="9" t="s">
        <v>75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 spans="1:11">
      <c r="A387" s="8" t="s">
        <v>29</v>
      </c>
      <c r="B387" s="9" t="s">
        <v>74</v>
      </c>
      <c r="C387" s="9" t="s">
        <v>75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 spans="1:11">
      <c r="A388" s="8" t="s">
        <v>30</v>
      </c>
      <c r="B388" s="9" t="s">
        <v>74</v>
      </c>
      <c r="C388" s="9" t="s">
        <v>75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str">
        <f>"－"</f>
        <v>－</v>
      </c>
    </row>
    <row r="389" spans="1:11">
      <c r="A389" s="8" t="s">
        <v>31</v>
      </c>
      <c r="B389" s="9" t="s">
        <v>74</v>
      </c>
      <c r="C389" s="9" t="s">
        <v>75</v>
      </c>
      <c r="D389" s="10"/>
      <c r="E389" s="11"/>
      <c r="F389" s="10"/>
      <c r="G389" s="11"/>
      <c r="H389" s="10"/>
      <c r="I389" s="11"/>
      <c r="J389" s="10"/>
      <c r="K389" s="11"/>
    </row>
    <row r="390" spans="1:11">
      <c r="A390" s="8" t="s">
        <v>32</v>
      </c>
      <c r="B390" s="9" t="s">
        <v>74</v>
      </c>
      <c r="C390" s="9" t="s">
        <v>75</v>
      </c>
      <c r="D390" s="10"/>
      <c r="E390" s="11"/>
      <c r="F390" s="10"/>
      <c r="G390" s="11"/>
      <c r="H390" s="10"/>
      <c r="I390" s="11"/>
      <c r="J390" s="10"/>
      <c r="K390" s="11"/>
    </row>
    <row r="391" spans="1:11">
      <c r="A391" s="8" t="s">
        <v>33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 spans="1:11">
      <c r="A392" s="8" t="s">
        <v>34</v>
      </c>
      <c r="B392" s="9" t="s">
        <v>74</v>
      </c>
      <c r="C392" s="9" t="s">
        <v>75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 spans="1:11">
      <c r="A393" s="8" t="s">
        <v>35</v>
      </c>
      <c r="B393" s="9" t="s">
        <v>74</v>
      </c>
      <c r="C393" s="9" t="s">
        <v>75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 spans="1:11">
      <c r="A394" s="8" t="s">
        <v>37</v>
      </c>
      <c r="B394" s="9" t="s">
        <v>74</v>
      </c>
      <c r="C394" s="9" t="s">
        <v>75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 spans="1:11">
      <c r="A395" s="8" t="s">
        <v>38</v>
      </c>
      <c r="B395" s="9" t="s">
        <v>74</v>
      </c>
      <c r="C395" s="9" t="s">
        <v>75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 spans="1:11">
      <c r="A396" s="8" t="s">
        <v>39</v>
      </c>
      <c r="B396" s="9" t="s">
        <v>74</v>
      </c>
      <c r="C396" s="9" t="s">
        <v>75</v>
      </c>
      <c r="D396" s="10"/>
      <c r="E396" s="11"/>
      <c r="F396" s="10"/>
      <c r="G396" s="11"/>
      <c r="H396" s="10"/>
      <c r="I396" s="11"/>
      <c r="J396" s="10"/>
      <c r="K396" s="11"/>
    </row>
    <row r="397" spans="1:11">
      <c r="A397" s="8" t="s">
        <v>40</v>
      </c>
      <c r="B397" s="9" t="s">
        <v>74</v>
      </c>
      <c r="C397" s="9" t="s">
        <v>75</v>
      </c>
      <c r="D397" s="10"/>
      <c r="E397" s="11"/>
      <c r="F397" s="10"/>
      <c r="G397" s="11"/>
      <c r="H397" s="10"/>
      <c r="I397" s="11"/>
      <c r="J397" s="10"/>
      <c r="K397" s="11"/>
    </row>
    <row r="398" spans="1:11">
      <c r="A398" s="8" t="s">
        <v>41</v>
      </c>
      <c r="B398" s="9" t="s">
        <v>74</v>
      </c>
      <c r="C398" s="9" t="s">
        <v>75</v>
      </c>
      <c r="D398" s="10"/>
      <c r="E398" s="11"/>
      <c r="F398" s="10"/>
      <c r="G398" s="11"/>
      <c r="H398" s="10"/>
      <c r="I398" s="11"/>
      <c r="J398" s="10"/>
      <c r="K398" s="11"/>
    </row>
    <row r="399" spans="1:11">
      <c r="A399" s="8" t="s">
        <v>42</v>
      </c>
      <c r="B399" s="9" t="s">
        <v>74</v>
      </c>
      <c r="C399" s="9" t="s">
        <v>75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str">
        <f>"－"</f>
        <v>－</v>
      </c>
    </row>
    <row r="400" spans="1:11">
      <c r="A400" s="8" t="s">
        <v>43</v>
      </c>
      <c r="B400" s="9" t="s">
        <v>74</v>
      </c>
      <c r="C400" s="9" t="s">
        <v>75</v>
      </c>
      <c r="D400" s="10"/>
      <c r="E400" s="11" t="str">
        <f>"－"</f>
        <v>－</v>
      </c>
      <c r="F400" s="10"/>
      <c r="G400" s="11" t="str">
        <f>"－"</f>
        <v>－</v>
      </c>
      <c r="H400" s="10"/>
      <c r="I400" s="11" t="str">
        <f>"－"</f>
        <v>－</v>
      </c>
      <c r="J400" s="10"/>
      <c r="K400" s="11" t="str">
        <f>"－"</f>
        <v>－</v>
      </c>
    </row>
    <row r="401" spans="1:11">
      <c r="A401" s="8" t="s">
        <v>44</v>
      </c>
      <c r="B401" s="9" t="s">
        <v>74</v>
      </c>
      <c r="C401" s="9" t="s">
        <v>75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str">
        <f>"－"</f>
        <v>－</v>
      </c>
    </row>
    <row r="402" spans="1:11">
      <c r="A402" s="8" t="s">
        <v>45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 spans="1:11">
      <c r="A403" s="8" t="s">
        <v>46</v>
      </c>
      <c r="B403" s="9" t="s">
        <v>74</v>
      </c>
      <c r="C403" s="9" t="s">
        <v>75</v>
      </c>
      <c r="D403" s="10"/>
      <c r="E403" s="11"/>
      <c r="F403" s="10"/>
      <c r="G403" s="11"/>
      <c r="H403" s="10"/>
      <c r="I403" s="11"/>
      <c r="J403" s="10"/>
      <c r="K403" s="11"/>
    </row>
    <row r="404" spans="1:11">
      <c r="A404" s="8" t="s">
        <v>47</v>
      </c>
      <c r="B404" s="9" t="s">
        <v>74</v>
      </c>
      <c r="C404" s="9" t="s">
        <v>75</v>
      </c>
      <c r="D404" s="10"/>
      <c r="E404" s="11"/>
      <c r="F404" s="10"/>
      <c r="G404" s="11"/>
      <c r="H404" s="10"/>
      <c r="I404" s="11"/>
      <c r="J404" s="10"/>
      <c r="K404" s="11"/>
    </row>
    <row r="405" spans="1:11">
      <c r="A405" s="8" t="s">
        <v>48</v>
      </c>
      <c r="B405" s="9" t="s">
        <v>74</v>
      </c>
      <c r="C405" s="9" t="s">
        <v>75</v>
      </c>
      <c r="D405" s="10"/>
      <c r="E405" s="11" t="str">
        <f t="shared" ref="E405:E412" si="12">"－"</f>
        <v>－</v>
      </c>
      <c r="F405" s="10"/>
      <c r="G405" s="11" t="str">
        <f t="shared" ref="G405:G412" si="13">"－"</f>
        <v>－</v>
      </c>
      <c r="H405" s="10"/>
      <c r="I405" s="11" t="str">
        <f t="shared" ref="I405:I412" si="14">"－"</f>
        <v>－</v>
      </c>
      <c r="J405" s="10"/>
      <c r="K405" s="11" t="str">
        <f t="shared" ref="K405:K412" si="15">"－"</f>
        <v>－</v>
      </c>
    </row>
    <row r="406" spans="1:11">
      <c r="A406" s="8" t="s">
        <v>49</v>
      </c>
      <c r="B406" s="9" t="s">
        <v>74</v>
      </c>
      <c r="C406" s="9" t="s">
        <v>75</v>
      </c>
      <c r="D406" s="10"/>
      <c r="E406" s="11" t="str">
        <f t="shared" si="12"/>
        <v>－</v>
      </c>
      <c r="F406" s="10"/>
      <c r="G406" s="11" t="str">
        <f t="shared" si="13"/>
        <v>－</v>
      </c>
      <c r="H406" s="10"/>
      <c r="I406" s="11" t="str">
        <f t="shared" si="14"/>
        <v>－</v>
      </c>
      <c r="J406" s="10"/>
      <c r="K406" s="11" t="str">
        <f t="shared" si="15"/>
        <v>－</v>
      </c>
    </row>
    <row r="407" spans="1:11">
      <c r="A407" s="8" t="s">
        <v>50</v>
      </c>
      <c r="B407" s="9" t="s">
        <v>74</v>
      </c>
      <c r="C407" s="9" t="s">
        <v>75</v>
      </c>
      <c r="D407" s="10"/>
      <c r="E407" s="11" t="str">
        <f t="shared" si="12"/>
        <v>－</v>
      </c>
      <c r="F407" s="10"/>
      <c r="G407" s="11" t="str">
        <f t="shared" si="13"/>
        <v>－</v>
      </c>
      <c r="H407" s="10"/>
      <c r="I407" s="11" t="str">
        <f t="shared" si="14"/>
        <v>－</v>
      </c>
      <c r="J407" s="10"/>
      <c r="K407" s="11" t="str">
        <f t="shared" si="15"/>
        <v>－</v>
      </c>
    </row>
    <row r="408" spans="1:11">
      <c r="A408" s="8" t="s">
        <v>51</v>
      </c>
      <c r="B408" s="9" t="s">
        <v>74</v>
      </c>
      <c r="C408" s="9" t="s">
        <v>75</v>
      </c>
      <c r="D408" s="10"/>
      <c r="E408" s="11" t="str">
        <f t="shared" si="12"/>
        <v>－</v>
      </c>
      <c r="F408" s="10"/>
      <c r="G408" s="11" t="str">
        <f t="shared" si="13"/>
        <v>－</v>
      </c>
      <c r="H408" s="10"/>
      <c r="I408" s="11" t="str">
        <f t="shared" si="14"/>
        <v>－</v>
      </c>
      <c r="J408" s="10"/>
      <c r="K408" s="11" t="str">
        <f t="shared" si="15"/>
        <v>－</v>
      </c>
    </row>
    <row r="409" spans="1:11">
      <c r="A409" s="8" t="s">
        <v>16</v>
      </c>
      <c r="B409" s="9" t="s">
        <v>76</v>
      </c>
      <c r="C409" s="9" t="s">
        <v>77</v>
      </c>
      <c r="D409" s="10" t="s">
        <v>19</v>
      </c>
      <c r="E409" s="11" t="str">
        <f t="shared" si="12"/>
        <v>－</v>
      </c>
      <c r="F409" s="10" t="s">
        <v>19</v>
      </c>
      <c r="G409" s="11" t="str">
        <f t="shared" si="13"/>
        <v>－</v>
      </c>
      <c r="H409" s="10" t="s">
        <v>19</v>
      </c>
      <c r="I409" s="11" t="str">
        <f t="shared" si="14"/>
        <v>－</v>
      </c>
      <c r="J409" s="10" t="s">
        <v>19</v>
      </c>
      <c r="K409" s="11" t="str">
        <f t="shared" si="15"/>
        <v>－</v>
      </c>
    </row>
    <row r="410" spans="1:11">
      <c r="A410" s="8" t="s">
        <v>20</v>
      </c>
      <c r="B410" s="9" t="s">
        <v>76</v>
      </c>
      <c r="C410" s="9" t="s">
        <v>77</v>
      </c>
      <c r="D410" s="10"/>
      <c r="E410" s="11" t="str">
        <f t="shared" si="12"/>
        <v>－</v>
      </c>
      <c r="F410" s="10"/>
      <c r="G410" s="11" t="str">
        <f t="shared" si="13"/>
        <v>－</v>
      </c>
      <c r="H410" s="10"/>
      <c r="I410" s="11" t="str">
        <f t="shared" si="14"/>
        <v>－</v>
      </c>
      <c r="J410" s="10"/>
      <c r="K410" s="11" t="str">
        <f t="shared" si="15"/>
        <v>－</v>
      </c>
    </row>
    <row r="411" spans="1:11">
      <c r="A411" s="8" t="s">
        <v>21</v>
      </c>
      <c r="B411" s="9" t="s">
        <v>76</v>
      </c>
      <c r="C411" s="9" t="s">
        <v>77</v>
      </c>
      <c r="D411" s="10"/>
      <c r="E411" s="11" t="str">
        <f t="shared" si="12"/>
        <v>－</v>
      </c>
      <c r="F411" s="10"/>
      <c r="G411" s="11" t="str">
        <f t="shared" si="13"/>
        <v>－</v>
      </c>
      <c r="H411" s="10"/>
      <c r="I411" s="11" t="str">
        <f t="shared" si="14"/>
        <v>－</v>
      </c>
      <c r="J411" s="10"/>
      <c r="K411" s="11" t="str">
        <f t="shared" si="15"/>
        <v>－</v>
      </c>
    </row>
    <row r="412" spans="1:11">
      <c r="A412" s="8" t="s">
        <v>22</v>
      </c>
      <c r="B412" s="9" t="s">
        <v>76</v>
      </c>
      <c r="C412" s="9" t="s">
        <v>77</v>
      </c>
      <c r="D412" s="10"/>
      <c r="E412" s="11" t="str">
        <f t="shared" si="12"/>
        <v>－</v>
      </c>
      <c r="F412" s="10"/>
      <c r="G412" s="11" t="str">
        <f t="shared" si="13"/>
        <v>－</v>
      </c>
      <c r="H412" s="10"/>
      <c r="I412" s="11" t="str">
        <f t="shared" si="14"/>
        <v>－</v>
      </c>
      <c r="J412" s="10"/>
      <c r="K412" s="11" t="str">
        <f t="shared" si="15"/>
        <v>－</v>
      </c>
    </row>
    <row r="413" spans="1:11">
      <c r="A413" s="8" t="s">
        <v>23</v>
      </c>
      <c r="B413" s="9" t="s">
        <v>76</v>
      </c>
      <c r="C413" s="9" t="s">
        <v>77</v>
      </c>
      <c r="D413" s="10"/>
      <c r="E413" s="11"/>
      <c r="F413" s="10"/>
      <c r="G413" s="11"/>
      <c r="H413" s="10"/>
      <c r="I413" s="11"/>
      <c r="J413" s="10"/>
      <c r="K413" s="11"/>
    </row>
    <row r="414" spans="1:11">
      <c r="A414" s="8" t="s">
        <v>24</v>
      </c>
      <c r="B414" s="9" t="s">
        <v>76</v>
      </c>
      <c r="C414" s="9" t="s">
        <v>77</v>
      </c>
      <c r="D414" s="10"/>
      <c r="E414" s="11"/>
      <c r="F414" s="10"/>
      <c r="G414" s="11"/>
      <c r="H414" s="10"/>
      <c r="I414" s="11"/>
      <c r="J414" s="10"/>
      <c r="K414" s="11"/>
    </row>
    <row r="415" spans="1:11">
      <c r="A415" s="8" t="s">
        <v>25</v>
      </c>
      <c r="B415" s="9" t="s">
        <v>76</v>
      </c>
      <c r="C415" s="9" t="s">
        <v>77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 spans="1:11">
      <c r="A416" s="8" t="s">
        <v>27</v>
      </c>
      <c r="B416" s="9" t="s">
        <v>76</v>
      </c>
      <c r="C416" s="9" t="s">
        <v>77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 spans="1:11">
      <c r="A417" s="8" t="s">
        <v>28</v>
      </c>
      <c r="B417" s="9" t="s">
        <v>76</v>
      </c>
      <c r="C417" s="9" t="s">
        <v>77</v>
      </c>
      <c r="D417" s="10"/>
      <c r="E417" s="11" t="str">
        <f>"－"</f>
        <v>－</v>
      </c>
      <c r="F417" s="10"/>
      <c r="G417" s="11" t="str">
        <f>"－"</f>
        <v>－</v>
      </c>
      <c r="H417" s="10"/>
      <c r="I417" s="11" t="str">
        <f>"－"</f>
        <v>－</v>
      </c>
      <c r="J417" s="10"/>
      <c r="K417" s="11" t="str">
        <f>"－"</f>
        <v>－</v>
      </c>
    </row>
    <row r="418" spans="1:11">
      <c r="A418" s="8" t="s">
        <v>29</v>
      </c>
      <c r="B418" s="9" t="s">
        <v>76</v>
      </c>
      <c r="C418" s="9" t="s">
        <v>77</v>
      </c>
      <c r="D418" s="10"/>
      <c r="E418" s="11" t="str">
        <f>"－"</f>
        <v>－</v>
      </c>
      <c r="F418" s="10"/>
      <c r="G418" s="11" t="str">
        <f>"－"</f>
        <v>－</v>
      </c>
      <c r="H418" s="10"/>
      <c r="I418" s="11" t="str">
        <f>"－"</f>
        <v>－</v>
      </c>
      <c r="J418" s="10"/>
      <c r="K418" s="11" t="str">
        <f>"－"</f>
        <v>－</v>
      </c>
    </row>
    <row r="419" spans="1:11">
      <c r="A419" s="8" t="s">
        <v>30</v>
      </c>
      <c r="B419" s="9" t="s">
        <v>76</v>
      </c>
      <c r="C419" s="9" t="s">
        <v>77</v>
      </c>
      <c r="D419" s="10"/>
      <c r="E419" s="11" t="str">
        <f>"－"</f>
        <v>－</v>
      </c>
      <c r="F419" s="10"/>
      <c r="G419" s="11" t="str">
        <f>"－"</f>
        <v>－</v>
      </c>
      <c r="H419" s="10"/>
      <c r="I419" s="11" t="str">
        <f>"－"</f>
        <v>－</v>
      </c>
      <c r="J419" s="10"/>
      <c r="K419" s="11" t="str">
        <f>"－"</f>
        <v>－</v>
      </c>
    </row>
    <row r="420" spans="1:11">
      <c r="A420" s="8" t="s">
        <v>31</v>
      </c>
      <c r="B420" s="9" t="s">
        <v>76</v>
      </c>
      <c r="C420" s="9" t="s">
        <v>77</v>
      </c>
      <c r="D420" s="10"/>
      <c r="E420" s="11"/>
      <c r="F420" s="10"/>
      <c r="G420" s="11"/>
      <c r="H420" s="10"/>
      <c r="I420" s="11"/>
      <c r="J420" s="10"/>
      <c r="K420" s="11"/>
    </row>
    <row r="421" spans="1:11">
      <c r="A421" s="8" t="s">
        <v>32</v>
      </c>
      <c r="B421" s="9" t="s">
        <v>76</v>
      </c>
      <c r="C421" s="9" t="s">
        <v>77</v>
      </c>
      <c r="D421" s="10"/>
      <c r="E421" s="11"/>
      <c r="F421" s="10"/>
      <c r="G421" s="11"/>
      <c r="H421" s="10"/>
      <c r="I421" s="11"/>
      <c r="J421" s="10"/>
      <c r="K421" s="11"/>
    </row>
    <row r="422" spans="1:11">
      <c r="A422" s="8" t="s">
        <v>33</v>
      </c>
      <c r="B422" s="9" t="s">
        <v>76</v>
      </c>
      <c r="C422" s="9" t="s">
        <v>77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 spans="1:11">
      <c r="A423" s="8" t="s">
        <v>34</v>
      </c>
      <c r="B423" s="9" t="s">
        <v>76</v>
      </c>
      <c r="C423" s="9" t="s">
        <v>77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 spans="1:11">
      <c r="A424" s="8" t="s">
        <v>35</v>
      </c>
      <c r="B424" s="9" t="s">
        <v>76</v>
      </c>
      <c r="C424" s="9" t="s">
        <v>77</v>
      </c>
      <c r="D424" s="10"/>
      <c r="E424" s="11" t="str">
        <f>"－"</f>
        <v>－</v>
      </c>
      <c r="F424" s="10"/>
      <c r="G424" s="11" t="str">
        <f>"－"</f>
        <v>－</v>
      </c>
      <c r="H424" s="10"/>
      <c r="I424" s="11" t="str">
        <f>"－"</f>
        <v>－</v>
      </c>
      <c r="J424" s="10"/>
      <c r="K424" s="11" t="str">
        <f>"－"</f>
        <v>－</v>
      </c>
    </row>
    <row r="425" spans="1:11">
      <c r="A425" s="8" t="s">
        <v>37</v>
      </c>
      <c r="B425" s="9" t="s">
        <v>76</v>
      </c>
      <c r="C425" s="9" t="s">
        <v>77</v>
      </c>
      <c r="D425" s="10"/>
      <c r="E425" s="11" t="str">
        <f>"－"</f>
        <v>－</v>
      </c>
      <c r="F425" s="10"/>
      <c r="G425" s="11" t="str">
        <f>"－"</f>
        <v>－</v>
      </c>
      <c r="H425" s="10"/>
      <c r="I425" s="11" t="str">
        <f>"－"</f>
        <v>－</v>
      </c>
      <c r="J425" s="10"/>
      <c r="K425" s="11" t="str">
        <f>"－"</f>
        <v>－</v>
      </c>
    </row>
    <row r="426" spans="1:11">
      <c r="A426" s="8" t="s">
        <v>38</v>
      </c>
      <c r="B426" s="9" t="s">
        <v>76</v>
      </c>
      <c r="C426" s="9" t="s">
        <v>77</v>
      </c>
      <c r="D426" s="10"/>
      <c r="E426" s="11" t="str">
        <f>"－"</f>
        <v>－</v>
      </c>
      <c r="F426" s="10"/>
      <c r="G426" s="11" t="str">
        <f>"－"</f>
        <v>－</v>
      </c>
      <c r="H426" s="10"/>
      <c r="I426" s="11" t="str">
        <f>"－"</f>
        <v>－</v>
      </c>
      <c r="J426" s="10"/>
      <c r="K426" s="11" t="str">
        <f>"－"</f>
        <v>－</v>
      </c>
    </row>
    <row r="427" spans="1:11">
      <c r="A427" s="8" t="s">
        <v>39</v>
      </c>
      <c r="B427" s="9" t="s">
        <v>76</v>
      </c>
      <c r="C427" s="9" t="s">
        <v>77</v>
      </c>
      <c r="D427" s="10"/>
      <c r="E427" s="11"/>
      <c r="F427" s="10"/>
      <c r="G427" s="11"/>
      <c r="H427" s="10"/>
      <c r="I427" s="11"/>
      <c r="J427" s="10"/>
      <c r="K427" s="11"/>
    </row>
    <row r="428" spans="1:11">
      <c r="A428" s="8" t="s">
        <v>40</v>
      </c>
      <c r="B428" s="9" t="s">
        <v>76</v>
      </c>
      <c r="C428" s="9" t="s">
        <v>77</v>
      </c>
      <c r="D428" s="10"/>
      <c r="E428" s="11"/>
      <c r="F428" s="10"/>
      <c r="G428" s="11"/>
      <c r="H428" s="10"/>
      <c r="I428" s="11"/>
      <c r="J428" s="10"/>
      <c r="K428" s="11"/>
    </row>
    <row r="429" spans="1:11">
      <c r="A429" s="8" t="s">
        <v>41</v>
      </c>
      <c r="B429" s="9" t="s">
        <v>76</v>
      </c>
      <c r="C429" s="9" t="s">
        <v>77</v>
      </c>
      <c r="D429" s="10"/>
      <c r="E429" s="11"/>
      <c r="F429" s="10"/>
      <c r="G429" s="11"/>
      <c r="H429" s="10"/>
      <c r="I429" s="11"/>
      <c r="J429" s="10"/>
      <c r="K429" s="11"/>
    </row>
    <row r="430" spans="1:11">
      <c r="A430" s="8" t="s">
        <v>42</v>
      </c>
      <c r="B430" s="9" t="s">
        <v>76</v>
      </c>
      <c r="C430" s="9" t="s">
        <v>77</v>
      </c>
      <c r="D430" s="10"/>
      <c r="E430" s="11" t="str">
        <f>"－"</f>
        <v>－</v>
      </c>
      <c r="F430" s="10"/>
      <c r="G430" s="11" t="str">
        <f>"－"</f>
        <v>－</v>
      </c>
      <c r="H430" s="10"/>
      <c r="I430" s="11" t="str">
        <f>"－"</f>
        <v>－</v>
      </c>
      <c r="J430" s="10"/>
      <c r="K430" s="11" t="str">
        <f>"－"</f>
        <v>－</v>
      </c>
    </row>
    <row r="431" spans="1:11">
      <c r="A431" s="8" t="s">
        <v>43</v>
      </c>
      <c r="B431" s="9" t="s">
        <v>76</v>
      </c>
      <c r="C431" s="9" t="s">
        <v>77</v>
      </c>
      <c r="D431" s="10"/>
      <c r="E431" s="11" t="str">
        <f>"－"</f>
        <v>－</v>
      </c>
      <c r="F431" s="10"/>
      <c r="G431" s="11" t="str">
        <f>"－"</f>
        <v>－</v>
      </c>
      <c r="H431" s="10"/>
      <c r="I431" s="11" t="str">
        <f>"－"</f>
        <v>－</v>
      </c>
      <c r="J431" s="10"/>
      <c r="K431" s="11" t="str">
        <f>"－"</f>
        <v>－</v>
      </c>
    </row>
    <row r="432" spans="1:11">
      <c r="A432" s="8" t="s">
        <v>44</v>
      </c>
      <c r="B432" s="9" t="s">
        <v>76</v>
      </c>
      <c r="C432" s="9" t="s">
        <v>77</v>
      </c>
      <c r="D432" s="10"/>
      <c r="E432" s="11" t="str">
        <f>"－"</f>
        <v>－</v>
      </c>
      <c r="F432" s="10"/>
      <c r="G432" s="11" t="str">
        <f>"－"</f>
        <v>－</v>
      </c>
      <c r="H432" s="10"/>
      <c r="I432" s="11" t="str">
        <f>"－"</f>
        <v>－</v>
      </c>
      <c r="J432" s="10"/>
      <c r="K432" s="11" t="str">
        <f>"－"</f>
        <v>－</v>
      </c>
    </row>
    <row r="433" spans="1:11">
      <c r="A433" s="8" t="s">
        <v>45</v>
      </c>
      <c r="B433" s="9" t="s">
        <v>76</v>
      </c>
      <c r="C433" s="9" t="s">
        <v>77</v>
      </c>
      <c r="D433" s="10"/>
      <c r="E433" s="11" t="str">
        <f>"－"</f>
        <v>－</v>
      </c>
      <c r="F433" s="10"/>
      <c r="G433" s="11" t="str">
        <f>"－"</f>
        <v>－</v>
      </c>
      <c r="H433" s="10"/>
      <c r="I433" s="11" t="str">
        <f>"－"</f>
        <v>－</v>
      </c>
      <c r="J433" s="10"/>
      <c r="K433" s="11" t="str">
        <f>"－"</f>
        <v>－</v>
      </c>
    </row>
    <row r="434" spans="1:11">
      <c r="A434" s="8" t="s">
        <v>46</v>
      </c>
      <c r="B434" s="9" t="s">
        <v>76</v>
      </c>
      <c r="C434" s="9" t="s">
        <v>77</v>
      </c>
      <c r="D434" s="10"/>
      <c r="E434" s="11"/>
      <c r="F434" s="10"/>
      <c r="G434" s="11"/>
      <c r="H434" s="10"/>
      <c r="I434" s="11"/>
      <c r="J434" s="10"/>
      <c r="K434" s="11"/>
    </row>
    <row r="435" spans="1:11">
      <c r="A435" s="8" t="s">
        <v>47</v>
      </c>
      <c r="B435" s="9" t="s">
        <v>76</v>
      </c>
      <c r="C435" s="9" t="s">
        <v>77</v>
      </c>
      <c r="D435" s="10"/>
      <c r="E435" s="11"/>
      <c r="F435" s="10"/>
      <c r="G435" s="11"/>
      <c r="H435" s="10"/>
      <c r="I435" s="11"/>
      <c r="J435" s="10"/>
      <c r="K435" s="11"/>
    </row>
    <row r="436" spans="1:11">
      <c r="A436" s="8" t="s">
        <v>48</v>
      </c>
      <c r="B436" s="9" t="s">
        <v>76</v>
      </c>
      <c r="C436" s="9" t="s">
        <v>77</v>
      </c>
      <c r="D436" s="10"/>
      <c r="E436" s="11" t="str">
        <f>"－"</f>
        <v>－</v>
      </c>
      <c r="F436" s="10"/>
      <c r="G436" s="11" t="str">
        <f>"－"</f>
        <v>－</v>
      </c>
      <c r="H436" s="10"/>
      <c r="I436" s="11" t="str">
        <f t="shared" ref="I436:I443" si="16">"－"</f>
        <v>－</v>
      </c>
      <c r="J436" s="10"/>
      <c r="K436" s="11" t="str">
        <f>"－"</f>
        <v>－</v>
      </c>
    </row>
    <row r="437" spans="1:11">
      <c r="A437" s="8" t="s">
        <v>49</v>
      </c>
      <c r="B437" s="9" t="s">
        <v>76</v>
      </c>
      <c r="C437" s="9" t="s">
        <v>77</v>
      </c>
      <c r="D437" s="10"/>
      <c r="E437" s="11" t="str">
        <f>"－"</f>
        <v>－</v>
      </c>
      <c r="F437" s="10"/>
      <c r="G437" s="11" t="str">
        <f>"－"</f>
        <v>－</v>
      </c>
      <c r="H437" s="10"/>
      <c r="I437" s="11" t="str">
        <f t="shared" si="16"/>
        <v>－</v>
      </c>
      <c r="J437" s="10"/>
      <c r="K437" s="11" t="str">
        <f>"－"</f>
        <v>－</v>
      </c>
    </row>
    <row r="438" spans="1:11">
      <c r="A438" s="8" t="s">
        <v>50</v>
      </c>
      <c r="B438" s="9" t="s">
        <v>76</v>
      </c>
      <c r="C438" s="9" t="s">
        <v>77</v>
      </c>
      <c r="D438" s="10"/>
      <c r="E438" s="11" t="str">
        <f>"－"</f>
        <v>－</v>
      </c>
      <c r="F438" s="10"/>
      <c r="G438" s="11" t="str">
        <f>"－"</f>
        <v>－</v>
      </c>
      <c r="H438" s="10"/>
      <c r="I438" s="11" t="str">
        <f t="shared" si="16"/>
        <v>－</v>
      </c>
      <c r="J438" s="10"/>
      <c r="K438" s="11" t="str">
        <f>"－"</f>
        <v>－</v>
      </c>
    </row>
    <row r="439" spans="1:11">
      <c r="A439" s="8" t="s">
        <v>51</v>
      </c>
      <c r="B439" s="9" t="s">
        <v>76</v>
      </c>
      <c r="C439" s="9" t="s">
        <v>77</v>
      </c>
      <c r="D439" s="10"/>
      <c r="E439" s="11" t="str">
        <f>"－"</f>
        <v>－</v>
      </c>
      <c r="F439" s="10"/>
      <c r="G439" s="11" t="str">
        <f>"－"</f>
        <v>－</v>
      </c>
      <c r="H439" s="10"/>
      <c r="I439" s="11" t="str">
        <f t="shared" si="16"/>
        <v>－</v>
      </c>
      <c r="J439" s="10"/>
      <c r="K439" s="11" t="str">
        <f>"－"</f>
        <v>－</v>
      </c>
    </row>
    <row r="440" spans="1:11">
      <c r="A440" s="8" t="s">
        <v>16</v>
      </c>
      <c r="B440" s="9" t="s">
        <v>78</v>
      </c>
      <c r="C440" s="9" t="s">
        <v>79</v>
      </c>
      <c r="D440" s="10"/>
      <c r="E440" s="11">
        <f>7</f>
        <v>7</v>
      </c>
      <c r="F440" s="10"/>
      <c r="G440" s="11">
        <f>27429000</f>
        <v>27429000</v>
      </c>
      <c r="H440" s="10" t="s">
        <v>19</v>
      </c>
      <c r="I440" s="11" t="str">
        <f t="shared" si="16"/>
        <v>－</v>
      </c>
      <c r="J440" s="10"/>
      <c r="K440" s="11">
        <f>431</f>
        <v>431</v>
      </c>
    </row>
    <row r="441" spans="1:11">
      <c r="A441" s="8" t="s">
        <v>20</v>
      </c>
      <c r="B441" s="9" t="s">
        <v>78</v>
      </c>
      <c r="C441" s="9" t="s">
        <v>79</v>
      </c>
      <c r="D441" s="10"/>
      <c r="E441" s="11">
        <f>26</f>
        <v>26</v>
      </c>
      <c r="F441" s="10"/>
      <c r="G441" s="11">
        <f>103874000</f>
        <v>103874000</v>
      </c>
      <c r="H441" s="10"/>
      <c r="I441" s="11" t="str">
        <f t="shared" si="16"/>
        <v>－</v>
      </c>
      <c r="J441" s="10"/>
      <c r="K441" s="11">
        <f>418</f>
        <v>418</v>
      </c>
    </row>
    <row r="442" spans="1:11">
      <c r="A442" s="8" t="s">
        <v>21</v>
      </c>
      <c r="B442" s="9" t="s">
        <v>78</v>
      </c>
      <c r="C442" s="9" t="s">
        <v>79</v>
      </c>
      <c r="D442" s="10"/>
      <c r="E442" s="11">
        <f>30</f>
        <v>30</v>
      </c>
      <c r="F442" s="10"/>
      <c r="G442" s="11">
        <f>123482500</f>
        <v>123482500</v>
      </c>
      <c r="H442" s="10"/>
      <c r="I442" s="11" t="str">
        <f t="shared" si="16"/>
        <v>－</v>
      </c>
      <c r="J442" s="10"/>
      <c r="K442" s="11">
        <f>414</f>
        <v>414</v>
      </c>
    </row>
    <row r="443" spans="1:11">
      <c r="A443" s="8" t="s">
        <v>22</v>
      </c>
      <c r="B443" s="9" t="s">
        <v>78</v>
      </c>
      <c r="C443" s="9" t="s">
        <v>79</v>
      </c>
      <c r="D443" s="10"/>
      <c r="E443" s="11">
        <f>23</f>
        <v>23</v>
      </c>
      <c r="F443" s="10"/>
      <c r="G443" s="11">
        <f>94603000</f>
        <v>94603000</v>
      </c>
      <c r="H443" s="10"/>
      <c r="I443" s="11" t="str">
        <f t="shared" si="16"/>
        <v>－</v>
      </c>
      <c r="J443" s="10"/>
      <c r="K443" s="11">
        <f>413</f>
        <v>413</v>
      </c>
    </row>
    <row r="444" spans="1:11">
      <c r="A444" s="8" t="s">
        <v>23</v>
      </c>
      <c r="B444" s="9" t="s">
        <v>78</v>
      </c>
      <c r="C444" s="9" t="s">
        <v>79</v>
      </c>
      <c r="D444" s="10"/>
      <c r="E444" s="11"/>
      <c r="F444" s="10"/>
      <c r="G444" s="11"/>
      <c r="H444" s="10"/>
      <c r="I444" s="11"/>
      <c r="J444" s="10"/>
      <c r="K444" s="11"/>
    </row>
    <row r="445" spans="1:11">
      <c r="A445" s="8" t="s">
        <v>24</v>
      </c>
      <c r="B445" s="9" t="s">
        <v>78</v>
      </c>
      <c r="C445" s="9" t="s">
        <v>79</v>
      </c>
      <c r="D445" s="10"/>
      <c r="E445" s="11"/>
      <c r="F445" s="10"/>
      <c r="G445" s="11"/>
      <c r="H445" s="10"/>
      <c r="I445" s="11"/>
      <c r="J445" s="10"/>
      <c r="K445" s="11"/>
    </row>
    <row r="446" spans="1:11">
      <c r="A446" s="8" t="s">
        <v>25</v>
      </c>
      <c r="B446" s="9" t="s">
        <v>78</v>
      </c>
      <c r="C446" s="9" t="s">
        <v>79</v>
      </c>
      <c r="D446" s="10"/>
      <c r="E446" s="11">
        <f>14</f>
        <v>14</v>
      </c>
      <c r="F446" s="10"/>
      <c r="G446" s="11">
        <f>62503000</f>
        <v>62503000</v>
      </c>
      <c r="H446" s="10"/>
      <c r="I446" s="11" t="str">
        <f>"－"</f>
        <v>－</v>
      </c>
      <c r="J446" s="10"/>
      <c r="K446" s="11">
        <f>412</f>
        <v>412</v>
      </c>
    </row>
    <row r="447" spans="1:11">
      <c r="A447" s="8" t="s">
        <v>27</v>
      </c>
      <c r="B447" s="9" t="s">
        <v>78</v>
      </c>
      <c r="C447" s="9" t="s">
        <v>79</v>
      </c>
      <c r="D447" s="10"/>
      <c r="E447" s="11">
        <f>39</f>
        <v>39</v>
      </c>
      <c r="F447" s="10"/>
      <c r="G447" s="11">
        <f>179348500</f>
        <v>179348500</v>
      </c>
      <c r="H447" s="10"/>
      <c r="I447" s="11" t="str">
        <f>"－"</f>
        <v>－</v>
      </c>
      <c r="J447" s="10"/>
      <c r="K447" s="11">
        <f>402</f>
        <v>402</v>
      </c>
    </row>
    <row r="448" spans="1:11">
      <c r="A448" s="8" t="s">
        <v>28</v>
      </c>
      <c r="B448" s="9" t="s">
        <v>78</v>
      </c>
      <c r="C448" s="9" t="s">
        <v>79</v>
      </c>
      <c r="D448" s="10"/>
      <c r="E448" s="11">
        <f>76</f>
        <v>76</v>
      </c>
      <c r="F448" s="10"/>
      <c r="G448" s="11">
        <f>334945000</f>
        <v>334945000</v>
      </c>
      <c r="H448" s="10"/>
      <c r="I448" s="11" t="str">
        <f>"－"</f>
        <v>－</v>
      </c>
      <c r="J448" s="10"/>
      <c r="K448" s="11">
        <f>441</f>
        <v>441</v>
      </c>
    </row>
    <row r="449" spans="1:11">
      <c r="A449" s="8" t="s">
        <v>29</v>
      </c>
      <c r="B449" s="9" t="s">
        <v>78</v>
      </c>
      <c r="C449" s="9" t="s">
        <v>79</v>
      </c>
      <c r="D449" s="10"/>
      <c r="E449" s="11">
        <f>42</f>
        <v>42</v>
      </c>
      <c r="F449" s="10"/>
      <c r="G449" s="11">
        <f>175514000</f>
        <v>175514000</v>
      </c>
      <c r="H449" s="10"/>
      <c r="I449" s="11" t="str">
        <f>"－"</f>
        <v>－</v>
      </c>
      <c r="J449" s="10" t="s">
        <v>26</v>
      </c>
      <c r="K449" s="11">
        <f>454</f>
        <v>454</v>
      </c>
    </row>
    <row r="450" spans="1:11">
      <c r="A450" s="8" t="s">
        <v>30</v>
      </c>
      <c r="B450" s="9" t="s">
        <v>78</v>
      </c>
      <c r="C450" s="9" t="s">
        <v>79</v>
      </c>
      <c r="D450" s="10" t="s">
        <v>26</v>
      </c>
      <c r="E450" s="11">
        <f>86</f>
        <v>86</v>
      </c>
      <c r="F450" s="10" t="s">
        <v>26</v>
      </c>
      <c r="G450" s="11">
        <f>366981500</f>
        <v>366981500</v>
      </c>
      <c r="H450" s="10"/>
      <c r="I450" s="11" t="str">
        <f>"－"</f>
        <v>－</v>
      </c>
      <c r="J450" s="10"/>
      <c r="K450" s="11">
        <f>441</f>
        <v>441</v>
      </c>
    </row>
    <row r="451" spans="1:11">
      <c r="A451" s="8" t="s">
        <v>31</v>
      </c>
      <c r="B451" s="9" t="s">
        <v>78</v>
      </c>
      <c r="C451" s="9" t="s">
        <v>79</v>
      </c>
      <c r="D451" s="10"/>
      <c r="E451" s="11"/>
      <c r="F451" s="10"/>
      <c r="G451" s="11"/>
      <c r="H451" s="10"/>
      <c r="I451" s="11"/>
      <c r="J451" s="10"/>
      <c r="K451" s="11"/>
    </row>
    <row r="452" spans="1:11">
      <c r="A452" s="8" t="s">
        <v>32</v>
      </c>
      <c r="B452" s="9" t="s">
        <v>78</v>
      </c>
      <c r="C452" s="9" t="s">
        <v>79</v>
      </c>
      <c r="D452" s="10"/>
      <c r="E452" s="11"/>
      <c r="F452" s="10"/>
      <c r="G452" s="11"/>
      <c r="H452" s="10"/>
      <c r="I452" s="11"/>
      <c r="J452" s="10"/>
      <c r="K452" s="11"/>
    </row>
    <row r="453" spans="1:11">
      <c r="A453" s="8" t="s">
        <v>33</v>
      </c>
      <c r="B453" s="9" t="s">
        <v>78</v>
      </c>
      <c r="C453" s="9" t="s">
        <v>79</v>
      </c>
      <c r="D453" s="10"/>
      <c r="E453" s="11">
        <f>27</f>
        <v>27</v>
      </c>
      <c r="F453" s="10"/>
      <c r="G453" s="11">
        <f>111138000</f>
        <v>111138000</v>
      </c>
      <c r="H453" s="10"/>
      <c r="I453" s="11" t="str">
        <f>"－"</f>
        <v>－</v>
      </c>
      <c r="J453" s="10"/>
      <c r="K453" s="11">
        <f>433</f>
        <v>433</v>
      </c>
    </row>
    <row r="454" spans="1:11">
      <c r="A454" s="8" t="s">
        <v>34</v>
      </c>
      <c r="B454" s="9" t="s">
        <v>78</v>
      </c>
      <c r="C454" s="9" t="s">
        <v>79</v>
      </c>
      <c r="D454" s="10"/>
      <c r="E454" s="11">
        <f>33</f>
        <v>33</v>
      </c>
      <c r="F454" s="10"/>
      <c r="G454" s="11">
        <f>131264500</f>
        <v>131264500</v>
      </c>
      <c r="H454" s="10"/>
      <c r="I454" s="11" t="str">
        <f>"－"</f>
        <v>－</v>
      </c>
      <c r="J454" s="10"/>
      <c r="K454" s="11">
        <f>430</f>
        <v>430</v>
      </c>
    </row>
    <row r="455" spans="1:11">
      <c r="A455" s="8" t="s">
        <v>35</v>
      </c>
      <c r="B455" s="9" t="s">
        <v>78</v>
      </c>
      <c r="C455" s="9" t="s">
        <v>79</v>
      </c>
      <c r="D455" s="10"/>
      <c r="E455" s="11">
        <f>65</f>
        <v>65</v>
      </c>
      <c r="F455" s="10"/>
      <c r="G455" s="11">
        <f>253993500</f>
        <v>253993500</v>
      </c>
      <c r="H455" s="10"/>
      <c r="I455" s="11" t="str">
        <f>"－"</f>
        <v>－</v>
      </c>
      <c r="J455" s="10"/>
      <c r="K455" s="11">
        <f>430</f>
        <v>430</v>
      </c>
    </row>
    <row r="456" spans="1:11">
      <c r="A456" s="8" t="s">
        <v>37</v>
      </c>
      <c r="B456" s="9" t="s">
        <v>78</v>
      </c>
      <c r="C456" s="9" t="s">
        <v>79</v>
      </c>
      <c r="D456" s="10"/>
      <c r="E456" s="11">
        <f>5</f>
        <v>5</v>
      </c>
      <c r="F456" s="10"/>
      <c r="G456" s="11">
        <f>20022500</f>
        <v>20022500</v>
      </c>
      <c r="H456" s="10"/>
      <c r="I456" s="11" t="str">
        <f>"－"</f>
        <v>－</v>
      </c>
      <c r="J456" s="10"/>
      <c r="K456" s="11">
        <f>432</f>
        <v>432</v>
      </c>
    </row>
    <row r="457" spans="1:11">
      <c r="A457" s="8" t="s">
        <v>38</v>
      </c>
      <c r="B457" s="9" t="s">
        <v>78</v>
      </c>
      <c r="C457" s="9" t="s">
        <v>79</v>
      </c>
      <c r="D457" s="10"/>
      <c r="E457" s="11">
        <f>9</f>
        <v>9</v>
      </c>
      <c r="F457" s="10"/>
      <c r="G457" s="11">
        <f>36452000</f>
        <v>36452000</v>
      </c>
      <c r="H457" s="10"/>
      <c r="I457" s="11" t="str">
        <f>"－"</f>
        <v>－</v>
      </c>
      <c r="J457" s="10"/>
      <c r="K457" s="11">
        <f>431</f>
        <v>431</v>
      </c>
    </row>
    <row r="458" spans="1:11">
      <c r="A458" s="8" t="s">
        <v>39</v>
      </c>
      <c r="B458" s="9" t="s">
        <v>78</v>
      </c>
      <c r="C458" s="9" t="s">
        <v>79</v>
      </c>
      <c r="D458" s="10"/>
      <c r="E458" s="11"/>
      <c r="F458" s="10"/>
      <c r="G458" s="11"/>
      <c r="H458" s="10"/>
      <c r="I458" s="11"/>
      <c r="J458" s="10"/>
      <c r="K458" s="11"/>
    </row>
    <row r="459" spans="1:11">
      <c r="A459" s="8" t="s">
        <v>40</v>
      </c>
      <c r="B459" s="9" t="s">
        <v>78</v>
      </c>
      <c r="C459" s="9" t="s">
        <v>79</v>
      </c>
      <c r="D459" s="10"/>
      <c r="E459" s="11"/>
      <c r="F459" s="10"/>
      <c r="G459" s="11"/>
      <c r="H459" s="10"/>
      <c r="I459" s="11"/>
      <c r="J459" s="10"/>
      <c r="K459" s="11"/>
    </row>
    <row r="460" spans="1:11">
      <c r="A460" s="8" t="s">
        <v>41</v>
      </c>
      <c r="B460" s="9" t="s">
        <v>78</v>
      </c>
      <c r="C460" s="9" t="s">
        <v>79</v>
      </c>
      <c r="D460" s="10"/>
      <c r="E460" s="11"/>
      <c r="F460" s="10"/>
      <c r="G460" s="11"/>
      <c r="H460" s="10"/>
      <c r="I460" s="11"/>
      <c r="J460" s="10"/>
      <c r="K460" s="11"/>
    </row>
    <row r="461" spans="1:11">
      <c r="A461" s="8" t="s">
        <v>42</v>
      </c>
      <c r="B461" s="9" t="s">
        <v>78</v>
      </c>
      <c r="C461" s="9" t="s">
        <v>79</v>
      </c>
      <c r="D461" s="10"/>
      <c r="E461" s="11">
        <f>38</f>
        <v>38</v>
      </c>
      <c r="F461" s="10"/>
      <c r="G461" s="11">
        <f>164234500</f>
        <v>164234500</v>
      </c>
      <c r="H461" s="10"/>
      <c r="I461" s="11" t="str">
        <f>"－"</f>
        <v>－</v>
      </c>
      <c r="J461" s="10"/>
      <c r="K461" s="11">
        <f>443</f>
        <v>443</v>
      </c>
    </row>
    <row r="462" spans="1:11">
      <c r="A462" s="8" t="s">
        <v>43</v>
      </c>
      <c r="B462" s="9" t="s">
        <v>78</v>
      </c>
      <c r="C462" s="9" t="s">
        <v>79</v>
      </c>
      <c r="D462" s="10"/>
      <c r="E462" s="11">
        <f>52</f>
        <v>52</v>
      </c>
      <c r="F462" s="10"/>
      <c r="G462" s="11">
        <f>206415000</f>
        <v>206415000</v>
      </c>
      <c r="H462" s="10"/>
      <c r="I462" s="11" t="str">
        <f>"－"</f>
        <v>－</v>
      </c>
      <c r="J462" s="10"/>
      <c r="K462" s="11">
        <f>443</f>
        <v>443</v>
      </c>
    </row>
    <row r="463" spans="1:11">
      <c r="A463" s="8" t="s">
        <v>44</v>
      </c>
      <c r="B463" s="9" t="s">
        <v>78</v>
      </c>
      <c r="C463" s="9" t="s">
        <v>79</v>
      </c>
      <c r="D463" s="10"/>
      <c r="E463" s="11">
        <f>35</f>
        <v>35</v>
      </c>
      <c r="F463" s="10"/>
      <c r="G463" s="11">
        <f>139358000</f>
        <v>139358000</v>
      </c>
      <c r="H463" s="10"/>
      <c r="I463" s="11" t="str">
        <f>"－"</f>
        <v>－</v>
      </c>
      <c r="J463" s="10"/>
      <c r="K463" s="11">
        <f>441</f>
        <v>441</v>
      </c>
    </row>
    <row r="464" spans="1:11">
      <c r="A464" s="8" t="s">
        <v>45</v>
      </c>
      <c r="B464" s="9" t="s">
        <v>78</v>
      </c>
      <c r="C464" s="9" t="s">
        <v>79</v>
      </c>
      <c r="D464" s="10"/>
      <c r="E464" s="11">
        <f>77</f>
        <v>77</v>
      </c>
      <c r="F464" s="10"/>
      <c r="G464" s="11">
        <f>305000000</f>
        <v>305000000</v>
      </c>
      <c r="H464" s="10"/>
      <c r="I464" s="11" t="str">
        <f>"－"</f>
        <v>－</v>
      </c>
      <c r="J464" s="10"/>
      <c r="K464" s="11">
        <f>385</f>
        <v>385</v>
      </c>
    </row>
    <row r="465" spans="1:11">
      <c r="A465" s="8" t="s">
        <v>46</v>
      </c>
      <c r="B465" s="9" t="s">
        <v>78</v>
      </c>
      <c r="C465" s="9" t="s">
        <v>79</v>
      </c>
      <c r="D465" s="10"/>
      <c r="E465" s="11"/>
      <c r="F465" s="10"/>
      <c r="G465" s="11"/>
      <c r="H465" s="10"/>
      <c r="I465" s="11"/>
      <c r="J465" s="10"/>
      <c r="K465" s="11"/>
    </row>
    <row r="466" spans="1:11">
      <c r="A466" s="8" t="s">
        <v>47</v>
      </c>
      <c r="B466" s="9" t="s">
        <v>78</v>
      </c>
      <c r="C466" s="9" t="s">
        <v>79</v>
      </c>
      <c r="D466" s="10"/>
      <c r="E466" s="11"/>
      <c r="F466" s="10"/>
      <c r="G466" s="11"/>
      <c r="H466" s="10"/>
      <c r="I466" s="11"/>
      <c r="J466" s="10"/>
      <c r="K466" s="11"/>
    </row>
    <row r="467" spans="1:11">
      <c r="A467" s="8" t="s">
        <v>48</v>
      </c>
      <c r="B467" s="9" t="s">
        <v>78</v>
      </c>
      <c r="C467" s="9" t="s">
        <v>79</v>
      </c>
      <c r="D467" s="10"/>
      <c r="E467" s="11">
        <f>18</f>
        <v>18</v>
      </c>
      <c r="F467" s="10"/>
      <c r="G467" s="11">
        <f>69216500</f>
        <v>69216500</v>
      </c>
      <c r="H467" s="10"/>
      <c r="I467" s="11" t="str">
        <f t="shared" ref="I467:I474" si="17">"－"</f>
        <v>－</v>
      </c>
      <c r="J467" s="10"/>
      <c r="K467" s="11">
        <f>273</f>
        <v>273</v>
      </c>
    </row>
    <row r="468" spans="1:11">
      <c r="A468" s="8" t="s">
        <v>49</v>
      </c>
      <c r="B468" s="9" t="s">
        <v>78</v>
      </c>
      <c r="C468" s="9" t="s">
        <v>79</v>
      </c>
      <c r="D468" s="10"/>
      <c r="E468" s="11">
        <f>40</f>
        <v>40</v>
      </c>
      <c r="F468" s="10"/>
      <c r="G468" s="11">
        <f>153486500</f>
        <v>153486500</v>
      </c>
      <c r="H468" s="10"/>
      <c r="I468" s="11" t="str">
        <f t="shared" si="17"/>
        <v>－</v>
      </c>
      <c r="J468" s="10" t="s">
        <v>36</v>
      </c>
      <c r="K468" s="11">
        <f>246</f>
        <v>246</v>
      </c>
    </row>
    <row r="469" spans="1:11">
      <c r="A469" s="8" t="s">
        <v>50</v>
      </c>
      <c r="B469" s="9" t="s">
        <v>78</v>
      </c>
      <c r="C469" s="9" t="s">
        <v>79</v>
      </c>
      <c r="D469" s="10" t="s">
        <v>36</v>
      </c>
      <c r="E469" s="11" t="str">
        <f>"－"</f>
        <v>－</v>
      </c>
      <c r="F469" s="10" t="s">
        <v>36</v>
      </c>
      <c r="G469" s="11" t="str">
        <f>"－"</f>
        <v>－</v>
      </c>
      <c r="H469" s="10"/>
      <c r="I469" s="11" t="str">
        <f t="shared" si="17"/>
        <v>－</v>
      </c>
      <c r="J469" s="10"/>
      <c r="K469" s="11">
        <f>246</f>
        <v>246</v>
      </c>
    </row>
    <row r="470" spans="1:11">
      <c r="A470" s="8" t="s">
        <v>51</v>
      </c>
      <c r="B470" s="9" t="s">
        <v>78</v>
      </c>
      <c r="C470" s="9" t="s">
        <v>79</v>
      </c>
      <c r="D470" s="10"/>
      <c r="E470" s="11" t="str">
        <f>"－"</f>
        <v>－</v>
      </c>
      <c r="F470" s="10"/>
      <c r="G470" s="11" t="str">
        <f>"－"</f>
        <v>－</v>
      </c>
      <c r="H470" s="10"/>
      <c r="I470" s="11" t="str">
        <f t="shared" si="17"/>
        <v>－</v>
      </c>
      <c r="J470" s="10"/>
      <c r="K470" s="11">
        <f>246</f>
        <v>246</v>
      </c>
    </row>
    <row r="471" spans="1:11">
      <c r="A471" s="8" t="s">
        <v>16</v>
      </c>
      <c r="B471" s="9" t="s">
        <v>80</v>
      </c>
      <c r="C471" s="9" t="s">
        <v>81</v>
      </c>
      <c r="D471" s="10"/>
      <c r="E471" s="11">
        <f>3</f>
        <v>3</v>
      </c>
      <c r="F471" s="10"/>
      <c r="G471" s="11">
        <f>11859000</f>
        <v>11859000</v>
      </c>
      <c r="H471" s="10" t="s">
        <v>19</v>
      </c>
      <c r="I471" s="11" t="str">
        <f t="shared" si="17"/>
        <v>－</v>
      </c>
      <c r="J471" s="10"/>
      <c r="K471" s="11">
        <f>113</f>
        <v>113</v>
      </c>
    </row>
    <row r="472" spans="1:11">
      <c r="A472" s="8" t="s">
        <v>20</v>
      </c>
      <c r="B472" s="9" t="s">
        <v>80</v>
      </c>
      <c r="C472" s="9" t="s">
        <v>81</v>
      </c>
      <c r="D472" s="10"/>
      <c r="E472" s="11">
        <f>1</f>
        <v>1</v>
      </c>
      <c r="F472" s="10"/>
      <c r="G472" s="11">
        <f>4078500</f>
        <v>4078500</v>
      </c>
      <c r="H472" s="10"/>
      <c r="I472" s="11" t="str">
        <f t="shared" si="17"/>
        <v>－</v>
      </c>
      <c r="J472" s="10"/>
      <c r="K472" s="11">
        <f>112</f>
        <v>112</v>
      </c>
    </row>
    <row r="473" spans="1:11">
      <c r="A473" s="8" t="s">
        <v>21</v>
      </c>
      <c r="B473" s="9" t="s">
        <v>80</v>
      </c>
      <c r="C473" s="9" t="s">
        <v>81</v>
      </c>
      <c r="D473" s="10"/>
      <c r="E473" s="11">
        <f>5</f>
        <v>5</v>
      </c>
      <c r="F473" s="10"/>
      <c r="G473" s="11">
        <f>21026000</f>
        <v>21026000</v>
      </c>
      <c r="H473" s="10"/>
      <c r="I473" s="11" t="str">
        <f t="shared" si="17"/>
        <v>－</v>
      </c>
      <c r="J473" s="10"/>
      <c r="K473" s="11">
        <f>113</f>
        <v>113</v>
      </c>
    </row>
    <row r="474" spans="1:11">
      <c r="A474" s="8" t="s">
        <v>22</v>
      </c>
      <c r="B474" s="9" t="s">
        <v>80</v>
      </c>
      <c r="C474" s="9" t="s">
        <v>81</v>
      </c>
      <c r="D474" s="10"/>
      <c r="E474" s="11">
        <f>3</f>
        <v>3</v>
      </c>
      <c r="F474" s="10"/>
      <c r="G474" s="11">
        <f>12470000</f>
        <v>12470000</v>
      </c>
      <c r="H474" s="10"/>
      <c r="I474" s="11" t="str">
        <f t="shared" si="17"/>
        <v>－</v>
      </c>
      <c r="J474" s="10"/>
      <c r="K474" s="11">
        <f>112</f>
        <v>112</v>
      </c>
    </row>
    <row r="475" spans="1:11">
      <c r="A475" s="8" t="s">
        <v>23</v>
      </c>
      <c r="B475" s="9" t="s">
        <v>80</v>
      </c>
      <c r="C475" s="9" t="s">
        <v>81</v>
      </c>
      <c r="D475" s="10"/>
      <c r="E475" s="11"/>
      <c r="F475" s="10"/>
      <c r="G475" s="11"/>
      <c r="H475" s="10"/>
      <c r="I475" s="11"/>
      <c r="J475" s="10"/>
      <c r="K475" s="11"/>
    </row>
    <row r="476" spans="1:11">
      <c r="A476" s="8" t="s">
        <v>24</v>
      </c>
      <c r="B476" s="9" t="s">
        <v>80</v>
      </c>
      <c r="C476" s="9" t="s">
        <v>81</v>
      </c>
      <c r="D476" s="10"/>
      <c r="E476" s="11"/>
      <c r="F476" s="10"/>
      <c r="G476" s="11"/>
      <c r="H476" s="10"/>
      <c r="I476" s="11"/>
      <c r="J476" s="10"/>
      <c r="K476" s="11"/>
    </row>
    <row r="477" spans="1:11">
      <c r="A477" s="8" t="s">
        <v>25</v>
      </c>
      <c r="B477" s="9" t="s">
        <v>80</v>
      </c>
      <c r="C477" s="9" t="s">
        <v>81</v>
      </c>
      <c r="D477" s="10"/>
      <c r="E477" s="11">
        <f>9</f>
        <v>9</v>
      </c>
      <c r="F477" s="10"/>
      <c r="G477" s="11">
        <f>40426000</f>
        <v>40426000</v>
      </c>
      <c r="H477" s="10"/>
      <c r="I477" s="11" t="str">
        <f>"－"</f>
        <v>－</v>
      </c>
      <c r="J477" s="10"/>
      <c r="K477" s="11">
        <f>114</f>
        <v>114</v>
      </c>
    </row>
    <row r="478" spans="1:11">
      <c r="A478" s="8" t="s">
        <v>27</v>
      </c>
      <c r="B478" s="9" t="s">
        <v>80</v>
      </c>
      <c r="C478" s="9" t="s">
        <v>81</v>
      </c>
      <c r="D478" s="10"/>
      <c r="E478" s="11">
        <f>21</f>
        <v>21</v>
      </c>
      <c r="F478" s="10"/>
      <c r="G478" s="11">
        <f>93864000</f>
        <v>93864000</v>
      </c>
      <c r="H478" s="10"/>
      <c r="I478" s="11" t="str">
        <f>"－"</f>
        <v>－</v>
      </c>
      <c r="J478" s="10"/>
      <c r="K478" s="11">
        <f>122</f>
        <v>122</v>
      </c>
    </row>
    <row r="479" spans="1:11">
      <c r="A479" s="8" t="s">
        <v>28</v>
      </c>
      <c r="B479" s="9" t="s">
        <v>80</v>
      </c>
      <c r="C479" s="9" t="s">
        <v>81</v>
      </c>
      <c r="D479" s="10"/>
      <c r="E479" s="11">
        <f>44</f>
        <v>44</v>
      </c>
      <c r="F479" s="10"/>
      <c r="G479" s="11">
        <f>184353000</f>
        <v>184353000</v>
      </c>
      <c r="H479" s="10"/>
      <c r="I479" s="11" t="str">
        <f>"－"</f>
        <v>－</v>
      </c>
      <c r="J479" s="10"/>
      <c r="K479" s="11">
        <f>150</f>
        <v>150</v>
      </c>
    </row>
    <row r="480" spans="1:11">
      <c r="A480" s="8" t="s">
        <v>29</v>
      </c>
      <c r="B480" s="9" t="s">
        <v>80</v>
      </c>
      <c r="C480" s="9" t="s">
        <v>81</v>
      </c>
      <c r="D480" s="10"/>
      <c r="E480" s="11">
        <f>2</f>
        <v>2</v>
      </c>
      <c r="F480" s="10"/>
      <c r="G480" s="11">
        <f>8500000</f>
        <v>8500000</v>
      </c>
      <c r="H480" s="10"/>
      <c r="I480" s="11" t="str">
        <f>"－"</f>
        <v>－</v>
      </c>
      <c r="J480" s="10"/>
      <c r="K480" s="11">
        <f>150</f>
        <v>150</v>
      </c>
    </row>
    <row r="481" spans="1:11">
      <c r="A481" s="8" t="s">
        <v>30</v>
      </c>
      <c r="B481" s="9" t="s">
        <v>80</v>
      </c>
      <c r="C481" s="9" t="s">
        <v>81</v>
      </c>
      <c r="D481" s="10"/>
      <c r="E481" s="11">
        <f>64</f>
        <v>64</v>
      </c>
      <c r="F481" s="10"/>
      <c r="G481" s="11">
        <f>276476500</f>
        <v>276476500</v>
      </c>
      <c r="H481" s="10"/>
      <c r="I481" s="11" t="str">
        <f>"－"</f>
        <v>－</v>
      </c>
      <c r="J481" s="10"/>
      <c r="K481" s="11">
        <f>165</f>
        <v>165</v>
      </c>
    </row>
    <row r="482" spans="1:11">
      <c r="A482" s="8" t="s">
        <v>31</v>
      </c>
      <c r="B482" s="9" t="s">
        <v>80</v>
      </c>
      <c r="C482" s="9" t="s">
        <v>81</v>
      </c>
      <c r="D482" s="10"/>
      <c r="E482" s="11"/>
      <c r="F482" s="10"/>
      <c r="G482" s="11"/>
      <c r="H482" s="10"/>
      <c r="I482" s="11"/>
      <c r="J482" s="10"/>
      <c r="K482" s="11"/>
    </row>
    <row r="483" spans="1:11">
      <c r="A483" s="8" t="s">
        <v>32</v>
      </c>
      <c r="B483" s="9" t="s">
        <v>80</v>
      </c>
      <c r="C483" s="9" t="s">
        <v>81</v>
      </c>
      <c r="D483" s="10"/>
      <c r="E483" s="11"/>
      <c r="F483" s="10"/>
      <c r="G483" s="11"/>
      <c r="H483" s="10"/>
      <c r="I483" s="11"/>
      <c r="J483" s="10"/>
      <c r="K483" s="11"/>
    </row>
    <row r="484" spans="1:11">
      <c r="A484" s="8" t="s">
        <v>33</v>
      </c>
      <c r="B484" s="9" t="s">
        <v>80</v>
      </c>
      <c r="C484" s="9" t="s">
        <v>81</v>
      </c>
      <c r="D484" s="10"/>
      <c r="E484" s="11">
        <f>9</f>
        <v>9</v>
      </c>
      <c r="F484" s="10"/>
      <c r="G484" s="11">
        <f>37286000</f>
        <v>37286000</v>
      </c>
      <c r="H484" s="10"/>
      <c r="I484" s="11" t="str">
        <f>"－"</f>
        <v>－</v>
      </c>
      <c r="J484" s="10"/>
      <c r="K484" s="11">
        <f>164</f>
        <v>164</v>
      </c>
    </row>
    <row r="485" spans="1:11">
      <c r="A485" s="8" t="s">
        <v>34</v>
      </c>
      <c r="B485" s="9" t="s">
        <v>80</v>
      </c>
      <c r="C485" s="9" t="s">
        <v>81</v>
      </c>
      <c r="D485" s="10"/>
      <c r="E485" s="11">
        <f>10</f>
        <v>10</v>
      </c>
      <c r="F485" s="10"/>
      <c r="G485" s="11">
        <f>40299000</f>
        <v>40299000</v>
      </c>
      <c r="H485" s="10"/>
      <c r="I485" s="11" t="str">
        <f>"－"</f>
        <v>－</v>
      </c>
      <c r="J485" s="10"/>
      <c r="K485" s="11">
        <f>166</f>
        <v>166</v>
      </c>
    </row>
    <row r="486" spans="1:11">
      <c r="A486" s="8" t="s">
        <v>35</v>
      </c>
      <c r="B486" s="9" t="s">
        <v>80</v>
      </c>
      <c r="C486" s="9" t="s">
        <v>81</v>
      </c>
      <c r="D486" s="10"/>
      <c r="E486" s="11">
        <f>14</f>
        <v>14</v>
      </c>
      <c r="F486" s="10"/>
      <c r="G486" s="11">
        <f>54888500</f>
        <v>54888500</v>
      </c>
      <c r="H486" s="10"/>
      <c r="I486" s="11" t="str">
        <f>"－"</f>
        <v>－</v>
      </c>
      <c r="J486" s="10"/>
      <c r="K486" s="11">
        <f>167</f>
        <v>167</v>
      </c>
    </row>
    <row r="487" spans="1:11">
      <c r="A487" s="8" t="s">
        <v>37</v>
      </c>
      <c r="B487" s="9" t="s">
        <v>80</v>
      </c>
      <c r="C487" s="9" t="s">
        <v>81</v>
      </c>
      <c r="D487" s="10" t="s">
        <v>36</v>
      </c>
      <c r="E487" s="11" t="str">
        <f>"－"</f>
        <v>－</v>
      </c>
      <c r="F487" s="10" t="s">
        <v>36</v>
      </c>
      <c r="G487" s="11" t="str">
        <f>"－"</f>
        <v>－</v>
      </c>
      <c r="H487" s="10"/>
      <c r="I487" s="11" t="str">
        <f>"－"</f>
        <v>－</v>
      </c>
      <c r="J487" s="10"/>
      <c r="K487" s="11">
        <f>167</f>
        <v>167</v>
      </c>
    </row>
    <row r="488" spans="1:11">
      <c r="A488" s="8" t="s">
        <v>38</v>
      </c>
      <c r="B488" s="9" t="s">
        <v>80</v>
      </c>
      <c r="C488" s="9" t="s">
        <v>81</v>
      </c>
      <c r="D488" s="10"/>
      <c r="E488" s="11">
        <f>2</f>
        <v>2</v>
      </c>
      <c r="F488" s="10"/>
      <c r="G488" s="11">
        <f>8193000</f>
        <v>8193000</v>
      </c>
      <c r="H488" s="10"/>
      <c r="I488" s="11" t="str">
        <f>"－"</f>
        <v>－</v>
      </c>
      <c r="J488" s="10"/>
      <c r="K488" s="11">
        <f>169</f>
        <v>169</v>
      </c>
    </row>
    <row r="489" spans="1:11">
      <c r="A489" s="8" t="s">
        <v>39</v>
      </c>
      <c r="B489" s="9" t="s">
        <v>80</v>
      </c>
      <c r="C489" s="9" t="s">
        <v>81</v>
      </c>
      <c r="D489" s="10"/>
      <c r="E489" s="11"/>
      <c r="F489" s="10"/>
      <c r="G489" s="11"/>
      <c r="H489" s="10"/>
      <c r="I489" s="11"/>
      <c r="J489" s="10"/>
      <c r="K489" s="11"/>
    </row>
    <row r="490" spans="1:11">
      <c r="A490" s="8" t="s">
        <v>40</v>
      </c>
      <c r="B490" s="9" t="s">
        <v>80</v>
      </c>
      <c r="C490" s="9" t="s">
        <v>81</v>
      </c>
      <c r="D490" s="10"/>
      <c r="E490" s="11"/>
      <c r="F490" s="10"/>
      <c r="G490" s="11"/>
      <c r="H490" s="10"/>
      <c r="I490" s="11"/>
      <c r="J490" s="10"/>
      <c r="K490" s="11"/>
    </row>
    <row r="491" spans="1:11">
      <c r="A491" s="8" t="s">
        <v>41</v>
      </c>
      <c r="B491" s="9" t="s">
        <v>80</v>
      </c>
      <c r="C491" s="9" t="s">
        <v>81</v>
      </c>
      <c r="D491" s="10"/>
      <c r="E491" s="11"/>
      <c r="F491" s="10"/>
      <c r="G491" s="11"/>
      <c r="H491" s="10"/>
      <c r="I491" s="11"/>
      <c r="J491" s="10"/>
      <c r="K491" s="11"/>
    </row>
    <row r="492" spans="1:11">
      <c r="A492" s="8" t="s">
        <v>42</v>
      </c>
      <c r="B492" s="9" t="s">
        <v>80</v>
      </c>
      <c r="C492" s="9" t="s">
        <v>81</v>
      </c>
      <c r="D492" s="10"/>
      <c r="E492" s="11">
        <f>3</f>
        <v>3</v>
      </c>
      <c r="F492" s="10"/>
      <c r="G492" s="11">
        <f>13200000</f>
        <v>13200000</v>
      </c>
      <c r="H492" s="10"/>
      <c r="I492" s="11" t="str">
        <f>"－"</f>
        <v>－</v>
      </c>
      <c r="J492" s="10" t="s">
        <v>26</v>
      </c>
      <c r="K492" s="11">
        <f>171</f>
        <v>171</v>
      </c>
    </row>
    <row r="493" spans="1:11">
      <c r="A493" s="8" t="s">
        <v>43</v>
      </c>
      <c r="B493" s="9" t="s">
        <v>80</v>
      </c>
      <c r="C493" s="9" t="s">
        <v>81</v>
      </c>
      <c r="D493" s="10"/>
      <c r="E493" s="11">
        <f>14</f>
        <v>14</v>
      </c>
      <c r="F493" s="10"/>
      <c r="G493" s="11">
        <f>53001000</f>
        <v>53001000</v>
      </c>
      <c r="H493" s="10"/>
      <c r="I493" s="11" t="str">
        <f>"－"</f>
        <v>－</v>
      </c>
      <c r="J493" s="10"/>
      <c r="K493" s="11">
        <f>160</f>
        <v>160</v>
      </c>
    </row>
    <row r="494" spans="1:11">
      <c r="A494" s="8" t="s">
        <v>44</v>
      </c>
      <c r="B494" s="9" t="s">
        <v>80</v>
      </c>
      <c r="C494" s="9" t="s">
        <v>81</v>
      </c>
      <c r="D494" s="10"/>
      <c r="E494" s="11" t="str">
        <f>"－"</f>
        <v>－</v>
      </c>
      <c r="F494" s="10"/>
      <c r="G494" s="11" t="str">
        <f>"－"</f>
        <v>－</v>
      </c>
      <c r="H494" s="10"/>
      <c r="I494" s="11" t="str">
        <f>"－"</f>
        <v>－</v>
      </c>
      <c r="J494" s="10"/>
      <c r="K494" s="11">
        <f>160</f>
        <v>160</v>
      </c>
    </row>
    <row r="495" spans="1:11">
      <c r="A495" s="8" t="s">
        <v>45</v>
      </c>
      <c r="B495" s="9" t="s">
        <v>80</v>
      </c>
      <c r="C495" s="9" t="s">
        <v>81</v>
      </c>
      <c r="D495" s="10" t="s">
        <v>26</v>
      </c>
      <c r="E495" s="11">
        <f>107</f>
        <v>107</v>
      </c>
      <c r="F495" s="10" t="s">
        <v>26</v>
      </c>
      <c r="G495" s="11">
        <f>409450000</f>
        <v>409450000</v>
      </c>
      <c r="H495" s="10"/>
      <c r="I495" s="11" t="str">
        <f>"－"</f>
        <v>－</v>
      </c>
      <c r="J495" s="10"/>
      <c r="K495" s="11">
        <f>105</f>
        <v>105</v>
      </c>
    </row>
    <row r="496" spans="1:11">
      <c r="A496" s="8" t="s">
        <v>46</v>
      </c>
      <c r="B496" s="9" t="s">
        <v>80</v>
      </c>
      <c r="C496" s="9" t="s">
        <v>81</v>
      </c>
      <c r="D496" s="10"/>
      <c r="E496" s="11"/>
      <c r="F496" s="10"/>
      <c r="G496" s="11"/>
      <c r="H496" s="10"/>
      <c r="I496" s="11"/>
      <c r="J496" s="10"/>
      <c r="K496" s="11"/>
    </row>
    <row r="497" spans="1:11">
      <c r="A497" s="8" t="s">
        <v>47</v>
      </c>
      <c r="B497" s="9" t="s">
        <v>80</v>
      </c>
      <c r="C497" s="9" t="s">
        <v>81</v>
      </c>
      <c r="D497" s="10"/>
      <c r="E497" s="11"/>
      <c r="F497" s="10"/>
      <c r="G497" s="11"/>
      <c r="H497" s="10"/>
      <c r="I497" s="11"/>
      <c r="J497" s="10"/>
      <c r="K497" s="11"/>
    </row>
    <row r="498" spans="1:11">
      <c r="A498" s="8" t="s">
        <v>48</v>
      </c>
      <c r="B498" s="9" t="s">
        <v>80</v>
      </c>
      <c r="C498" s="9" t="s">
        <v>81</v>
      </c>
      <c r="D498" s="10"/>
      <c r="E498" s="11">
        <f>19</f>
        <v>19</v>
      </c>
      <c r="F498" s="10"/>
      <c r="G498" s="11">
        <f>73521500</f>
        <v>73521500</v>
      </c>
      <c r="H498" s="10"/>
      <c r="I498" s="11" t="str">
        <f t="shared" ref="I498:I505" si="18">"－"</f>
        <v>－</v>
      </c>
      <c r="J498" s="10"/>
      <c r="K498" s="11">
        <f>58</f>
        <v>58</v>
      </c>
    </row>
    <row r="499" spans="1:11">
      <c r="A499" s="8" t="s">
        <v>49</v>
      </c>
      <c r="B499" s="9" t="s">
        <v>80</v>
      </c>
      <c r="C499" s="9" t="s">
        <v>81</v>
      </c>
      <c r="D499" s="10"/>
      <c r="E499" s="11" t="str">
        <f>"－"</f>
        <v>－</v>
      </c>
      <c r="F499" s="10"/>
      <c r="G499" s="11" t="str">
        <f>"－"</f>
        <v>－</v>
      </c>
      <c r="H499" s="10"/>
      <c r="I499" s="11" t="str">
        <f t="shared" si="18"/>
        <v>－</v>
      </c>
      <c r="J499" s="10"/>
      <c r="K499" s="11">
        <f>58</f>
        <v>58</v>
      </c>
    </row>
    <row r="500" spans="1:11">
      <c r="A500" s="8" t="s">
        <v>50</v>
      </c>
      <c r="B500" s="9" t="s">
        <v>80</v>
      </c>
      <c r="C500" s="9" t="s">
        <v>81</v>
      </c>
      <c r="D500" s="10"/>
      <c r="E500" s="11">
        <f>2</f>
        <v>2</v>
      </c>
      <c r="F500" s="10"/>
      <c r="G500" s="11">
        <f>7945000</f>
        <v>7945000</v>
      </c>
      <c r="H500" s="10"/>
      <c r="I500" s="11" t="str">
        <f t="shared" si="18"/>
        <v>－</v>
      </c>
      <c r="J500" s="10" t="s">
        <v>36</v>
      </c>
      <c r="K500" s="11">
        <f>56</f>
        <v>56</v>
      </c>
    </row>
    <row r="501" spans="1:11">
      <c r="A501" s="8" t="s">
        <v>51</v>
      </c>
      <c r="B501" s="9" t="s">
        <v>80</v>
      </c>
      <c r="C501" s="9" t="s">
        <v>81</v>
      </c>
      <c r="D501" s="10"/>
      <c r="E501" s="11" t="str">
        <f>"－"</f>
        <v>－</v>
      </c>
      <c r="F501" s="10"/>
      <c r="G501" s="11" t="str">
        <f>"－"</f>
        <v>－</v>
      </c>
      <c r="H501" s="10"/>
      <c r="I501" s="11" t="str">
        <f t="shared" si="18"/>
        <v>－</v>
      </c>
      <c r="J501" s="10"/>
      <c r="K501" s="11">
        <f>56</f>
        <v>56</v>
      </c>
    </row>
    <row r="502" spans="1:11">
      <c r="A502" s="8" t="s">
        <v>16</v>
      </c>
      <c r="B502" s="9" t="s">
        <v>82</v>
      </c>
      <c r="C502" s="9" t="s">
        <v>83</v>
      </c>
      <c r="D502" s="10" t="s">
        <v>19</v>
      </c>
      <c r="E502" s="11" t="str">
        <f>"－"</f>
        <v>－</v>
      </c>
      <c r="F502" s="10" t="s">
        <v>19</v>
      </c>
      <c r="G502" s="11" t="str">
        <f>"－"</f>
        <v>－</v>
      </c>
      <c r="H502" s="10" t="s">
        <v>19</v>
      </c>
      <c r="I502" s="11" t="str">
        <f t="shared" si="18"/>
        <v>－</v>
      </c>
      <c r="J502" s="10" t="s">
        <v>19</v>
      </c>
      <c r="K502" s="11" t="str">
        <f>"－"</f>
        <v>－</v>
      </c>
    </row>
    <row r="503" spans="1:11">
      <c r="A503" s="8" t="s">
        <v>20</v>
      </c>
      <c r="B503" s="9" t="s">
        <v>82</v>
      </c>
      <c r="C503" s="9" t="s">
        <v>83</v>
      </c>
      <c r="D503" s="10"/>
      <c r="E503" s="11" t="str">
        <f>"－"</f>
        <v>－</v>
      </c>
      <c r="F503" s="10"/>
      <c r="G503" s="11" t="str">
        <f>"－"</f>
        <v>－</v>
      </c>
      <c r="H503" s="10"/>
      <c r="I503" s="11" t="str">
        <f t="shared" si="18"/>
        <v>－</v>
      </c>
      <c r="J503" s="10"/>
      <c r="K503" s="11" t="str">
        <f>"－"</f>
        <v>－</v>
      </c>
    </row>
    <row r="504" spans="1:11">
      <c r="A504" s="8" t="s">
        <v>21</v>
      </c>
      <c r="B504" s="9" t="s">
        <v>82</v>
      </c>
      <c r="C504" s="9" t="s">
        <v>83</v>
      </c>
      <c r="D504" s="10"/>
      <c r="E504" s="11" t="str">
        <f>"－"</f>
        <v>－</v>
      </c>
      <c r="F504" s="10"/>
      <c r="G504" s="11" t="str">
        <f>"－"</f>
        <v>－</v>
      </c>
      <c r="H504" s="10"/>
      <c r="I504" s="11" t="str">
        <f t="shared" si="18"/>
        <v>－</v>
      </c>
      <c r="J504" s="10"/>
      <c r="K504" s="11" t="str">
        <f>"－"</f>
        <v>－</v>
      </c>
    </row>
    <row r="505" spans="1:11">
      <c r="A505" s="8" t="s">
        <v>22</v>
      </c>
      <c r="B505" s="9" t="s">
        <v>82</v>
      </c>
      <c r="C505" s="9" t="s">
        <v>83</v>
      </c>
      <c r="D505" s="10"/>
      <c r="E505" s="11" t="str">
        <f>"－"</f>
        <v>－</v>
      </c>
      <c r="F505" s="10"/>
      <c r="G505" s="11" t="str">
        <f>"－"</f>
        <v>－</v>
      </c>
      <c r="H505" s="10"/>
      <c r="I505" s="11" t="str">
        <f t="shared" si="18"/>
        <v>－</v>
      </c>
      <c r="J505" s="10"/>
      <c r="K505" s="11" t="str">
        <f>"－"</f>
        <v>－</v>
      </c>
    </row>
    <row r="506" spans="1:11">
      <c r="A506" s="8" t="s">
        <v>23</v>
      </c>
      <c r="B506" s="9" t="s">
        <v>82</v>
      </c>
      <c r="C506" s="9" t="s">
        <v>83</v>
      </c>
      <c r="D506" s="10"/>
      <c r="E506" s="11"/>
      <c r="F506" s="10"/>
      <c r="G506" s="11"/>
      <c r="H506" s="10"/>
      <c r="I506" s="11"/>
      <c r="J506" s="10"/>
      <c r="K506" s="11"/>
    </row>
    <row r="507" spans="1:11">
      <c r="A507" s="8" t="s">
        <v>24</v>
      </c>
      <c r="B507" s="9" t="s">
        <v>82</v>
      </c>
      <c r="C507" s="9" t="s">
        <v>83</v>
      </c>
      <c r="D507" s="10"/>
      <c r="E507" s="11"/>
      <c r="F507" s="10"/>
      <c r="G507" s="11"/>
      <c r="H507" s="10"/>
      <c r="I507" s="11"/>
      <c r="J507" s="10"/>
      <c r="K507" s="11"/>
    </row>
    <row r="508" spans="1:11">
      <c r="A508" s="8" t="s">
        <v>25</v>
      </c>
      <c r="B508" s="9" t="s">
        <v>82</v>
      </c>
      <c r="C508" s="9" t="s">
        <v>83</v>
      </c>
      <c r="D508" s="10"/>
      <c r="E508" s="11" t="str">
        <f>"－"</f>
        <v>－</v>
      </c>
      <c r="F508" s="10"/>
      <c r="G508" s="11" t="str">
        <f>"－"</f>
        <v>－</v>
      </c>
      <c r="H508" s="10"/>
      <c r="I508" s="11" t="str">
        <f>"－"</f>
        <v>－</v>
      </c>
      <c r="J508" s="10"/>
      <c r="K508" s="11" t="str">
        <f>"－"</f>
        <v>－</v>
      </c>
    </row>
    <row r="509" spans="1:11">
      <c r="A509" s="8" t="s">
        <v>27</v>
      </c>
      <c r="B509" s="9" t="s">
        <v>82</v>
      </c>
      <c r="C509" s="9" t="s">
        <v>83</v>
      </c>
      <c r="D509" s="10"/>
      <c r="E509" s="11" t="str">
        <f>"－"</f>
        <v>－</v>
      </c>
      <c r="F509" s="10"/>
      <c r="G509" s="11" t="str">
        <f>"－"</f>
        <v>－</v>
      </c>
      <c r="H509" s="10"/>
      <c r="I509" s="11" t="str">
        <f>"－"</f>
        <v>－</v>
      </c>
      <c r="J509" s="10"/>
      <c r="K509" s="11" t="str">
        <f>"－"</f>
        <v>－</v>
      </c>
    </row>
    <row r="510" spans="1:11">
      <c r="A510" s="8" t="s">
        <v>28</v>
      </c>
      <c r="B510" s="9" t="s">
        <v>82</v>
      </c>
      <c r="C510" s="9" t="s">
        <v>83</v>
      </c>
      <c r="D510" s="10"/>
      <c r="E510" s="11" t="str">
        <f>"－"</f>
        <v>－</v>
      </c>
      <c r="F510" s="10"/>
      <c r="G510" s="11" t="str">
        <f>"－"</f>
        <v>－</v>
      </c>
      <c r="H510" s="10"/>
      <c r="I510" s="11" t="str">
        <f>"－"</f>
        <v>－</v>
      </c>
      <c r="J510" s="10"/>
      <c r="K510" s="11" t="str">
        <f>"－"</f>
        <v>－</v>
      </c>
    </row>
    <row r="511" spans="1:11">
      <c r="A511" s="8" t="s">
        <v>29</v>
      </c>
      <c r="B511" s="9" t="s">
        <v>82</v>
      </c>
      <c r="C511" s="9" t="s">
        <v>83</v>
      </c>
      <c r="D511" s="10"/>
      <c r="E511" s="11" t="str">
        <f>"－"</f>
        <v>－</v>
      </c>
      <c r="F511" s="10"/>
      <c r="G511" s="11" t="str">
        <f>"－"</f>
        <v>－</v>
      </c>
      <c r="H511" s="10"/>
      <c r="I511" s="11" t="str">
        <f>"－"</f>
        <v>－</v>
      </c>
      <c r="J511" s="10"/>
      <c r="K511" s="11" t="str">
        <f>"－"</f>
        <v>－</v>
      </c>
    </row>
    <row r="512" spans="1:11">
      <c r="A512" s="8" t="s">
        <v>30</v>
      </c>
      <c r="B512" s="9" t="s">
        <v>82</v>
      </c>
      <c r="C512" s="9" t="s">
        <v>83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str">
        <f>"－"</f>
        <v>－</v>
      </c>
    </row>
    <row r="513" spans="1:11">
      <c r="A513" s="8" t="s">
        <v>31</v>
      </c>
      <c r="B513" s="9" t="s">
        <v>82</v>
      </c>
      <c r="C513" s="9" t="s">
        <v>83</v>
      </c>
      <c r="D513" s="10"/>
      <c r="E513" s="11"/>
      <c r="F513" s="10"/>
      <c r="G513" s="11"/>
      <c r="H513" s="10"/>
      <c r="I513" s="11"/>
      <c r="J513" s="10"/>
      <c r="K513" s="11"/>
    </row>
    <row r="514" spans="1:11">
      <c r="A514" s="8" t="s">
        <v>32</v>
      </c>
      <c r="B514" s="9" t="s">
        <v>82</v>
      </c>
      <c r="C514" s="9" t="s">
        <v>83</v>
      </c>
      <c r="D514" s="10"/>
      <c r="E514" s="11"/>
      <c r="F514" s="10"/>
      <c r="G514" s="11"/>
      <c r="H514" s="10"/>
      <c r="I514" s="11"/>
      <c r="J514" s="10"/>
      <c r="K514" s="11"/>
    </row>
    <row r="515" spans="1:11">
      <c r="A515" s="8" t="s">
        <v>33</v>
      </c>
      <c r="B515" s="9" t="s">
        <v>82</v>
      </c>
      <c r="C515" s="9" t="s">
        <v>83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 spans="1:11">
      <c r="A516" s="8" t="s">
        <v>34</v>
      </c>
      <c r="B516" s="9" t="s">
        <v>82</v>
      </c>
      <c r="C516" s="9" t="s">
        <v>83</v>
      </c>
      <c r="D516" s="10"/>
      <c r="E516" s="11" t="str">
        <f>"－"</f>
        <v>－</v>
      </c>
      <c r="F516" s="10"/>
      <c r="G516" s="11" t="str">
        <f>"－"</f>
        <v>－</v>
      </c>
      <c r="H516" s="10"/>
      <c r="I516" s="11" t="str">
        <f>"－"</f>
        <v>－</v>
      </c>
      <c r="J516" s="10"/>
      <c r="K516" s="11" t="str">
        <f>"－"</f>
        <v>－</v>
      </c>
    </row>
    <row r="517" spans="1:11">
      <c r="A517" s="8" t="s">
        <v>35</v>
      </c>
      <c r="B517" s="9" t="s">
        <v>82</v>
      </c>
      <c r="C517" s="9" t="s">
        <v>83</v>
      </c>
      <c r="D517" s="10"/>
      <c r="E517" s="11" t="str">
        <f>"－"</f>
        <v>－</v>
      </c>
      <c r="F517" s="10"/>
      <c r="G517" s="11" t="str">
        <f>"－"</f>
        <v>－</v>
      </c>
      <c r="H517" s="10"/>
      <c r="I517" s="11" t="str">
        <f>"－"</f>
        <v>－</v>
      </c>
      <c r="J517" s="10"/>
      <c r="K517" s="11" t="str">
        <f>"－"</f>
        <v>－</v>
      </c>
    </row>
    <row r="518" spans="1:11">
      <c r="A518" s="8" t="s">
        <v>37</v>
      </c>
      <c r="B518" s="9" t="s">
        <v>82</v>
      </c>
      <c r="C518" s="9" t="s">
        <v>83</v>
      </c>
      <c r="D518" s="10"/>
      <c r="E518" s="11" t="str">
        <f>"－"</f>
        <v>－</v>
      </c>
      <c r="F518" s="10"/>
      <c r="G518" s="11" t="str">
        <f>"－"</f>
        <v>－</v>
      </c>
      <c r="H518" s="10"/>
      <c r="I518" s="11" t="str">
        <f>"－"</f>
        <v>－</v>
      </c>
      <c r="J518" s="10"/>
      <c r="K518" s="11" t="str">
        <f>"－"</f>
        <v>－</v>
      </c>
    </row>
    <row r="519" spans="1:11">
      <c r="A519" s="8" t="s">
        <v>38</v>
      </c>
      <c r="B519" s="9" t="s">
        <v>82</v>
      </c>
      <c r="C519" s="9" t="s">
        <v>83</v>
      </c>
      <c r="D519" s="10"/>
      <c r="E519" s="11" t="str">
        <f>"－"</f>
        <v>－</v>
      </c>
      <c r="F519" s="10"/>
      <c r="G519" s="11" t="str">
        <f>"－"</f>
        <v>－</v>
      </c>
      <c r="H519" s="10"/>
      <c r="I519" s="11" t="str">
        <f>"－"</f>
        <v>－</v>
      </c>
      <c r="J519" s="10"/>
      <c r="K519" s="11" t="str">
        <f>"－"</f>
        <v>－</v>
      </c>
    </row>
    <row r="520" spans="1:11">
      <c r="A520" s="8" t="s">
        <v>39</v>
      </c>
      <c r="B520" s="9" t="s">
        <v>82</v>
      </c>
      <c r="C520" s="9" t="s">
        <v>83</v>
      </c>
      <c r="D520" s="10"/>
      <c r="E520" s="11"/>
      <c r="F520" s="10"/>
      <c r="G520" s="11"/>
      <c r="H520" s="10"/>
      <c r="I520" s="11"/>
      <c r="J520" s="10"/>
      <c r="K520" s="11"/>
    </row>
    <row r="521" spans="1:11">
      <c r="A521" s="8" t="s">
        <v>40</v>
      </c>
      <c r="B521" s="9" t="s">
        <v>82</v>
      </c>
      <c r="C521" s="9" t="s">
        <v>83</v>
      </c>
      <c r="D521" s="10"/>
      <c r="E521" s="11"/>
      <c r="F521" s="10"/>
      <c r="G521" s="11"/>
      <c r="H521" s="10"/>
      <c r="I521" s="11"/>
      <c r="J521" s="10"/>
      <c r="K521" s="11"/>
    </row>
    <row r="522" spans="1:11">
      <c r="A522" s="8" t="s">
        <v>41</v>
      </c>
      <c r="B522" s="9" t="s">
        <v>82</v>
      </c>
      <c r="C522" s="9" t="s">
        <v>83</v>
      </c>
      <c r="D522" s="10"/>
      <c r="E522" s="11"/>
      <c r="F522" s="10"/>
      <c r="G522" s="11"/>
      <c r="H522" s="10"/>
      <c r="I522" s="11"/>
      <c r="J522" s="10"/>
      <c r="K522" s="11"/>
    </row>
    <row r="523" spans="1:11">
      <c r="A523" s="8" t="s">
        <v>42</v>
      </c>
      <c r="B523" s="9" t="s">
        <v>82</v>
      </c>
      <c r="C523" s="9" t="s">
        <v>83</v>
      </c>
      <c r="D523" s="10"/>
      <c r="E523" s="11" t="str">
        <f>"－"</f>
        <v>－</v>
      </c>
      <c r="F523" s="10"/>
      <c r="G523" s="11" t="str">
        <f>"－"</f>
        <v>－</v>
      </c>
      <c r="H523" s="10"/>
      <c r="I523" s="11" t="str">
        <f>"－"</f>
        <v>－</v>
      </c>
      <c r="J523" s="10"/>
      <c r="K523" s="11" t="str">
        <f>"－"</f>
        <v>－</v>
      </c>
    </row>
    <row r="524" spans="1:11">
      <c r="A524" s="8" t="s">
        <v>43</v>
      </c>
      <c r="B524" s="9" t="s">
        <v>82</v>
      </c>
      <c r="C524" s="9" t="s">
        <v>83</v>
      </c>
      <c r="D524" s="10"/>
      <c r="E524" s="11" t="str">
        <f>"－"</f>
        <v>－</v>
      </c>
      <c r="F524" s="10"/>
      <c r="G524" s="11" t="str">
        <f>"－"</f>
        <v>－</v>
      </c>
      <c r="H524" s="10"/>
      <c r="I524" s="11" t="str">
        <f>"－"</f>
        <v>－</v>
      </c>
      <c r="J524" s="10"/>
      <c r="K524" s="11" t="str">
        <f>"－"</f>
        <v>－</v>
      </c>
    </row>
    <row r="525" spans="1:11">
      <c r="A525" s="8" t="s">
        <v>44</v>
      </c>
      <c r="B525" s="9" t="s">
        <v>82</v>
      </c>
      <c r="C525" s="9" t="s">
        <v>83</v>
      </c>
      <c r="D525" s="10"/>
      <c r="E525" s="11" t="str">
        <f>"－"</f>
        <v>－</v>
      </c>
      <c r="F525" s="10"/>
      <c r="G525" s="11" t="str">
        <f>"－"</f>
        <v>－</v>
      </c>
      <c r="H525" s="10"/>
      <c r="I525" s="11" t="str">
        <f>"－"</f>
        <v>－</v>
      </c>
      <c r="J525" s="10"/>
      <c r="K525" s="11" t="str">
        <f>"－"</f>
        <v>－</v>
      </c>
    </row>
    <row r="526" spans="1:11">
      <c r="A526" s="8" t="s">
        <v>45</v>
      </c>
      <c r="B526" s="9" t="s">
        <v>82</v>
      </c>
      <c r="C526" s="9" t="s">
        <v>83</v>
      </c>
      <c r="D526" s="10"/>
      <c r="E526" s="11" t="str">
        <f>"－"</f>
        <v>－</v>
      </c>
      <c r="F526" s="10"/>
      <c r="G526" s="11" t="str">
        <f>"－"</f>
        <v>－</v>
      </c>
      <c r="H526" s="10"/>
      <c r="I526" s="11" t="str">
        <f>"－"</f>
        <v>－</v>
      </c>
      <c r="J526" s="10"/>
      <c r="K526" s="11" t="str">
        <f>"－"</f>
        <v>－</v>
      </c>
    </row>
    <row r="527" spans="1:11">
      <c r="A527" s="8" t="s">
        <v>46</v>
      </c>
      <c r="B527" s="9" t="s">
        <v>82</v>
      </c>
      <c r="C527" s="9" t="s">
        <v>83</v>
      </c>
      <c r="D527" s="10"/>
      <c r="E527" s="11"/>
      <c r="F527" s="10"/>
      <c r="G527" s="11"/>
      <c r="H527" s="10"/>
      <c r="I527" s="11"/>
      <c r="J527" s="10"/>
      <c r="K527" s="11"/>
    </row>
    <row r="528" spans="1:11">
      <c r="A528" s="8" t="s">
        <v>47</v>
      </c>
      <c r="B528" s="9" t="s">
        <v>82</v>
      </c>
      <c r="C528" s="9" t="s">
        <v>83</v>
      </c>
      <c r="D528" s="10"/>
      <c r="E528" s="11"/>
      <c r="F528" s="10"/>
      <c r="G528" s="11"/>
      <c r="H528" s="10"/>
      <c r="I528" s="11"/>
      <c r="J528" s="10"/>
      <c r="K528" s="11"/>
    </row>
    <row r="529" spans="1:11">
      <c r="A529" s="8" t="s">
        <v>48</v>
      </c>
      <c r="B529" s="9" t="s">
        <v>82</v>
      </c>
      <c r="C529" s="9" t="s">
        <v>83</v>
      </c>
      <c r="D529" s="10"/>
      <c r="E529" s="11" t="str">
        <f>"－"</f>
        <v>－</v>
      </c>
      <c r="F529" s="10"/>
      <c r="G529" s="11" t="str">
        <f>"－"</f>
        <v>－</v>
      </c>
      <c r="H529" s="10"/>
      <c r="I529" s="11" t="str">
        <f t="shared" ref="I529:I536" si="19">"－"</f>
        <v>－</v>
      </c>
      <c r="J529" s="10"/>
      <c r="K529" s="11" t="str">
        <f>"－"</f>
        <v>－</v>
      </c>
    </row>
    <row r="530" spans="1:11">
      <c r="A530" s="8" t="s">
        <v>49</v>
      </c>
      <c r="B530" s="9" t="s">
        <v>82</v>
      </c>
      <c r="C530" s="9" t="s">
        <v>83</v>
      </c>
      <c r="D530" s="10"/>
      <c r="E530" s="11" t="str">
        <f>"－"</f>
        <v>－</v>
      </c>
      <c r="F530" s="10"/>
      <c r="G530" s="11" t="str">
        <f>"－"</f>
        <v>－</v>
      </c>
      <c r="H530" s="10"/>
      <c r="I530" s="11" t="str">
        <f t="shared" si="19"/>
        <v>－</v>
      </c>
      <c r="J530" s="10"/>
      <c r="K530" s="11" t="str">
        <f>"－"</f>
        <v>－</v>
      </c>
    </row>
    <row r="531" spans="1:11">
      <c r="A531" s="8" t="s">
        <v>50</v>
      </c>
      <c r="B531" s="9" t="s">
        <v>82</v>
      </c>
      <c r="C531" s="9" t="s">
        <v>83</v>
      </c>
      <c r="D531" s="10"/>
      <c r="E531" s="11" t="str">
        <f>"－"</f>
        <v>－</v>
      </c>
      <c r="F531" s="10"/>
      <c r="G531" s="11" t="str">
        <f>"－"</f>
        <v>－</v>
      </c>
      <c r="H531" s="10"/>
      <c r="I531" s="11" t="str">
        <f t="shared" si="19"/>
        <v>－</v>
      </c>
      <c r="J531" s="10"/>
      <c r="K531" s="11" t="str">
        <f>"－"</f>
        <v>－</v>
      </c>
    </row>
    <row r="532" spans="1:11">
      <c r="A532" s="8" t="s">
        <v>51</v>
      </c>
      <c r="B532" s="9" t="s">
        <v>82</v>
      </c>
      <c r="C532" s="9" t="s">
        <v>83</v>
      </c>
      <c r="D532" s="10"/>
      <c r="E532" s="11" t="str">
        <f>"－"</f>
        <v>－</v>
      </c>
      <c r="F532" s="10"/>
      <c r="G532" s="11" t="str">
        <f>"－"</f>
        <v>－</v>
      </c>
      <c r="H532" s="10"/>
      <c r="I532" s="11" t="str">
        <f t="shared" si="19"/>
        <v>－</v>
      </c>
      <c r="J532" s="10"/>
      <c r="K532" s="11" t="str">
        <f>"－"</f>
        <v>－</v>
      </c>
    </row>
    <row r="533" spans="1:11">
      <c r="A533" s="8" t="s">
        <v>16</v>
      </c>
      <c r="B533" s="9" t="s">
        <v>84</v>
      </c>
      <c r="C533" s="9" t="s">
        <v>85</v>
      </c>
      <c r="D533" s="10"/>
      <c r="E533" s="11">
        <f>6903</f>
        <v>6903</v>
      </c>
      <c r="F533" s="10"/>
      <c r="G533" s="11">
        <f>21955054500</f>
        <v>21955054500</v>
      </c>
      <c r="H533" s="10" t="s">
        <v>19</v>
      </c>
      <c r="I533" s="11" t="str">
        <f t="shared" si="19"/>
        <v>－</v>
      </c>
      <c r="J533" s="10"/>
      <c r="K533" s="11">
        <f>85854</f>
        <v>85854</v>
      </c>
    </row>
    <row r="534" spans="1:11">
      <c r="A534" s="8" t="s">
        <v>20</v>
      </c>
      <c r="B534" s="9" t="s">
        <v>84</v>
      </c>
      <c r="C534" s="9" t="s">
        <v>85</v>
      </c>
      <c r="D534" s="10"/>
      <c r="E534" s="11">
        <f>18493</f>
        <v>18493</v>
      </c>
      <c r="F534" s="10"/>
      <c r="G534" s="11">
        <f>61005206000</f>
        <v>61005206000</v>
      </c>
      <c r="H534" s="10"/>
      <c r="I534" s="11" t="str">
        <f t="shared" si="19"/>
        <v>－</v>
      </c>
      <c r="J534" s="10"/>
      <c r="K534" s="11">
        <f>79900</f>
        <v>79900</v>
      </c>
    </row>
    <row r="535" spans="1:11">
      <c r="A535" s="8" t="s">
        <v>21</v>
      </c>
      <c r="B535" s="9" t="s">
        <v>84</v>
      </c>
      <c r="C535" s="9" t="s">
        <v>85</v>
      </c>
      <c r="D535" s="10"/>
      <c r="E535" s="11">
        <f>13676</f>
        <v>13676</v>
      </c>
      <c r="F535" s="10"/>
      <c r="G535" s="11">
        <f>47568811000</f>
        <v>47568811000</v>
      </c>
      <c r="H535" s="10"/>
      <c r="I535" s="11" t="str">
        <f t="shared" si="19"/>
        <v>－</v>
      </c>
      <c r="J535" s="10"/>
      <c r="K535" s="11">
        <f>82419</f>
        <v>82419</v>
      </c>
    </row>
    <row r="536" spans="1:11">
      <c r="A536" s="8" t="s">
        <v>22</v>
      </c>
      <c r="B536" s="9" t="s">
        <v>84</v>
      </c>
      <c r="C536" s="9" t="s">
        <v>85</v>
      </c>
      <c r="D536" s="10"/>
      <c r="E536" s="11">
        <f>11887</f>
        <v>11887</v>
      </c>
      <c r="F536" s="10"/>
      <c r="G536" s="11">
        <f>41091750000</f>
        <v>41091750000</v>
      </c>
      <c r="H536" s="10"/>
      <c r="I536" s="11" t="str">
        <f t="shared" si="19"/>
        <v>－</v>
      </c>
      <c r="J536" s="10"/>
      <c r="K536" s="11">
        <f>80674</f>
        <v>80674</v>
      </c>
    </row>
    <row r="537" spans="1:11">
      <c r="A537" s="8" t="s">
        <v>23</v>
      </c>
      <c r="B537" s="9" t="s">
        <v>84</v>
      </c>
      <c r="C537" s="9" t="s">
        <v>85</v>
      </c>
      <c r="D537" s="10"/>
      <c r="E537" s="11"/>
      <c r="F537" s="10"/>
      <c r="G537" s="11"/>
      <c r="H537" s="10"/>
      <c r="I537" s="11"/>
      <c r="J537" s="10"/>
      <c r="K537" s="11"/>
    </row>
    <row r="538" spans="1:11">
      <c r="A538" s="8" t="s">
        <v>24</v>
      </c>
      <c r="B538" s="9" t="s">
        <v>84</v>
      </c>
      <c r="C538" s="9" t="s">
        <v>85</v>
      </c>
      <c r="D538" s="10"/>
      <c r="E538" s="11"/>
      <c r="F538" s="10"/>
      <c r="G538" s="11"/>
      <c r="H538" s="10"/>
      <c r="I538" s="11"/>
      <c r="J538" s="10"/>
      <c r="K538" s="11"/>
    </row>
    <row r="539" spans="1:11">
      <c r="A539" s="8" t="s">
        <v>25</v>
      </c>
      <c r="B539" s="9" t="s">
        <v>84</v>
      </c>
      <c r="C539" s="9" t="s">
        <v>85</v>
      </c>
      <c r="D539" s="10"/>
      <c r="E539" s="11">
        <f>33525</f>
        <v>33525</v>
      </c>
      <c r="F539" s="10"/>
      <c r="G539" s="11">
        <f>128188393500</f>
        <v>128188393500</v>
      </c>
      <c r="H539" s="10"/>
      <c r="I539" s="11" t="str">
        <f>"－"</f>
        <v>－</v>
      </c>
      <c r="J539" s="10"/>
      <c r="K539" s="11">
        <f>84511</f>
        <v>84511</v>
      </c>
    </row>
    <row r="540" spans="1:11">
      <c r="A540" s="8" t="s">
        <v>27</v>
      </c>
      <c r="B540" s="9" t="s">
        <v>84</v>
      </c>
      <c r="C540" s="9" t="s">
        <v>85</v>
      </c>
      <c r="D540" s="10"/>
      <c r="E540" s="11">
        <f>35272</f>
        <v>35272</v>
      </c>
      <c r="F540" s="10"/>
      <c r="G540" s="11">
        <f>135877047000</f>
        <v>135877047000</v>
      </c>
      <c r="H540" s="10"/>
      <c r="I540" s="11" t="str">
        <f>"－"</f>
        <v>－</v>
      </c>
      <c r="J540" s="10"/>
      <c r="K540" s="11">
        <f>84212</f>
        <v>84212</v>
      </c>
    </row>
    <row r="541" spans="1:11">
      <c r="A541" s="8" t="s">
        <v>28</v>
      </c>
      <c r="B541" s="9" t="s">
        <v>84</v>
      </c>
      <c r="C541" s="9" t="s">
        <v>85</v>
      </c>
      <c r="D541" s="10" t="s">
        <v>26</v>
      </c>
      <c r="E541" s="11">
        <f>39863</f>
        <v>39863</v>
      </c>
      <c r="F541" s="10" t="s">
        <v>26</v>
      </c>
      <c r="G541" s="11">
        <f>157789576000</f>
        <v>157789576000</v>
      </c>
      <c r="H541" s="10"/>
      <c r="I541" s="11" t="str">
        <f>"－"</f>
        <v>－</v>
      </c>
      <c r="J541" s="10" t="s">
        <v>26</v>
      </c>
      <c r="K541" s="11">
        <f>86615</f>
        <v>86615</v>
      </c>
    </row>
    <row r="542" spans="1:11">
      <c r="A542" s="8" t="s">
        <v>29</v>
      </c>
      <c r="B542" s="9" t="s">
        <v>84</v>
      </c>
      <c r="C542" s="9" t="s">
        <v>85</v>
      </c>
      <c r="D542" s="10"/>
      <c r="E542" s="11">
        <f>31758</f>
        <v>31758</v>
      </c>
      <c r="F542" s="10"/>
      <c r="G542" s="11">
        <f>110880215500</f>
        <v>110880215500</v>
      </c>
      <c r="H542" s="10"/>
      <c r="I542" s="11" t="str">
        <f>"－"</f>
        <v>－</v>
      </c>
      <c r="J542" s="10"/>
      <c r="K542" s="11">
        <f>79974</f>
        <v>79974</v>
      </c>
    </row>
    <row r="543" spans="1:11">
      <c r="A543" s="8" t="s">
        <v>30</v>
      </c>
      <c r="B543" s="9" t="s">
        <v>84</v>
      </c>
      <c r="C543" s="9" t="s">
        <v>85</v>
      </c>
      <c r="D543" s="10"/>
      <c r="E543" s="11">
        <f>28013</f>
        <v>28013</v>
      </c>
      <c r="F543" s="10"/>
      <c r="G543" s="11">
        <f>95237865500</f>
        <v>95237865500</v>
      </c>
      <c r="H543" s="10"/>
      <c r="I543" s="11" t="str">
        <f>"－"</f>
        <v>－</v>
      </c>
      <c r="J543" s="10"/>
      <c r="K543" s="11">
        <f>79971</f>
        <v>79971</v>
      </c>
    </row>
    <row r="544" spans="1:11">
      <c r="A544" s="8" t="s">
        <v>31</v>
      </c>
      <c r="B544" s="9" t="s">
        <v>84</v>
      </c>
      <c r="C544" s="9" t="s">
        <v>85</v>
      </c>
      <c r="D544" s="10"/>
      <c r="E544" s="11"/>
      <c r="F544" s="10"/>
      <c r="G544" s="11"/>
      <c r="H544" s="10"/>
      <c r="I544" s="11"/>
      <c r="J544" s="10"/>
      <c r="K544" s="11"/>
    </row>
    <row r="545" spans="1:11">
      <c r="A545" s="8" t="s">
        <v>32</v>
      </c>
      <c r="B545" s="9" t="s">
        <v>84</v>
      </c>
      <c r="C545" s="9" t="s">
        <v>85</v>
      </c>
      <c r="D545" s="10"/>
      <c r="E545" s="11"/>
      <c r="F545" s="10"/>
      <c r="G545" s="11"/>
      <c r="H545" s="10"/>
      <c r="I545" s="11"/>
      <c r="J545" s="10"/>
      <c r="K545" s="11"/>
    </row>
    <row r="546" spans="1:11">
      <c r="A546" s="8" t="s">
        <v>33</v>
      </c>
      <c r="B546" s="9" t="s">
        <v>84</v>
      </c>
      <c r="C546" s="9" t="s">
        <v>85</v>
      </c>
      <c r="D546" s="10"/>
      <c r="E546" s="11">
        <f>9087</f>
        <v>9087</v>
      </c>
      <c r="F546" s="10"/>
      <c r="G546" s="11">
        <f>31446574500</f>
        <v>31446574500</v>
      </c>
      <c r="H546" s="10"/>
      <c r="I546" s="11" t="str">
        <f>"－"</f>
        <v>－</v>
      </c>
      <c r="J546" s="10"/>
      <c r="K546" s="11">
        <f>79565</f>
        <v>79565</v>
      </c>
    </row>
    <row r="547" spans="1:11">
      <c r="A547" s="8" t="s">
        <v>34</v>
      </c>
      <c r="B547" s="9" t="s">
        <v>84</v>
      </c>
      <c r="C547" s="9" t="s">
        <v>85</v>
      </c>
      <c r="D547" s="10"/>
      <c r="E547" s="11">
        <f>14530</f>
        <v>14530</v>
      </c>
      <c r="F547" s="10"/>
      <c r="G547" s="11">
        <f>47757762500</f>
        <v>47757762500</v>
      </c>
      <c r="H547" s="10"/>
      <c r="I547" s="11" t="str">
        <f>"－"</f>
        <v>－</v>
      </c>
      <c r="J547" s="10"/>
      <c r="K547" s="11">
        <f>73256</f>
        <v>73256</v>
      </c>
    </row>
    <row r="548" spans="1:11">
      <c r="A548" s="8" t="s">
        <v>35</v>
      </c>
      <c r="B548" s="9" t="s">
        <v>84</v>
      </c>
      <c r="C548" s="9" t="s">
        <v>85</v>
      </c>
      <c r="D548" s="10"/>
      <c r="E548" s="11">
        <f>6953</f>
        <v>6953</v>
      </c>
      <c r="F548" s="10"/>
      <c r="G548" s="11">
        <f>22853354500</f>
        <v>22853354500</v>
      </c>
      <c r="H548" s="10"/>
      <c r="I548" s="11" t="str">
        <f>"－"</f>
        <v>－</v>
      </c>
      <c r="J548" s="10"/>
      <c r="K548" s="11">
        <f>73041</f>
        <v>73041</v>
      </c>
    </row>
    <row r="549" spans="1:11">
      <c r="A549" s="8" t="s">
        <v>37</v>
      </c>
      <c r="B549" s="9" t="s">
        <v>84</v>
      </c>
      <c r="C549" s="9" t="s">
        <v>85</v>
      </c>
      <c r="D549" s="10"/>
      <c r="E549" s="11">
        <f>5330</f>
        <v>5330</v>
      </c>
      <c r="F549" s="10"/>
      <c r="G549" s="11">
        <f>17459900000</f>
        <v>17459900000</v>
      </c>
      <c r="H549" s="10"/>
      <c r="I549" s="11" t="str">
        <f>"－"</f>
        <v>－</v>
      </c>
      <c r="J549" s="10"/>
      <c r="K549" s="11">
        <f>71504</f>
        <v>71504</v>
      </c>
    </row>
    <row r="550" spans="1:11">
      <c r="A550" s="8" t="s">
        <v>38</v>
      </c>
      <c r="B550" s="9" t="s">
        <v>84</v>
      </c>
      <c r="C550" s="9" t="s">
        <v>85</v>
      </c>
      <c r="D550" s="10"/>
      <c r="E550" s="11">
        <f>10863</f>
        <v>10863</v>
      </c>
      <c r="F550" s="10"/>
      <c r="G550" s="11">
        <f>38013713000</f>
        <v>38013713000</v>
      </c>
      <c r="H550" s="10"/>
      <c r="I550" s="11" t="str">
        <f>"－"</f>
        <v>－</v>
      </c>
      <c r="J550" s="10"/>
      <c r="K550" s="11">
        <f>74211</f>
        <v>74211</v>
      </c>
    </row>
    <row r="551" spans="1:11">
      <c r="A551" s="8" t="s">
        <v>39</v>
      </c>
      <c r="B551" s="9" t="s">
        <v>84</v>
      </c>
      <c r="C551" s="9" t="s">
        <v>85</v>
      </c>
      <c r="D551" s="10"/>
      <c r="E551" s="11"/>
      <c r="F551" s="10"/>
      <c r="G551" s="11"/>
      <c r="H551" s="10"/>
      <c r="I551" s="11"/>
      <c r="J551" s="10"/>
      <c r="K551" s="11"/>
    </row>
    <row r="552" spans="1:11">
      <c r="A552" s="8" t="s">
        <v>40</v>
      </c>
      <c r="B552" s="9" t="s">
        <v>84</v>
      </c>
      <c r="C552" s="9" t="s">
        <v>85</v>
      </c>
      <c r="D552" s="10"/>
      <c r="E552" s="11"/>
      <c r="F552" s="10"/>
      <c r="G552" s="11"/>
      <c r="H552" s="10"/>
      <c r="I552" s="11"/>
      <c r="J552" s="10"/>
      <c r="K552" s="11"/>
    </row>
    <row r="553" spans="1:11">
      <c r="A553" s="8" t="s">
        <v>41</v>
      </c>
      <c r="B553" s="9" t="s">
        <v>84</v>
      </c>
      <c r="C553" s="9" t="s">
        <v>85</v>
      </c>
      <c r="D553" s="10"/>
      <c r="E553" s="11"/>
      <c r="F553" s="10"/>
      <c r="G553" s="11"/>
      <c r="H553" s="10"/>
      <c r="I553" s="11"/>
      <c r="J553" s="10"/>
      <c r="K553" s="11"/>
    </row>
    <row r="554" spans="1:11">
      <c r="A554" s="8" t="s">
        <v>42</v>
      </c>
      <c r="B554" s="9" t="s">
        <v>84</v>
      </c>
      <c r="C554" s="9" t="s">
        <v>85</v>
      </c>
      <c r="D554" s="10"/>
      <c r="E554" s="11">
        <f>16287</f>
        <v>16287</v>
      </c>
      <c r="F554" s="10"/>
      <c r="G554" s="11">
        <f>61917019000</f>
        <v>61917019000</v>
      </c>
      <c r="H554" s="10"/>
      <c r="I554" s="11" t="str">
        <f>"－"</f>
        <v>－</v>
      </c>
      <c r="J554" s="10"/>
      <c r="K554" s="11">
        <f>78273</f>
        <v>78273</v>
      </c>
    </row>
    <row r="555" spans="1:11">
      <c r="A555" s="8" t="s">
        <v>43</v>
      </c>
      <c r="B555" s="9" t="s">
        <v>84</v>
      </c>
      <c r="C555" s="9" t="s">
        <v>85</v>
      </c>
      <c r="D555" s="10"/>
      <c r="E555" s="11">
        <f>5458</f>
        <v>5458</v>
      </c>
      <c r="F555" s="10"/>
      <c r="G555" s="11">
        <f>20545772000</f>
        <v>20545772000</v>
      </c>
      <c r="H555" s="10"/>
      <c r="I555" s="11" t="str">
        <f>"－"</f>
        <v>－</v>
      </c>
      <c r="J555" s="10"/>
      <c r="K555" s="11">
        <f>76669</f>
        <v>76669</v>
      </c>
    </row>
    <row r="556" spans="1:11">
      <c r="A556" s="8" t="s">
        <v>44</v>
      </c>
      <c r="B556" s="9" t="s">
        <v>84</v>
      </c>
      <c r="C556" s="9" t="s">
        <v>85</v>
      </c>
      <c r="D556" s="10"/>
      <c r="E556" s="11">
        <f>9542</f>
        <v>9542</v>
      </c>
      <c r="F556" s="10"/>
      <c r="G556" s="11">
        <f>37139036000</f>
        <v>37139036000</v>
      </c>
      <c r="H556" s="10"/>
      <c r="I556" s="11" t="str">
        <f>"－"</f>
        <v>－</v>
      </c>
      <c r="J556" s="10"/>
      <c r="K556" s="11">
        <f>77396</f>
        <v>77396</v>
      </c>
    </row>
    <row r="557" spans="1:11">
      <c r="A557" s="8" t="s">
        <v>45</v>
      </c>
      <c r="B557" s="9" t="s">
        <v>84</v>
      </c>
      <c r="C557" s="9" t="s">
        <v>85</v>
      </c>
      <c r="D557" s="10"/>
      <c r="E557" s="11">
        <f>5709</f>
        <v>5709</v>
      </c>
      <c r="F557" s="10"/>
      <c r="G557" s="11">
        <f>22043138500</f>
        <v>22043138500</v>
      </c>
      <c r="H557" s="10"/>
      <c r="I557" s="11" t="str">
        <f>"－"</f>
        <v>－</v>
      </c>
      <c r="J557" s="10"/>
      <c r="K557" s="11">
        <f>75491</f>
        <v>75491</v>
      </c>
    </row>
    <row r="558" spans="1:11">
      <c r="A558" s="8" t="s">
        <v>46</v>
      </c>
      <c r="B558" s="9" t="s">
        <v>84</v>
      </c>
      <c r="C558" s="9" t="s">
        <v>85</v>
      </c>
      <c r="D558" s="10"/>
      <c r="E558" s="11"/>
      <c r="F558" s="10"/>
      <c r="G558" s="11"/>
      <c r="H558" s="10"/>
      <c r="I558" s="11"/>
      <c r="J558" s="10"/>
      <c r="K558" s="11"/>
    </row>
    <row r="559" spans="1:11">
      <c r="A559" s="8" t="s">
        <v>47</v>
      </c>
      <c r="B559" s="9" t="s">
        <v>84</v>
      </c>
      <c r="C559" s="9" t="s">
        <v>85</v>
      </c>
      <c r="D559" s="10"/>
      <c r="E559" s="11"/>
      <c r="F559" s="10"/>
      <c r="G559" s="11"/>
      <c r="H559" s="10"/>
      <c r="I559" s="11"/>
      <c r="J559" s="10"/>
      <c r="K559" s="11"/>
    </row>
    <row r="560" spans="1:11">
      <c r="A560" s="8" t="s">
        <v>48</v>
      </c>
      <c r="B560" s="9" t="s">
        <v>84</v>
      </c>
      <c r="C560" s="9" t="s">
        <v>85</v>
      </c>
      <c r="D560" s="10"/>
      <c r="E560" s="11">
        <f>4826</f>
        <v>4826</v>
      </c>
      <c r="F560" s="10"/>
      <c r="G560" s="11">
        <f>18333507500</f>
        <v>18333507500</v>
      </c>
      <c r="H560" s="10"/>
      <c r="I560" s="11" t="str">
        <f t="shared" ref="I560:I567" si="20">"－"</f>
        <v>－</v>
      </c>
      <c r="J560" s="10"/>
      <c r="K560" s="11">
        <f>74260</f>
        <v>74260</v>
      </c>
    </row>
    <row r="561" spans="1:11">
      <c r="A561" s="8" t="s">
        <v>49</v>
      </c>
      <c r="B561" s="9" t="s">
        <v>84</v>
      </c>
      <c r="C561" s="9" t="s">
        <v>85</v>
      </c>
      <c r="D561" s="10"/>
      <c r="E561" s="11">
        <f>5982</f>
        <v>5982</v>
      </c>
      <c r="F561" s="10"/>
      <c r="G561" s="11">
        <f>22042442000</f>
        <v>22042442000</v>
      </c>
      <c r="H561" s="10"/>
      <c r="I561" s="11" t="str">
        <f t="shared" si="20"/>
        <v>－</v>
      </c>
      <c r="J561" s="10"/>
      <c r="K561" s="11">
        <f>72795</f>
        <v>72795</v>
      </c>
    </row>
    <row r="562" spans="1:11">
      <c r="A562" s="8" t="s">
        <v>50</v>
      </c>
      <c r="B562" s="9" t="s">
        <v>84</v>
      </c>
      <c r="C562" s="9" t="s">
        <v>85</v>
      </c>
      <c r="D562" s="10" t="s">
        <v>36</v>
      </c>
      <c r="E562" s="11">
        <f>3945</f>
        <v>3945</v>
      </c>
      <c r="F562" s="10" t="s">
        <v>36</v>
      </c>
      <c r="G562" s="11">
        <f>14405803000</f>
        <v>14405803000</v>
      </c>
      <c r="H562" s="10"/>
      <c r="I562" s="11" t="str">
        <f t="shared" si="20"/>
        <v>－</v>
      </c>
      <c r="J562" s="10"/>
      <c r="K562" s="11">
        <f>72220</f>
        <v>72220</v>
      </c>
    </row>
    <row r="563" spans="1:11">
      <c r="A563" s="8" t="s">
        <v>51</v>
      </c>
      <c r="B563" s="9" t="s">
        <v>84</v>
      </c>
      <c r="C563" s="9" t="s">
        <v>85</v>
      </c>
      <c r="D563" s="10"/>
      <c r="E563" s="11">
        <f>7482</f>
        <v>7482</v>
      </c>
      <c r="F563" s="10"/>
      <c r="G563" s="11">
        <f>27287463500</f>
        <v>27287463500</v>
      </c>
      <c r="H563" s="10"/>
      <c r="I563" s="11" t="str">
        <f t="shared" si="20"/>
        <v>－</v>
      </c>
      <c r="J563" s="10" t="s">
        <v>36</v>
      </c>
      <c r="K563" s="11">
        <f>69985</f>
        <v>69985</v>
      </c>
    </row>
    <row r="564" spans="1:11">
      <c r="A564" s="8" t="s">
        <v>16</v>
      </c>
      <c r="B564" s="9" t="s">
        <v>86</v>
      </c>
      <c r="C564" s="9" t="s">
        <v>87</v>
      </c>
      <c r="D564" s="10" t="s">
        <v>36</v>
      </c>
      <c r="E564" s="11" t="str">
        <f>"－"</f>
        <v>－</v>
      </c>
      <c r="F564" s="10" t="s">
        <v>36</v>
      </c>
      <c r="G564" s="11" t="str">
        <f>"－"</f>
        <v>－</v>
      </c>
      <c r="H564" s="10" t="s">
        <v>19</v>
      </c>
      <c r="I564" s="11" t="str">
        <f t="shared" si="20"/>
        <v>－</v>
      </c>
      <c r="J564" s="10"/>
      <c r="K564" s="11">
        <f>2594</f>
        <v>2594</v>
      </c>
    </row>
    <row r="565" spans="1:11">
      <c r="A565" s="8" t="s">
        <v>20</v>
      </c>
      <c r="B565" s="9" t="s">
        <v>86</v>
      </c>
      <c r="C565" s="9" t="s">
        <v>87</v>
      </c>
      <c r="D565" s="10"/>
      <c r="E565" s="11">
        <f>10</f>
        <v>10</v>
      </c>
      <c r="F565" s="10"/>
      <c r="G565" s="11">
        <f>11532000</f>
        <v>11532000</v>
      </c>
      <c r="H565" s="10"/>
      <c r="I565" s="11" t="str">
        <f t="shared" si="20"/>
        <v>－</v>
      </c>
      <c r="J565" s="10" t="s">
        <v>36</v>
      </c>
      <c r="K565" s="11">
        <f>2171</f>
        <v>2171</v>
      </c>
    </row>
    <row r="566" spans="1:11">
      <c r="A566" s="8" t="s">
        <v>21</v>
      </c>
      <c r="B566" s="9" t="s">
        <v>86</v>
      </c>
      <c r="C566" s="9" t="s">
        <v>87</v>
      </c>
      <c r="D566" s="10"/>
      <c r="E566" s="11" t="str">
        <f>"－"</f>
        <v>－</v>
      </c>
      <c r="F566" s="10"/>
      <c r="G566" s="11" t="str">
        <f>"－"</f>
        <v>－</v>
      </c>
      <c r="H566" s="10"/>
      <c r="I566" s="11" t="str">
        <f t="shared" si="20"/>
        <v>－</v>
      </c>
      <c r="J566" s="10"/>
      <c r="K566" s="11">
        <f>2171</f>
        <v>2171</v>
      </c>
    </row>
    <row r="567" spans="1:11">
      <c r="A567" s="8" t="s">
        <v>22</v>
      </c>
      <c r="B567" s="9" t="s">
        <v>86</v>
      </c>
      <c r="C567" s="9" t="s">
        <v>87</v>
      </c>
      <c r="D567" s="10"/>
      <c r="E567" s="11" t="str">
        <f>"－"</f>
        <v>－</v>
      </c>
      <c r="F567" s="10"/>
      <c r="G567" s="11" t="str">
        <f>"－"</f>
        <v>－</v>
      </c>
      <c r="H567" s="10"/>
      <c r="I567" s="11" t="str">
        <f t="shared" si="20"/>
        <v>－</v>
      </c>
      <c r="J567" s="10"/>
      <c r="K567" s="11">
        <f>2171</f>
        <v>2171</v>
      </c>
    </row>
    <row r="568" spans="1:11">
      <c r="A568" s="8" t="s">
        <v>23</v>
      </c>
      <c r="B568" s="9" t="s">
        <v>86</v>
      </c>
      <c r="C568" s="9" t="s">
        <v>87</v>
      </c>
      <c r="D568" s="10"/>
      <c r="E568" s="11"/>
      <c r="F568" s="10"/>
      <c r="G568" s="11"/>
      <c r="H568" s="10"/>
      <c r="I568" s="11"/>
      <c r="J568" s="10"/>
      <c r="K568" s="11"/>
    </row>
    <row r="569" spans="1:11">
      <c r="A569" s="8" t="s">
        <v>24</v>
      </c>
      <c r="B569" s="9" t="s">
        <v>86</v>
      </c>
      <c r="C569" s="9" t="s">
        <v>87</v>
      </c>
      <c r="D569" s="10"/>
      <c r="E569" s="11"/>
      <c r="F569" s="10"/>
      <c r="G569" s="11"/>
      <c r="H569" s="10"/>
      <c r="I569" s="11"/>
      <c r="J569" s="10"/>
      <c r="K569" s="11"/>
    </row>
    <row r="570" spans="1:11">
      <c r="A570" s="8" t="s">
        <v>25</v>
      </c>
      <c r="B570" s="9" t="s">
        <v>86</v>
      </c>
      <c r="C570" s="9" t="s">
        <v>87</v>
      </c>
      <c r="D570" s="10"/>
      <c r="E570" s="11">
        <f>30</f>
        <v>30</v>
      </c>
      <c r="F570" s="10"/>
      <c r="G570" s="11">
        <f>35712000</f>
        <v>35712000</v>
      </c>
      <c r="H570" s="10"/>
      <c r="I570" s="11" t="str">
        <f>"－"</f>
        <v>－</v>
      </c>
      <c r="J570" s="10"/>
      <c r="K570" s="11">
        <f>2201</f>
        <v>2201</v>
      </c>
    </row>
    <row r="571" spans="1:11">
      <c r="A571" s="8" t="s">
        <v>27</v>
      </c>
      <c r="B571" s="9" t="s">
        <v>86</v>
      </c>
      <c r="C571" s="9" t="s">
        <v>87</v>
      </c>
      <c r="D571" s="10"/>
      <c r="E571" s="11" t="str">
        <f>"－"</f>
        <v>－</v>
      </c>
      <c r="F571" s="10"/>
      <c r="G571" s="11" t="str">
        <f>"－"</f>
        <v>－</v>
      </c>
      <c r="H571" s="10"/>
      <c r="I571" s="11" t="str">
        <f>"－"</f>
        <v>－</v>
      </c>
      <c r="J571" s="10"/>
      <c r="K571" s="11">
        <f>2201</f>
        <v>2201</v>
      </c>
    </row>
    <row r="572" spans="1:11">
      <c r="A572" s="8" t="s">
        <v>28</v>
      </c>
      <c r="B572" s="9" t="s">
        <v>86</v>
      </c>
      <c r="C572" s="9" t="s">
        <v>87</v>
      </c>
      <c r="D572" s="10" t="s">
        <v>26</v>
      </c>
      <c r="E572" s="11">
        <f>300</f>
        <v>300</v>
      </c>
      <c r="F572" s="10"/>
      <c r="G572" s="11">
        <f>545706000</f>
        <v>545706000</v>
      </c>
      <c r="H572" s="10"/>
      <c r="I572" s="11" t="str">
        <f>"－"</f>
        <v>－</v>
      </c>
      <c r="J572" s="10"/>
      <c r="K572" s="11">
        <f>2201</f>
        <v>2201</v>
      </c>
    </row>
    <row r="573" spans="1:11">
      <c r="A573" s="8" t="s">
        <v>29</v>
      </c>
      <c r="B573" s="9" t="s">
        <v>86</v>
      </c>
      <c r="C573" s="9" t="s">
        <v>87</v>
      </c>
      <c r="D573" s="10"/>
      <c r="E573" s="11" t="str">
        <f>"－"</f>
        <v>－</v>
      </c>
      <c r="F573" s="10"/>
      <c r="G573" s="11" t="str">
        <f>"－"</f>
        <v>－</v>
      </c>
      <c r="H573" s="10"/>
      <c r="I573" s="11" t="str">
        <f>"－"</f>
        <v>－</v>
      </c>
      <c r="J573" s="10"/>
      <c r="K573" s="11">
        <f>2201</f>
        <v>2201</v>
      </c>
    </row>
    <row r="574" spans="1:11">
      <c r="A574" s="8" t="s">
        <v>30</v>
      </c>
      <c r="B574" s="9" t="s">
        <v>86</v>
      </c>
      <c r="C574" s="9" t="s">
        <v>87</v>
      </c>
      <c r="D574" s="10"/>
      <c r="E574" s="11">
        <f>102</f>
        <v>102</v>
      </c>
      <c r="F574" s="10"/>
      <c r="G574" s="11">
        <f>208697040</f>
        <v>208697040</v>
      </c>
      <c r="H574" s="10"/>
      <c r="I574" s="11" t="str">
        <f>"－"</f>
        <v>－</v>
      </c>
      <c r="J574" s="10"/>
      <c r="K574" s="11">
        <f>2243</f>
        <v>2243</v>
      </c>
    </row>
    <row r="575" spans="1:11">
      <c r="A575" s="8" t="s">
        <v>31</v>
      </c>
      <c r="B575" s="9" t="s">
        <v>86</v>
      </c>
      <c r="C575" s="9" t="s">
        <v>87</v>
      </c>
      <c r="D575" s="10"/>
      <c r="E575" s="11"/>
      <c r="F575" s="10"/>
      <c r="G575" s="11"/>
      <c r="H575" s="10"/>
      <c r="I575" s="11"/>
      <c r="J575" s="10"/>
      <c r="K575" s="11"/>
    </row>
    <row r="576" spans="1:11">
      <c r="A576" s="8" t="s">
        <v>32</v>
      </c>
      <c r="B576" s="9" t="s">
        <v>86</v>
      </c>
      <c r="C576" s="9" t="s">
        <v>87</v>
      </c>
      <c r="D576" s="10"/>
      <c r="E576" s="11"/>
      <c r="F576" s="10"/>
      <c r="G576" s="11"/>
      <c r="H576" s="10"/>
      <c r="I576" s="11"/>
      <c r="J576" s="10"/>
      <c r="K576" s="11"/>
    </row>
    <row r="577" spans="1:11">
      <c r="A577" s="8" t="s">
        <v>33</v>
      </c>
      <c r="B577" s="9" t="s">
        <v>86</v>
      </c>
      <c r="C577" s="9" t="s">
        <v>87</v>
      </c>
      <c r="D577" s="10"/>
      <c r="E577" s="11">
        <f>18</f>
        <v>18</v>
      </c>
      <c r="F577" s="10"/>
      <c r="G577" s="11">
        <f>34815600</f>
        <v>34815600</v>
      </c>
      <c r="H577" s="10"/>
      <c r="I577" s="11" t="str">
        <f>"－"</f>
        <v>－</v>
      </c>
      <c r="J577" s="10"/>
      <c r="K577" s="11">
        <f>2249</f>
        <v>2249</v>
      </c>
    </row>
    <row r="578" spans="1:11">
      <c r="A578" s="8" t="s">
        <v>34</v>
      </c>
      <c r="B578" s="9" t="s">
        <v>86</v>
      </c>
      <c r="C578" s="9" t="s">
        <v>87</v>
      </c>
      <c r="D578" s="10"/>
      <c r="E578" s="11" t="str">
        <f>"－"</f>
        <v>－</v>
      </c>
      <c r="F578" s="10"/>
      <c r="G578" s="11" t="str">
        <f>"－"</f>
        <v>－</v>
      </c>
      <c r="H578" s="10"/>
      <c r="I578" s="11" t="str">
        <f>"－"</f>
        <v>－</v>
      </c>
      <c r="J578" s="10"/>
      <c r="K578" s="11">
        <f>2249</f>
        <v>2249</v>
      </c>
    </row>
    <row r="579" spans="1:11">
      <c r="A579" s="8" t="s">
        <v>35</v>
      </c>
      <c r="B579" s="9" t="s">
        <v>86</v>
      </c>
      <c r="C579" s="9" t="s">
        <v>87</v>
      </c>
      <c r="D579" s="10"/>
      <c r="E579" s="11">
        <f>21</f>
        <v>21</v>
      </c>
      <c r="F579" s="10"/>
      <c r="G579" s="11">
        <f>36720000</f>
        <v>36720000</v>
      </c>
      <c r="H579" s="10"/>
      <c r="I579" s="11" t="str">
        <f>"－"</f>
        <v>－</v>
      </c>
      <c r="J579" s="10"/>
      <c r="K579" s="11">
        <f>2260</f>
        <v>2260</v>
      </c>
    </row>
    <row r="580" spans="1:11">
      <c r="A580" s="8" t="s">
        <v>37</v>
      </c>
      <c r="B580" s="9" t="s">
        <v>86</v>
      </c>
      <c r="C580" s="9" t="s">
        <v>87</v>
      </c>
      <c r="D580" s="10"/>
      <c r="E580" s="11">
        <f>121</f>
        <v>121</v>
      </c>
      <c r="F580" s="10"/>
      <c r="G580" s="11">
        <f>204038400</f>
        <v>204038400</v>
      </c>
      <c r="H580" s="10"/>
      <c r="I580" s="11" t="str">
        <f>"－"</f>
        <v>－</v>
      </c>
      <c r="J580" s="10"/>
      <c r="K580" s="11">
        <f>2369</f>
        <v>2369</v>
      </c>
    </row>
    <row r="581" spans="1:11">
      <c r="A581" s="8" t="s">
        <v>38</v>
      </c>
      <c r="B581" s="9" t="s">
        <v>86</v>
      </c>
      <c r="C581" s="9" t="s">
        <v>87</v>
      </c>
      <c r="D581" s="10"/>
      <c r="E581" s="11">
        <f>120</f>
        <v>120</v>
      </c>
      <c r="F581" s="10"/>
      <c r="G581" s="11">
        <f>219492000</f>
        <v>219492000</v>
      </c>
      <c r="H581" s="10"/>
      <c r="I581" s="11" t="str">
        <f>"－"</f>
        <v>－</v>
      </c>
      <c r="J581" s="10"/>
      <c r="K581" s="11">
        <f>2489</f>
        <v>2489</v>
      </c>
    </row>
    <row r="582" spans="1:11">
      <c r="A582" s="8" t="s">
        <v>39</v>
      </c>
      <c r="B582" s="9" t="s">
        <v>86</v>
      </c>
      <c r="C582" s="9" t="s">
        <v>87</v>
      </c>
      <c r="D582" s="10"/>
      <c r="E582" s="11"/>
      <c r="F582" s="10"/>
      <c r="G582" s="11"/>
      <c r="H582" s="10"/>
      <c r="I582" s="11"/>
      <c r="J582" s="10"/>
      <c r="K582" s="11"/>
    </row>
    <row r="583" spans="1:11">
      <c r="A583" s="8" t="s">
        <v>40</v>
      </c>
      <c r="B583" s="9" t="s">
        <v>86</v>
      </c>
      <c r="C583" s="9" t="s">
        <v>87</v>
      </c>
      <c r="D583" s="10"/>
      <c r="E583" s="11"/>
      <c r="F583" s="10"/>
      <c r="G583" s="11"/>
      <c r="H583" s="10"/>
      <c r="I583" s="11"/>
      <c r="J583" s="10"/>
      <c r="K583" s="11"/>
    </row>
    <row r="584" spans="1:11">
      <c r="A584" s="8" t="s">
        <v>41</v>
      </c>
      <c r="B584" s="9" t="s">
        <v>86</v>
      </c>
      <c r="C584" s="9" t="s">
        <v>87</v>
      </c>
      <c r="D584" s="10"/>
      <c r="E584" s="11"/>
      <c r="F584" s="10"/>
      <c r="G584" s="11"/>
      <c r="H584" s="10"/>
      <c r="I584" s="11"/>
      <c r="J584" s="10"/>
      <c r="K584" s="11"/>
    </row>
    <row r="585" spans="1:11">
      <c r="A585" s="8" t="s">
        <v>42</v>
      </c>
      <c r="B585" s="9" t="s">
        <v>86</v>
      </c>
      <c r="C585" s="9" t="s">
        <v>87</v>
      </c>
      <c r="D585" s="10"/>
      <c r="E585" s="11" t="str">
        <f>"－"</f>
        <v>－</v>
      </c>
      <c r="F585" s="10"/>
      <c r="G585" s="11" t="str">
        <f>"－"</f>
        <v>－</v>
      </c>
      <c r="H585" s="10"/>
      <c r="I585" s="11" t="str">
        <f>"－"</f>
        <v>－</v>
      </c>
      <c r="J585" s="10"/>
      <c r="K585" s="11">
        <f>2489</f>
        <v>2489</v>
      </c>
    </row>
    <row r="586" spans="1:11">
      <c r="A586" s="8" t="s">
        <v>43</v>
      </c>
      <c r="B586" s="9" t="s">
        <v>86</v>
      </c>
      <c r="C586" s="9" t="s">
        <v>87</v>
      </c>
      <c r="D586" s="10"/>
      <c r="E586" s="11" t="str">
        <f>"－"</f>
        <v>－</v>
      </c>
      <c r="F586" s="10"/>
      <c r="G586" s="11" t="str">
        <f>"－"</f>
        <v>－</v>
      </c>
      <c r="H586" s="10"/>
      <c r="I586" s="11" t="str">
        <f>"－"</f>
        <v>－</v>
      </c>
      <c r="J586" s="10"/>
      <c r="K586" s="11">
        <f>2489</f>
        <v>2489</v>
      </c>
    </row>
    <row r="587" spans="1:11">
      <c r="A587" s="8" t="s">
        <v>44</v>
      </c>
      <c r="B587" s="9" t="s">
        <v>86</v>
      </c>
      <c r="C587" s="9" t="s">
        <v>87</v>
      </c>
      <c r="D587" s="10"/>
      <c r="E587" s="11" t="str">
        <f>"－"</f>
        <v>－</v>
      </c>
      <c r="F587" s="10"/>
      <c r="G587" s="11" t="str">
        <f>"－"</f>
        <v>－</v>
      </c>
      <c r="H587" s="10"/>
      <c r="I587" s="11" t="str">
        <f>"－"</f>
        <v>－</v>
      </c>
      <c r="J587" s="10"/>
      <c r="K587" s="11">
        <f>2489</f>
        <v>2489</v>
      </c>
    </row>
    <row r="588" spans="1:11">
      <c r="A588" s="8" t="s">
        <v>45</v>
      </c>
      <c r="B588" s="9" t="s">
        <v>86</v>
      </c>
      <c r="C588" s="9" t="s">
        <v>87</v>
      </c>
      <c r="D588" s="10"/>
      <c r="E588" s="11" t="str">
        <f>"－"</f>
        <v>－</v>
      </c>
      <c r="F588" s="10"/>
      <c r="G588" s="11" t="str">
        <f>"－"</f>
        <v>－</v>
      </c>
      <c r="H588" s="10"/>
      <c r="I588" s="11" t="str">
        <f>"－"</f>
        <v>－</v>
      </c>
      <c r="J588" s="10"/>
      <c r="K588" s="11">
        <f>2489</f>
        <v>2489</v>
      </c>
    </row>
    <row r="589" spans="1:11">
      <c r="A589" s="8" t="s">
        <v>46</v>
      </c>
      <c r="B589" s="9" t="s">
        <v>86</v>
      </c>
      <c r="C589" s="9" t="s">
        <v>87</v>
      </c>
      <c r="D589" s="10"/>
      <c r="E589" s="11"/>
      <c r="F589" s="10"/>
      <c r="G589" s="11"/>
      <c r="H589" s="10"/>
      <c r="I589" s="11"/>
      <c r="J589" s="10"/>
      <c r="K589" s="11"/>
    </row>
    <row r="590" spans="1:11">
      <c r="A590" s="8" t="s">
        <v>47</v>
      </c>
      <c r="B590" s="9" t="s">
        <v>86</v>
      </c>
      <c r="C590" s="9" t="s">
        <v>87</v>
      </c>
      <c r="D590" s="10"/>
      <c r="E590" s="11"/>
      <c r="F590" s="10"/>
      <c r="G590" s="11"/>
      <c r="H590" s="10"/>
      <c r="I590" s="11"/>
      <c r="J590" s="10"/>
      <c r="K590" s="11"/>
    </row>
    <row r="591" spans="1:11">
      <c r="A591" s="8" t="s">
        <v>48</v>
      </c>
      <c r="B591" s="9" t="s">
        <v>86</v>
      </c>
      <c r="C591" s="9" t="s">
        <v>87</v>
      </c>
      <c r="D591" s="10"/>
      <c r="E591" s="11">
        <f>210</f>
        <v>210</v>
      </c>
      <c r="F591" s="10" t="s">
        <v>26</v>
      </c>
      <c r="G591" s="11">
        <f>609336000</f>
        <v>609336000</v>
      </c>
      <c r="H591" s="10"/>
      <c r="I591" s="11" t="str">
        <f t="shared" ref="I591:I598" si="21">"－"</f>
        <v>－</v>
      </c>
      <c r="J591" s="10"/>
      <c r="K591" s="11">
        <f>2699</f>
        <v>2699</v>
      </c>
    </row>
    <row r="592" spans="1:11">
      <c r="A592" s="8" t="s">
        <v>49</v>
      </c>
      <c r="B592" s="9" t="s">
        <v>86</v>
      </c>
      <c r="C592" s="9" t="s">
        <v>87</v>
      </c>
      <c r="D592" s="10"/>
      <c r="E592" s="11" t="str">
        <f>"－"</f>
        <v>－</v>
      </c>
      <c r="F592" s="10"/>
      <c r="G592" s="11" t="str">
        <f>"－"</f>
        <v>－</v>
      </c>
      <c r="H592" s="10"/>
      <c r="I592" s="11" t="str">
        <f t="shared" si="21"/>
        <v>－</v>
      </c>
      <c r="J592" s="10"/>
      <c r="K592" s="11">
        <f>2699</f>
        <v>2699</v>
      </c>
    </row>
    <row r="593" spans="1:11">
      <c r="A593" s="8" t="s">
        <v>50</v>
      </c>
      <c r="B593" s="9" t="s">
        <v>86</v>
      </c>
      <c r="C593" s="9" t="s">
        <v>87</v>
      </c>
      <c r="D593" s="10"/>
      <c r="E593" s="11" t="str">
        <f>"－"</f>
        <v>－</v>
      </c>
      <c r="F593" s="10"/>
      <c r="G593" s="11" t="str">
        <f>"－"</f>
        <v>－</v>
      </c>
      <c r="H593" s="10"/>
      <c r="I593" s="11" t="str">
        <f t="shared" si="21"/>
        <v>－</v>
      </c>
      <c r="J593" s="10"/>
      <c r="K593" s="11">
        <f>2699</f>
        <v>2699</v>
      </c>
    </row>
    <row r="594" spans="1:11">
      <c r="A594" s="8" t="s">
        <v>51</v>
      </c>
      <c r="B594" s="9" t="s">
        <v>86</v>
      </c>
      <c r="C594" s="9" t="s">
        <v>87</v>
      </c>
      <c r="D594" s="10"/>
      <c r="E594" s="11">
        <f>10</f>
        <v>10</v>
      </c>
      <c r="F594" s="10"/>
      <c r="G594" s="11">
        <f>18360000</f>
        <v>18360000</v>
      </c>
      <c r="H594" s="10"/>
      <c r="I594" s="11" t="str">
        <f t="shared" si="21"/>
        <v>－</v>
      </c>
      <c r="J594" s="10" t="s">
        <v>26</v>
      </c>
      <c r="K594" s="11">
        <f>2709</f>
        <v>2709</v>
      </c>
    </row>
    <row r="595" spans="1:11">
      <c r="A595" s="8" t="s">
        <v>16</v>
      </c>
      <c r="B595" s="9" t="s">
        <v>88</v>
      </c>
      <c r="C595" s="9" t="s">
        <v>89</v>
      </c>
      <c r="D595" s="10"/>
      <c r="E595" s="11">
        <f>3</f>
        <v>3</v>
      </c>
      <c r="F595" s="10"/>
      <c r="G595" s="11">
        <f>4464000</f>
        <v>4464000</v>
      </c>
      <c r="H595" s="10" t="s">
        <v>19</v>
      </c>
      <c r="I595" s="11" t="str">
        <f t="shared" si="21"/>
        <v>－</v>
      </c>
      <c r="J595" s="10"/>
      <c r="K595" s="11">
        <f>575</f>
        <v>575</v>
      </c>
    </row>
    <row r="596" spans="1:11">
      <c r="A596" s="8" t="s">
        <v>20</v>
      </c>
      <c r="B596" s="9" t="s">
        <v>88</v>
      </c>
      <c r="C596" s="9" t="s">
        <v>89</v>
      </c>
      <c r="D596" s="10"/>
      <c r="E596" s="11">
        <f>100</f>
        <v>100</v>
      </c>
      <c r="F596" s="10"/>
      <c r="G596" s="11">
        <f>148800000</f>
        <v>148800000</v>
      </c>
      <c r="H596" s="10"/>
      <c r="I596" s="11" t="str">
        <f t="shared" si="21"/>
        <v>－</v>
      </c>
      <c r="J596" s="10" t="s">
        <v>36</v>
      </c>
      <c r="K596" s="11">
        <f>463</f>
        <v>463</v>
      </c>
    </row>
    <row r="597" spans="1:11">
      <c r="A597" s="8" t="s">
        <v>21</v>
      </c>
      <c r="B597" s="9" t="s">
        <v>88</v>
      </c>
      <c r="C597" s="9" t="s">
        <v>89</v>
      </c>
      <c r="D597" s="10" t="s">
        <v>26</v>
      </c>
      <c r="E597" s="11">
        <f>150</f>
        <v>150</v>
      </c>
      <c r="F597" s="10" t="s">
        <v>26</v>
      </c>
      <c r="G597" s="11">
        <f>239940000</f>
        <v>239940000</v>
      </c>
      <c r="H597" s="10"/>
      <c r="I597" s="11" t="str">
        <f t="shared" si="21"/>
        <v>－</v>
      </c>
      <c r="J597" s="10"/>
      <c r="K597" s="11">
        <f>563</f>
        <v>563</v>
      </c>
    </row>
    <row r="598" spans="1:11">
      <c r="A598" s="8" t="s">
        <v>22</v>
      </c>
      <c r="B598" s="9" t="s">
        <v>88</v>
      </c>
      <c r="C598" s="9" t="s">
        <v>89</v>
      </c>
      <c r="D598" s="10"/>
      <c r="E598" s="11">
        <f>60</f>
        <v>60</v>
      </c>
      <c r="F598" s="10"/>
      <c r="G598" s="11">
        <f>98208000</f>
        <v>98208000</v>
      </c>
      <c r="H598" s="10"/>
      <c r="I598" s="11" t="str">
        <f t="shared" si="21"/>
        <v>－</v>
      </c>
      <c r="J598" s="10"/>
      <c r="K598" s="11">
        <f>623</f>
        <v>623</v>
      </c>
    </row>
    <row r="599" spans="1:11">
      <c r="A599" s="8" t="s">
        <v>23</v>
      </c>
      <c r="B599" s="9" t="s">
        <v>88</v>
      </c>
      <c r="C599" s="9" t="s">
        <v>89</v>
      </c>
      <c r="D599" s="10"/>
      <c r="E599" s="11"/>
      <c r="F599" s="10"/>
      <c r="G599" s="11"/>
      <c r="H599" s="10"/>
      <c r="I599" s="11"/>
      <c r="J599" s="10"/>
      <c r="K599" s="11"/>
    </row>
    <row r="600" spans="1:11">
      <c r="A600" s="8" t="s">
        <v>24</v>
      </c>
      <c r="B600" s="9" t="s">
        <v>88</v>
      </c>
      <c r="C600" s="9" t="s">
        <v>89</v>
      </c>
      <c r="D600" s="10"/>
      <c r="E600" s="11"/>
      <c r="F600" s="10"/>
      <c r="G600" s="11"/>
      <c r="H600" s="10"/>
      <c r="I600" s="11"/>
      <c r="J600" s="10"/>
      <c r="K600" s="11"/>
    </row>
    <row r="601" spans="1:11">
      <c r="A601" s="8" t="s">
        <v>25</v>
      </c>
      <c r="B601" s="9" t="s">
        <v>88</v>
      </c>
      <c r="C601" s="9" t="s">
        <v>89</v>
      </c>
      <c r="D601" s="10"/>
      <c r="E601" s="11">
        <f>90</f>
        <v>90</v>
      </c>
      <c r="F601" s="10"/>
      <c r="G601" s="11">
        <f>103299840</f>
        <v>103299840</v>
      </c>
      <c r="H601" s="10"/>
      <c r="I601" s="11" t="str">
        <f>"－"</f>
        <v>－</v>
      </c>
      <c r="J601" s="10"/>
      <c r="K601" s="11">
        <f>623</f>
        <v>623</v>
      </c>
    </row>
    <row r="602" spans="1:11">
      <c r="A602" s="8" t="s">
        <v>27</v>
      </c>
      <c r="B602" s="9" t="s">
        <v>88</v>
      </c>
      <c r="C602" s="9" t="s">
        <v>89</v>
      </c>
      <c r="D602" s="10" t="s">
        <v>36</v>
      </c>
      <c r="E602" s="11" t="str">
        <f>"－"</f>
        <v>－</v>
      </c>
      <c r="F602" s="10" t="s">
        <v>36</v>
      </c>
      <c r="G602" s="11" t="str">
        <f>"－"</f>
        <v>－</v>
      </c>
      <c r="H602" s="10"/>
      <c r="I602" s="11" t="str">
        <f>"－"</f>
        <v>－</v>
      </c>
      <c r="J602" s="10"/>
      <c r="K602" s="11">
        <f>623</f>
        <v>623</v>
      </c>
    </row>
    <row r="603" spans="1:11">
      <c r="A603" s="8" t="s">
        <v>28</v>
      </c>
      <c r="B603" s="9" t="s">
        <v>88</v>
      </c>
      <c r="C603" s="9" t="s">
        <v>89</v>
      </c>
      <c r="D603" s="10"/>
      <c r="E603" s="11" t="str">
        <f>"－"</f>
        <v>－</v>
      </c>
      <c r="F603" s="10"/>
      <c r="G603" s="11" t="str">
        <f>"－"</f>
        <v>－</v>
      </c>
      <c r="H603" s="10"/>
      <c r="I603" s="11" t="str">
        <f>"－"</f>
        <v>－</v>
      </c>
      <c r="J603" s="10"/>
      <c r="K603" s="11">
        <f>623</f>
        <v>623</v>
      </c>
    </row>
    <row r="604" spans="1:11">
      <c r="A604" s="8" t="s">
        <v>29</v>
      </c>
      <c r="B604" s="9" t="s">
        <v>88</v>
      </c>
      <c r="C604" s="9" t="s">
        <v>89</v>
      </c>
      <c r="D604" s="10"/>
      <c r="E604" s="11" t="str">
        <f>"－"</f>
        <v>－</v>
      </c>
      <c r="F604" s="10"/>
      <c r="G604" s="11" t="str">
        <f>"－"</f>
        <v>－</v>
      </c>
      <c r="H604" s="10"/>
      <c r="I604" s="11" t="str">
        <f>"－"</f>
        <v>－</v>
      </c>
      <c r="J604" s="10"/>
      <c r="K604" s="11">
        <f>623</f>
        <v>623</v>
      </c>
    </row>
    <row r="605" spans="1:11">
      <c r="A605" s="8" t="s">
        <v>30</v>
      </c>
      <c r="B605" s="9" t="s">
        <v>88</v>
      </c>
      <c r="C605" s="9" t="s">
        <v>89</v>
      </c>
      <c r="D605" s="10"/>
      <c r="E605" s="11">
        <f>10</f>
        <v>10</v>
      </c>
      <c r="F605" s="10"/>
      <c r="G605" s="11">
        <f>18000000</f>
        <v>18000000</v>
      </c>
      <c r="H605" s="10"/>
      <c r="I605" s="11" t="str">
        <f>"－"</f>
        <v>－</v>
      </c>
      <c r="J605" s="10"/>
      <c r="K605" s="11">
        <f>633</f>
        <v>633</v>
      </c>
    </row>
    <row r="606" spans="1:11">
      <c r="A606" s="8" t="s">
        <v>31</v>
      </c>
      <c r="B606" s="9" t="s">
        <v>88</v>
      </c>
      <c r="C606" s="9" t="s">
        <v>89</v>
      </c>
      <c r="D606" s="10"/>
      <c r="E606" s="11"/>
      <c r="F606" s="10"/>
      <c r="G606" s="11"/>
      <c r="H606" s="10"/>
      <c r="I606" s="11"/>
      <c r="J606" s="10"/>
      <c r="K606" s="11"/>
    </row>
    <row r="607" spans="1:11">
      <c r="A607" s="8" t="s">
        <v>32</v>
      </c>
      <c r="B607" s="9" t="s">
        <v>88</v>
      </c>
      <c r="C607" s="9" t="s">
        <v>89</v>
      </c>
      <c r="D607" s="10"/>
      <c r="E607" s="11"/>
      <c r="F607" s="10"/>
      <c r="G607" s="11"/>
      <c r="H607" s="10"/>
      <c r="I607" s="11"/>
      <c r="J607" s="10"/>
      <c r="K607" s="11"/>
    </row>
    <row r="608" spans="1:11">
      <c r="A608" s="8" t="s">
        <v>33</v>
      </c>
      <c r="B608" s="9" t="s">
        <v>88</v>
      </c>
      <c r="C608" s="9" t="s">
        <v>89</v>
      </c>
      <c r="D608" s="10"/>
      <c r="E608" s="11" t="str">
        <f>"－"</f>
        <v>－</v>
      </c>
      <c r="F608" s="10"/>
      <c r="G608" s="11" t="str">
        <f>"－"</f>
        <v>－</v>
      </c>
      <c r="H608" s="10"/>
      <c r="I608" s="11" t="str">
        <f>"－"</f>
        <v>－</v>
      </c>
      <c r="J608" s="10"/>
      <c r="K608" s="11">
        <f>633</f>
        <v>633</v>
      </c>
    </row>
    <row r="609" spans="1:11">
      <c r="A609" s="8" t="s">
        <v>34</v>
      </c>
      <c r="B609" s="9" t="s">
        <v>88</v>
      </c>
      <c r="C609" s="9" t="s">
        <v>89</v>
      </c>
      <c r="D609" s="10"/>
      <c r="E609" s="11" t="str">
        <f>"－"</f>
        <v>－</v>
      </c>
      <c r="F609" s="10"/>
      <c r="G609" s="11" t="str">
        <f>"－"</f>
        <v>－</v>
      </c>
      <c r="H609" s="10"/>
      <c r="I609" s="11" t="str">
        <f>"－"</f>
        <v>－</v>
      </c>
      <c r="J609" s="10"/>
      <c r="K609" s="11">
        <f>633</f>
        <v>633</v>
      </c>
    </row>
    <row r="610" spans="1:11">
      <c r="A610" s="8" t="s">
        <v>35</v>
      </c>
      <c r="B610" s="9" t="s">
        <v>88</v>
      </c>
      <c r="C610" s="9" t="s">
        <v>89</v>
      </c>
      <c r="D610" s="10"/>
      <c r="E610" s="11" t="str">
        <f>"－"</f>
        <v>－</v>
      </c>
      <c r="F610" s="10"/>
      <c r="G610" s="11" t="str">
        <f>"－"</f>
        <v>－</v>
      </c>
      <c r="H610" s="10"/>
      <c r="I610" s="11" t="str">
        <f>"－"</f>
        <v>－</v>
      </c>
      <c r="J610" s="10"/>
      <c r="K610" s="11">
        <f>633</f>
        <v>633</v>
      </c>
    </row>
    <row r="611" spans="1:11">
      <c r="A611" s="8" t="s">
        <v>37</v>
      </c>
      <c r="B611" s="9" t="s">
        <v>88</v>
      </c>
      <c r="C611" s="9" t="s">
        <v>89</v>
      </c>
      <c r="D611" s="10"/>
      <c r="E611" s="11">
        <f>60</f>
        <v>60</v>
      </c>
      <c r="F611" s="10"/>
      <c r="G611" s="11">
        <f>100464000</f>
        <v>100464000</v>
      </c>
      <c r="H611" s="10"/>
      <c r="I611" s="11" t="str">
        <f>"－"</f>
        <v>－</v>
      </c>
      <c r="J611" s="10"/>
      <c r="K611" s="11">
        <f>693</f>
        <v>693</v>
      </c>
    </row>
    <row r="612" spans="1:11">
      <c r="A612" s="8" t="s">
        <v>38</v>
      </c>
      <c r="B612" s="9" t="s">
        <v>88</v>
      </c>
      <c r="C612" s="9" t="s">
        <v>89</v>
      </c>
      <c r="D612" s="10"/>
      <c r="E612" s="11" t="str">
        <f>"－"</f>
        <v>－</v>
      </c>
      <c r="F612" s="10"/>
      <c r="G612" s="11" t="str">
        <f>"－"</f>
        <v>－</v>
      </c>
      <c r="H612" s="10"/>
      <c r="I612" s="11" t="str">
        <f>"－"</f>
        <v>－</v>
      </c>
      <c r="J612" s="10"/>
      <c r="K612" s="11">
        <f>693</f>
        <v>693</v>
      </c>
    </row>
    <row r="613" spans="1:11">
      <c r="A613" s="8" t="s">
        <v>39</v>
      </c>
      <c r="B613" s="9" t="s">
        <v>88</v>
      </c>
      <c r="C613" s="9" t="s">
        <v>89</v>
      </c>
      <c r="D613" s="10"/>
      <c r="E613" s="11"/>
      <c r="F613" s="10"/>
      <c r="G613" s="11"/>
      <c r="H613" s="10"/>
      <c r="I613" s="11"/>
      <c r="J613" s="10"/>
      <c r="K613" s="11"/>
    </row>
    <row r="614" spans="1:11">
      <c r="A614" s="8" t="s">
        <v>40</v>
      </c>
      <c r="B614" s="9" t="s">
        <v>88</v>
      </c>
      <c r="C614" s="9" t="s">
        <v>89</v>
      </c>
      <c r="D614" s="10"/>
      <c r="E614" s="11"/>
      <c r="F614" s="10"/>
      <c r="G614" s="11"/>
      <c r="H614" s="10"/>
      <c r="I614" s="11"/>
      <c r="J614" s="10"/>
      <c r="K614" s="11"/>
    </row>
    <row r="615" spans="1:11">
      <c r="A615" s="8" t="s">
        <v>41</v>
      </c>
      <c r="B615" s="9" t="s">
        <v>88</v>
      </c>
      <c r="C615" s="9" t="s">
        <v>89</v>
      </c>
      <c r="D615" s="10"/>
      <c r="E615" s="11"/>
      <c r="F615" s="10"/>
      <c r="G615" s="11"/>
      <c r="H615" s="10"/>
      <c r="I615" s="11"/>
      <c r="J615" s="10"/>
      <c r="K615" s="11"/>
    </row>
    <row r="616" spans="1:11">
      <c r="A616" s="8" t="s">
        <v>42</v>
      </c>
      <c r="B616" s="9" t="s">
        <v>88</v>
      </c>
      <c r="C616" s="9" t="s">
        <v>89</v>
      </c>
      <c r="D616" s="10"/>
      <c r="E616" s="11">
        <f>24</f>
        <v>24</v>
      </c>
      <c r="F616" s="10"/>
      <c r="G616" s="11">
        <f>27546624</f>
        <v>27546624</v>
      </c>
      <c r="H616" s="10"/>
      <c r="I616" s="11" t="str">
        <f>"－"</f>
        <v>－</v>
      </c>
      <c r="J616" s="10"/>
      <c r="K616" s="11">
        <f>693</f>
        <v>693</v>
      </c>
    </row>
    <row r="617" spans="1:11">
      <c r="A617" s="8" t="s">
        <v>43</v>
      </c>
      <c r="B617" s="9" t="s">
        <v>88</v>
      </c>
      <c r="C617" s="9" t="s">
        <v>89</v>
      </c>
      <c r="D617" s="10"/>
      <c r="E617" s="11" t="str">
        <f>"－"</f>
        <v>－</v>
      </c>
      <c r="F617" s="10"/>
      <c r="G617" s="11" t="str">
        <f>"－"</f>
        <v>－</v>
      </c>
      <c r="H617" s="10"/>
      <c r="I617" s="11" t="str">
        <f>"－"</f>
        <v>－</v>
      </c>
      <c r="J617" s="10"/>
      <c r="K617" s="11">
        <f>693</f>
        <v>693</v>
      </c>
    </row>
    <row r="618" spans="1:11">
      <c r="A618" s="8" t="s">
        <v>44</v>
      </c>
      <c r="B618" s="9" t="s">
        <v>88</v>
      </c>
      <c r="C618" s="9" t="s">
        <v>89</v>
      </c>
      <c r="D618" s="10"/>
      <c r="E618" s="11" t="str">
        <f>"－"</f>
        <v>－</v>
      </c>
      <c r="F618" s="10"/>
      <c r="G618" s="11" t="str">
        <f>"－"</f>
        <v>－</v>
      </c>
      <c r="H618" s="10"/>
      <c r="I618" s="11" t="str">
        <f>"－"</f>
        <v>－</v>
      </c>
      <c r="J618" s="10"/>
      <c r="K618" s="11">
        <f>693</f>
        <v>693</v>
      </c>
    </row>
    <row r="619" spans="1:11">
      <c r="A619" s="8" t="s">
        <v>45</v>
      </c>
      <c r="B619" s="9" t="s">
        <v>88</v>
      </c>
      <c r="C619" s="9" t="s">
        <v>89</v>
      </c>
      <c r="D619" s="10"/>
      <c r="E619" s="11" t="str">
        <f>"－"</f>
        <v>－</v>
      </c>
      <c r="F619" s="10"/>
      <c r="G619" s="11" t="str">
        <f>"－"</f>
        <v>－</v>
      </c>
      <c r="H619" s="10"/>
      <c r="I619" s="11" t="str">
        <f>"－"</f>
        <v>－</v>
      </c>
      <c r="J619" s="10"/>
      <c r="K619" s="11">
        <f>693</f>
        <v>693</v>
      </c>
    </row>
    <row r="620" spans="1:11">
      <c r="A620" s="8" t="s">
        <v>46</v>
      </c>
      <c r="B620" s="9" t="s">
        <v>88</v>
      </c>
      <c r="C620" s="9" t="s">
        <v>89</v>
      </c>
      <c r="D620" s="10"/>
      <c r="E620" s="11"/>
      <c r="F620" s="10"/>
      <c r="G620" s="11"/>
      <c r="H620" s="10"/>
      <c r="I620" s="11"/>
      <c r="J620" s="10"/>
      <c r="K620" s="11"/>
    </row>
    <row r="621" spans="1:11">
      <c r="A621" s="8" t="s">
        <v>47</v>
      </c>
      <c r="B621" s="9" t="s">
        <v>88</v>
      </c>
      <c r="C621" s="9" t="s">
        <v>89</v>
      </c>
      <c r="D621" s="10"/>
      <c r="E621" s="11"/>
      <c r="F621" s="10"/>
      <c r="G621" s="11"/>
      <c r="H621" s="10"/>
      <c r="I621" s="11"/>
      <c r="J621" s="10"/>
      <c r="K621" s="11"/>
    </row>
    <row r="622" spans="1:11">
      <c r="A622" s="8" t="s">
        <v>48</v>
      </c>
      <c r="B622" s="9" t="s">
        <v>88</v>
      </c>
      <c r="C622" s="9" t="s">
        <v>89</v>
      </c>
      <c r="D622" s="10"/>
      <c r="E622" s="11" t="str">
        <f>"－"</f>
        <v>－</v>
      </c>
      <c r="F622" s="10"/>
      <c r="G622" s="11" t="str">
        <f>"－"</f>
        <v>－</v>
      </c>
      <c r="H622" s="10"/>
      <c r="I622" s="11" t="str">
        <f t="shared" ref="I622:I629" si="22">"－"</f>
        <v>－</v>
      </c>
      <c r="J622" s="10"/>
      <c r="K622" s="11">
        <f>693</f>
        <v>693</v>
      </c>
    </row>
    <row r="623" spans="1:11">
      <c r="A623" s="8" t="s">
        <v>49</v>
      </c>
      <c r="B623" s="9" t="s">
        <v>88</v>
      </c>
      <c r="C623" s="9" t="s">
        <v>89</v>
      </c>
      <c r="D623" s="10"/>
      <c r="E623" s="11">
        <f>50</f>
        <v>50</v>
      </c>
      <c r="F623" s="10"/>
      <c r="G623" s="11">
        <f>88200000</f>
        <v>88200000</v>
      </c>
      <c r="H623" s="10"/>
      <c r="I623" s="11" t="str">
        <f t="shared" si="22"/>
        <v>－</v>
      </c>
      <c r="J623" s="10" t="s">
        <v>26</v>
      </c>
      <c r="K623" s="11">
        <f>743</f>
        <v>743</v>
      </c>
    </row>
    <row r="624" spans="1:11">
      <c r="A624" s="8" t="s">
        <v>50</v>
      </c>
      <c r="B624" s="9" t="s">
        <v>88</v>
      </c>
      <c r="C624" s="9" t="s">
        <v>89</v>
      </c>
      <c r="D624" s="10"/>
      <c r="E624" s="11" t="str">
        <f t="shared" ref="E624:E629" si="23">"－"</f>
        <v>－</v>
      </c>
      <c r="F624" s="10"/>
      <c r="G624" s="11" t="str">
        <f t="shared" ref="G624:G629" si="24">"－"</f>
        <v>－</v>
      </c>
      <c r="H624" s="10"/>
      <c r="I624" s="11" t="str">
        <f t="shared" si="22"/>
        <v>－</v>
      </c>
      <c r="J624" s="10"/>
      <c r="K624" s="11">
        <f>743</f>
        <v>743</v>
      </c>
    </row>
    <row r="625" spans="1:11">
      <c r="A625" s="8" t="s">
        <v>51</v>
      </c>
      <c r="B625" s="9" t="s">
        <v>88</v>
      </c>
      <c r="C625" s="9" t="s">
        <v>89</v>
      </c>
      <c r="D625" s="10"/>
      <c r="E625" s="11" t="str">
        <f t="shared" si="23"/>
        <v>－</v>
      </c>
      <c r="F625" s="10"/>
      <c r="G625" s="11" t="str">
        <f t="shared" si="24"/>
        <v>－</v>
      </c>
      <c r="H625" s="10"/>
      <c r="I625" s="11" t="str">
        <f t="shared" si="22"/>
        <v>－</v>
      </c>
      <c r="J625" s="10"/>
      <c r="K625" s="11">
        <f>743</f>
        <v>743</v>
      </c>
    </row>
    <row r="626" spans="1:11">
      <c r="A626" s="8" t="s">
        <v>16</v>
      </c>
      <c r="B626" s="9" t="s">
        <v>90</v>
      </c>
      <c r="C626" s="9" t="s">
        <v>91</v>
      </c>
      <c r="D626" s="10" t="s">
        <v>36</v>
      </c>
      <c r="E626" s="11" t="str">
        <f t="shared" si="23"/>
        <v>－</v>
      </c>
      <c r="F626" s="10" t="s">
        <v>36</v>
      </c>
      <c r="G626" s="11" t="str">
        <f t="shared" si="24"/>
        <v>－</v>
      </c>
      <c r="H626" s="10" t="s">
        <v>19</v>
      </c>
      <c r="I626" s="11" t="str">
        <f t="shared" si="22"/>
        <v>－</v>
      </c>
      <c r="J626" s="10" t="s">
        <v>26</v>
      </c>
      <c r="K626" s="11">
        <f>619</f>
        <v>619</v>
      </c>
    </row>
    <row r="627" spans="1:11">
      <c r="A627" s="8" t="s">
        <v>20</v>
      </c>
      <c r="B627" s="9" t="s">
        <v>90</v>
      </c>
      <c r="C627" s="9" t="s">
        <v>91</v>
      </c>
      <c r="D627" s="10"/>
      <c r="E627" s="11" t="str">
        <f t="shared" si="23"/>
        <v>－</v>
      </c>
      <c r="F627" s="10"/>
      <c r="G627" s="11" t="str">
        <f t="shared" si="24"/>
        <v>－</v>
      </c>
      <c r="H627" s="10"/>
      <c r="I627" s="11" t="str">
        <f t="shared" si="22"/>
        <v>－</v>
      </c>
      <c r="J627" s="10" t="s">
        <v>36</v>
      </c>
      <c r="K627" s="11">
        <f>443</f>
        <v>443</v>
      </c>
    </row>
    <row r="628" spans="1:11">
      <c r="A628" s="8" t="s">
        <v>21</v>
      </c>
      <c r="B628" s="9" t="s">
        <v>90</v>
      </c>
      <c r="C628" s="9" t="s">
        <v>91</v>
      </c>
      <c r="D628" s="10"/>
      <c r="E628" s="11" t="str">
        <f t="shared" si="23"/>
        <v>－</v>
      </c>
      <c r="F628" s="10"/>
      <c r="G628" s="11" t="str">
        <f t="shared" si="24"/>
        <v>－</v>
      </c>
      <c r="H628" s="10"/>
      <c r="I628" s="11" t="str">
        <f t="shared" si="22"/>
        <v>－</v>
      </c>
      <c r="J628" s="10"/>
      <c r="K628" s="11">
        <f>443</f>
        <v>443</v>
      </c>
    </row>
    <row r="629" spans="1:11">
      <c r="A629" s="8" t="s">
        <v>22</v>
      </c>
      <c r="B629" s="9" t="s">
        <v>90</v>
      </c>
      <c r="C629" s="9" t="s">
        <v>91</v>
      </c>
      <c r="D629" s="10"/>
      <c r="E629" s="11" t="str">
        <f t="shared" si="23"/>
        <v>－</v>
      </c>
      <c r="F629" s="10"/>
      <c r="G629" s="11" t="str">
        <f t="shared" si="24"/>
        <v>－</v>
      </c>
      <c r="H629" s="10"/>
      <c r="I629" s="11" t="str">
        <f t="shared" si="22"/>
        <v>－</v>
      </c>
      <c r="J629" s="10"/>
      <c r="K629" s="11">
        <f>443</f>
        <v>443</v>
      </c>
    </row>
    <row r="630" spans="1:11">
      <c r="A630" s="8" t="s">
        <v>23</v>
      </c>
      <c r="B630" s="9" t="s">
        <v>90</v>
      </c>
      <c r="C630" s="9" t="s">
        <v>91</v>
      </c>
      <c r="D630" s="10"/>
      <c r="E630" s="11"/>
      <c r="F630" s="10"/>
      <c r="G630" s="11"/>
      <c r="H630" s="10"/>
      <c r="I630" s="11"/>
      <c r="J630" s="10"/>
      <c r="K630" s="11"/>
    </row>
    <row r="631" spans="1:11">
      <c r="A631" s="8" t="s">
        <v>24</v>
      </c>
      <c r="B631" s="9" t="s">
        <v>90</v>
      </c>
      <c r="C631" s="9" t="s">
        <v>91</v>
      </c>
      <c r="D631" s="10"/>
      <c r="E631" s="11"/>
      <c r="F631" s="10"/>
      <c r="G631" s="11"/>
      <c r="H631" s="10"/>
      <c r="I631" s="11"/>
      <c r="J631" s="10"/>
      <c r="K631" s="11"/>
    </row>
    <row r="632" spans="1:11">
      <c r="A632" s="8" t="s">
        <v>25</v>
      </c>
      <c r="B632" s="9" t="s">
        <v>90</v>
      </c>
      <c r="C632" s="9" t="s">
        <v>91</v>
      </c>
      <c r="D632" s="10"/>
      <c r="E632" s="11" t="str">
        <f>"－"</f>
        <v>－</v>
      </c>
      <c r="F632" s="10"/>
      <c r="G632" s="11" t="str">
        <f>"－"</f>
        <v>－</v>
      </c>
      <c r="H632" s="10"/>
      <c r="I632" s="11" t="str">
        <f>"－"</f>
        <v>－</v>
      </c>
      <c r="J632" s="10"/>
      <c r="K632" s="11">
        <f>443</f>
        <v>443</v>
      </c>
    </row>
    <row r="633" spans="1:11">
      <c r="A633" s="8" t="s">
        <v>27</v>
      </c>
      <c r="B633" s="9" t="s">
        <v>90</v>
      </c>
      <c r="C633" s="9" t="s">
        <v>91</v>
      </c>
      <c r="D633" s="10"/>
      <c r="E633" s="11" t="str">
        <f>"－"</f>
        <v>－</v>
      </c>
      <c r="F633" s="10"/>
      <c r="G633" s="11" t="str">
        <f>"－"</f>
        <v>－</v>
      </c>
      <c r="H633" s="10"/>
      <c r="I633" s="11" t="str">
        <f>"－"</f>
        <v>－</v>
      </c>
      <c r="J633" s="10"/>
      <c r="K633" s="11">
        <f>443</f>
        <v>443</v>
      </c>
    </row>
    <row r="634" spans="1:11">
      <c r="A634" s="8" t="s">
        <v>28</v>
      </c>
      <c r="B634" s="9" t="s">
        <v>90</v>
      </c>
      <c r="C634" s="9" t="s">
        <v>91</v>
      </c>
      <c r="D634" s="10"/>
      <c r="E634" s="11" t="str">
        <f>"－"</f>
        <v>－</v>
      </c>
      <c r="F634" s="10"/>
      <c r="G634" s="11" t="str">
        <f>"－"</f>
        <v>－</v>
      </c>
      <c r="H634" s="10"/>
      <c r="I634" s="11" t="str">
        <f>"－"</f>
        <v>－</v>
      </c>
      <c r="J634" s="10"/>
      <c r="K634" s="11">
        <f>443</f>
        <v>443</v>
      </c>
    </row>
    <row r="635" spans="1:11">
      <c r="A635" s="8" t="s">
        <v>29</v>
      </c>
      <c r="B635" s="9" t="s">
        <v>90</v>
      </c>
      <c r="C635" s="9" t="s">
        <v>91</v>
      </c>
      <c r="D635" s="10"/>
      <c r="E635" s="11" t="str">
        <f>"－"</f>
        <v>－</v>
      </c>
      <c r="F635" s="10"/>
      <c r="G635" s="11" t="str">
        <f>"－"</f>
        <v>－</v>
      </c>
      <c r="H635" s="10"/>
      <c r="I635" s="11" t="str">
        <f>"－"</f>
        <v>－</v>
      </c>
      <c r="J635" s="10"/>
      <c r="K635" s="11">
        <f>443</f>
        <v>443</v>
      </c>
    </row>
    <row r="636" spans="1:11">
      <c r="A636" s="8" t="s">
        <v>30</v>
      </c>
      <c r="B636" s="9" t="s">
        <v>90</v>
      </c>
      <c r="C636" s="9" t="s">
        <v>91</v>
      </c>
      <c r="D636" s="10"/>
      <c r="E636" s="11">
        <f>1</f>
        <v>1</v>
      </c>
      <c r="F636" s="10"/>
      <c r="G636" s="11">
        <f>693600</f>
        <v>693600</v>
      </c>
      <c r="H636" s="10"/>
      <c r="I636" s="11" t="str">
        <f>"－"</f>
        <v>－</v>
      </c>
      <c r="J636" s="10"/>
      <c r="K636" s="11">
        <f>444</f>
        <v>444</v>
      </c>
    </row>
    <row r="637" spans="1:11">
      <c r="A637" s="8" t="s">
        <v>31</v>
      </c>
      <c r="B637" s="9" t="s">
        <v>90</v>
      </c>
      <c r="C637" s="9" t="s">
        <v>91</v>
      </c>
      <c r="D637" s="10"/>
      <c r="E637" s="11"/>
      <c r="F637" s="10"/>
      <c r="G637" s="11"/>
      <c r="H637" s="10"/>
      <c r="I637" s="11"/>
      <c r="J637" s="10"/>
      <c r="K637" s="11"/>
    </row>
    <row r="638" spans="1:11">
      <c r="A638" s="8" t="s">
        <v>32</v>
      </c>
      <c r="B638" s="9" t="s">
        <v>90</v>
      </c>
      <c r="C638" s="9" t="s">
        <v>91</v>
      </c>
      <c r="D638" s="10"/>
      <c r="E638" s="11"/>
      <c r="F638" s="10"/>
      <c r="G638" s="11"/>
      <c r="H638" s="10"/>
      <c r="I638" s="11"/>
      <c r="J638" s="10"/>
      <c r="K638" s="11"/>
    </row>
    <row r="639" spans="1:11">
      <c r="A639" s="8" t="s">
        <v>33</v>
      </c>
      <c r="B639" s="9" t="s">
        <v>90</v>
      </c>
      <c r="C639" s="9" t="s">
        <v>91</v>
      </c>
      <c r="D639" s="10"/>
      <c r="E639" s="11" t="str">
        <f>"－"</f>
        <v>－</v>
      </c>
      <c r="F639" s="10"/>
      <c r="G639" s="11" t="str">
        <f>"－"</f>
        <v>－</v>
      </c>
      <c r="H639" s="10"/>
      <c r="I639" s="11" t="str">
        <f>"－"</f>
        <v>－</v>
      </c>
      <c r="J639" s="10"/>
      <c r="K639" s="11">
        <f>444</f>
        <v>444</v>
      </c>
    </row>
    <row r="640" spans="1:11">
      <c r="A640" s="8" t="s">
        <v>34</v>
      </c>
      <c r="B640" s="9" t="s">
        <v>90</v>
      </c>
      <c r="C640" s="9" t="s">
        <v>91</v>
      </c>
      <c r="D640" s="10"/>
      <c r="E640" s="11" t="str">
        <f>"－"</f>
        <v>－</v>
      </c>
      <c r="F640" s="10"/>
      <c r="G640" s="11" t="str">
        <f>"－"</f>
        <v>－</v>
      </c>
      <c r="H640" s="10"/>
      <c r="I640" s="11" t="str">
        <f>"－"</f>
        <v>－</v>
      </c>
      <c r="J640" s="10"/>
      <c r="K640" s="11">
        <f>444</f>
        <v>444</v>
      </c>
    </row>
    <row r="641" spans="1:11">
      <c r="A641" s="8" t="s">
        <v>35</v>
      </c>
      <c r="B641" s="9" t="s">
        <v>90</v>
      </c>
      <c r="C641" s="9" t="s">
        <v>91</v>
      </c>
      <c r="D641" s="10"/>
      <c r="E641" s="11">
        <f>1</f>
        <v>1</v>
      </c>
      <c r="F641" s="10"/>
      <c r="G641" s="11">
        <f>600000</f>
        <v>600000</v>
      </c>
      <c r="H641" s="10"/>
      <c r="I641" s="11" t="str">
        <f>"－"</f>
        <v>－</v>
      </c>
      <c r="J641" s="10"/>
      <c r="K641" s="11">
        <f>445</f>
        <v>445</v>
      </c>
    </row>
    <row r="642" spans="1:11">
      <c r="A642" s="8" t="s">
        <v>37</v>
      </c>
      <c r="B642" s="9" t="s">
        <v>90</v>
      </c>
      <c r="C642" s="9" t="s">
        <v>91</v>
      </c>
      <c r="D642" s="10" t="s">
        <v>26</v>
      </c>
      <c r="E642" s="11">
        <f>20</f>
        <v>20</v>
      </c>
      <c r="F642" s="10" t="s">
        <v>26</v>
      </c>
      <c r="G642" s="11">
        <f>12465360</f>
        <v>12465360</v>
      </c>
      <c r="H642" s="10"/>
      <c r="I642" s="11" t="str">
        <f>"－"</f>
        <v>－</v>
      </c>
      <c r="J642" s="10"/>
      <c r="K642" s="11">
        <f>462</f>
        <v>462</v>
      </c>
    </row>
    <row r="643" spans="1:11">
      <c r="A643" s="8" t="s">
        <v>38</v>
      </c>
      <c r="B643" s="9" t="s">
        <v>90</v>
      </c>
      <c r="C643" s="9" t="s">
        <v>91</v>
      </c>
      <c r="D643" s="10"/>
      <c r="E643" s="11" t="str">
        <f>"－"</f>
        <v>－</v>
      </c>
      <c r="F643" s="10"/>
      <c r="G643" s="11" t="str">
        <f>"－"</f>
        <v>－</v>
      </c>
      <c r="H643" s="10"/>
      <c r="I643" s="11" t="str">
        <f>"－"</f>
        <v>－</v>
      </c>
      <c r="J643" s="10"/>
      <c r="K643" s="11">
        <f>462</f>
        <v>462</v>
      </c>
    </row>
    <row r="644" spans="1:11">
      <c r="A644" s="8" t="s">
        <v>39</v>
      </c>
      <c r="B644" s="9" t="s">
        <v>90</v>
      </c>
      <c r="C644" s="9" t="s">
        <v>91</v>
      </c>
      <c r="D644" s="10"/>
      <c r="E644" s="11"/>
      <c r="F644" s="10"/>
      <c r="G644" s="11"/>
      <c r="H644" s="10"/>
      <c r="I644" s="11"/>
      <c r="J644" s="10"/>
      <c r="K644" s="11"/>
    </row>
    <row r="645" spans="1:11">
      <c r="A645" s="8" t="s">
        <v>40</v>
      </c>
      <c r="B645" s="9" t="s">
        <v>90</v>
      </c>
      <c r="C645" s="9" t="s">
        <v>91</v>
      </c>
      <c r="D645" s="10"/>
      <c r="E645" s="11"/>
      <c r="F645" s="10"/>
      <c r="G645" s="11"/>
      <c r="H645" s="10"/>
      <c r="I645" s="11"/>
      <c r="J645" s="10"/>
      <c r="K645" s="11"/>
    </row>
    <row r="646" spans="1:11">
      <c r="A646" s="8" t="s">
        <v>41</v>
      </c>
      <c r="B646" s="9" t="s">
        <v>90</v>
      </c>
      <c r="C646" s="9" t="s">
        <v>91</v>
      </c>
      <c r="D646" s="10"/>
      <c r="E646" s="11"/>
      <c r="F646" s="10"/>
      <c r="G646" s="11"/>
      <c r="H646" s="10"/>
      <c r="I646" s="11"/>
      <c r="J646" s="10"/>
      <c r="K646" s="11"/>
    </row>
    <row r="647" spans="1:11">
      <c r="A647" s="8" t="s">
        <v>42</v>
      </c>
      <c r="B647" s="9" t="s">
        <v>90</v>
      </c>
      <c r="C647" s="9" t="s">
        <v>91</v>
      </c>
      <c r="D647" s="10"/>
      <c r="E647" s="11" t="str">
        <f>"－"</f>
        <v>－</v>
      </c>
      <c r="F647" s="10"/>
      <c r="G647" s="11" t="str">
        <f>"－"</f>
        <v>－</v>
      </c>
      <c r="H647" s="10"/>
      <c r="I647" s="11" t="str">
        <f>"－"</f>
        <v>－</v>
      </c>
      <c r="J647" s="10"/>
      <c r="K647" s="11">
        <f>462</f>
        <v>462</v>
      </c>
    </row>
    <row r="648" spans="1:11">
      <c r="A648" s="8" t="s">
        <v>43</v>
      </c>
      <c r="B648" s="9" t="s">
        <v>90</v>
      </c>
      <c r="C648" s="9" t="s">
        <v>91</v>
      </c>
      <c r="D648" s="10"/>
      <c r="E648" s="11" t="str">
        <f>"－"</f>
        <v>－</v>
      </c>
      <c r="F648" s="10"/>
      <c r="G648" s="11" t="str">
        <f>"－"</f>
        <v>－</v>
      </c>
      <c r="H648" s="10"/>
      <c r="I648" s="11" t="str">
        <f>"－"</f>
        <v>－</v>
      </c>
      <c r="J648" s="10"/>
      <c r="K648" s="11">
        <f>462</f>
        <v>462</v>
      </c>
    </row>
    <row r="649" spans="1:11">
      <c r="A649" s="8" t="s">
        <v>44</v>
      </c>
      <c r="B649" s="9" t="s">
        <v>90</v>
      </c>
      <c r="C649" s="9" t="s">
        <v>91</v>
      </c>
      <c r="D649" s="10"/>
      <c r="E649" s="11" t="str">
        <f>"－"</f>
        <v>－</v>
      </c>
      <c r="F649" s="10"/>
      <c r="G649" s="11" t="str">
        <f>"－"</f>
        <v>－</v>
      </c>
      <c r="H649" s="10"/>
      <c r="I649" s="11" t="str">
        <f>"－"</f>
        <v>－</v>
      </c>
      <c r="J649" s="10"/>
      <c r="K649" s="11">
        <f>462</f>
        <v>462</v>
      </c>
    </row>
    <row r="650" spans="1:11">
      <c r="A650" s="8" t="s">
        <v>45</v>
      </c>
      <c r="B650" s="9" t="s">
        <v>90</v>
      </c>
      <c r="C650" s="9" t="s">
        <v>91</v>
      </c>
      <c r="D650" s="10"/>
      <c r="E650" s="11" t="str">
        <f>"－"</f>
        <v>－</v>
      </c>
      <c r="F650" s="10"/>
      <c r="G650" s="11" t="str">
        <f>"－"</f>
        <v>－</v>
      </c>
      <c r="H650" s="10"/>
      <c r="I650" s="11" t="str">
        <f>"－"</f>
        <v>－</v>
      </c>
      <c r="J650" s="10"/>
      <c r="K650" s="11">
        <f>462</f>
        <v>462</v>
      </c>
    </row>
    <row r="651" spans="1:11">
      <c r="A651" s="8" t="s">
        <v>46</v>
      </c>
      <c r="B651" s="9" t="s">
        <v>90</v>
      </c>
      <c r="C651" s="9" t="s">
        <v>91</v>
      </c>
      <c r="D651" s="10"/>
      <c r="E651" s="11"/>
      <c r="F651" s="10"/>
      <c r="G651" s="11"/>
      <c r="H651" s="10"/>
      <c r="I651" s="11"/>
      <c r="J651" s="10"/>
      <c r="K651" s="11"/>
    </row>
    <row r="652" spans="1:11">
      <c r="A652" s="8" t="s">
        <v>47</v>
      </c>
      <c r="B652" s="9" t="s">
        <v>90</v>
      </c>
      <c r="C652" s="9" t="s">
        <v>91</v>
      </c>
      <c r="D652" s="10"/>
      <c r="E652" s="11"/>
      <c r="F652" s="10"/>
      <c r="G652" s="11"/>
      <c r="H652" s="10"/>
      <c r="I652" s="11"/>
      <c r="J652" s="10"/>
      <c r="K652" s="11"/>
    </row>
    <row r="653" spans="1:11">
      <c r="A653" s="8" t="s">
        <v>48</v>
      </c>
      <c r="B653" s="9" t="s">
        <v>90</v>
      </c>
      <c r="C653" s="9" t="s">
        <v>91</v>
      </c>
      <c r="D653" s="10"/>
      <c r="E653" s="11" t="str">
        <f t="shared" ref="E653:E660" si="25">"－"</f>
        <v>－</v>
      </c>
      <c r="F653" s="10"/>
      <c r="G653" s="11" t="str">
        <f t="shared" ref="G653:G660" si="26">"－"</f>
        <v>－</v>
      </c>
      <c r="H653" s="10"/>
      <c r="I653" s="11" t="str">
        <f t="shared" ref="I653:I660" si="27">"－"</f>
        <v>－</v>
      </c>
      <c r="J653" s="10"/>
      <c r="K653" s="11">
        <f>462</f>
        <v>462</v>
      </c>
    </row>
    <row r="654" spans="1:11">
      <c r="A654" s="8" t="s">
        <v>49</v>
      </c>
      <c r="B654" s="9" t="s">
        <v>90</v>
      </c>
      <c r="C654" s="9" t="s">
        <v>91</v>
      </c>
      <c r="D654" s="10"/>
      <c r="E654" s="11" t="str">
        <f t="shared" si="25"/>
        <v>－</v>
      </c>
      <c r="F654" s="10"/>
      <c r="G654" s="11" t="str">
        <f t="shared" si="26"/>
        <v>－</v>
      </c>
      <c r="H654" s="10"/>
      <c r="I654" s="11" t="str">
        <f t="shared" si="27"/>
        <v>－</v>
      </c>
      <c r="J654" s="10"/>
      <c r="K654" s="11">
        <f>462</f>
        <v>462</v>
      </c>
    </row>
    <row r="655" spans="1:11">
      <c r="A655" s="8" t="s">
        <v>50</v>
      </c>
      <c r="B655" s="9" t="s">
        <v>90</v>
      </c>
      <c r="C655" s="9" t="s">
        <v>91</v>
      </c>
      <c r="D655" s="10"/>
      <c r="E655" s="11" t="str">
        <f t="shared" si="25"/>
        <v>－</v>
      </c>
      <c r="F655" s="10"/>
      <c r="G655" s="11" t="str">
        <f t="shared" si="26"/>
        <v>－</v>
      </c>
      <c r="H655" s="10"/>
      <c r="I655" s="11" t="str">
        <f t="shared" si="27"/>
        <v>－</v>
      </c>
      <c r="J655" s="10"/>
      <c r="K655" s="11">
        <f>462</f>
        <v>462</v>
      </c>
    </row>
    <row r="656" spans="1:11">
      <c r="A656" s="8" t="s">
        <v>51</v>
      </c>
      <c r="B656" s="9" t="s">
        <v>90</v>
      </c>
      <c r="C656" s="9" t="s">
        <v>91</v>
      </c>
      <c r="D656" s="10"/>
      <c r="E656" s="11" t="str">
        <f t="shared" si="25"/>
        <v>－</v>
      </c>
      <c r="F656" s="10"/>
      <c r="G656" s="11" t="str">
        <f t="shared" si="26"/>
        <v>－</v>
      </c>
      <c r="H656" s="10"/>
      <c r="I656" s="11" t="str">
        <f t="shared" si="27"/>
        <v>－</v>
      </c>
      <c r="J656" s="10"/>
      <c r="K656" s="11">
        <f>462</f>
        <v>462</v>
      </c>
    </row>
    <row r="657" spans="1:11">
      <c r="A657" s="8" t="s">
        <v>16</v>
      </c>
      <c r="B657" s="9" t="s">
        <v>92</v>
      </c>
      <c r="C657" s="9" t="s">
        <v>93</v>
      </c>
      <c r="D657" s="10" t="s">
        <v>19</v>
      </c>
      <c r="E657" s="11" t="str">
        <f t="shared" si="25"/>
        <v>－</v>
      </c>
      <c r="F657" s="10" t="s">
        <v>19</v>
      </c>
      <c r="G657" s="11" t="str">
        <f t="shared" si="26"/>
        <v>－</v>
      </c>
      <c r="H657" s="10" t="s">
        <v>19</v>
      </c>
      <c r="I657" s="11" t="str">
        <f t="shared" si="27"/>
        <v>－</v>
      </c>
      <c r="J657" s="10" t="s">
        <v>26</v>
      </c>
      <c r="K657" s="11">
        <f>45</f>
        <v>45</v>
      </c>
    </row>
    <row r="658" spans="1:11">
      <c r="A658" s="8" t="s">
        <v>20</v>
      </c>
      <c r="B658" s="9" t="s">
        <v>92</v>
      </c>
      <c r="C658" s="9" t="s">
        <v>93</v>
      </c>
      <c r="D658" s="10"/>
      <c r="E658" s="11" t="str">
        <f t="shared" si="25"/>
        <v>－</v>
      </c>
      <c r="F658" s="10"/>
      <c r="G658" s="11" t="str">
        <f t="shared" si="26"/>
        <v>－</v>
      </c>
      <c r="H658" s="10"/>
      <c r="I658" s="11" t="str">
        <f t="shared" si="27"/>
        <v>－</v>
      </c>
      <c r="J658" s="10" t="s">
        <v>36</v>
      </c>
      <c r="K658" s="11">
        <f>10</f>
        <v>10</v>
      </c>
    </row>
    <row r="659" spans="1:11">
      <c r="A659" s="8" t="s">
        <v>21</v>
      </c>
      <c r="B659" s="9" t="s">
        <v>92</v>
      </c>
      <c r="C659" s="9" t="s">
        <v>93</v>
      </c>
      <c r="D659" s="10"/>
      <c r="E659" s="11" t="str">
        <f t="shared" si="25"/>
        <v>－</v>
      </c>
      <c r="F659" s="10"/>
      <c r="G659" s="11" t="str">
        <f t="shared" si="26"/>
        <v>－</v>
      </c>
      <c r="H659" s="10"/>
      <c r="I659" s="11" t="str">
        <f t="shared" si="27"/>
        <v>－</v>
      </c>
      <c r="J659" s="10"/>
      <c r="K659" s="11">
        <f>10</f>
        <v>10</v>
      </c>
    </row>
    <row r="660" spans="1:11">
      <c r="A660" s="8" t="s">
        <v>22</v>
      </c>
      <c r="B660" s="9" t="s">
        <v>92</v>
      </c>
      <c r="C660" s="9" t="s">
        <v>93</v>
      </c>
      <c r="D660" s="10"/>
      <c r="E660" s="11" t="str">
        <f t="shared" si="25"/>
        <v>－</v>
      </c>
      <c r="F660" s="10"/>
      <c r="G660" s="11" t="str">
        <f t="shared" si="26"/>
        <v>－</v>
      </c>
      <c r="H660" s="10"/>
      <c r="I660" s="11" t="str">
        <f t="shared" si="27"/>
        <v>－</v>
      </c>
      <c r="J660" s="10"/>
      <c r="K660" s="11">
        <f>10</f>
        <v>10</v>
      </c>
    </row>
    <row r="661" spans="1:11">
      <c r="A661" s="8" t="s">
        <v>23</v>
      </c>
      <c r="B661" s="9" t="s">
        <v>92</v>
      </c>
      <c r="C661" s="9" t="s">
        <v>93</v>
      </c>
      <c r="D661" s="10"/>
      <c r="E661" s="11"/>
      <c r="F661" s="10"/>
      <c r="G661" s="11"/>
      <c r="H661" s="10"/>
      <c r="I661" s="11"/>
      <c r="J661" s="10"/>
      <c r="K661" s="11"/>
    </row>
    <row r="662" spans="1:11">
      <c r="A662" s="8" t="s">
        <v>24</v>
      </c>
      <c r="B662" s="9" t="s">
        <v>92</v>
      </c>
      <c r="C662" s="9" t="s">
        <v>93</v>
      </c>
      <c r="D662" s="10"/>
      <c r="E662" s="11"/>
      <c r="F662" s="10"/>
      <c r="G662" s="11"/>
      <c r="H662" s="10"/>
      <c r="I662" s="11"/>
      <c r="J662" s="10"/>
      <c r="K662" s="11"/>
    </row>
    <row r="663" spans="1:11">
      <c r="A663" s="8" t="s">
        <v>25</v>
      </c>
      <c r="B663" s="9" t="s">
        <v>92</v>
      </c>
      <c r="C663" s="9" t="s">
        <v>93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>
        <f>10</f>
        <v>10</v>
      </c>
    </row>
    <row r="664" spans="1:11">
      <c r="A664" s="8" t="s">
        <v>27</v>
      </c>
      <c r="B664" s="9" t="s">
        <v>92</v>
      </c>
      <c r="C664" s="9" t="s">
        <v>93</v>
      </c>
      <c r="D664" s="10"/>
      <c r="E664" s="11" t="str">
        <f>"－"</f>
        <v>－</v>
      </c>
      <c r="F664" s="10"/>
      <c r="G664" s="11" t="str">
        <f>"－"</f>
        <v>－</v>
      </c>
      <c r="H664" s="10"/>
      <c r="I664" s="11" t="str">
        <f>"－"</f>
        <v>－</v>
      </c>
      <c r="J664" s="10"/>
      <c r="K664" s="11">
        <f>10</f>
        <v>10</v>
      </c>
    </row>
    <row r="665" spans="1:11">
      <c r="A665" s="8" t="s">
        <v>28</v>
      </c>
      <c r="B665" s="9" t="s">
        <v>92</v>
      </c>
      <c r="C665" s="9" t="s">
        <v>93</v>
      </c>
      <c r="D665" s="10"/>
      <c r="E665" s="11" t="str">
        <f>"－"</f>
        <v>－</v>
      </c>
      <c r="F665" s="10"/>
      <c r="G665" s="11" t="str">
        <f>"－"</f>
        <v>－</v>
      </c>
      <c r="H665" s="10"/>
      <c r="I665" s="11" t="str">
        <f>"－"</f>
        <v>－</v>
      </c>
      <c r="J665" s="10"/>
      <c r="K665" s="11">
        <f>10</f>
        <v>10</v>
      </c>
    </row>
    <row r="666" spans="1:11">
      <c r="A666" s="8" t="s">
        <v>29</v>
      </c>
      <c r="B666" s="9" t="s">
        <v>92</v>
      </c>
      <c r="C666" s="9" t="s">
        <v>93</v>
      </c>
      <c r="D666" s="10"/>
      <c r="E666" s="11" t="str">
        <f>"－"</f>
        <v>－</v>
      </c>
      <c r="F666" s="10"/>
      <c r="G666" s="11" t="str">
        <f>"－"</f>
        <v>－</v>
      </c>
      <c r="H666" s="10"/>
      <c r="I666" s="11" t="str">
        <f>"－"</f>
        <v>－</v>
      </c>
      <c r="J666" s="10"/>
      <c r="K666" s="11">
        <f>10</f>
        <v>10</v>
      </c>
    </row>
    <row r="667" spans="1:11">
      <c r="A667" s="8" t="s">
        <v>30</v>
      </c>
      <c r="B667" s="9" t="s">
        <v>92</v>
      </c>
      <c r="C667" s="9" t="s">
        <v>93</v>
      </c>
      <c r="D667" s="10"/>
      <c r="E667" s="11" t="str">
        <f>"－"</f>
        <v>－</v>
      </c>
      <c r="F667" s="10"/>
      <c r="G667" s="11" t="str">
        <f>"－"</f>
        <v>－</v>
      </c>
      <c r="H667" s="10"/>
      <c r="I667" s="11" t="str">
        <f>"－"</f>
        <v>－</v>
      </c>
      <c r="J667" s="10"/>
      <c r="K667" s="11">
        <f>10</f>
        <v>10</v>
      </c>
    </row>
    <row r="668" spans="1:11">
      <c r="A668" s="8" t="s">
        <v>31</v>
      </c>
      <c r="B668" s="9" t="s">
        <v>92</v>
      </c>
      <c r="C668" s="9" t="s">
        <v>93</v>
      </c>
      <c r="D668" s="10"/>
      <c r="E668" s="11"/>
      <c r="F668" s="10"/>
      <c r="G668" s="11"/>
      <c r="H668" s="10"/>
      <c r="I668" s="11"/>
      <c r="J668" s="10"/>
      <c r="K668" s="11"/>
    </row>
    <row r="669" spans="1:11">
      <c r="A669" s="8" t="s">
        <v>32</v>
      </c>
      <c r="B669" s="9" t="s">
        <v>92</v>
      </c>
      <c r="C669" s="9" t="s">
        <v>93</v>
      </c>
      <c r="D669" s="10"/>
      <c r="E669" s="11"/>
      <c r="F669" s="10"/>
      <c r="G669" s="11"/>
      <c r="H669" s="10"/>
      <c r="I669" s="11"/>
      <c r="J669" s="10"/>
      <c r="K669" s="11"/>
    </row>
    <row r="670" spans="1:11">
      <c r="A670" s="8" t="s">
        <v>33</v>
      </c>
      <c r="B670" s="9" t="s">
        <v>92</v>
      </c>
      <c r="C670" s="9" t="s">
        <v>93</v>
      </c>
      <c r="D670" s="10"/>
      <c r="E670" s="11" t="str">
        <f>"－"</f>
        <v>－</v>
      </c>
      <c r="F670" s="10"/>
      <c r="G670" s="11" t="str">
        <f>"－"</f>
        <v>－</v>
      </c>
      <c r="H670" s="10"/>
      <c r="I670" s="11" t="str">
        <f>"－"</f>
        <v>－</v>
      </c>
      <c r="J670" s="10"/>
      <c r="K670" s="11">
        <f>10</f>
        <v>10</v>
      </c>
    </row>
    <row r="671" spans="1:11">
      <c r="A671" s="8" t="s">
        <v>34</v>
      </c>
      <c r="B671" s="9" t="s">
        <v>92</v>
      </c>
      <c r="C671" s="9" t="s">
        <v>93</v>
      </c>
      <c r="D671" s="10"/>
      <c r="E671" s="11" t="str">
        <f>"－"</f>
        <v>－</v>
      </c>
      <c r="F671" s="10"/>
      <c r="G671" s="11" t="str">
        <f>"－"</f>
        <v>－</v>
      </c>
      <c r="H671" s="10"/>
      <c r="I671" s="11" t="str">
        <f>"－"</f>
        <v>－</v>
      </c>
      <c r="J671" s="10"/>
      <c r="K671" s="11">
        <f>10</f>
        <v>10</v>
      </c>
    </row>
    <row r="672" spans="1:11">
      <c r="A672" s="8" t="s">
        <v>35</v>
      </c>
      <c r="B672" s="9" t="s">
        <v>92</v>
      </c>
      <c r="C672" s="9" t="s">
        <v>93</v>
      </c>
      <c r="D672" s="10"/>
      <c r="E672" s="11" t="str">
        <f>"－"</f>
        <v>－</v>
      </c>
      <c r="F672" s="10"/>
      <c r="G672" s="11" t="str">
        <f>"－"</f>
        <v>－</v>
      </c>
      <c r="H672" s="10"/>
      <c r="I672" s="11" t="str">
        <f>"－"</f>
        <v>－</v>
      </c>
      <c r="J672" s="10"/>
      <c r="K672" s="11">
        <f>10</f>
        <v>10</v>
      </c>
    </row>
    <row r="673" spans="1:11">
      <c r="A673" s="8" t="s">
        <v>37</v>
      </c>
      <c r="B673" s="9" t="s">
        <v>92</v>
      </c>
      <c r="C673" s="9" t="s">
        <v>93</v>
      </c>
      <c r="D673" s="10"/>
      <c r="E673" s="11" t="str">
        <f>"－"</f>
        <v>－</v>
      </c>
      <c r="F673" s="10"/>
      <c r="G673" s="11" t="str">
        <f>"－"</f>
        <v>－</v>
      </c>
      <c r="H673" s="10"/>
      <c r="I673" s="11" t="str">
        <f>"－"</f>
        <v>－</v>
      </c>
      <c r="J673" s="10"/>
      <c r="K673" s="11">
        <f>10</f>
        <v>10</v>
      </c>
    </row>
    <row r="674" spans="1:11">
      <c r="A674" s="8" t="s">
        <v>38</v>
      </c>
      <c r="B674" s="9" t="s">
        <v>92</v>
      </c>
      <c r="C674" s="9" t="s">
        <v>93</v>
      </c>
      <c r="D674" s="10"/>
      <c r="E674" s="11" t="str">
        <f>"－"</f>
        <v>－</v>
      </c>
      <c r="F674" s="10"/>
      <c r="G674" s="11" t="str">
        <f>"－"</f>
        <v>－</v>
      </c>
      <c r="H674" s="10"/>
      <c r="I674" s="11" t="str">
        <f>"－"</f>
        <v>－</v>
      </c>
      <c r="J674" s="10"/>
      <c r="K674" s="11">
        <f>10</f>
        <v>10</v>
      </c>
    </row>
    <row r="675" spans="1:11">
      <c r="A675" s="8" t="s">
        <v>39</v>
      </c>
      <c r="B675" s="9" t="s">
        <v>92</v>
      </c>
      <c r="C675" s="9" t="s">
        <v>93</v>
      </c>
      <c r="D675" s="10"/>
      <c r="E675" s="11"/>
      <c r="F675" s="10"/>
      <c r="G675" s="11"/>
      <c r="H675" s="10"/>
      <c r="I675" s="11"/>
      <c r="J675" s="10"/>
      <c r="K675" s="11"/>
    </row>
    <row r="676" spans="1:11">
      <c r="A676" s="8" t="s">
        <v>40</v>
      </c>
      <c r="B676" s="9" t="s">
        <v>92</v>
      </c>
      <c r="C676" s="9" t="s">
        <v>93</v>
      </c>
      <c r="D676" s="10"/>
      <c r="E676" s="11"/>
      <c r="F676" s="10"/>
      <c r="G676" s="11"/>
      <c r="H676" s="10"/>
      <c r="I676" s="11"/>
      <c r="J676" s="10"/>
      <c r="K676" s="11"/>
    </row>
    <row r="677" spans="1:11">
      <c r="A677" s="8" t="s">
        <v>41</v>
      </c>
      <c r="B677" s="9" t="s">
        <v>92</v>
      </c>
      <c r="C677" s="9" t="s">
        <v>93</v>
      </c>
      <c r="D677" s="10"/>
      <c r="E677" s="11"/>
      <c r="F677" s="10"/>
      <c r="G677" s="11"/>
      <c r="H677" s="10"/>
      <c r="I677" s="11"/>
      <c r="J677" s="10"/>
      <c r="K677" s="11"/>
    </row>
    <row r="678" spans="1:11">
      <c r="A678" s="8" t="s">
        <v>42</v>
      </c>
      <c r="B678" s="9" t="s">
        <v>92</v>
      </c>
      <c r="C678" s="9" t="s">
        <v>93</v>
      </c>
      <c r="D678" s="10"/>
      <c r="E678" s="11" t="str">
        <f>"－"</f>
        <v>－</v>
      </c>
      <c r="F678" s="10"/>
      <c r="G678" s="11" t="str">
        <f>"－"</f>
        <v>－</v>
      </c>
      <c r="H678" s="10"/>
      <c r="I678" s="11" t="str">
        <f>"－"</f>
        <v>－</v>
      </c>
      <c r="J678" s="10"/>
      <c r="K678" s="11">
        <f>10</f>
        <v>10</v>
      </c>
    </row>
    <row r="679" spans="1:11">
      <c r="A679" s="8" t="s">
        <v>43</v>
      </c>
      <c r="B679" s="9" t="s">
        <v>92</v>
      </c>
      <c r="C679" s="9" t="s">
        <v>93</v>
      </c>
      <c r="D679" s="10"/>
      <c r="E679" s="11" t="str">
        <f>"－"</f>
        <v>－</v>
      </c>
      <c r="F679" s="10"/>
      <c r="G679" s="11" t="str">
        <f>"－"</f>
        <v>－</v>
      </c>
      <c r="H679" s="10"/>
      <c r="I679" s="11" t="str">
        <f>"－"</f>
        <v>－</v>
      </c>
      <c r="J679" s="10"/>
      <c r="K679" s="11">
        <f>10</f>
        <v>10</v>
      </c>
    </row>
    <row r="680" spans="1:11">
      <c r="A680" s="8" t="s">
        <v>44</v>
      </c>
      <c r="B680" s="9" t="s">
        <v>92</v>
      </c>
      <c r="C680" s="9" t="s">
        <v>93</v>
      </c>
      <c r="D680" s="10"/>
      <c r="E680" s="11" t="str">
        <f>"－"</f>
        <v>－</v>
      </c>
      <c r="F680" s="10"/>
      <c r="G680" s="11" t="str">
        <f>"－"</f>
        <v>－</v>
      </c>
      <c r="H680" s="10"/>
      <c r="I680" s="11" t="str">
        <f>"－"</f>
        <v>－</v>
      </c>
      <c r="J680" s="10"/>
      <c r="K680" s="11">
        <f>10</f>
        <v>10</v>
      </c>
    </row>
    <row r="681" spans="1:11">
      <c r="A681" s="8" t="s">
        <v>45</v>
      </c>
      <c r="B681" s="9" t="s">
        <v>92</v>
      </c>
      <c r="C681" s="9" t="s">
        <v>93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>
        <f>10</f>
        <v>10</v>
      </c>
    </row>
    <row r="682" spans="1:11">
      <c r="A682" s="8" t="s">
        <v>46</v>
      </c>
      <c r="B682" s="9" t="s">
        <v>92</v>
      </c>
      <c r="C682" s="9" t="s">
        <v>93</v>
      </c>
      <c r="D682" s="10"/>
      <c r="E682" s="11"/>
      <c r="F682" s="10"/>
      <c r="G682" s="11"/>
      <c r="H682" s="10"/>
      <c r="I682" s="11"/>
      <c r="J682" s="10"/>
      <c r="K682" s="11"/>
    </row>
    <row r="683" spans="1:11">
      <c r="A683" s="8" t="s">
        <v>47</v>
      </c>
      <c r="B683" s="9" t="s">
        <v>92</v>
      </c>
      <c r="C683" s="9" t="s">
        <v>93</v>
      </c>
      <c r="D683" s="10"/>
      <c r="E683" s="11"/>
      <c r="F683" s="10"/>
      <c r="G683" s="11"/>
      <c r="H683" s="10"/>
      <c r="I683" s="11"/>
      <c r="J683" s="10"/>
      <c r="K683" s="11"/>
    </row>
    <row r="684" spans="1:11">
      <c r="A684" s="8" t="s">
        <v>48</v>
      </c>
      <c r="B684" s="9" t="s">
        <v>92</v>
      </c>
      <c r="C684" s="9" t="s">
        <v>93</v>
      </c>
      <c r="D684" s="10"/>
      <c r="E684" s="11" t="str">
        <f>"－"</f>
        <v>－</v>
      </c>
      <c r="F684" s="10"/>
      <c r="G684" s="11" t="str">
        <f>"－"</f>
        <v>－</v>
      </c>
      <c r="H684" s="10"/>
      <c r="I684" s="11" t="str">
        <f>"－"</f>
        <v>－</v>
      </c>
      <c r="J684" s="10"/>
      <c r="K684" s="11">
        <f>10</f>
        <v>10</v>
      </c>
    </row>
    <row r="685" spans="1:11">
      <c r="A685" s="8" t="s">
        <v>49</v>
      </c>
      <c r="B685" s="9" t="s">
        <v>92</v>
      </c>
      <c r="C685" s="9" t="s">
        <v>93</v>
      </c>
      <c r="D685" s="10"/>
      <c r="E685" s="11" t="str">
        <f>"－"</f>
        <v>－</v>
      </c>
      <c r="F685" s="10"/>
      <c r="G685" s="11" t="str">
        <f>"－"</f>
        <v>－</v>
      </c>
      <c r="H685" s="10"/>
      <c r="I685" s="11" t="str">
        <f>"－"</f>
        <v>－</v>
      </c>
      <c r="J685" s="10"/>
      <c r="K685" s="11">
        <f>10</f>
        <v>10</v>
      </c>
    </row>
    <row r="686" spans="1:11">
      <c r="A686" s="8" t="s">
        <v>50</v>
      </c>
      <c r="B686" s="9" t="s">
        <v>92</v>
      </c>
      <c r="C686" s="9" t="s">
        <v>93</v>
      </c>
      <c r="D686" s="10"/>
      <c r="E686" s="11" t="str">
        <f>"－"</f>
        <v>－</v>
      </c>
      <c r="F686" s="10"/>
      <c r="G686" s="11" t="str">
        <f>"－"</f>
        <v>－</v>
      </c>
      <c r="H686" s="10"/>
      <c r="I686" s="11" t="str">
        <f>"－"</f>
        <v>－</v>
      </c>
      <c r="J686" s="10"/>
      <c r="K686" s="11">
        <f>10</f>
        <v>10</v>
      </c>
    </row>
    <row r="687" spans="1:11">
      <c r="A687" s="8" t="s">
        <v>51</v>
      </c>
      <c r="B687" s="9" t="s">
        <v>92</v>
      </c>
      <c r="C687" s="9" t="s">
        <v>93</v>
      </c>
      <c r="D687" s="10"/>
      <c r="E687" s="11" t="str">
        <f>"－"</f>
        <v>－</v>
      </c>
      <c r="F687" s="10"/>
      <c r="G687" s="11" t="str">
        <f>"－"</f>
        <v>－</v>
      </c>
      <c r="H687" s="10"/>
      <c r="I687" s="11" t="str">
        <f>"－"</f>
        <v>－</v>
      </c>
      <c r="J687" s="10"/>
      <c r="K687" s="11">
        <f>10</f>
        <v>10</v>
      </c>
    </row>
    <row r="688" spans="1:11">
      <c r="A688" s="8" t="s">
        <v>16</v>
      </c>
      <c r="B688" s="9" t="s">
        <v>94</v>
      </c>
      <c r="C688" s="9" t="s">
        <v>95</v>
      </c>
      <c r="D688" s="10" t="s">
        <v>36</v>
      </c>
      <c r="E688" s="11" t="str">
        <f>"－"</f>
        <v>－</v>
      </c>
      <c r="F688" s="10" t="s">
        <v>36</v>
      </c>
      <c r="G688" s="11" t="str">
        <f>"－"</f>
        <v>－</v>
      </c>
      <c r="H688" s="10" t="s">
        <v>19</v>
      </c>
      <c r="I688" s="11" t="str">
        <f>"－"</f>
        <v>－</v>
      </c>
      <c r="J688" s="10"/>
      <c r="K688" s="11">
        <f>13</f>
        <v>13</v>
      </c>
    </row>
    <row r="689" spans="1:11">
      <c r="A689" s="8" t="s">
        <v>20</v>
      </c>
      <c r="B689" s="9" t="s">
        <v>94</v>
      </c>
      <c r="C689" s="9" t="s">
        <v>95</v>
      </c>
      <c r="D689" s="10"/>
      <c r="E689" s="11" t="str">
        <f>"－"</f>
        <v>－</v>
      </c>
      <c r="F689" s="10"/>
      <c r="G689" s="11" t="str">
        <f>"－"</f>
        <v>－</v>
      </c>
      <c r="H689" s="10"/>
      <c r="I689" s="11" t="str">
        <f>"－"</f>
        <v>－</v>
      </c>
      <c r="J689" s="10"/>
      <c r="K689" s="11">
        <f>13</f>
        <v>13</v>
      </c>
    </row>
    <row r="690" spans="1:11">
      <c r="A690" s="8" t="s">
        <v>21</v>
      </c>
      <c r="B690" s="9" t="s">
        <v>94</v>
      </c>
      <c r="C690" s="9" t="s">
        <v>95</v>
      </c>
      <c r="D690" s="10"/>
      <c r="E690" s="11" t="str">
        <f>"－"</f>
        <v>－</v>
      </c>
      <c r="F690" s="10"/>
      <c r="G690" s="11" t="str">
        <f>"－"</f>
        <v>－</v>
      </c>
      <c r="H690" s="10"/>
      <c r="I690" s="11" t="str">
        <f>"－"</f>
        <v>－</v>
      </c>
      <c r="J690" s="10"/>
      <c r="K690" s="11">
        <f>13</f>
        <v>13</v>
      </c>
    </row>
    <row r="691" spans="1:11">
      <c r="A691" s="8" t="s">
        <v>22</v>
      </c>
      <c r="B691" s="9" t="s">
        <v>94</v>
      </c>
      <c r="C691" s="9" t="s">
        <v>95</v>
      </c>
      <c r="D691" s="10"/>
      <c r="E691" s="11" t="str">
        <f>"－"</f>
        <v>－</v>
      </c>
      <c r="F691" s="10"/>
      <c r="G691" s="11" t="str">
        <f>"－"</f>
        <v>－</v>
      </c>
      <c r="H691" s="10"/>
      <c r="I691" s="11" t="str">
        <f>"－"</f>
        <v>－</v>
      </c>
      <c r="J691" s="10"/>
      <c r="K691" s="11">
        <f>13</f>
        <v>13</v>
      </c>
    </row>
    <row r="692" spans="1:11">
      <c r="A692" s="8" t="s">
        <v>23</v>
      </c>
      <c r="B692" s="9" t="s">
        <v>94</v>
      </c>
      <c r="C692" s="9" t="s">
        <v>95</v>
      </c>
      <c r="D692" s="10"/>
      <c r="E692" s="11"/>
      <c r="F692" s="10"/>
      <c r="G692" s="11"/>
      <c r="H692" s="10"/>
      <c r="I692" s="11"/>
      <c r="J692" s="10"/>
      <c r="K692" s="11"/>
    </row>
    <row r="693" spans="1:11">
      <c r="A693" s="8" t="s">
        <v>24</v>
      </c>
      <c r="B693" s="9" t="s">
        <v>94</v>
      </c>
      <c r="C693" s="9" t="s">
        <v>95</v>
      </c>
      <c r="D693" s="10"/>
      <c r="E693" s="11"/>
      <c r="F693" s="10"/>
      <c r="G693" s="11"/>
      <c r="H693" s="10"/>
      <c r="I693" s="11"/>
      <c r="J693" s="10"/>
      <c r="K693" s="11"/>
    </row>
    <row r="694" spans="1:11">
      <c r="A694" s="8" t="s">
        <v>25</v>
      </c>
      <c r="B694" s="9" t="s">
        <v>94</v>
      </c>
      <c r="C694" s="9" t="s">
        <v>95</v>
      </c>
      <c r="D694" s="10"/>
      <c r="E694" s="11">
        <f>4</f>
        <v>4</v>
      </c>
      <c r="F694" s="10"/>
      <c r="G694" s="11">
        <f>3380000</f>
        <v>3380000</v>
      </c>
      <c r="H694" s="10"/>
      <c r="I694" s="11" t="str">
        <f>"－"</f>
        <v>－</v>
      </c>
      <c r="J694" s="10"/>
      <c r="K694" s="11">
        <f>9</f>
        <v>9</v>
      </c>
    </row>
    <row r="695" spans="1:11">
      <c r="A695" s="8" t="s">
        <v>27</v>
      </c>
      <c r="B695" s="9" t="s">
        <v>94</v>
      </c>
      <c r="C695" s="9" t="s">
        <v>95</v>
      </c>
      <c r="D695" s="10"/>
      <c r="E695" s="11" t="str">
        <f>"－"</f>
        <v>－</v>
      </c>
      <c r="F695" s="10"/>
      <c r="G695" s="11" t="str">
        <f>"－"</f>
        <v>－</v>
      </c>
      <c r="H695" s="10"/>
      <c r="I695" s="11" t="str">
        <f>"－"</f>
        <v>－</v>
      </c>
      <c r="J695" s="10"/>
      <c r="K695" s="11">
        <f>9</f>
        <v>9</v>
      </c>
    </row>
    <row r="696" spans="1:11">
      <c r="A696" s="8" t="s">
        <v>28</v>
      </c>
      <c r="B696" s="9" t="s">
        <v>94</v>
      </c>
      <c r="C696" s="9" t="s">
        <v>95</v>
      </c>
      <c r="D696" s="10"/>
      <c r="E696" s="11" t="str">
        <f>"－"</f>
        <v>－</v>
      </c>
      <c r="F696" s="10"/>
      <c r="G696" s="11" t="str">
        <f>"－"</f>
        <v>－</v>
      </c>
      <c r="H696" s="10"/>
      <c r="I696" s="11" t="str">
        <f>"－"</f>
        <v>－</v>
      </c>
      <c r="J696" s="10"/>
      <c r="K696" s="11">
        <f>9</f>
        <v>9</v>
      </c>
    </row>
    <row r="697" spans="1:11">
      <c r="A697" s="8" t="s">
        <v>29</v>
      </c>
      <c r="B697" s="9" t="s">
        <v>94</v>
      </c>
      <c r="C697" s="9" t="s">
        <v>95</v>
      </c>
      <c r="D697" s="10"/>
      <c r="E697" s="11" t="str">
        <f>"－"</f>
        <v>－</v>
      </c>
      <c r="F697" s="10"/>
      <c r="G697" s="11" t="str">
        <f>"－"</f>
        <v>－</v>
      </c>
      <c r="H697" s="10"/>
      <c r="I697" s="11" t="str">
        <f>"－"</f>
        <v>－</v>
      </c>
      <c r="J697" s="10"/>
      <c r="K697" s="11">
        <f>9</f>
        <v>9</v>
      </c>
    </row>
    <row r="698" spans="1:11">
      <c r="A698" s="8" t="s">
        <v>30</v>
      </c>
      <c r="B698" s="9" t="s">
        <v>94</v>
      </c>
      <c r="C698" s="9" t="s">
        <v>95</v>
      </c>
      <c r="D698" s="10"/>
      <c r="E698" s="11" t="str">
        <f>"－"</f>
        <v>－</v>
      </c>
      <c r="F698" s="10"/>
      <c r="G698" s="11" t="str">
        <f>"－"</f>
        <v>－</v>
      </c>
      <c r="H698" s="10"/>
      <c r="I698" s="11" t="str">
        <f>"－"</f>
        <v>－</v>
      </c>
      <c r="J698" s="10"/>
      <c r="K698" s="11">
        <f>9</f>
        <v>9</v>
      </c>
    </row>
    <row r="699" spans="1:11">
      <c r="A699" s="8" t="s">
        <v>31</v>
      </c>
      <c r="B699" s="9" t="s">
        <v>94</v>
      </c>
      <c r="C699" s="9" t="s">
        <v>95</v>
      </c>
      <c r="D699" s="10"/>
      <c r="E699" s="11"/>
      <c r="F699" s="10"/>
      <c r="G699" s="11"/>
      <c r="H699" s="10"/>
      <c r="I699" s="11"/>
      <c r="J699" s="10"/>
      <c r="K699" s="11"/>
    </row>
    <row r="700" spans="1:11">
      <c r="A700" s="8" t="s">
        <v>32</v>
      </c>
      <c r="B700" s="9" t="s">
        <v>94</v>
      </c>
      <c r="C700" s="9" t="s">
        <v>95</v>
      </c>
      <c r="D700" s="10"/>
      <c r="E700" s="11"/>
      <c r="F700" s="10"/>
      <c r="G700" s="11"/>
      <c r="H700" s="10"/>
      <c r="I700" s="11"/>
      <c r="J700" s="10"/>
      <c r="K700" s="11"/>
    </row>
    <row r="701" spans="1:11">
      <c r="A701" s="8" t="s">
        <v>33</v>
      </c>
      <c r="B701" s="9" t="s">
        <v>94</v>
      </c>
      <c r="C701" s="9" t="s">
        <v>95</v>
      </c>
      <c r="D701" s="10"/>
      <c r="E701" s="11" t="str">
        <f>"－"</f>
        <v>－</v>
      </c>
      <c r="F701" s="10"/>
      <c r="G701" s="11" t="str">
        <f>"－"</f>
        <v>－</v>
      </c>
      <c r="H701" s="10"/>
      <c r="I701" s="11" t="str">
        <f>"－"</f>
        <v>－</v>
      </c>
      <c r="J701" s="10"/>
      <c r="K701" s="11">
        <f>9</f>
        <v>9</v>
      </c>
    </row>
    <row r="702" spans="1:11">
      <c r="A702" s="8" t="s">
        <v>34</v>
      </c>
      <c r="B702" s="9" t="s">
        <v>94</v>
      </c>
      <c r="C702" s="9" t="s">
        <v>95</v>
      </c>
      <c r="D702" s="10"/>
      <c r="E702" s="11" t="str">
        <f>"－"</f>
        <v>－</v>
      </c>
      <c r="F702" s="10"/>
      <c r="G702" s="11" t="str">
        <f>"－"</f>
        <v>－</v>
      </c>
      <c r="H702" s="10"/>
      <c r="I702" s="11" t="str">
        <f>"－"</f>
        <v>－</v>
      </c>
      <c r="J702" s="10"/>
      <c r="K702" s="11">
        <f>9</f>
        <v>9</v>
      </c>
    </row>
    <row r="703" spans="1:11">
      <c r="A703" s="8" t="s">
        <v>35</v>
      </c>
      <c r="B703" s="9" t="s">
        <v>94</v>
      </c>
      <c r="C703" s="9" t="s">
        <v>95</v>
      </c>
      <c r="D703" s="10"/>
      <c r="E703" s="11" t="str">
        <f>"－"</f>
        <v>－</v>
      </c>
      <c r="F703" s="10"/>
      <c r="G703" s="11" t="str">
        <f>"－"</f>
        <v>－</v>
      </c>
      <c r="H703" s="10"/>
      <c r="I703" s="11" t="str">
        <f>"－"</f>
        <v>－</v>
      </c>
      <c r="J703" s="10"/>
      <c r="K703" s="11">
        <f>9</f>
        <v>9</v>
      </c>
    </row>
    <row r="704" spans="1:11">
      <c r="A704" s="8" t="s">
        <v>37</v>
      </c>
      <c r="B704" s="9" t="s">
        <v>94</v>
      </c>
      <c r="C704" s="9" t="s">
        <v>95</v>
      </c>
      <c r="D704" s="10"/>
      <c r="E704" s="11" t="str">
        <f>"－"</f>
        <v>－</v>
      </c>
      <c r="F704" s="10"/>
      <c r="G704" s="11" t="str">
        <f>"－"</f>
        <v>－</v>
      </c>
      <c r="H704" s="10"/>
      <c r="I704" s="11" t="str">
        <f>"－"</f>
        <v>－</v>
      </c>
      <c r="J704" s="10"/>
      <c r="K704" s="11">
        <f>9</f>
        <v>9</v>
      </c>
    </row>
    <row r="705" spans="1:11">
      <c r="A705" s="8" t="s">
        <v>38</v>
      </c>
      <c r="B705" s="9" t="s">
        <v>94</v>
      </c>
      <c r="C705" s="9" t="s">
        <v>95</v>
      </c>
      <c r="D705" s="10"/>
      <c r="E705" s="11" t="str">
        <f>"－"</f>
        <v>－</v>
      </c>
      <c r="F705" s="10"/>
      <c r="G705" s="11" t="str">
        <f>"－"</f>
        <v>－</v>
      </c>
      <c r="H705" s="10"/>
      <c r="I705" s="11" t="str">
        <f>"－"</f>
        <v>－</v>
      </c>
      <c r="J705" s="10"/>
      <c r="K705" s="11">
        <f>9</f>
        <v>9</v>
      </c>
    </row>
    <row r="706" spans="1:11">
      <c r="A706" s="8" t="s">
        <v>39</v>
      </c>
      <c r="B706" s="9" t="s">
        <v>94</v>
      </c>
      <c r="C706" s="9" t="s">
        <v>95</v>
      </c>
      <c r="D706" s="10"/>
      <c r="E706" s="11"/>
      <c r="F706" s="10"/>
      <c r="G706" s="11"/>
      <c r="H706" s="10"/>
      <c r="I706" s="11"/>
      <c r="J706" s="10"/>
      <c r="K706" s="11"/>
    </row>
    <row r="707" spans="1:11">
      <c r="A707" s="8" t="s">
        <v>40</v>
      </c>
      <c r="B707" s="9" t="s">
        <v>94</v>
      </c>
      <c r="C707" s="9" t="s">
        <v>95</v>
      </c>
      <c r="D707" s="10"/>
      <c r="E707" s="11"/>
      <c r="F707" s="10"/>
      <c r="G707" s="11"/>
      <c r="H707" s="10"/>
      <c r="I707" s="11"/>
      <c r="J707" s="10"/>
      <c r="K707" s="11"/>
    </row>
    <row r="708" spans="1:11">
      <c r="A708" s="8" t="s">
        <v>41</v>
      </c>
      <c r="B708" s="9" t="s">
        <v>94</v>
      </c>
      <c r="C708" s="9" t="s">
        <v>95</v>
      </c>
      <c r="D708" s="10"/>
      <c r="E708" s="11"/>
      <c r="F708" s="10"/>
      <c r="G708" s="11"/>
      <c r="H708" s="10"/>
      <c r="I708" s="11"/>
      <c r="J708" s="10"/>
      <c r="K708" s="11"/>
    </row>
    <row r="709" spans="1:11">
      <c r="A709" s="8" t="s">
        <v>42</v>
      </c>
      <c r="B709" s="9" t="s">
        <v>94</v>
      </c>
      <c r="C709" s="9" t="s">
        <v>95</v>
      </c>
      <c r="D709" s="10"/>
      <c r="E709" s="11">
        <f>1</f>
        <v>1</v>
      </c>
      <c r="F709" s="10"/>
      <c r="G709" s="11">
        <f>900000</f>
        <v>900000</v>
      </c>
      <c r="H709" s="10"/>
      <c r="I709" s="11" t="str">
        <f>"－"</f>
        <v>－</v>
      </c>
      <c r="J709" s="10"/>
      <c r="K709" s="11">
        <f>10</f>
        <v>10</v>
      </c>
    </row>
    <row r="710" spans="1:11">
      <c r="A710" s="8" t="s">
        <v>43</v>
      </c>
      <c r="B710" s="9" t="s">
        <v>94</v>
      </c>
      <c r="C710" s="9" t="s">
        <v>95</v>
      </c>
      <c r="D710" s="10"/>
      <c r="E710" s="11" t="str">
        <f>"－"</f>
        <v>－</v>
      </c>
      <c r="F710" s="10"/>
      <c r="G710" s="11" t="str">
        <f>"－"</f>
        <v>－</v>
      </c>
      <c r="H710" s="10"/>
      <c r="I710" s="11" t="str">
        <f>"－"</f>
        <v>－</v>
      </c>
      <c r="J710" s="10"/>
      <c r="K710" s="11">
        <f>10</f>
        <v>10</v>
      </c>
    </row>
    <row r="711" spans="1:11">
      <c r="A711" s="8" t="s">
        <v>44</v>
      </c>
      <c r="B711" s="9" t="s">
        <v>94</v>
      </c>
      <c r="C711" s="9" t="s">
        <v>95</v>
      </c>
      <c r="D711" s="10"/>
      <c r="E711" s="11">
        <f>10</f>
        <v>10</v>
      </c>
      <c r="F711" s="10"/>
      <c r="G711" s="11">
        <f>8200000</f>
        <v>8200000</v>
      </c>
      <c r="H711" s="10"/>
      <c r="I711" s="11" t="str">
        <f>"－"</f>
        <v>－</v>
      </c>
      <c r="J711" s="10"/>
      <c r="K711" s="11">
        <f>20</f>
        <v>20</v>
      </c>
    </row>
    <row r="712" spans="1:11">
      <c r="A712" s="8" t="s">
        <v>45</v>
      </c>
      <c r="B712" s="9" t="s">
        <v>94</v>
      </c>
      <c r="C712" s="9" t="s">
        <v>95</v>
      </c>
      <c r="D712" s="10" t="s">
        <v>26</v>
      </c>
      <c r="E712" s="11">
        <f>139</f>
        <v>139</v>
      </c>
      <c r="F712" s="10" t="s">
        <v>26</v>
      </c>
      <c r="G712" s="11">
        <f>113211400</f>
        <v>113211400</v>
      </c>
      <c r="H712" s="10"/>
      <c r="I712" s="11" t="str">
        <f>"－"</f>
        <v>－</v>
      </c>
      <c r="J712" s="10" t="s">
        <v>26</v>
      </c>
      <c r="K712" s="11">
        <f>158</f>
        <v>158</v>
      </c>
    </row>
    <row r="713" spans="1:11">
      <c r="A713" s="8" t="s">
        <v>46</v>
      </c>
      <c r="B713" s="9" t="s">
        <v>94</v>
      </c>
      <c r="C713" s="9" t="s">
        <v>95</v>
      </c>
      <c r="D713" s="10"/>
      <c r="E713" s="11"/>
      <c r="F713" s="10"/>
      <c r="G713" s="11"/>
      <c r="H713" s="10"/>
      <c r="I713" s="11"/>
      <c r="J713" s="10"/>
      <c r="K713" s="11"/>
    </row>
    <row r="714" spans="1:11">
      <c r="A714" s="8" t="s">
        <v>47</v>
      </c>
      <c r="B714" s="9" t="s">
        <v>94</v>
      </c>
      <c r="C714" s="9" t="s">
        <v>95</v>
      </c>
      <c r="D714" s="10"/>
      <c r="E714" s="11"/>
      <c r="F714" s="10"/>
      <c r="G714" s="11"/>
      <c r="H714" s="10"/>
      <c r="I714" s="11"/>
      <c r="J714" s="10"/>
      <c r="K714" s="11"/>
    </row>
    <row r="715" spans="1:11">
      <c r="A715" s="8" t="s">
        <v>48</v>
      </c>
      <c r="B715" s="9" t="s">
        <v>94</v>
      </c>
      <c r="C715" s="9" t="s">
        <v>95</v>
      </c>
      <c r="D715" s="10"/>
      <c r="E715" s="11" t="str">
        <f t="shared" ref="E715:E722" si="28">"－"</f>
        <v>－</v>
      </c>
      <c r="F715" s="10"/>
      <c r="G715" s="11" t="str">
        <f t="shared" ref="G715:G722" si="29">"－"</f>
        <v>－</v>
      </c>
      <c r="H715" s="10"/>
      <c r="I715" s="11" t="str">
        <f t="shared" ref="I715:I722" si="30">"－"</f>
        <v>－</v>
      </c>
      <c r="J715" s="10" t="s">
        <v>36</v>
      </c>
      <c r="K715" s="11">
        <f>4</f>
        <v>4</v>
      </c>
    </row>
    <row r="716" spans="1:11">
      <c r="A716" s="8" t="s">
        <v>49</v>
      </c>
      <c r="B716" s="9" t="s">
        <v>94</v>
      </c>
      <c r="C716" s="9" t="s">
        <v>95</v>
      </c>
      <c r="D716" s="10"/>
      <c r="E716" s="11" t="str">
        <f t="shared" si="28"/>
        <v>－</v>
      </c>
      <c r="F716" s="10"/>
      <c r="G716" s="11" t="str">
        <f t="shared" si="29"/>
        <v>－</v>
      </c>
      <c r="H716" s="10"/>
      <c r="I716" s="11" t="str">
        <f t="shared" si="30"/>
        <v>－</v>
      </c>
      <c r="J716" s="10"/>
      <c r="K716" s="11">
        <f>4</f>
        <v>4</v>
      </c>
    </row>
    <row r="717" spans="1:11">
      <c r="A717" s="8" t="s">
        <v>50</v>
      </c>
      <c r="B717" s="9" t="s">
        <v>94</v>
      </c>
      <c r="C717" s="9" t="s">
        <v>95</v>
      </c>
      <c r="D717" s="10"/>
      <c r="E717" s="11" t="str">
        <f t="shared" si="28"/>
        <v>－</v>
      </c>
      <c r="F717" s="10"/>
      <c r="G717" s="11" t="str">
        <f t="shared" si="29"/>
        <v>－</v>
      </c>
      <c r="H717" s="10"/>
      <c r="I717" s="11" t="str">
        <f t="shared" si="30"/>
        <v>－</v>
      </c>
      <c r="J717" s="10"/>
      <c r="K717" s="11">
        <f>4</f>
        <v>4</v>
      </c>
    </row>
    <row r="718" spans="1:11">
      <c r="A718" s="8" t="s">
        <v>51</v>
      </c>
      <c r="B718" s="9" t="s">
        <v>94</v>
      </c>
      <c r="C718" s="9" t="s">
        <v>95</v>
      </c>
      <c r="D718" s="10"/>
      <c r="E718" s="11" t="str">
        <f t="shared" si="28"/>
        <v>－</v>
      </c>
      <c r="F718" s="10"/>
      <c r="G718" s="11" t="str">
        <f t="shared" si="29"/>
        <v>－</v>
      </c>
      <c r="H718" s="10"/>
      <c r="I718" s="11" t="str">
        <f t="shared" si="30"/>
        <v>－</v>
      </c>
      <c r="J718" s="10"/>
      <c r="K718" s="11">
        <f>4</f>
        <v>4</v>
      </c>
    </row>
    <row r="719" spans="1:11">
      <c r="A719" s="8" t="s">
        <v>16</v>
      </c>
      <c r="B719" s="9" t="s">
        <v>96</v>
      </c>
      <c r="C719" s="9" t="s">
        <v>97</v>
      </c>
      <c r="D719" s="10" t="s">
        <v>36</v>
      </c>
      <c r="E719" s="11" t="str">
        <f t="shared" si="28"/>
        <v>－</v>
      </c>
      <c r="F719" s="10" t="s">
        <v>36</v>
      </c>
      <c r="G719" s="11" t="str">
        <f t="shared" si="29"/>
        <v>－</v>
      </c>
      <c r="H719" s="10" t="s">
        <v>19</v>
      </c>
      <c r="I719" s="11" t="str">
        <f t="shared" si="30"/>
        <v>－</v>
      </c>
      <c r="J719" s="10"/>
      <c r="K719" s="11">
        <f>8</f>
        <v>8</v>
      </c>
    </row>
    <row r="720" spans="1:11">
      <c r="A720" s="8" t="s">
        <v>20</v>
      </c>
      <c r="B720" s="9" t="s">
        <v>96</v>
      </c>
      <c r="C720" s="9" t="s">
        <v>97</v>
      </c>
      <c r="D720" s="10"/>
      <c r="E720" s="11" t="str">
        <f t="shared" si="28"/>
        <v>－</v>
      </c>
      <c r="F720" s="10"/>
      <c r="G720" s="11" t="str">
        <f t="shared" si="29"/>
        <v>－</v>
      </c>
      <c r="H720" s="10"/>
      <c r="I720" s="11" t="str">
        <f t="shared" si="30"/>
        <v>－</v>
      </c>
      <c r="J720" s="10"/>
      <c r="K720" s="11">
        <f>8</f>
        <v>8</v>
      </c>
    </row>
    <row r="721" spans="1:11">
      <c r="A721" s="8" t="s">
        <v>21</v>
      </c>
      <c r="B721" s="9" t="s">
        <v>96</v>
      </c>
      <c r="C721" s="9" t="s">
        <v>97</v>
      </c>
      <c r="D721" s="10"/>
      <c r="E721" s="11" t="str">
        <f t="shared" si="28"/>
        <v>－</v>
      </c>
      <c r="F721" s="10"/>
      <c r="G721" s="11" t="str">
        <f t="shared" si="29"/>
        <v>－</v>
      </c>
      <c r="H721" s="10"/>
      <c r="I721" s="11" t="str">
        <f t="shared" si="30"/>
        <v>－</v>
      </c>
      <c r="J721" s="10"/>
      <c r="K721" s="11">
        <f>8</f>
        <v>8</v>
      </c>
    </row>
    <row r="722" spans="1:11">
      <c r="A722" s="8" t="s">
        <v>22</v>
      </c>
      <c r="B722" s="9" t="s">
        <v>96</v>
      </c>
      <c r="C722" s="9" t="s">
        <v>97</v>
      </c>
      <c r="D722" s="10"/>
      <c r="E722" s="11" t="str">
        <f t="shared" si="28"/>
        <v>－</v>
      </c>
      <c r="F722" s="10"/>
      <c r="G722" s="11" t="str">
        <f t="shared" si="29"/>
        <v>－</v>
      </c>
      <c r="H722" s="10"/>
      <c r="I722" s="11" t="str">
        <f t="shared" si="30"/>
        <v>－</v>
      </c>
      <c r="J722" s="10"/>
      <c r="K722" s="11">
        <f>8</f>
        <v>8</v>
      </c>
    </row>
    <row r="723" spans="1:11">
      <c r="A723" s="8" t="s">
        <v>23</v>
      </c>
      <c r="B723" s="9" t="s">
        <v>96</v>
      </c>
      <c r="C723" s="9" t="s">
        <v>97</v>
      </c>
      <c r="D723" s="10"/>
      <c r="E723" s="11"/>
      <c r="F723" s="10"/>
      <c r="G723" s="11"/>
      <c r="H723" s="10"/>
      <c r="I723" s="11"/>
      <c r="J723" s="10"/>
      <c r="K723" s="11"/>
    </row>
    <row r="724" spans="1:11">
      <c r="A724" s="8" t="s">
        <v>24</v>
      </c>
      <c r="B724" s="9" t="s">
        <v>96</v>
      </c>
      <c r="C724" s="9" t="s">
        <v>97</v>
      </c>
      <c r="D724" s="10"/>
      <c r="E724" s="11"/>
      <c r="F724" s="10"/>
      <c r="G724" s="11"/>
      <c r="H724" s="10"/>
      <c r="I724" s="11"/>
      <c r="J724" s="10"/>
      <c r="K724" s="11"/>
    </row>
    <row r="725" spans="1:11">
      <c r="A725" s="8" t="s">
        <v>25</v>
      </c>
      <c r="B725" s="9" t="s">
        <v>96</v>
      </c>
      <c r="C725" s="9" t="s">
        <v>97</v>
      </c>
      <c r="D725" s="10"/>
      <c r="E725" s="11" t="str">
        <f>"－"</f>
        <v>－</v>
      </c>
      <c r="F725" s="10"/>
      <c r="G725" s="11" t="str">
        <f>"－"</f>
        <v>－</v>
      </c>
      <c r="H725" s="10"/>
      <c r="I725" s="11" t="str">
        <f>"－"</f>
        <v>－</v>
      </c>
      <c r="J725" s="10"/>
      <c r="K725" s="11">
        <f>8</f>
        <v>8</v>
      </c>
    </row>
    <row r="726" spans="1:11">
      <c r="A726" s="8" t="s">
        <v>27</v>
      </c>
      <c r="B726" s="9" t="s">
        <v>96</v>
      </c>
      <c r="C726" s="9" t="s">
        <v>97</v>
      </c>
      <c r="D726" s="10"/>
      <c r="E726" s="11" t="str">
        <f>"－"</f>
        <v>－</v>
      </c>
      <c r="F726" s="10"/>
      <c r="G726" s="11" t="str">
        <f>"－"</f>
        <v>－</v>
      </c>
      <c r="H726" s="10"/>
      <c r="I726" s="11" t="str">
        <f>"－"</f>
        <v>－</v>
      </c>
      <c r="J726" s="10"/>
      <c r="K726" s="11">
        <f>8</f>
        <v>8</v>
      </c>
    </row>
    <row r="727" spans="1:11">
      <c r="A727" s="8" t="s">
        <v>28</v>
      </c>
      <c r="B727" s="9" t="s">
        <v>96</v>
      </c>
      <c r="C727" s="9" t="s">
        <v>97</v>
      </c>
      <c r="D727" s="10"/>
      <c r="E727" s="11" t="str">
        <f>"－"</f>
        <v>－</v>
      </c>
      <c r="F727" s="10"/>
      <c r="G727" s="11" t="str">
        <f>"－"</f>
        <v>－</v>
      </c>
      <c r="H727" s="10"/>
      <c r="I727" s="11" t="str">
        <f>"－"</f>
        <v>－</v>
      </c>
      <c r="J727" s="10"/>
      <c r="K727" s="11">
        <f>8</f>
        <v>8</v>
      </c>
    </row>
    <row r="728" spans="1:11">
      <c r="A728" s="8" t="s">
        <v>29</v>
      </c>
      <c r="B728" s="9" t="s">
        <v>96</v>
      </c>
      <c r="C728" s="9" t="s">
        <v>97</v>
      </c>
      <c r="D728" s="10"/>
      <c r="E728" s="11" t="str">
        <f>"－"</f>
        <v>－</v>
      </c>
      <c r="F728" s="10"/>
      <c r="G728" s="11" t="str">
        <f>"－"</f>
        <v>－</v>
      </c>
      <c r="H728" s="10"/>
      <c r="I728" s="11" t="str">
        <f>"－"</f>
        <v>－</v>
      </c>
      <c r="J728" s="10"/>
      <c r="K728" s="11">
        <f>8</f>
        <v>8</v>
      </c>
    </row>
    <row r="729" spans="1:11">
      <c r="A729" s="8" t="s">
        <v>30</v>
      </c>
      <c r="B729" s="9" t="s">
        <v>96</v>
      </c>
      <c r="C729" s="9" t="s">
        <v>97</v>
      </c>
      <c r="D729" s="10"/>
      <c r="E729" s="11" t="str">
        <f>"－"</f>
        <v>－</v>
      </c>
      <c r="F729" s="10"/>
      <c r="G729" s="11" t="str">
        <f>"－"</f>
        <v>－</v>
      </c>
      <c r="H729" s="10"/>
      <c r="I729" s="11" t="str">
        <f>"－"</f>
        <v>－</v>
      </c>
      <c r="J729" s="10"/>
      <c r="K729" s="11">
        <f>8</f>
        <v>8</v>
      </c>
    </row>
    <row r="730" spans="1:11">
      <c r="A730" s="8" t="s">
        <v>31</v>
      </c>
      <c r="B730" s="9" t="s">
        <v>96</v>
      </c>
      <c r="C730" s="9" t="s">
        <v>97</v>
      </c>
      <c r="D730" s="10"/>
      <c r="E730" s="11"/>
      <c r="F730" s="10"/>
      <c r="G730" s="11"/>
      <c r="H730" s="10"/>
      <c r="I730" s="11"/>
      <c r="J730" s="10"/>
      <c r="K730" s="11"/>
    </row>
    <row r="731" spans="1:11">
      <c r="A731" s="8" t="s">
        <v>32</v>
      </c>
      <c r="B731" s="9" t="s">
        <v>96</v>
      </c>
      <c r="C731" s="9" t="s">
        <v>97</v>
      </c>
      <c r="D731" s="10"/>
      <c r="E731" s="11"/>
      <c r="F731" s="10"/>
      <c r="G731" s="11"/>
      <c r="H731" s="10"/>
      <c r="I731" s="11"/>
      <c r="J731" s="10"/>
      <c r="K731" s="11"/>
    </row>
    <row r="732" spans="1:11">
      <c r="A732" s="8" t="s">
        <v>33</v>
      </c>
      <c r="B732" s="9" t="s">
        <v>96</v>
      </c>
      <c r="C732" s="9" t="s">
        <v>97</v>
      </c>
      <c r="D732" s="10"/>
      <c r="E732" s="11" t="str">
        <f>"－"</f>
        <v>－</v>
      </c>
      <c r="F732" s="10"/>
      <c r="G732" s="11" t="str">
        <f>"－"</f>
        <v>－</v>
      </c>
      <c r="H732" s="10"/>
      <c r="I732" s="11" t="str">
        <f>"－"</f>
        <v>－</v>
      </c>
      <c r="J732" s="10"/>
      <c r="K732" s="11">
        <f>8</f>
        <v>8</v>
      </c>
    </row>
    <row r="733" spans="1:11">
      <c r="A733" s="8" t="s">
        <v>34</v>
      </c>
      <c r="B733" s="9" t="s">
        <v>96</v>
      </c>
      <c r="C733" s="9" t="s">
        <v>97</v>
      </c>
      <c r="D733" s="10"/>
      <c r="E733" s="11" t="str">
        <f>"－"</f>
        <v>－</v>
      </c>
      <c r="F733" s="10"/>
      <c r="G733" s="11" t="str">
        <f>"－"</f>
        <v>－</v>
      </c>
      <c r="H733" s="10"/>
      <c r="I733" s="11" t="str">
        <f>"－"</f>
        <v>－</v>
      </c>
      <c r="J733" s="10"/>
      <c r="K733" s="11">
        <f>8</f>
        <v>8</v>
      </c>
    </row>
    <row r="734" spans="1:11">
      <c r="A734" s="8" t="s">
        <v>35</v>
      </c>
      <c r="B734" s="9" t="s">
        <v>96</v>
      </c>
      <c r="C734" s="9" t="s">
        <v>97</v>
      </c>
      <c r="D734" s="10"/>
      <c r="E734" s="11">
        <f>3</f>
        <v>3</v>
      </c>
      <c r="F734" s="10"/>
      <c r="G734" s="11">
        <f>2426000</f>
        <v>2426000</v>
      </c>
      <c r="H734" s="10"/>
      <c r="I734" s="11" t="str">
        <f>"－"</f>
        <v>－</v>
      </c>
      <c r="J734" s="10"/>
      <c r="K734" s="11">
        <f>11</f>
        <v>11</v>
      </c>
    </row>
    <row r="735" spans="1:11">
      <c r="A735" s="8" t="s">
        <v>37</v>
      </c>
      <c r="B735" s="9" t="s">
        <v>96</v>
      </c>
      <c r="C735" s="9" t="s">
        <v>97</v>
      </c>
      <c r="D735" s="10"/>
      <c r="E735" s="11">
        <f>3</f>
        <v>3</v>
      </c>
      <c r="F735" s="10"/>
      <c r="G735" s="11">
        <f>2409000</f>
        <v>2409000</v>
      </c>
      <c r="H735" s="10"/>
      <c r="I735" s="11" t="str">
        <f>"－"</f>
        <v>－</v>
      </c>
      <c r="J735" s="10"/>
      <c r="K735" s="11">
        <f>12</f>
        <v>12</v>
      </c>
    </row>
    <row r="736" spans="1:11">
      <c r="A736" s="8" t="s">
        <v>38</v>
      </c>
      <c r="B736" s="9" t="s">
        <v>96</v>
      </c>
      <c r="C736" s="9" t="s">
        <v>97</v>
      </c>
      <c r="D736" s="10"/>
      <c r="E736" s="11">
        <f>2</f>
        <v>2</v>
      </c>
      <c r="F736" s="10"/>
      <c r="G736" s="11">
        <f>1620000</f>
        <v>1620000</v>
      </c>
      <c r="H736" s="10"/>
      <c r="I736" s="11" t="str">
        <f>"－"</f>
        <v>－</v>
      </c>
      <c r="J736" s="10"/>
      <c r="K736" s="11">
        <f>12</f>
        <v>12</v>
      </c>
    </row>
    <row r="737" spans="1:11">
      <c r="A737" s="8" t="s">
        <v>39</v>
      </c>
      <c r="B737" s="9" t="s">
        <v>96</v>
      </c>
      <c r="C737" s="9" t="s">
        <v>97</v>
      </c>
      <c r="D737" s="10"/>
      <c r="E737" s="11"/>
      <c r="F737" s="10"/>
      <c r="G737" s="11"/>
      <c r="H737" s="10"/>
      <c r="I737" s="11"/>
      <c r="J737" s="10"/>
      <c r="K737" s="11"/>
    </row>
    <row r="738" spans="1:11">
      <c r="A738" s="8" t="s">
        <v>40</v>
      </c>
      <c r="B738" s="9" t="s">
        <v>96</v>
      </c>
      <c r="C738" s="9" t="s">
        <v>97</v>
      </c>
      <c r="D738" s="10"/>
      <c r="E738" s="11"/>
      <c r="F738" s="10"/>
      <c r="G738" s="11"/>
      <c r="H738" s="10"/>
      <c r="I738" s="11"/>
      <c r="J738" s="10"/>
      <c r="K738" s="11"/>
    </row>
    <row r="739" spans="1:11">
      <c r="A739" s="8" t="s">
        <v>41</v>
      </c>
      <c r="B739" s="9" t="s">
        <v>96</v>
      </c>
      <c r="C739" s="9" t="s">
        <v>97</v>
      </c>
      <c r="D739" s="10"/>
      <c r="E739" s="11"/>
      <c r="F739" s="10"/>
      <c r="G739" s="11"/>
      <c r="H739" s="10"/>
      <c r="I739" s="11"/>
      <c r="J739" s="10"/>
      <c r="K739" s="11"/>
    </row>
    <row r="740" spans="1:11">
      <c r="A740" s="8" t="s">
        <v>42</v>
      </c>
      <c r="B740" s="9" t="s">
        <v>96</v>
      </c>
      <c r="C740" s="9" t="s">
        <v>97</v>
      </c>
      <c r="D740" s="10"/>
      <c r="E740" s="11" t="str">
        <f>"－"</f>
        <v>－</v>
      </c>
      <c r="F740" s="10"/>
      <c r="G740" s="11" t="str">
        <f>"－"</f>
        <v>－</v>
      </c>
      <c r="H740" s="10"/>
      <c r="I740" s="11" t="str">
        <f>"－"</f>
        <v>－</v>
      </c>
      <c r="J740" s="10"/>
      <c r="K740" s="11">
        <f>12</f>
        <v>12</v>
      </c>
    </row>
    <row r="741" spans="1:11">
      <c r="A741" s="8" t="s">
        <v>43</v>
      </c>
      <c r="B741" s="9" t="s">
        <v>96</v>
      </c>
      <c r="C741" s="9" t="s">
        <v>97</v>
      </c>
      <c r="D741" s="10"/>
      <c r="E741" s="11" t="str">
        <f>"－"</f>
        <v>－</v>
      </c>
      <c r="F741" s="10"/>
      <c r="G741" s="11" t="str">
        <f>"－"</f>
        <v>－</v>
      </c>
      <c r="H741" s="10"/>
      <c r="I741" s="11" t="str">
        <f>"－"</f>
        <v>－</v>
      </c>
      <c r="J741" s="10"/>
      <c r="K741" s="11">
        <f>12</f>
        <v>12</v>
      </c>
    </row>
    <row r="742" spans="1:11">
      <c r="A742" s="8" t="s">
        <v>44</v>
      </c>
      <c r="B742" s="9" t="s">
        <v>96</v>
      </c>
      <c r="C742" s="9" t="s">
        <v>97</v>
      </c>
      <c r="D742" s="10"/>
      <c r="E742" s="11">
        <f>14</f>
        <v>14</v>
      </c>
      <c r="F742" s="10"/>
      <c r="G742" s="11">
        <f>11425000</f>
        <v>11425000</v>
      </c>
      <c r="H742" s="10"/>
      <c r="I742" s="11" t="str">
        <f>"－"</f>
        <v>－</v>
      </c>
      <c r="J742" s="10"/>
      <c r="K742" s="11">
        <f>26</f>
        <v>26</v>
      </c>
    </row>
    <row r="743" spans="1:11">
      <c r="A743" s="8" t="s">
        <v>45</v>
      </c>
      <c r="B743" s="9" t="s">
        <v>96</v>
      </c>
      <c r="C743" s="9" t="s">
        <v>97</v>
      </c>
      <c r="D743" s="10" t="s">
        <v>26</v>
      </c>
      <c r="E743" s="11">
        <f>78</f>
        <v>78</v>
      </c>
      <c r="F743" s="10" t="s">
        <v>26</v>
      </c>
      <c r="G743" s="11">
        <f>63438200</f>
        <v>63438200</v>
      </c>
      <c r="H743" s="10"/>
      <c r="I743" s="11" t="str">
        <f>"－"</f>
        <v>－</v>
      </c>
      <c r="J743" s="10" t="s">
        <v>26</v>
      </c>
      <c r="K743" s="11">
        <f>96</f>
        <v>96</v>
      </c>
    </row>
    <row r="744" spans="1:11">
      <c r="A744" s="8" t="s">
        <v>46</v>
      </c>
      <c r="B744" s="9" t="s">
        <v>96</v>
      </c>
      <c r="C744" s="9" t="s">
        <v>97</v>
      </c>
      <c r="D744" s="10"/>
      <c r="E744" s="11"/>
      <c r="F744" s="10"/>
      <c r="G744" s="11"/>
      <c r="H744" s="10"/>
      <c r="I744" s="11"/>
      <c r="J744" s="10"/>
      <c r="K744" s="11"/>
    </row>
    <row r="745" spans="1:11">
      <c r="A745" s="8" t="s">
        <v>47</v>
      </c>
      <c r="B745" s="9" t="s">
        <v>96</v>
      </c>
      <c r="C745" s="9" t="s">
        <v>97</v>
      </c>
      <c r="D745" s="10"/>
      <c r="E745" s="11"/>
      <c r="F745" s="10"/>
      <c r="G745" s="11"/>
      <c r="H745" s="10"/>
      <c r="I745" s="11"/>
      <c r="J745" s="10"/>
      <c r="K745" s="11"/>
    </row>
    <row r="746" spans="1:11">
      <c r="A746" s="8" t="s">
        <v>48</v>
      </c>
      <c r="B746" s="9" t="s">
        <v>96</v>
      </c>
      <c r="C746" s="9" t="s">
        <v>97</v>
      </c>
      <c r="D746" s="10"/>
      <c r="E746" s="11" t="str">
        <f>"－"</f>
        <v>－</v>
      </c>
      <c r="F746" s="10"/>
      <c r="G746" s="11" t="str">
        <f>"－"</f>
        <v>－</v>
      </c>
      <c r="H746" s="10"/>
      <c r="I746" s="11" t="str">
        <f>"－"</f>
        <v>－</v>
      </c>
      <c r="J746" s="10" t="s">
        <v>36</v>
      </c>
      <c r="K746" s="11">
        <f>4</f>
        <v>4</v>
      </c>
    </row>
    <row r="747" spans="1:11">
      <c r="A747" s="8" t="s">
        <v>49</v>
      </c>
      <c r="B747" s="9" t="s">
        <v>96</v>
      </c>
      <c r="C747" s="9" t="s">
        <v>97</v>
      </c>
      <c r="D747" s="10"/>
      <c r="E747" s="11" t="str">
        <f>"－"</f>
        <v>－</v>
      </c>
      <c r="F747" s="10"/>
      <c r="G747" s="11" t="str">
        <f>"－"</f>
        <v>－</v>
      </c>
      <c r="H747" s="10"/>
      <c r="I747" s="11" t="str">
        <f>"－"</f>
        <v>－</v>
      </c>
      <c r="J747" s="10"/>
      <c r="K747" s="11">
        <f>4</f>
        <v>4</v>
      </c>
    </row>
    <row r="748" spans="1:11">
      <c r="A748" s="8" t="s">
        <v>50</v>
      </c>
      <c r="B748" s="9" t="s">
        <v>96</v>
      </c>
      <c r="C748" s="9" t="s">
        <v>97</v>
      </c>
      <c r="D748" s="10"/>
      <c r="E748" s="11" t="str">
        <f>"－"</f>
        <v>－</v>
      </c>
      <c r="F748" s="10"/>
      <c r="G748" s="11" t="str">
        <f>"－"</f>
        <v>－</v>
      </c>
      <c r="H748" s="10"/>
      <c r="I748" s="11" t="str">
        <f>"－"</f>
        <v>－</v>
      </c>
      <c r="J748" s="10"/>
      <c r="K748" s="11">
        <f>4</f>
        <v>4</v>
      </c>
    </row>
    <row r="749" spans="1:11">
      <c r="A749" s="8" t="s">
        <v>51</v>
      </c>
      <c r="B749" s="9" t="s">
        <v>96</v>
      </c>
      <c r="C749" s="9" t="s">
        <v>97</v>
      </c>
      <c r="D749" s="10"/>
      <c r="E749" s="11" t="str">
        <f>"－"</f>
        <v>－</v>
      </c>
      <c r="F749" s="10"/>
      <c r="G749" s="11" t="str">
        <f>"－"</f>
        <v>－</v>
      </c>
      <c r="H749" s="10"/>
      <c r="I749" s="11" t="str">
        <f>"－"</f>
        <v>－</v>
      </c>
      <c r="J749" s="10"/>
      <c r="K749" s="11">
        <f>4</f>
        <v>4</v>
      </c>
    </row>
  </sheetData>
  <mergeCells count="12">
    <mergeCell ref="A1:C1"/>
    <mergeCell ref="A2:C2"/>
    <mergeCell ref="D4:E4"/>
    <mergeCell ref="F4:G4"/>
    <mergeCell ref="H4:I4"/>
    <mergeCell ref="B4:B5"/>
    <mergeCell ref="C4:C5"/>
    <mergeCell ref="J4:K4"/>
    <mergeCell ref="D5:E5"/>
    <mergeCell ref="F5:G5"/>
    <mergeCell ref="H5:I5"/>
    <mergeCell ref="J5:K5"/>
  </mergeCells>
  <phoneticPr fontId="5"/>
  <printOptions horizontalCentered="1"/>
  <pageMargins left="0.55118110236220474" right="0.55118110236220474" top="0.59055118110236227" bottom="0.59055118110236227" header="0.35433070866141736" footer="0.35433070866141736"/>
  <pageSetup paperSize="9" scale="65" fitToHeight="0" orientation="landscape" useFirstPageNumber="1" r:id="rId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BO_DM0035</vt:lpstr>
      <vt:lpstr>BO_DM0035!Print_Titles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2019-12-02T08:22:48Z</cp:lastPrinted>
  <dcterms:created xsi:type="dcterms:W3CDTF">2017-12-14T02:19:15Z</dcterms:created>
  <dcterms:modified xsi:type="dcterms:W3CDTF">2022-04-05T21:59:36Z</dcterms:modified>
</cp:coreProperties>
</file>