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<sst xmlns="http://schemas.openxmlformats.org/spreadsheetml/2006/main" count="698" uniqueCount="72">
  <si>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</si>
  <si>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</si>
  <si>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</si>
  <si>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</si>
  <si>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</si>
  <si>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</si>
  <si>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</si>
  <si>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</si>
  <si>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</si>
  <si>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</si>
  <si>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</si>
  <si>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</si>
  <si>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</si>
  <si>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</si>
  <si>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</si>
  <si>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</si>
  <si>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</si>
  <si>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</si>
  <si>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</si>
  <si>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</si>
  <si>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</si>
  <si>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</si>
  <si>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</si>
  <si>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</si>
  <si>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</si>
  <si>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</si>
  <si>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3.1</t>
  </si>
  <si>
    <t>日経225オプション</t>
  </si>
  <si>
    <t>Nikkei 225 Options</t>
  </si>
  <si>
    <t>2</t>
  </si>
  <si>
    <t>3</t>
  </si>
  <si>
    <t>4</t>
  </si>
  <si>
    <t>5</t>
  </si>
  <si>
    <t>6</t>
  </si>
  <si>
    <t>7</t>
  </si>
  <si>
    <t>8</t>
  </si>
  <si>
    <t>◎</t>
  </si>
  <si>
    <t>9</t>
  </si>
  <si>
    <t>10</t>
  </si>
  <si>
    <t>11</t>
  </si>
  <si>
    <t>●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</si>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</sst>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95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73151</f>
        <v>73151.0</v>
      </c>
      <c r="F10" s="23"/>
      <c r="G10" s="25" t="n">
        <f>27022</f>
        <v>27022.0</v>
      </c>
      <c r="H10" s="23"/>
      <c r="I10" s="26" t="n">
        <f>100173</f>
        <v>100173.0</v>
      </c>
      <c r="J10" s="24"/>
      <c r="K10" s="25" t="n">
        <f>29243437415</f>
        <v>2.9243437415E10</v>
      </c>
      <c r="L10" s="23"/>
      <c r="M10" s="25" t="n">
        <f>5400690730</f>
        <v>5.40069073E9</v>
      </c>
      <c r="N10" s="23"/>
      <c r="O10" s="26" t="n">
        <f>34644128145</f>
        <v>3.4644128145E10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25655</f>
        <v>25655.0</v>
      </c>
      <c r="U10" s="23"/>
      <c r="V10" s="25" t="n">
        <f>4656</f>
        <v>4656.0</v>
      </c>
      <c r="W10" s="23"/>
      <c r="X10" s="26" t="n">
        <f>30311</f>
        <v>30311.0</v>
      </c>
      <c r="Y10" s="24"/>
      <c r="Z10" s="25" t="n">
        <f>863427</f>
        <v>863427.0</v>
      </c>
      <c r="AA10" s="23"/>
      <c r="AB10" s="25" t="n">
        <f>465925</f>
        <v>465925.0</v>
      </c>
      <c r="AC10" s="23"/>
      <c r="AD10" s="26" t="n">
        <f>1329352</f>
        <v>1329352.0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63063</f>
        <v>63063.0</v>
      </c>
      <c r="F11" s="23"/>
      <c r="G11" s="25" t="n">
        <f>30724</f>
        <v>30724.0</v>
      </c>
      <c r="H11" s="23"/>
      <c r="I11" s="26" t="n">
        <f>93787</f>
        <v>93787.0</v>
      </c>
      <c r="J11" s="24"/>
      <c r="K11" s="25" t="n">
        <f>14507306500</f>
        <v>1.45073065E10</v>
      </c>
      <c r="L11" s="23"/>
      <c r="M11" s="25" t="n">
        <f>6100711350</f>
        <v>6.10071135E9</v>
      </c>
      <c r="N11" s="23"/>
      <c r="O11" s="26" t="n">
        <f>20608017850</f>
        <v>2.060801785E10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16275</f>
        <v>16275.0</v>
      </c>
      <c r="U11" s="23"/>
      <c r="V11" s="25" t="n">
        <f>7551</f>
        <v>7551.0</v>
      </c>
      <c r="W11" s="23"/>
      <c r="X11" s="26" t="n">
        <f>23826</f>
        <v>23826.0</v>
      </c>
      <c r="Y11" s="24"/>
      <c r="Z11" s="25" t="n">
        <f>865640</f>
        <v>865640.0</v>
      </c>
      <c r="AA11" s="23"/>
      <c r="AB11" s="25" t="n">
        <f>473130</f>
        <v>473130.0</v>
      </c>
      <c r="AC11" s="23"/>
      <c r="AD11" s="26" t="n">
        <f>1338770</f>
        <v>1338770.0</v>
      </c>
    </row>
    <row r="12">
      <c r="A12" s="30" t="s">
        <v>30</v>
      </c>
      <c r="B12" s="22" t="s">
        <v>27</v>
      </c>
      <c r="C12" s="22" t="s">
        <v>28</v>
      </c>
      <c r="D12" s="24"/>
      <c r="E12" s="25" t="n">
        <f>45121</f>
        <v>45121.0</v>
      </c>
      <c r="F12" s="23"/>
      <c r="G12" s="25" t="n">
        <f>31909</f>
        <v>31909.0</v>
      </c>
      <c r="H12" s="23"/>
      <c r="I12" s="26" t="n">
        <f>77030</f>
        <v>77030.0</v>
      </c>
      <c r="J12" s="24"/>
      <c r="K12" s="25" t="n">
        <f>16231443850</f>
        <v>1.623144385E10</v>
      </c>
      <c r="L12" s="23"/>
      <c r="M12" s="25" t="n">
        <f>5534019200</f>
        <v>5.5340192E9</v>
      </c>
      <c r="N12" s="23"/>
      <c r="O12" s="26" t="n">
        <f>21765463050</f>
        <v>2.176546305E10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4"/>
      <c r="T12" s="25" t="n">
        <f>7210</f>
        <v>7210.0</v>
      </c>
      <c r="U12" s="23"/>
      <c r="V12" s="25" t="n">
        <f>6170</f>
        <v>6170.0</v>
      </c>
      <c r="W12" s="23"/>
      <c r="X12" s="26" t="n">
        <f>13380</f>
        <v>13380.0</v>
      </c>
      <c r="Y12" s="24"/>
      <c r="Z12" s="25" t="n">
        <f>872906</f>
        <v>872906.0</v>
      </c>
      <c r="AA12" s="23"/>
      <c r="AB12" s="25" t="n">
        <f>480088</f>
        <v>480088.0</v>
      </c>
      <c r="AC12" s="23"/>
      <c r="AD12" s="26" t="n">
        <f>1352994</f>
        <v>1352994.0</v>
      </c>
    </row>
    <row r="13">
      <c r="A13" s="30" t="s">
        <v>31</v>
      </c>
      <c r="B13" s="22" t="s">
        <v>27</v>
      </c>
      <c r="C13" s="22" t="s">
        <v>28</v>
      </c>
      <c r="D13" s="24"/>
      <c r="E13" s="25" t="n">
        <f>99228</f>
        <v>99228.0</v>
      </c>
      <c r="F13" s="23"/>
      <c r="G13" s="25" t="n">
        <f>50687</f>
        <v>50687.0</v>
      </c>
      <c r="H13" s="23"/>
      <c r="I13" s="26" t="n">
        <f>149915</f>
        <v>149915.0</v>
      </c>
      <c r="J13" s="24"/>
      <c r="K13" s="25" t="n">
        <f>27195828414</f>
        <v>2.7195828414E10</v>
      </c>
      <c r="L13" s="23"/>
      <c r="M13" s="25" t="n">
        <f>7127202410</f>
        <v>7.12720241E9</v>
      </c>
      <c r="N13" s="23"/>
      <c r="O13" s="26" t="n">
        <f>34323030824</f>
        <v>3.4323030824E10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15858</f>
        <v>15858.0</v>
      </c>
      <c r="U13" s="23"/>
      <c r="V13" s="25" t="n">
        <f>10455</f>
        <v>10455.0</v>
      </c>
      <c r="W13" s="23"/>
      <c r="X13" s="26" t="n">
        <f>26313</f>
        <v>26313.0</v>
      </c>
      <c r="Y13" s="24"/>
      <c r="Z13" s="25" t="n">
        <f>872871</f>
        <v>872871.0</v>
      </c>
      <c r="AA13" s="23"/>
      <c r="AB13" s="25" t="n">
        <f>491114</f>
        <v>491114.0</v>
      </c>
      <c r="AC13" s="23"/>
      <c r="AD13" s="26" t="n">
        <f>1363985</f>
        <v>1363985.0</v>
      </c>
    </row>
    <row r="14">
      <c r="A14" s="30" t="s">
        <v>32</v>
      </c>
      <c r="B14" s="22" t="s">
        <v>27</v>
      </c>
      <c r="C14" s="22" t="s">
        <v>28</v>
      </c>
      <c r="D14" s="24"/>
      <c r="E14" s="25"/>
      <c r="F14" s="23"/>
      <c r="G14" s="25"/>
      <c r="H14" s="23"/>
      <c r="I14" s="26"/>
      <c r="J14" s="24"/>
      <c r="K14" s="25"/>
      <c r="L14" s="23"/>
      <c r="M14" s="25"/>
      <c r="N14" s="23"/>
      <c r="O14" s="26"/>
      <c r="P14" s="27"/>
      <c r="Q14" s="28"/>
      <c r="R14" s="29"/>
      <c r="S14" s="24"/>
      <c r="T14" s="25"/>
      <c r="U14" s="23"/>
      <c r="V14" s="25"/>
      <c r="W14" s="23"/>
      <c r="X14" s="26"/>
      <c r="Y14" s="24"/>
      <c r="Z14" s="25"/>
      <c r="AA14" s="23"/>
      <c r="AB14" s="25"/>
      <c r="AC14" s="23"/>
      <c r="AD14" s="26"/>
    </row>
    <row r="15">
      <c r="A15" s="30" t="s">
        <v>33</v>
      </c>
      <c r="B15" s="22" t="s">
        <v>27</v>
      </c>
      <c r="C15" s="22" t="s">
        <v>28</v>
      </c>
      <c r="D15" s="24"/>
      <c r="E15" s="25"/>
      <c r="F15" s="23"/>
      <c r="G15" s="25"/>
      <c r="H15" s="23"/>
      <c r="I15" s="26"/>
      <c r="J15" s="24"/>
      <c r="K15" s="25"/>
      <c r="L15" s="23"/>
      <c r="M15" s="25"/>
      <c r="N15" s="23"/>
      <c r="O15" s="26"/>
      <c r="P15" s="27"/>
      <c r="Q15" s="28"/>
      <c r="R15" s="29"/>
      <c r="S15" s="24"/>
      <c r="T15" s="25"/>
      <c r="U15" s="23"/>
      <c r="V15" s="25"/>
      <c r="W15" s="23"/>
      <c r="X15" s="26"/>
      <c r="Y15" s="24"/>
      <c r="Z15" s="25"/>
      <c r="AA15" s="23"/>
      <c r="AB15" s="25"/>
      <c r="AC15" s="23"/>
      <c r="AD15" s="26"/>
    </row>
    <row r="16">
      <c r="A16" s="30" t="s">
        <v>34</v>
      </c>
      <c r="B16" s="22" t="s">
        <v>27</v>
      </c>
      <c r="C16" s="22" t="s">
        <v>28</v>
      </c>
      <c r="D16" s="24"/>
      <c r="E16" s="25" t="n">
        <f>100318</f>
        <v>100318.0</v>
      </c>
      <c r="F16" s="23"/>
      <c r="G16" s="25" t="n">
        <f>66280</f>
        <v>66280.0</v>
      </c>
      <c r="H16" s="23"/>
      <c r="I16" s="26" t="n">
        <f>166598</f>
        <v>166598.0</v>
      </c>
      <c r="J16" s="24"/>
      <c r="K16" s="25" t="n">
        <f>39100790595</f>
        <v>3.9100790595E10</v>
      </c>
      <c r="L16" s="23"/>
      <c r="M16" s="25" t="n">
        <f>14137161903</f>
        <v>1.4137161903E10</v>
      </c>
      <c r="N16" s="23"/>
      <c r="O16" s="26" t="n">
        <f>53237952498</f>
        <v>5.3237952498E10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26591</f>
        <v>26591.0</v>
      </c>
      <c r="U16" s="23"/>
      <c r="V16" s="25" t="n">
        <f>14652</f>
        <v>14652.0</v>
      </c>
      <c r="W16" s="23"/>
      <c r="X16" s="26" t="n">
        <f>41243</f>
        <v>41243.0</v>
      </c>
      <c r="Y16" s="24"/>
      <c r="Z16" s="25" t="n">
        <f>884289</f>
        <v>884289.0</v>
      </c>
      <c r="AA16" s="23"/>
      <c r="AB16" s="25" t="n">
        <f>509270</f>
        <v>509270.0</v>
      </c>
      <c r="AC16" s="23"/>
      <c r="AD16" s="26" t="n">
        <f>1393559</f>
        <v>1393559.0</v>
      </c>
    </row>
    <row r="17">
      <c r="A17" s="30" t="s">
        <v>35</v>
      </c>
      <c r="B17" s="22" t="s">
        <v>27</v>
      </c>
      <c r="C17" s="22" t="s">
        <v>28</v>
      </c>
      <c r="D17" s="24" t="s">
        <v>36</v>
      </c>
      <c r="E17" s="25" t="n">
        <f>108424</f>
        <v>108424.0</v>
      </c>
      <c r="F17" s="23"/>
      <c r="G17" s="25" t="n">
        <f>63467</f>
        <v>63467.0</v>
      </c>
      <c r="H17" s="23"/>
      <c r="I17" s="26" t="n">
        <f>171891</f>
        <v>171891.0</v>
      </c>
      <c r="J17" s="24" t="s">
        <v>36</v>
      </c>
      <c r="K17" s="25" t="n">
        <f>52171857290</f>
        <v>5.217185729E10</v>
      </c>
      <c r="L17" s="23"/>
      <c r="M17" s="25" t="n">
        <f>12450551837</f>
        <v>1.2450551837E10</v>
      </c>
      <c r="N17" s="23"/>
      <c r="O17" s="26" t="n">
        <f>64622409127</f>
        <v>6.4622409127E10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 t="s">
        <v>36</v>
      </c>
      <c r="T17" s="25" t="n">
        <f>35170</f>
        <v>35170.0</v>
      </c>
      <c r="U17" s="23"/>
      <c r="V17" s="25" t="n">
        <f>10595</f>
        <v>10595.0</v>
      </c>
      <c r="W17" s="23"/>
      <c r="X17" s="26" t="n">
        <f>45765</f>
        <v>45765.0</v>
      </c>
      <c r="Y17" s="24"/>
      <c r="Z17" s="25" t="n">
        <f>890671</f>
        <v>890671.0</v>
      </c>
      <c r="AA17" s="23"/>
      <c r="AB17" s="25" t="n">
        <f>527169</f>
        <v>527169.0</v>
      </c>
      <c r="AC17" s="23"/>
      <c r="AD17" s="26" t="n">
        <f>1417840</f>
        <v>1417840.0</v>
      </c>
    </row>
    <row r="18">
      <c r="A18" s="30" t="s">
        <v>37</v>
      </c>
      <c r="B18" s="22" t="s">
        <v>27</v>
      </c>
      <c r="C18" s="22" t="s">
        <v>28</v>
      </c>
      <c r="D18" s="24"/>
      <c r="E18" s="25" t="n">
        <f>104338</f>
        <v>104338.0</v>
      </c>
      <c r="F18" s="23"/>
      <c r="G18" s="25" t="n">
        <f>71349</f>
        <v>71349.0</v>
      </c>
      <c r="H18" s="23" t="s">
        <v>36</v>
      </c>
      <c r="I18" s="26" t="n">
        <f>175687</f>
        <v>175687.0</v>
      </c>
      <c r="J18" s="24"/>
      <c r="K18" s="25" t="n">
        <f>45221681585</f>
        <v>4.5221681585E10</v>
      </c>
      <c r="L18" s="23"/>
      <c r="M18" s="25" t="n">
        <f>11759763931</f>
        <v>1.1759763931E10</v>
      </c>
      <c r="N18" s="23"/>
      <c r="O18" s="26" t="n">
        <f>56981445516</f>
        <v>5.6981445516E10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30378</f>
        <v>30378.0</v>
      </c>
      <c r="U18" s="23"/>
      <c r="V18" s="25" t="n">
        <f>15791</f>
        <v>15791.0</v>
      </c>
      <c r="W18" s="23"/>
      <c r="X18" s="26" t="n">
        <f>46169</f>
        <v>46169.0</v>
      </c>
      <c r="Y18" s="24"/>
      <c r="Z18" s="25" t="n">
        <f>897431</f>
        <v>897431.0</v>
      </c>
      <c r="AA18" s="23"/>
      <c r="AB18" s="25" t="n">
        <f>543986</f>
        <v>543986.0</v>
      </c>
      <c r="AC18" s="23"/>
      <c r="AD18" s="26" t="n">
        <f>1441417</f>
        <v>1441417.0</v>
      </c>
    </row>
    <row r="19">
      <c r="A19" s="30" t="s">
        <v>38</v>
      </c>
      <c r="B19" s="22" t="s">
        <v>27</v>
      </c>
      <c r="C19" s="22" t="s">
        <v>28</v>
      </c>
      <c r="D19" s="24"/>
      <c r="E19" s="25" t="n">
        <f>90753</f>
        <v>90753.0</v>
      </c>
      <c r="F19" s="23" t="s">
        <v>36</v>
      </c>
      <c r="G19" s="25" t="n">
        <f>80565</f>
        <v>80565.0</v>
      </c>
      <c r="H19" s="23"/>
      <c r="I19" s="26" t="n">
        <f>171318</f>
        <v>171318.0</v>
      </c>
      <c r="J19" s="24"/>
      <c r="K19" s="25" t="n">
        <f>51707342525</f>
        <v>5.1707342525E10</v>
      </c>
      <c r="L19" s="23"/>
      <c r="M19" s="25" t="n">
        <f>24344726814</f>
        <v>2.4344726814E10</v>
      </c>
      <c r="N19" s="23" t="s">
        <v>36</v>
      </c>
      <c r="O19" s="26" t="n">
        <f>76052069339</f>
        <v>7.6052069339E10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4"/>
      <c r="T19" s="25" t="n">
        <f>25250</f>
        <v>25250.0</v>
      </c>
      <c r="U19" s="23"/>
      <c r="V19" s="25" t="n">
        <f>22134</f>
        <v>22134.0</v>
      </c>
      <c r="W19" s="23"/>
      <c r="X19" s="26" t="n">
        <f>47384</f>
        <v>47384.0</v>
      </c>
      <c r="Y19" s="24" t="s">
        <v>36</v>
      </c>
      <c r="Z19" s="25" t="n">
        <f>911273</f>
        <v>911273.0</v>
      </c>
      <c r="AA19" s="23" t="s">
        <v>36</v>
      </c>
      <c r="AB19" s="25" t="n">
        <f>562967</f>
        <v>562967.0</v>
      </c>
      <c r="AC19" s="23" t="s">
        <v>36</v>
      </c>
      <c r="AD19" s="26" t="n">
        <f>1474240</f>
        <v>1474240.0</v>
      </c>
    </row>
    <row r="20">
      <c r="A20" s="30" t="s">
        <v>39</v>
      </c>
      <c r="B20" s="22" t="s">
        <v>27</v>
      </c>
      <c r="C20" s="22" t="s">
        <v>28</v>
      </c>
      <c r="D20" s="24"/>
      <c r="E20" s="25" t="n">
        <f>42417</f>
        <v>42417.0</v>
      </c>
      <c r="F20" s="23"/>
      <c r="G20" s="25" t="n">
        <f>42415</f>
        <v>42415.0</v>
      </c>
      <c r="H20" s="23"/>
      <c r="I20" s="26" t="n">
        <f>84832</f>
        <v>84832.0</v>
      </c>
      <c r="J20" s="24"/>
      <c r="K20" s="25" t="n">
        <f>24759283972</f>
        <v>2.4759283972E10</v>
      </c>
      <c r="L20" s="23"/>
      <c r="M20" s="25" t="n">
        <f>16848181615</f>
        <v>1.6848181615E10</v>
      </c>
      <c r="N20" s="23"/>
      <c r="O20" s="26" t="n">
        <f>41607465587</f>
        <v>4.1607465587E10</v>
      </c>
      <c r="P20" s="27" t="n">
        <f>78064</f>
        <v>78064.0</v>
      </c>
      <c r="Q20" s="28" t="n">
        <f>5658</f>
        <v>5658.0</v>
      </c>
      <c r="R20" s="29" t="n">
        <f>83722</f>
        <v>83722.0</v>
      </c>
      <c r="S20" s="24"/>
      <c r="T20" s="25" t="n">
        <f>11490</f>
        <v>11490.0</v>
      </c>
      <c r="U20" s="23"/>
      <c r="V20" s="25" t="n">
        <f>12787</f>
        <v>12787.0</v>
      </c>
      <c r="W20" s="23"/>
      <c r="X20" s="26" t="n">
        <f>24277</f>
        <v>24277.0</v>
      </c>
      <c r="Y20" s="24" t="s">
        <v>40</v>
      </c>
      <c r="Z20" s="25" t="n">
        <f>745813</f>
        <v>745813.0</v>
      </c>
      <c r="AA20" s="23" t="s">
        <v>40</v>
      </c>
      <c r="AB20" s="25" t="n">
        <f>409450</f>
        <v>409450.0</v>
      </c>
      <c r="AC20" s="23" t="s">
        <v>40</v>
      </c>
      <c r="AD20" s="26" t="n">
        <f>1155263</f>
        <v>1155263.0</v>
      </c>
    </row>
    <row r="21">
      <c r="A21" s="30" t="s">
        <v>41</v>
      </c>
      <c r="B21" s="22" t="s">
        <v>27</v>
      </c>
      <c r="C21" s="22" t="s">
        <v>28</v>
      </c>
      <c r="D21" s="24"/>
      <c r="E21" s="25"/>
      <c r="F21" s="23"/>
      <c r="G21" s="25"/>
      <c r="H21" s="23"/>
      <c r="I21" s="26"/>
      <c r="J21" s="24"/>
      <c r="K21" s="25"/>
      <c r="L21" s="23"/>
      <c r="M21" s="25"/>
      <c r="N21" s="23"/>
      <c r="O21" s="26"/>
      <c r="P21" s="27"/>
      <c r="Q21" s="28"/>
      <c r="R21" s="29"/>
      <c r="S21" s="24"/>
      <c r="T21" s="25"/>
      <c r="U21" s="23"/>
      <c r="V21" s="25"/>
      <c r="W21" s="23"/>
      <c r="X21" s="26"/>
      <c r="Y21" s="24"/>
      <c r="Z21" s="25"/>
      <c r="AA21" s="23"/>
      <c r="AB21" s="25"/>
      <c r="AC21" s="23"/>
      <c r="AD21" s="26"/>
    </row>
    <row r="22">
      <c r="A22" s="30" t="s">
        <v>42</v>
      </c>
      <c r="B22" s="22" t="s">
        <v>27</v>
      </c>
      <c r="C22" s="22" t="s">
        <v>28</v>
      </c>
      <c r="D22" s="24"/>
      <c r="E22" s="25"/>
      <c r="F22" s="23"/>
      <c r="G22" s="25"/>
      <c r="H22" s="23"/>
      <c r="I22" s="26"/>
      <c r="J22" s="24"/>
      <c r="K22" s="25"/>
      <c r="L22" s="23"/>
      <c r="M22" s="25"/>
      <c r="N22" s="23"/>
      <c r="O22" s="26"/>
      <c r="P22" s="27"/>
      <c r="Q22" s="28"/>
      <c r="R22" s="29"/>
      <c r="S22" s="24"/>
      <c r="T22" s="25"/>
      <c r="U22" s="23"/>
      <c r="V22" s="25"/>
      <c r="W22" s="23"/>
      <c r="X22" s="26"/>
      <c r="Y22" s="24"/>
      <c r="Z22" s="25"/>
      <c r="AA22" s="23"/>
      <c r="AB22" s="25"/>
      <c r="AC22" s="23"/>
      <c r="AD22" s="26"/>
    </row>
    <row r="23">
      <c r="A23" s="30" t="s">
        <v>43</v>
      </c>
      <c r="B23" s="22" t="s">
        <v>27</v>
      </c>
      <c r="C23" s="22" t="s">
        <v>28</v>
      </c>
      <c r="D23" s="24"/>
      <c r="E23" s="25" t="n">
        <f>38745</f>
        <v>38745.0</v>
      </c>
      <c r="F23" s="23"/>
      <c r="G23" s="25" t="n">
        <f>32128</f>
        <v>32128.0</v>
      </c>
      <c r="H23" s="23"/>
      <c r="I23" s="26" t="n">
        <f>70873</f>
        <v>70873.0</v>
      </c>
      <c r="J23" s="24"/>
      <c r="K23" s="25" t="n">
        <f>17519964320</f>
        <v>1.751996432E10</v>
      </c>
      <c r="L23" s="23"/>
      <c r="M23" s="25" t="n">
        <f>8494424620</f>
        <v>8.49442462E9</v>
      </c>
      <c r="N23" s="23"/>
      <c r="O23" s="26" t="n">
        <f>26014388940</f>
        <v>2.601438894E10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9952</f>
        <v>9952.0</v>
      </c>
      <c r="U23" s="23"/>
      <c r="V23" s="25" t="n">
        <f>6422</f>
        <v>6422.0</v>
      </c>
      <c r="W23" s="23"/>
      <c r="X23" s="26" t="n">
        <f>16374</f>
        <v>16374.0</v>
      </c>
      <c r="Y23" s="24"/>
      <c r="Z23" s="25" t="n">
        <f>754264</f>
        <v>754264.0</v>
      </c>
      <c r="AA23" s="23"/>
      <c r="AB23" s="25" t="n">
        <f>413525</f>
        <v>413525.0</v>
      </c>
      <c r="AC23" s="23"/>
      <c r="AD23" s="26" t="n">
        <f>1167789</f>
        <v>1167789.0</v>
      </c>
    </row>
    <row r="24">
      <c r="A24" s="30" t="s">
        <v>44</v>
      </c>
      <c r="B24" s="22" t="s">
        <v>27</v>
      </c>
      <c r="C24" s="22" t="s">
        <v>28</v>
      </c>
      <c r="D24" s="24" t="s">
        <v>40</v>
      </c>
      <c r="E24" s="25" t="n">
        <f>35123</f>
        <v>35123.0</v>
      </c>
      <c r="F24" s="23"/>
      <c r="G24" s="25" t="n">
        <f>24894</f>
        <v>24894.0</v>
      </c>
      <c r="H24" s="23" t="s">
        <v>40</v>
      </c>
      <c r="I24" s="26" t="n">
        <f>60017</f>
        <v>60017.0</v>
      </c>
      <c r="J24" s="24"/>
      <c r="K24" s="25" t="n">
        <f>25524400110</f>
        <v>2.552440011E10</v>
      </c>
      <c r="L24" s="23"/>
      <c r="M24" s="25" t="n">
        <f>9986278370</f>
        <v>9.98627837E9</v>
      </c>
      <c r="N24" s="23"/>
      <c r="O24" s="26" t="n">
        <f>35510678480</f>
        <v>3.551067848E10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 t="s">
        <v>40</v>
      </c>
      <c r="T24" s="25" t="n">
        <f>6383</f>
        <v>6383.0</v>
      </c>
      <c r="U24" s="23"/>
      <c r="V24" s="25" t="n">
        <f>5656</f>
        <v>5656.0</v>
      </c>
      <c r="W24" s="23"/>
      <c r="X24" s="26" t="n">
        <f>12039</f>
        <v>12039.0</v>
      </c>
      <c r="Y24" s="24"/>
      <c r="Z24" s="25" t="n">
        <f>765687</f>
        <v>765687.0</v>
      </c>
      <c r="AA24" s="23"/>
      <c r="AB24" s="25" t="n">
        <f>419421</f>
        <v>419421.0</v>
      </c>
      <c r="AC24" s="23"/>
      <c r="AD24" s="26" t="n">
        <f>1185108</f>
        <v>1185108.0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37737</f>
        <v>37737.0</v>
      </c>
      <c r="F25" s="23" t="s">
        <v>40</v>
      </c>
      <c r="G25" s="25" t="n">
        <f>24746</f>
        <v>24746.0</v>
      </c>
      <c r="H25" s="23"/>
      <c r="I25" s="26" t="n">
        <f>62483</f>
        <v>62483.0</v>
      </c>
      <c r="J25" s="24" t="s">
        <v>40</v>
      </c>
      <c r="K25" s="25" t="n">
        <f>11084685394</f>
        <v>1.1084685394E10</v>
      </c>
      <c r="L25" s="23" t="s">
        <v>40</v>
      </c>
      <c r="M25" s="25" t="n">
        <f>5281505510</f>
        <v>5.28150551E9</v>
      </c>
      <c r="N25" s="23" t="s">
        <v>40</v>
      </c>
      <c r="O25" s="26" t="n">
        <f>16366190904</f>
        <v>1.6366190904E10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6669</f>
        <v>6669.0</v>
      </c>
      <c r="U25" s="23" t="s">
        <v>40</v>
      </c>
      <c r="V25" s="25" t="n">
        <f>2923</f>
        <v>2923.0</v>
      </c>
      <c r="W25" s="23" t="s">
        <v>40</v>
      </c>
      <c r="X25" s="26" t="n">
        <f>9592</f>
        <v>9592.0</v>
      </c>
      <c r="Y25" s="24"/>
      <c r="Z25" s="25" t="n">
        <f>772008</f>
        <v>772008.0</v>
      </c>
      <c r="AA25" s="23"/>
      <c r="AB25" s="25" t="n">
        <f>421352</f>
        <v>421352.0</v>
      </c>
      <c r="AC25" s="23"/>
      <c r="AD25" s="26" t="n">
        <f>1193360</f>
        <v>1193360.0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70566</f>
        <v>70566.0</v>
      </c>
      <c r="F26" s="23"/>
      <c r="G26" s="25" t="n">
        <f>63860</f>
        <v>63860.0</v>
      </c>
      <c r="H26" s="23"/>
      <c r="I26" s="26" t="n">
        <f>134426</f>
        <v>134426.0</v>
      </c>
      <c r="J26" s="24"/>
      <c r="K26" s="25" t="n">
        <f>21941546239</f>
        <v>2.1941546239E10</v>
      </c>
      <c r="L26" s="23"/>
      <c r="M26" s="25" t="n">
        <f>18394948705</f>
        <v>1.8394948705E10</v>
      </c>
      <c r="N26" s="23"/>
      <c r="O26" s="26" t="n">
        <f>40336494944</f>
        <v>4.0336494944E10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21338</f>
        <v>21338.0</v>
      </c>
      <c r="U26" s="23"/>
      <c r="V26" s="25" t="n">
        <f>12143</f>
        <v>12143.0</v>
      </c>
      <c r="W26" s="23"/>
      <c r="X26" s="26" t="n">
        <f>33481</f>
        <v>33481.0</v>
      </c>
      <c r="Y26" s="24"/>
      <c r="Z26" s="25" t="n">
        <f>782284</f>
        <v>782284.0</v>
      </c>
      <c r="AA26" s="23"/>
      <c r="AB26" s="25" t="n">
        <f>433532</f>
        <v>433532.0</v>
      </c>
      <c r="AC26" s="23"/>
      <c r="AD26" s="26" t="n">
        <f>1215816</f>
        <v>1215816.0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45754</f>
        <v>45754.0</v>
      </c>
      <c r="F27" s="23"/>
      <c r="G27" s="25" t="n">
        <f>34921</f>
        <v>34921.0</v>
      </c>
      <c r="H27" s="23"/>
      <c r="I27" s="26" t="n">
        <f>80675</f>
        <v>80675.0</v>
      </c>
      <c r="J27" s="24"/>
      <c r="K27" s="25" t="n">
        <f>11815904820</f>
        <v>1.181590482E10</v>
      </c>
      <c r="L27" s="23"/>
      <c r="M27" s="25" t="n">
        <f>11935542712</f>
        <v>1.1935542712E10</v>
      </c>
      <c r="N27" s="23"/>
      <c r="O27" s="26" t="n">
        <f>23751447532</f>
        <v>2.3751447532E10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10710</f>
        <v>10710.0</v>
      </c>
      <c r="U27" s="23"/>
      <c r="V27" s="25" t="n">
        <f>8900</f>
        <v>8900.0</v>
      </c>
      <c r="W27" s="23"/>
      <c r="X27" s="26" t="n">
        <f>19610</f>
        <v>19610.0</v>
      </c>
      <c r="Y27" s="24"/>
      <c r="Z27" s="25" t="n">
        <f>790205</f>
        <v>790205.0</v>
      </c>
      <c r="AA27" s="23"/>
      <c r="AB27" s="25" t="n">
        <f>438961</f>
        <v>438961.0</v>
      </c>
      <c r="AC27" s="23"/>
      <c r="AD27" s="26" t="n">
        <f>1229166</f>
        <v>1229166.0</v>
      </c>
    </row>
    <row r="28">
      <c r="A28" s="30" t="s">
        <v>48</v>
      </c>
      <c r="B28" s="22" t="s">
        <v>27</v>
      </c>
      <c r="C28" s="22" t="s">
        <v>28</v>
      </c>
      <c r="D28" s="24"/>
      <c r="E28" s="25"/>
      <c r="F28" s="23"/>
      <c r="G28" s="25"/>
      <c r="H28" s="23"/>
      <c r="I28" s="26"/>
      <c r="J28" s="24"/>
      <c r="K28" s="25"/>
      <c r="L28" s="23"/>
      <c r="M28" s="25"/>
      <c r="N28" s="23"/>
      <c r="O28" s="26"/>
      <c r="P28" s="27"/>
      <c r="Q28" s="28"/>
      <c r="R28" s="29"/>
      <c r="S28" s="24"/>
      <c r="T28" s="25"/>
      <c r="U28" s="23"/>
      <c r="V28" s="25"/>
      <c r="W28" s="23"/>
      <c r="X28" s="26"/>
      <c r="Y28" s="24"/>
      <c r="Z28" s="25"/>
      <c r="AA28" s="23"/>
      <c r="AB28" s="25"/>
      <c r="AC28" s="23"/>
      <c r="AD28" s="26"/>
    </row>
    <row r="29">
      <c r="A29" s="30" t="s">
        <v>49</v>
      </c>
      <c r="B29" s="22" t="s">
        <v>27</v>
      </c>
      <c r="C29" s="22" t="s">
        <v>28</v>
      </c>
      <c r="D29" s="24"/>
      <c r="E29" s="25"/>
      <c r="F29" s="23"/>
      <c r="G29" s="25"/>
      <c r="H29" s="23"/>
      <c r="I29" s="26"/>
      <c r="J29" s="24"/>
      <c r="K29" s="25"/>
      <c r="L29" s="23"/>
      <c r="M29" s="25"/>
      <c r="N29" s="23"/>
      <c r="O29" s="26"/>
      <c r="P29" s="27"/>
      <c r="Q29" s="28"/>
      <c r="R29" s="29"/>
      <c r="S29" s="24"/>
      <c r="T29" s="25"/>
      <c r="U29" s="23"/>
      <c r="V29" s="25"/>
      <c r="W29" s="23"/>
      <c r="X29" s="26"/>
      <c r="Y29" s="24"/>
      <c r="Z29" s="25"/>
      <c r="AA29" s="23"/>
      <c r="AB29" s="25"/>
      <c r="AC29" s="23"/>
      <c r="AD29" s="26"/>
    </row>
    <row r="30">
      <c r="A30" s="30" t="s">
        <v>50</v>
      </c>
      <c r="B30" s="22" t="s">
        <v>27</v>
      </c>
      <c r="C30" s="22" t="s">
        <v>28</v>
      </c>
      <c r="D30" s="24"/>
      <c r="E30" s="25"/>
      <c r="F30" s="23"/>
      <c r="G30" s="25"/>
      <c r="H30" s="23"/>
      <c r="I30" s="26"/>
      <c r="J30" s="24"/>
      <c r="K30" s="25"/>
      <c r="L30" s="23"/>
      <c r="M30" s="25"/>
      <c r="N30" s="23"/>
      <c r="O30" s="26"/>
      <c r="P30" s="27"/>
      <c r="Q30" s="28"/>
      <c r="R30" s="29"/>
      <c r="S30" s="24"/>
      <c r="T30" s="25"/>
      <c r="U30" s="23"/>
      <c r="V30" s="25"/>
      <c r="W30" s="23"/>
      <c r="X30" s="26"/>
      <c r="Y30" s="24"/>
      <c r="Z30" s="25"/>
      <c r="AA30" s="23"/>
      <c r="AB30" s="25"/>
      <c r="AC30" s="23"/>
      <c r="AD30" s="26"/>
    </row>
    <row r="31">
      <c r="A31" s="30" t="s">
        <v>51</v>
      </c>
      <c r="B31" s="22" t="s">
        <v>27</v>
      </c>
      <c r="C31" s="22" t="s">
        <v>28</v>
      </c>
      <c r="D31" s="24"/>
      <c r="E31" s="25" t="n">
        <f>57345</f>
        <v>57345.0</v>
      </c>
      <c r="F31" s="23"/>
      <c r="G31" s="25" t="n">
        <f>41728</f>
        <v>41728.0</v>
      </c>
      <c r="H31" s="23"/>
      <c r="I31" s="26" t="n">
        <f>99073</f>
        <v>99073.0</v>
      </c>
      <c r="J31" s="24"/>
      <c r="K31" s="25" t="n">
        <f>21901822526</f>
        <v>2.1901822526E10</v>
      </c>
      <c r="L31" s="23"/>
      <c r="M31" s="25" t="n">
        <f>13334993490</f>
        <v>1.333499349E10</v>
      </c>
      <c r="N31" s="23"/>
      <c r="O31" s="26" t="n">
        <f>35236816016</f>
        <v>3.5236816016E10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16139</f>
        <v>16139.0</v>
      </c>
      <c r="U31" s="23"/>
      <c r="V31" s="25" t="n">
        <f>8033</f>
        <v>8033.0</v>
      </c>
      <c r="W31" s="23"/>
      <c r="X31" s="26" t="n">
        <f>24172</f>
        <v>24172.0</v>
      </c>
      <c r="Y31" s="24"/>
      <c r="Z31" s="25" t="n">
        <f>802347</f>
        <v>802347.0</v>
      </c>
      <c r="AA31" s="23"/>
      <c r="AB31" s="25" t="n">
        <f>445407</f>
        <v>445407.0</v>
      </c>
      <c r="AC31" s="23"/>
      <c r="AD31" s="26" t="n">
        <f>1247754</f>
        <v>1247754.0</v>
      </c>
    </row>
    <row r="32">
      <c r="A32" s="30" t="s">
        <v>52</v>
      </c>
      <c r="B32" s="22" t="s">
        <v>27</v>
      </c>
      <c r="C32" s="22" t="s">
        <v>28</v>
      </c>
      <c r="D32" s="24"/>
      <c r="E32" s="25" t="n">
        <f>85354</f>
        <v>85354.0</v>
      </c>
      <c r="F32" s="23"/>
      <c r="G32" s="25" t="n">
        <f>64718</f>
        <v>64718.0</v>
      </c>
      <c r="H32" s="23"/>
      <c r="I32" s="26" t="n">
        <f>150072</f>
        <v>150072.0</v>
      </c>
      <c r="J32" s="24"/>
      <c r="K32" s="25" t="n">
        <f>19197290350</f>
        <v>1.919729035E10</v>
      </c>
      <c r="L32" s="23"/>
      <c r="M32" s="25" t="n">
        <f>21038035156</f>
        <v>2.1038035156E10</v>
      </c>
      <c r="N32" s="23"/>
      <c r="O32" s="26" t="n">
        <f>40235325506</f>
        <v>4.0235325506E10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4"/>
      <c r="T32" s="25" t="n">
        <f>27316</f>
        <v>27316.0</v>
      </c>
      <c r="U32" s="23" t="s">
        <v>36</v>
      </c>
      <c r="V32" s="25" t="n">
        <f>22741</f>
        <v>22741.0</v>
      </c>
      <c r="W32" s="23" t="s">
        <v>36</v>
      </c>
      <c r="X32" s="26" t="n">
        <f>50057</f>
        <v>50057.0</v>
      </c>
      <c r="Y32" s="24"/>
      <c r="Z32" s="25" t="n">
        <f>817395</f>
        <v>817395.0</v>
      </c>
      <c r="AA32" s="23"/>
      <c r="AB32" s="25" t="n">
        <f>453257</f>
        <v>453257.0</v>
      </c>
      <c r="AC32" s="23"/>
      <c r="AD32" s="26" t="n">
        <f>1270652</f>
        <v>1270652.0</v>
      </c>
    </row>
    <row r="33">
      <c r="A33" s="30" t="s">
        <v>53</v>
      </c>
      <c r="B33" s="22" t="s">
        <v>27</v>
      </c>
      <c r="C33" s="22" t="s">
        <v>28</v>
      </c>
      <c r="D33" s="24"/>
      <c r="E33" s="25" t="n">
        <f>59035</f>
        <v>59035.0</v>
      </c>
      <c r="F33" s="23"/>
      <c r="G33" s="25" t="n">
        <f>43834</f>
        <v>43834.0</v>
      </c>
      <c r="H33" s="23"/>
      <c r="I33" s="26" t="n">
        <f>102869</f>
        <v>102869.0</v>
      </c>
      <c r="J33" s="24"/>
      <c r="K33" s="25" t="n">
        <f>21452208475</f>
        <v>2.1452208475E10</v>
      </c>
      <c r="L33" s="23"/>
      <c r="M33" s="25" t="n">
        <f>16544525057</f>
        <v>1.6544525057E10</v>
      </c>
      <c r="N33" s="23"/>
      <c r="O33" s="26" t="n">
        <f>37996733532</f>
        <v>3.7996733532E10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10033</f>
        <v>10033.0</v>
      </c>
      <c r="U33" s="23"/>
      <c r="V33" s="25" t="n">
        <f>11892</f>
        <v>11892.0</v>
      </c>
      <c r="W33" s="23"/>
      <c r="X33" s="26" t="n">
        <f>21925</f>
        <v>21925.0</v>
      </c>
      <c r="Y33" s="24"/>
      <c r="Z33" s="25" t="n">
        <f>822896</f>
        <v>822896.0</v>
      </c>
      <c r="AA33" s="23"/>
      <c r="AB33" s="25" t="n">
        <f>456791</f>
        <v>456791.0</v>
      </c>
      <c r="AC33" s="23"/>
      <c r="AD33" s="26" t="n">
        <f>1279687</f>
        <v>1279687.0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49526</f>
        <v>49526.0</v>
      </c>
      <c r="F34" s="23"/>
      <c r="G34" s="25" t="n">
        <f>46675</f>
        <v>46675.0</v>
      </c>
      <c r="H34" s="23"/>
      <c r="I34" s="26" t="n">
        <f>96201</f>
        <v>96201.0</v>
      </c>
      <c r="J34" s="24"/>
      <c r="K34" s="25" t="n">
        <f>13163412300</f>
        <v>1.31634123E10</v>
      </c>
      <c r="L34" s="23"/>
      <c r="M34" s="25" t="n">
        <f>15322859250</f>
        <v>1.532285925E10</v>
      </c>
      <c r="N34" s="23"/>
      <c r="O34" s="26" t="n">
        <f>28486271550</f>
        <v>2.848627155E10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12116</f>
        <v>12116.0</v>
      </c>
      <c r="U34" s="23"/>
      <c r="V34" s="25" t="n">
        <f>5443</f>
        <v>5443.0</v>
      </c>
      <c r="W34" s="23"/>
      <c r="X34" s="26" t="n">
        <f>17559</f>
        <v>17559.0</v>
      </c>
      <c r="Y34" s="24"/>
      <c r="Z34" s="25" t="n">
        <f>834051</f>
        <v>834051.0</v>
      </c>
      <c r="AA34" s="23"/>
      <c r="AB34" s="25" t="n">
        <f>462224</f>
        <v>462224.0</v>
      </c>
      <c r="AC34" s="23"/>
      <c r="AD34" s="26" t="n">
        <f>1296275</f>
        <v>1296275.0</v>
      </c>
    </row>
    <row r="35">
      <c r="A35" s="30" t="s">
        <v>55</v>
      </c>
      <c r="B35" s="22" t="s">
        <v>27</v>
      </c>
      <c r="C35" s="22" t="s">
        <v>28</v>
      </c>
      <c r="D35" s="24"/>
      <c r="E35" s="25"/>
      <c r="F35" s="23"/>
      <c r="G35" s="25"/>
      <c r="H35" s="23"/>
      <c r="I35" s="26"/>
      <c r="J35" s="24"/>
      <c r="K35" s="25"/>
      <c r="L35" s="23"/>
      <c r="M35" s="25"/>
      <c r="N35" s="23"/>
      <c r="O35" s="26"/>
      <c r="P35" s="27"/>
      <c r="Q35" s="28"/>
      <c r="R35" s="29"/>
      <c r="S35" s="24"/>
      <c r="T35" s="25"/>
      <c r="U35" s="23"/>
      <c r="V35" s="25"/>
      <c r="W35" s="23"/>
      <c r="X35" s="26"/>
      <c r="Y35" s="24"/>
      <c r="Z35" s="25"/>
      <c r="AA35" s="23"/>
      <c r="AB35" s="25"/>
      <c r="AC35" s="23"/>
      <c r="AD35" s="26"/>
    </row>
    <row r="36">
      <c r="A36" s="30" t="s">
        <v>56</v>
      </c>
      <c r="B36" s="22" t="s">
        <v>27</v>
      </c>
      <c r="C36" s="22" t="s">
        <v>28</v>
      </c>
      <c r="D36" s="24"/>
      <c r="E36" s="25"/>
      <c r="F36" s="23"/>
      <c r="G36" s="25"/>
      <c r="H36" s="23"/>
      <c r="I36" s="26"/>
      <c r="J36" s="24"/>
      <c r="K36" s="25"/>
      <c r="L36" s="23"/>
      <c r="M36" s="25"/>
      <c r="N36" s="23"/>
      <c r="O36" s="26"/>
      <c r="P36" s="27"/>
      <c r="Q36" s="28"/>
      <c r="R36" s="29"/>
      <c r="S36" s="24"/>
      <c r="T36" s="25"/>
      <c r="U36" s="23"/>
      <c r="V36" s="25"/>
      <c r="W36" s="23"/>
      <c r="X36" s="26"/>
      <c r="Y36" s="24"/>
      <c r="Z36" s="25"/>
      <c r="AA36" s="23"/>
      <c r="AB36" s="25"/>
      <c r="AC36" s="23"/>
      <c r="AD36" s="26"/>
    </row>
    <row r="37">
      <c r="A37" s="30" t="s">
        <v>57</v>
      </c>
      <c r="B37" s="22" t="s">
        <v>27</v>
      </c>
      <c r="C37" s="22" t="s">
        <v>28</v>
      </c>
      <c r="D37" s="24"/>
      <c r="E37" s="25" t="n">
        <f>46227</f>
        <v>46227.0</v>
      </c>
      <c r="F37" s="23"/>
      <c r="G37" s="25" t="n">
        <f>34620</f>
        <v>34620.0</v>
      </c>
      <c r="H37" s="23"/>
      <c r="I37" s="26" t="n">
        <f>80847</f>
        <v>80847.0</v>
      </c>
      <c r="J37" s="24"/>
      <c r="K37" s="25" t="n">
        <f>12306914579</f>
        <v>1.2306914579E10</v>
      </c>
      <c r="L37" s="23"/>
      <c r="M37" s="25" t="n">
        <f>15569001852</f>
        <v>1.5569001852E10</v>
      </c>
      <c r="N37" s="23"/>
      <c r="O37" s="26" t="n">
        <f>27875916431</f>
        <v>2.7875916431E10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7487</f>
        <v>7487.0</v>
      </c>
      <c r="U37" s="23"/>
      <c r="V37" s="25" t="n">
        <f>8081</f>
        <v>8081.0</v>
      </c>
      <c r="W37" s="23"/>
      <c r="X37" s="26" t="n">
        <f>15568</f>
        <v>15568.0</v>
      </c>
      <c r="Y37" s="24"/>
      <c r="Z37" s="25" t="n">
        <f>838026</f>
        <v>838026.0</v>
      </c>
      <c r="AA37" s="23"/>
      <c r="AB37" s="25" t="n">
        <f>469140</f>
        <v>469140.0</v>
      </c>
      <c r="AC37" s="23"/>
      <c r="AD37" s="26" t="n">
        <f>1307166</f>
        <v>1307166.0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54341</f>
        <v>54341.0</v>
      </c>
      <c r="F38" s="23"/>
      <c r="G38" s="25" t="n">
        <f>34394</f>
        <v>34394.0</v>
      </c>
      <c r="H38" s="23"/>
      <c r="I38" s="26" t="n">
        <f>88735</f>
        <v>88735.0</v>
      </c>
      <c r="J38" s="24"/>
      <c r="K38" s="25" t="n">
        <f>16065802676</f>
        <v>1.6065802676E10</v>
      </c>
      <c r="L38" s="23"/>
      <c r="M38" s="25" t="n">
        <f>17220672650</f>
        <v>1.722067265E10</v>
      </c>
      <c r="N38" s="23"/>
      <c r="O38" s="26" t="n">
        <f>33286475326</f>
        <v>3.3286475326E10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18371</f>
        <v>18371.0</v>
      </c>
      <c r="U38" s="23"/>
      <c r="V38" s="25" t="n">
        <f>7063</f>
        <v>7063.0</v>
      </c>
      <c r="W38" s="23"/>
      <c r="X38" s="26" t="n">
        <f>25434</f>
        <v>25434.0</v>
      </c>
      <c r="Y38" s="24"/>
      <c r="Z38" s="25" t="n">
        <f>846055</f>
        <v>846055.0</v>
      </c>
      <c r="AA38" s="23"/>
      <c r="AB38" s="25" t="n">
        <f>479110</f>
        <v>479110.0</v>
      </c>
      <c r="AC38" s="23"/>
      <c r="AD38" s="26" t="n">
        <f>1325165</f>
        <v>1325165.0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57893</f>
        <v>57893.0</v>
      </c>
      <c r="F39" s="23"/>
      <c r="G39" s="25" t="n">
        <f>43457</f>
        <v>43457.0</v>
      </c>
      <c r="H39" s="23"/>
      <c r="I39" s="26" t="n">
        <f>101350</f>
        <v>101350.0</v>
      </c>
      <c r="J39" s="24"/>
      <c r="K39" s="25" t="n">
        <f>13002496197</f>
        <v>1.3002496197E10</v>
      </c>
      <c r="L39" s="23"/>
      <c r="M39" s="25" t="n">
        <f>15824379700</f>
        <v>1.58243797E10</v>
      </c>
      <c r="N39" s="23"/>
      <c r="O39" s="26" t="n">
        <f>28826875897</f>
        <v>2.8826875897E10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11297</f>
        <v>11297.0</v>
      </c>
      <c r="U39" s="23"/>
      <c r="V39" s="25" t="n">
        <f>6160</f>
        <v>6160.0</v>
      </c>
      <c r="W39" s="23"/>
      <c r="X39" s="26" t="n">
        <f>17457</f>
        <v>17457.0</v>
      </c>
      <c r="Y39" s="24"/>
      <c r="Z39" s="25" t="n">
        <f>857626</f>
        <v>857626.0</v>
      </c>
      <c r="AA39" s="23"/>
      <c r="AB39" s="25" t="n">
        <f>480498</f>
        <v>480498.0</v>
      </c>
      <c r="AC39" s="23"/>
      <c r="AD39" s="26" t="n">
        <f>1338124</f>
        <v>1338124.0</v>
      </c>
    </row>
    <row r="40">
      <c r="A40" s="30" t="s">
        <v>60</v>
      </c>
      <c r="B40" s="22" t="s">
        <v>27</v>
      </c>
      <c r="C40" s="22" t="s">
        <v>28</v>
      </c>
      <c r="D40" s="24"/>
      <c r="E40" s="25" t="n">
        <f>48643</f>
        <v>48643.0</v>
      </c>
      <c r="F40" s="23"/>
      <c r="G40" s="25" t="n">
        <f>40393</f>
        <v>40393.0</v>
      </c>
      <c r="H40" s="23"/>
      <c r="I40" s="26" t="n">
        <f>89036</f>
        <v>89036.0</v>
      </c>
      <c r="J40" s="24"/>
      <c r="K40" s="25" t="n">
        <f>20036297640</f>
        <v>2.003629764E10</v>
      </c>
      <c r="L40" s="23" t="s">
        <v>36</v>
      </c>
      <c r="M40" s="25" t="n">
        <f>29765882481</f>
        <v>2.9765882481E10</v>
      </c>
      <c r="N40" s="23"/>
      <c r="O40" s="26" t="n">
        <f>49802180121</f>
        <v>4.9802180121E10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9965</f>
        <v>9965.0</v>
      </c>
      <c r="U40" s="23"/>
      <c r="V40" s="25" t="n">
        <f>16993</f>
        <v>16993.0</v>
      </c>
      <c r="W40" s="23"/>
      <c r="X40" s="26" t="n">
        <f>26958</f>
        <v>26958.0</v>
      </c>
      <c r="Y40" s="24"/>
      <c r="Z40" s="25" t="n">
        <f>864992</f>
        <v>864992.0</v>
      </c>
      <c r="AA40" s="23"/>
      <c r="AB40" s="25" t="n">
        <f>487004</f>
        <v>487004.0</v>
      </c>
      <c r="AC40" s="23"/>
      <c r="AD40" s="26" t="n">
        <f>1351996</f>
        <v>1351996.0</v>
      </c>
    </row>
    <row r="41">
      <c r="A41" s="30" t="s">
        <v>26</v>
      </c>
      <c r="B41" s="22" t="s">
        <v>61</v>
      </c>
      <c r="C41" s="22" t="s">
        <v>62</v>
      </c>
      <c r="D41" s="24"/>
      <c r="E41" s="25" t="n">
        <f>1856</f>
        <v>1856.0</v>
      </c>
      <c r="F41" s="23"/>
      <c r="G41" s="25" t="n">
        <f>793</f>
        <v>793.0</v>
      </c>
      <c r="H41" s="23"/>
      <c r="I41" s="26" t="n">
        <f>2649</f>
        <v>2649.0</v>
      </c>
      <c r="J41" s="24"/>
      <c r="K41" s="25" t="n">
        <f>105142000</f>
        <v>1.05142E8</v>
      </c>
      <c r="L41" s="23"/>
      <c r="M41" s="25" t="n">
        <f>131504000</f>
        <v>1.31504E8</v>
      </c>
      <c r="N41" s="23"/>
      <c r="O41" s="26" t="n">
        <f>236646000</f>
        <v>2.36646E8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154</f>
        <v>154.0</v>
      </c>
      <c r="U41" s="23"/>
      <c r="V41" s="25" t="n">
        <f>196</f>
        <v>196.0</v>
      </c>
      <c r="W41" s="23"/>
      <c r="X41" s="26" t="n">
        <f>350</f>
        <v>350.0</v>
      </c>
      <c r="Y41" s="24"/>
      <c r="Z41" s="25" t="n">
        <f>2248</f>
        <v>2248.0</v>
      </c>
      <c r="AA41" s="23"/>
      <c r="AB41" s="25" t="n">
        <f>3223</f>
        <v>3223.0</v>
      </c>
      <c r="AC41" s="23"/>
      <c r="AD41" s="26" t="n">
        <f>5471</f>
        <v>5471.0</v>
      </c>
    </row>
    <row r="42">
      <c r="A42" s="30" t="s">
        <v>29</v>
      </c>
      <c r="B42" s="22" t="s">
        <v>61</v>
      </c>
      <c r="C42" s="22" t="s">
        <v>62</v>
      </c>
      <c r="D42" s="24"/>
      <c r="E42" s="25" t="n">
        <f>1414</f>
        <v>1414.0</v>
      </c>
      <c r="F42" s="23"/>
      <c r="G42" s="25" t="n">
        <f>1463</f>
        <v>1463.0</v>
      </c>
      <c r="H42" s="23"/>
      <c r="I42" s="26" t="n">
        <f>2877</f>
        <v>2877.0</v>
      </c>
      <c r="J42" s="24"/>
      <c r="K42" s="25" t="n">
        <f>98535000</f>
        <v>9.8535E7</v>
      </c>
      <c r="L42" s="23"/>
      <c r="M42" s="25" t="n">
        <f>73358000</f>
        <v>7.3358E7</v>
      </c>
      <c r="N42" s="23"/>
      <c r="O42" s="26" t="n">
        <f>171893000</f>
        <v>1.71893E8</v>
      </c>
      <c r="P42" s="27" t="str">
        <f>"－"</f>
        <v>－</v>
      </c>
      <c r="Q42" s="28" t="str">
        <f>"－"</f>
        <v>－</v>
      </c>
      <c r="R42" s="29" t="str">
        <f>"－"</f>
        <v>－</v>
      </c>
      <c r="S42" s="24"/>
      <c r="T42" s="25" t="n">
        <f>108</f>
        <v>108.0</v>
      </c>
      <c r="U42" s="23"/>
      <c r="V42" s="25" t="n">
        <f>184</f>
        <v>184.0</v>
      </c>
      <c r="W42" s="23"/>
      <c r="X42" s="26" t="n">
        <f>292</f>
        <v>292.0</v>
      </c>
      <c r="Y42" s="24"/>
      <c r="Z42" s="25" t="n">
        <f>2511</f>
        <v>2511.0</v>
      </c>
      <c r="AA42" s="23"/>
      <c r="AB42" s="25" t="n">
        <f>3442</f>
        <v>3442.0</v>
      </c>
      <c r="AC42" s="23"/>
      <c r="AD42" s="26" t="n">
        <f>5953</f>
        <v>5953.0</v>
      </c>
    </row>
    <row r="43">
      <c r="A43" s="30" t="s">
        <v>30</v>
      </c>
      <c r="B43" s="22" t="s">
        <v>61</v>
      </c>
      <c r="C43" s="22" t="s">
        <v>62</v>
      </c>
      <c r="D43" s="24"/>
      <c r="E43" s="25" t="n">
        <f>2400</f>
        <v>2400.0</v>
      </c>
      <c r="F43" s="23"/>
      <c r="G43" s="25" t="n">
        <f>2028</f>
        <v>2028.0</v>
      </c>
      <c r="H43" s="23"/>
      <c r="I43" s="26" t="n">
        <f>4428</f>
        <v>4428.0</v>
      </c>
      <c r="J43" s="24"/>
      <c r="K43" s="25" t="n">
        <f>75038000</f>
        <v>7.5038E7</v>
      </c>
      <c r="L43" s="23"/>
      <c r="M43" s="25" t="n">
        <f>81974000</f>
        <v>8.1974E7</v>
      </c>
      <c r="N43" s="23"/>
      <c r="O43" s="26" t="n">
        <f>157012000</f>
        <v>1.57012E8</v>
      </c>
      <c r="P43" s="27" t="str">
        <f>"－"</f>
        <v>－</v>
      </c>
      <c r="Q43" s="28" t="str">
        <f>"－"</f>
        <v>－</v>
      </c>
      <c r="R43" s="29" t="str">
        <f>"－"</f>
        <v>－</v>
      </c>
      <c r="S43" s="24"/>
      <c r="T43" s="25" t="n">
        <f>300</f>
        <v>300.0</v>
      </c>
      <c r="U43" s="23" t="s">
        <v>36</v>
      </c>
      <c r="V43" s="25" t="n">
        <f>497</f>
        <v>497.0</v>
      </c>
      <c r="W43" s="23"/>
      <c r="X43" s="26" t="n">
        <f>797</f>
        <v>797.0</v>
      </c>
      <c r="Y43" s="24"/>
      <c r="Z43" s="25" t="n">
        <f>2826</f>
        <v>2826.0</v>
      </c>
      <c r="AA43" s="23"/>
      <c r="AB43" s="25" t="n">
        <f>3449</f>
        <v>3449.0</v>
      </c>
      <c r="AC43" s="23"/>
      <c r="AD43" s="26" t="n">
        <f>6275</f>
        <v>6275.0</v>
      </c>
    </row>
    <row r="44">
      <c r="A44" s="30" t="s">
        <v>31</v>
      </c>
      <c r="B44" s="22" t="s">
        <v>61</v>
      </c>
      <c r="C44" s="22" t="s">
        <v>62</v>
      </c>
      <c r="D44" s="24" t="s">
        <v>40</v>
      </c>
      <c r="E44" s="25" t="n">
        <f>111</f>
        <v>111.0</v>
      </c>
      <c r="F44" s="23"/>
      <c r="G44" s="25" t="n">
        <f>306</f>
        <v>306.0</v>
      </c>
      <c r="H44" s="23"/>
      <c r="I44" s="26" t="n">
        <f>417</f>
        <v>417.0</v>
      </c>
      <c r="J44" s="24"/>
      <c r="K44" s="25" t="n">
        <f>22224000</f>
        <v>2.2224E7</v>
      </c>
      <c r="L44" s="23"/>
      <c r="M44" s="25" t="n">
        <f>81639000</f>
        <v>8.1639E7</v>
      </c>
      <c r="N44" s="23"/>
      <c r="O44" s="26" t="n">
        <f>103863000</f>
        <v>1.03863E8</v>
      </c>
      <c r="P44" s="27" t="n">
        <f>276</f>
        <v>276.0</v>
      </c>
      <c r="Q44" s="28" t="n">
        <f>97</f>
        <v>97.0</v>
      </c>
      <c r="R44" s="29" t="n">
        <f>373</f>
        <v>373.0</v>
      </c>
      <c r="S44" s="24" t="s">
        <v>40</v>
      </c>
      <c r="T44" s="25" t="n">
        <f>1</f>
        <v>1.0</v>
      </c>
      <c r="U44" s="23"/>
      <c r="V44" s="25" t="n">
        <f>290</f>
        <v>290.0</v>
      </c>
      <c r="W44" s="23"/>
      <c r="X44" s="26" t="n">
        <f>291</f>
        <v>291.0</v>
      </c>
      <c r="Y44" s="24" t="s">
        <v>40</v>
      </c>
      <c r="Z44" s="25" t="n">
        <f>451</f>
        <v>451.0</v>
      </c>
      <c r="AA44" s="23" t="s">
        <v>40</v>
      </c>
      <c r="AB44" s="25" t="n">
        <f>947</f>
        <v>947.0</v>
      </c>
      <c r="AC44" s="23" t="s">
        <v>40</v>
      </c>
      <c r="AD44" s="26" t="n">
        <f>1398</f>
        <v>1398.0</v>
      </c>
    </row>
    <row r="45">
      <c r="A45" s="30" t="s">
        <v>32</v>
      </c>
      <c r="B45" s="22" t="s">
        <v>61</v>
      </c>
      <c r="C45" s="22" t="s">
        <v>62</v>
      </c>
      <c r="D45" s="24"/>
      <c r="E45" s="25"/>
      <c r="F45" s="23"/>
      <c r="G45" s="25"/>
      <c r="H45" s="23"/>
      <c r="I45" s="26"/>
      <c r="J45" s="24"/>
      <c r="K45" s="25"/>
      <c r="L45" s="23"/>
      <c r="M45" s="25"/>
      <c r="N45" s="23"/>
      <c r="O45" s="26"/>
      <c r="P45" s="27"/>
      <c r="Q45" s="28"/>
      <c r="R45" s="29"/>
      <c r="S45" s="24"/>
      <c r="T45" s="25"/>
      <c r="U45" s="23"/>
      <c r="V45" s="25"/>
      <c r="W45" s="23"/>
      <c r="X45" s="26"/>
      <c r="Y45" s="24"/>
      <c r="Z45" s="25"/>
      <c r="AA45" s="23"/>
      <c r="AB45" s="25"/>
      <c r="AC45" s="23"/>
      <c r="AD45" s="26"/>
    </row>
    <row r="46">
      <c r="A46" s="30" t="s">
        <v>33</v>
      </c>
      <c r="B46" s="22" t="s">
        <v>61</v>
      </c>
      <c r="C46" s="22" t="s">
        <v>62</v>
      </c>
      <c r="D46" s="24"/>
      <c r="E46" s="25"/>
      <c r="F46" s="23"/>
      <c r="G46" s="25"/>
      <c r="H46" s="23"/>
      <c r="I46" s="26"/>
      <c r="J46" s="24"/>
      <c r="K46" s="25"/>
      <c r="L46" s="23"/>
      <c r="M46" s="25"/>
      <c r="N46" s="23"/>
      <c r="O46" s="26"/>
      <c r="P46" s="27"/>
      <c r="Q46" s="28"/>
      <c r="R46" s="29"/>
      <c r="S46" s="24"/>
      <c r="T46" s="25"/>
      <c r="U46" s="23"/>
      <c r="V46" s="25"/>
      <c r="W46" s="23"/>
      <c r="X46" s="26"/>
      <c r="Y46" s="24"/>
      <c r="Z46" s="25"/>
      <c r="AA46" s="23"/>
      <c r="AB46" s="25"/>
      <c r="AC46" s="23"/>
      <c r="AD46" s="26"/>
    </row>
    <row r="47">
      <c r="A47" s="30" t="s">
        <v>34</v>
      </c>
      <c r="B47" s="22" t="s">
        <v>61</v>
      </c>
      <c r="C47" s="22" t="s">
        <v>62</v>
      </c>
      <c r="D47" s="24"/>
      <c r="E47" s="25" t="n">
        <f>136</f>
        <v>136.0</v>
      </c>
      <c r="F47" s="23"/>
      <c r="G47" s="25" t="n">
        <f>56</f>
        <v>56.0</v>
      </c>
      <c r="H47" s="23" t="s">
        <v>40</v>
      </c>
      <c r="I47" s="26" t="n">
        <f>192</f>
        <v>192.0</v>
      </c>
      <c r="J47" s="24"/>
      <c r="K47" s="25" t="n">
        <f>43588000</f>
        <v>4.3588E7</v>
      </c>
      <c r="L47" s="23" t="s">
        <v>40</v>
      </c>
      <c r="M47" s="25" t="n">
        <f>5964000</f>
        <v>5964000.0</v>
      </c>
      <c r="N47" s="23"/>
      <c r="O47" s="26" t="n">
        <f>49552000</f>
        <v>4.9552E7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2</f>
        <v>2.0</v>
      </c>
      <c r="U47" s="23" t="s">
        <v>40</v>
      </c>
      <c r="V47" s="25" t="str">
        <f>"－"</f>
        <v>－</v>
      </c>
      <c r="W47" s="23" t="s">
        <v>40</v>
      </c>
      <c r="X47" s="26" t="n">
        <f>2</f>
        <v>2.0</v>
      </c>
      <c r="Y47" s="24"/>
      <c r="Z47" s="25" t="n">
        <f>539</f>
        <v>539.0</v>
      </c>
      <c r="AA47" s="23"/>
      <c r="AB47" s="25" t="n">
        <f>982</f>
        <v>982.0</v>
      </c>
      <c r="AC47" s="23"/>
      <c r="AD47" s="26" t="n">
        <f>1521</f>
        <v>1521.0</v>
      </c>
    </row>
    <row r="48">
      <c r="A48" s="30" t="s">
        <v>35</v>
      </c>
      <c r="B48" s="22" t="s">
        <v>61</v>
      </c>
      <c r="C48" s="22" t="s">
        <v>62</v>
      </c>
      <c r="D48" s="24"/>
      <c r="E48" s="25" t="n">
        <f>291</f>
        <v>291.0</v>
      </c>
      <c r="F48" s="23" t="s">
        <v>40</v>
      </c>
      <c r="G48" s="25" t="n">
        <f>39</f>
        <v>39.0</v>
      </c>
      <c r="H48" s="23"/>
      <c r="I48" s="26" t="n">
        <f>330</f>
        <v>330.0</v>
      </c>
      <c r="J48" s="24"/>
      <c r="K48" s="25" t="n">
        <f>138382000</f>
        <v>1.38382E8</v>
      </c>
      <c r="L48" s="23"/>
      <c r="M48" s="25" t="n">
        <f>6767000</f>
        <v>6767000.0</v>
      </c>
      <c r="N48" s="23"/>
      <c r="O48" s="26" t="n">
        <f>145149000</f>
        <v>1.45149E8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4</f>
        <v>4.0</v>
      </c>
      <c r="U48" s="23"/>
      <c r="V48" s="25" t="n">
        <f>1</f>
        <v>1.0</v>
      </c>
      <c r="W48" s="23"/>
      <c r="X48" s="26" t="n">
        <f>5</f>
        <v>5.0</v>
      </c>
      <c r="Y48" s="24"/>
      <c r="Z48" s="25" t="n">
        <f>741</f>
        <v>741.0</v>
      </c>
      <c r="AA48" s="23"/>
      <c r="AB48" s="25" t="n">
        <f>999</f>
        <v>999.0</v>
      </c>
      <c r="AC48" s="23"/>
      <c r="AD48" s="26" t="n">
        <f>1740</f>
        <v>1740.0</v>
      </c>
    </row>
    <row r="49">
      <c r="A49" s="30" t="s">
        <v>37</v>
      </c>
      <c r="B49" s="22" t="s">
        <v>61</v>
      </c>
      <c r="C49" s="22" t="s">
        <v>62</v>
      </c>
      <c r="D49" s="24"/>
      <c r="E49" s="25" t="n">
        <f>230</f>
        <v>230.0</v>
      </c>
      <c r="F49" s="23"/>
      <c r="G49" s="25" t="n">
        <f>169</f>
        <v>169.0</v>
      </c>
      <c r="H49" s="23"/>
      <c r="I49" s="26" t="n">
        <f>399</f>
        <v>399.0</v>
      </c>
      <c r="J49" s="24" t="s">
        <v>40</v>
      </c>
      <c r="K49" s="25" t="n">
        <f>20119000</f>
        <v>2.0119E7</v>
      </c>
      <c r="L49" s="23"/>
      <c r="M49" s="25" t="n">
        <f>19992000</f>
        <v>1.9992E7</v>
      </c>
      <c r="N49" s="23" t="s">
        <v>40</v>
      </c>
      <c r="O49" s="26" t="n">
        <f>40111000</f>
        <v>4.0111E7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11</f>
        <v>11.0</v>
      </c>
      <c r="U49" s="23"/>
      <c r="V49" s="25" t="n">
        <f>5</f>
        <v>5.0</v>
      </c>
      <c r="W49" s="23"/>
      <c r="X49" s="26" t="n">
        <f>16</f>
        <v>16.0</v>
      </c>
      <c r="Y49" s="24"/>
      <c r="Z49" s="25" t="n">
        <f>875</f>
        <v>875.0</v>
      </c>
      <c r="AA49" s="23"/>
      <c r="AB49" s="25" t="n">
        <f>1118</f>
        <v>1118.0</v>
      </c>
      <c r="AC49" s="23"/>
      <c r="AD49" s="26" t="n">
        <f>1993</f>
        <v>1993.0</v>
      </c>
    </row>
    <row r="50">
      <c r="A50" s="30" t="s">
        <v>38</v>
      </c>
      <c r="B50" s="22" t="s">
        <v>61</v>
      </c>
      <c r="C50" s="22" t="s">
        <v>62</v>
      </c>
      <c r="D50" s="24"/>
      <c r="E50" s="25" t="n">
        <f>517</f>
        <v>517.0</v>
      </c>
      <c r="F50" s="23"/>
      <c r="G50" s="25" t="n">
        <f>1105</f>
        <v>1105.0</v>
      </c>
      <c r="H50" s="23"/>
      <c r="I50" s="26" t="n">
        <f>1622</f>
        <v>1622.0</v>
      </c>
      <c r="J50" s="24"/>
      <c r="K50" s="25" t="n">
        <f>61637000</f>
        <v>6.1637E7</v>
      </c>
      <c r="L50" s="23"/>
      <c r="M50" s="25" t="n">
        <f>155652000</f>
        <v>1.55652E8</v>
      </c>
      <c r="N50" s="23"/>
      <c r="O50" s="26" t="n">
        <f>217289000</f>
        <v>2.17289E8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/>
      <c r="T50" s="25" t="n">
        <f>26</f>
        <v>26.0</v>
      </c>
      <c r="U50" s="23"/>
      <c r="V50" s="25" t="n">
        <f>9</f>
        <v>9.0</v>
      </c>
      <c r="W50" s="23"/>
      <c r="X50" s="26" t="n">
        <f>35</f>
        <v>35.0</v>
      </c>
      <c r="Y50" s="24"/>
      <c r="Z50" s="25" t="n">
        <f>1020</f>
        <v>1020.0</v>
      </c>
      <c r="AA50" s="23"/>
      <c r="AB50" s="25" t="n">
        <f>1965</f>
        <v>1965.0</v>
      </c>
      <c r="AC50" s="23"/>
      <c r="AD50" s="26" t="n">
        <f>2985</f>
        <v>2985.0</v>
      </c>
    </row>
    <row r="51">
      <c r="A51" s="30" t="s">
        <v>39</v>
      </c>
      <c r="B51" s="22" t="s">
        <v>61</v>
      </c>
      <c r="C51" s="22" t="s">
        <v>62</v>
      </c>
      <c r="D51" s="24"/>
      <c r="E51" s="25" t="n">
        <f>1138</f>
        <v>1138.0</v>
      </c>
      <c r="F51" s="23"/>
      <c r="G51" s="25" t="n">
        <f>985</f>
        <v>985.0</v>
      </c>
      <c r="H51" s="23"/>
      <c r="I51" s="26" t="n">
        <f>2123</f>
        <v>2123.0</v>
      </c>
      <c r="J51" s="24"/>
      <c r="K51" s="25" t="n">
        <f>125677000</f>
        <v>1.25677E8</v>
      </c>
      <c r="L51" s="23"/>
      <c r="M51" s="25" t="n">
        <f>80705000</f>
        <v>8.0705E7</v>
      </c>
      <c r="N51" s="23"/>
      <c r="O51" s="26" t="n">
        <f>206382000</f>
        <v>2.06382E8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58</f>
        <v>58.0</v>
      </c>
      <c r="U51" s="23"/>
      <c r="V51" s="25" t="n">
        <f>76</f>
        <v>76.0</v>
      </c>
      <c r="W51" s="23"/>
      <c r="X51" s="26" t="n">
        <f>134</f>
        <v>134.0</v>
      </c>
      <c r="Y51" s="24"/>
      <c r="Z51" s="25" t="n">
        <f>1729</f>
        <v>1729.0</v>
      </c>
      <c r="AA51" s="23"/>
      <c r="AB51" s="25" t="n">
        <f>2532</f>
        <v>2532.0</v>
      </c>
      <c r="AC51" s="23"/>
      <c r="AD51" s="26" t="n">
        <f>4261</f>
        <v>4261.0</v>
      </c>
    </row>
    <row r="52">
      <c r="A52" s="30" t="s">
        <v>41</v>
      </c>
      <c r="B52" s="22" t="s">
        <v>61</v>
      </c>
      <c r="C52" s="22" t="s">
        <v>62</v>
      </c>
      <c r="D52" s="24"/>
      <c r="E52" s="25"/>
      <c r="F52" s="23"/>
      <c r="G52" s="25"/>
      <c r="H52" s="23"/>
      <c r="I52" s="26"/>
      <c r="J52" s="24"/>
      <c r="K52" s="25"/>
      <c r="L52" s="23"/>
      <c r="M52" s="25"/>
      <c r="N52" s="23"/>
      <c r="O52" s="26"/>
      <c r="P52" s="27"/>
      <c r="Q52" s="28"/>
      <c r="R52" s="29"/>
      <c r="S52" s="24"/>
      <c r="T52" s="25"/>
      <c r="U52" s="23"/>
      <c r="V52" s="25"/>
      <c r="W52" s="23"/>
      <c r="X52" s="26"/>
      <c r="Y52" s="24"/>
      <c r="Z52" s="25"/>
      <c r="AA52" s="23"/>
      <c r="AB52" s="25"/>
      <c r="AC52" s="23"/>
      <c r="AD52" s="26"/>
    </row>
    <row r="53">
      <c r="A53" s="30" t="s">
        <v>42</v>
      </c>
      <c r="B53" s="22" t="s">
        <v>61</v>
      </c>
      <c r="C53" s="22" t="s">
        <v>62</v>
      </c>
      <c r="D53" s="24"/>
      <c r="E53" s="25"/>
      <c r="F53" s="23"/>
      <c r="G53" s="25"/>
      <c r="H53" s="23"/>
      <c r="I53" s="26"/>
      <c r="J53" s="24"/>
      <c r="K53" s="25"/>
      <c r="L53" s="23"/>
      <c r="M53" s="25"/>
      <c r="N53" s="23"/>
      <c r="O53" s="26"/>
      <c r="P53" s="27"/>
      <c r="Q53" s="28"/>
      <c r="R53" s="29"/>
      <c r="S53" s="24"/>
      <c r="T53" s="25"/>
      <c r="U53" s="23"/>
      <c r="V53" s="25"/>
      <c r="W53" s="23"/>
      <c r="X53" s="26"/>
      <c r="Y53" s="24"/>
      <c r="Z53" s="25"/>
      <c r="AA53" s="23"/>
      <c r="AB53" s="25"/>
      <c r="AC53" s="23"/>
      <c r="AD53" s="26"/>
    </row>
    <row r="54">
      <c r="A54" s="30" t="s">
        <v>43</v>
      </c>
      <c r="B54" s="22" t="s">
        <v>61</v>
      </c>
      <c r="C54" s="22" t="s">
        <v>62</v>
      </c>
      <c r="D54" s="24"/>
      <c r="E54" s="25" t="n">
        <f>2068</f>
        <v>2068.0</v>
      </c>
      <c r="F54" s="23"/>
      <c r="G54" s="25" t="n">
        <f>1347</f>
        <v>1347.0</v>
      </c>
      <c r="H54" s="23"/>
      <c r="I54" s="26" t="n">
        <f>3415</f>
        <v>3415.0</v>
      </c>
      <c r="J54" s="24"/>
      <c r="K54" s="25" t="n">
        <f>134714000</f>
        <v>1.34714E8</v>
      </c>
      <c r="L54" s="23"/>
      <c r="M54" s="25" t="n">
        <f>95529000</f>
        <v>9.5529E7</v>
      </c>
      <c r="N54" s="23"/>
      <c r="O54" s="26" t="n">
        <f>230243000</f>
        <v>2.30243E8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255</f>
        <v>255.0</v>
      </c>
      <c r="U54" s="23"/>
      <c r="V54" s="25" t="n">
        <f>126</f>
        <v>126.0</v>
      </c>
      <c r="W54" s="23"/>
      <c r="X54" s="26" t="n">
        <f>381</f>
        <v>381.0</v>
      </c>
      <c r="Y54" s="24"/>
      <c r="Z54" s="25" t="n">
        <f>2442</f>
        <v>2442.0</v>
      </c>
      <c r="AA54" s="23"/>
      <c r="AB54" s="25" t="n">
        <f>2948</f>
        <v>2948.0</v>
      </c>
      <c r="AC54" s="23"/>
      <c r="AD54" s="26" t="n">
        <f>5390</f>
        <v>5390.0</v>
      </c>
    </row>
    <row r="55">
      <c r="A55" s="30" t="s">
        <v>44</v>
      </c>
      <c r="B55" s="22" t="s">
        <v>61</v>
      </c>
      <c r="C55" s="22" t="s">
        <v>62</v>
      </c>
      <c r="D55" s="24"/>
      <c r="E55" s="25" t="n">
        <f>1903</f>
        <v>1903.0</v>
      </c>
      <c r="F55" s="23"/>
      <c r="G55" s="25" t="n">
        <f>936</f>
        <v>936.0</v>
      </c>
      <c r="H55" s="23"/>
      <c r="I55" s="26" t="n">
        <f>2839</f>
        <v>2839.0</v>
      </c>
      <c r="J55" s="24"/>
      <c r="K55" s="25" t="n">
        <f>94483000</f>
        <v>9.4483E7</v>
      </c>
      <c r="L55" s="23"/>
      <c r="M55" s="25" t="n">
        <f>53785000</f>
        <v>5.3785E7</v>
      </c>
      <c r="N55" s="23"/>
      <c r="O55" s="26" t="n">
        <f>148268000</f>
        <v>1.48268E8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147</f>
        <v>147.0</v>
      </c>
      <c r="U55" s="23"/>
      <c r="V55" s="25" t="n">
        <f>70</f>
        <v>70.0</v>
      </c>
      <c r="W55" s="23"/>
      <c r="X55" s="26" t="n">
        <f>217</f>
        <v>217.0</v>
      </c>
      <c r="Y55" s="24"/>
      <c r="Z55" s="25" t="n">
        <f>3390</f>
        <v>3390.0</v>
      </c>
      <c r="AA55" s="23"/>
      <c r="AB55" s="25" t="n">
        <f>3264</f>
        <v>3264.0</v>
      </c>
      <c r="AC55" s="23"/>
      <c r="AD55" s="26" t="n">
        <f>6654</f>
        <v>6654.0</v>
      </c>
    </row>
    <row r="56">
      <c r="A56" s="30" t="s">
        <v>45</v>
      </c>
      <c r="B56" s="22" t="s">
        <v>61</v>
      </c>
      <c r="C56" s="22" t="s">
        <v>62</v>
      </c>
      <c r="D56" s="24"/>
      <c r="E56" s="25" t="n">
        <f>2480</f>
        <v>2480.0</v>
      </c>
      <c r="F56" s="23"/>
      <c r="G56" s="25" t="n">
        <f>2425</f>
        <v>2425.0</v>
      </c>
      <c r="H56" s="23"/>
      <c r="I56" s="26" t="n">
        <f>4905</f>
        <v>4905.0</v>
      </c>
      <c r="J56" s="24"/>
      <c r="K56" s="25" t="n">
        <f>144319000</f>
        <v>1.44319E8</v>
      </c>
      <c r="L56" s="23"/>
      <c r="M56" s="25" t="n">
        <f>277563000</f>
        <v>2.77563E8</v>
      </c>
      <c r="N56" s="23"/>
      <c r="O56" s="26" t="n">
        <f>421882000</f>
        <v>4.21882E8</v>
      </c>
      <c r="P56" s="27" t="str">
        <f>"－"</f>
        <v>－</v>
      </c>
      <c r="Q56" s="28" t="str">
        <f>"－"</f>
        <v>－</v>
      </c>
      <c r="R56" s="29" t="str">
        <f>"－"</f>
        <v>－</v>
      </c>
      <c r="S56" s="24"/>
      <c r="T56" s="25" t="n">
        <f>245</f>
        <v>245.0</v>
      </c>
      <c r="U56" s="23"/>
      <c r="V56" s="25" t="n">
        <f>139</f>
        <v>139.0</v>
      </c>
      <c r="W56" s="23"/>
      <c r="X56" s="26" t="n">
        <f>384</f>
        <v>384.0</v>
      </c>
      <c r="Y56" s="24"/>
      <c r="Z56" s="25" t="n">
        <f>3991</f>
        <v>3991.0</v>
      </c>
      <c r="AA56" s="23"/>
      <c r="AB56" s="25" t="n">
        <f>3994</f>
        <v>3994.0</v>
      </c>
      <c r="AC56" s="23"/>
      <c r="AD56" s="26" t="n">
        <f>7985</f>
        <v>7985.0</v>
      </c>
    </row>
    <row r="57">
      <c r="A57" s="30" t="s">
        <v>46</v>
      </c>
      <c r="B57" s="22" t="s">
        <v>61</v>
      </c>
      <c r="C57" s="22" t="s">
        <v>62</v>
      </c>
      <c r="D57" s="24" t="s">
        <v>36</v>
      </c>
      <c r="E57" s="25" t="n">
        <f>5710</f>
        <v>5710.0</v>
      </c>
      <c r="F57" s="23" t="s">
        <v>36</v>
      </c>
      <c r="G57" s="25" t="n">
        <f>5679</f>
        <v>5679.0</v>
      </c>
      <c r="H57" s="23" t="s">
        <v>36</v>
      </c>
      <c r="I57" s="26" t="n">
        <f>11389</f>
        <v>11389.0</v>
      </c>
      <c r="J57" s="24"/>
      <c r="K57" s="25" t="n">
        <f>211920000</f>
        <v>2.1192E8</v>
      </c>
      <c r="L57" s="23" t="s">
        <v>36</v>
      </c>
      <c r="M57" s="25" t="n">
        <f>860909000</f>
        <v>8.60909E8</v>
      </c>
      <c r="N57" s="23" t="s">
        <v>36</v>
      </c>
      <c r="O57" s="26" t="n">
        <f>1072829000</f>
        <v>1.072829E9</v>
      </c>
      <c r="P57" s="27" t="str">
        <f>"－"</f>
        <v>－</v>
      </c>
      <c r="Q57" s="28" t="str">
        <f>"－"</f>
        <v>－</v>
      </c>
      <c r="R57" s="29" t="str">
        <f>"－"</f>
        <v>－</v>
      </c>
      <c r="S57" s="24"/>
      <c r="T57" s="25" t="n">
        <f>689</f>
        <v>689.0</v>
      </c>
      <c r="U57" s="23"/>
      <c r="V57" s="25" t="n">
        <f>263</f>
        <v>263.0</v>
      </c>
      <c r="W57" s="23"/>
      <c r="X57" s="26" t="n">
        <f>952</f>
        <v>952.0</v>
      </c>
      <c r="Y57" s="24"/>
      <c r="Z57" s="25" t="n">
        <f>4960</f>
        <v>4960.0</v>
      </c>
      <c r="AA57" s="23"/>
      <c r="AB57" s="25" t="n">
        <f>4809</f>
        <v>4809.0</v>
      </c>
      <c r="AC57" s="23"/>
      <c r="AD57" s="26" t="n">
        <f>9769</f>
        <v>9769.0</v>
      </c>
    </row>
    <row r="58">
      <c r="A58" s="30" t="s">
        <v>47</v>
      </c>
      <c r="B58" s="22" t="s">
        <v>61</v>
      </c>
      <c r="C58" s="22" t="s">
        <v>62</v>
      </c>
      <c r="D58" s="24"/>
      <c r="E58" s="25" t="n">
        <f>1240</f>
        <v>1240.0</v>
      </c>
      <c r="F58" s="23"/>
      <c r="G58" s="25" t="n">
        <f>1928</f>
        <v>1928.0</v>
      </c>
      <c r="H58" s="23"/>
      <c r="I58" s="26" t="n">
        <f>3168</f>
        <v>3168.0</v>
      </c>
      <c r="J58" s="24"/>
      <c r="K58" s="25" t="n">
        <f>91854000</f>
        <v>9.1854E7</v>
      </c>
      <c r="L58" s="23"/>
      <c r="M58" s="25" t="n">
        <f>384573000</f>
        <v>3.84573E8</v>
      </c>
      <c r="N58" s="23"/>
      <c r="O58" s="26" t="n">
        <f>476427000</f>
        <v>4.76427E8</v>
      </c>
      <c r="P58" s="27" t="n">
        <f>104</f>
        <v>104.0</v>
      </c>
      <c r="Q58" s="28" t="n">
        <f>1319</f>
        <v>1319.0</v>
      </c>
      <c r="R58" s="29" t="n">
        <f>1423</f>
        <v>1423.0</v>
      </c>
      <c r="S58" s="24"/>
      <c r="T58" s="25" t="n">
        <f>99</f>
        <v>99.0</v>
      </c>
      <c r="U58" s="23"/>
      <c r="V58" s="25" t="n">
        <f>362</f>
        <v>362.0</v>
      </c>
      <c r="W58" s="23"/>
      <c r="X58" s="26" t="n">
        <f>461</f>
        <v>461.0</v>
      </c>
      <c r="Y58" s="24"/>
      <c r="Z58" s="25" t="n">
        <f>1351</f>
        <v>1351.0</v>
      </c>
      <c r="AA58" s="23"/>
      <c r="AB58" s="25" t="n">
        <f>3102</f>
        <v>3102.0</v>
      </c>
      <c r="AC58" s="23"/>
      <c r="AD58" s="26" t="n">
        <f>4453</f>
        <v>4453.0</v>
      </c>
    </row>
    <row r="59">
      <c r="A59" s="30" t="s">
        <v>48</v>
      </c>
      <c r="B59" s="22" t="s">
        <v>61</v>
      </c>
      <c r="C59" s="22" t="s">
        <v>62</v>
      </c>
      <c r="D59" s="24"/>
      <c r="E59" s="25"/>
      <c r="F59" s="23"/>
      <c r="G59" s="25"/>
      <c r="H59" s="23"/>
      <c r="I59" s="26"/>
      <c r="J59" s="24"/>
      <c r="K59" s="25"/>
      <c r="L59" s="23"/>
      <c r="M59" s="25"/>
      <c r="N59" s="23"/>
      <c r="O59" s="26"/>
      <c r="P59" s="27"/>
      <c r="Q59" s="28"/>
      <c r="R59" s="29"/>
      <c r="S59" s="24"/>
      <c r="T59" s="25"/>
      <c r="U59" s="23"/>
      <c r="V59" s="25"/>
      <c r="W59" s="23"/>
      <c r="X59" s="26"/>
      <c r="Y59" s="24"/>
      <c r="Z59" s="25"/>
      <c r="AA59" s="23"/>
      <c r="AB59" s="25"/>
      <c r="AC59" s="23"/>
      <c r="AD59" s="26"/>
    </row>
    <row r="60">
      <c r="A60" s="30" t="s">
        <v>49</v>
      </c>
      <c r="B60" s="22" t="s">
        <v>61</v>
      </c>
      <c r="C60" s="22" t="s">
        <v>62</v>
      </c>
      <c r="D60" s="24"/>
      <c r="E60" s="25"/>
      <c r="F60" s="23"/>
      <c r="G60" s="25"/>
      <c r="H60" s="23"/>
      <c r="I60" s="26"/>
      <c r="J60" s="24"/>
      <c r="K60" s="25"/>
      <c r="L60" s="23"/>
      <c r="M60" s="25"/>
      <c r="N60" s="23"/>
      <c r="O60" s="26"/>
      <c r="P60" s="27"/>
      <c r="Q60" s="28"/>
      <c r="R60" s="29"/>
      <c r="S60" s="24"/>
      <c r="T60" s="25"/>
      <c r="U60" s="23"/>
      <c r="V60" s="25"/>
      <c r="W60" s="23"/>
      <c r="X60" s="26"/>
      <c r="Y60" s="24"/>
      <c r="Z60" s="25"/>
      <c r="AA60" s="23"/>
      <c r="AB60" s="25"/>
      <c r="AC60" s="23"/>
      <c r="AD60" s="26"/>
    </row>
    <row r="61">
      <c r="A61" s="30" t="s">
        <v>50</v>
      </c>
      <c r="B61" s="22" t="s">
        <v>61</v>
      </c>
      <c r="C61" s="22" t="s">
        <v>62</v>
      </c>
      <c r="D61" s="24"/>
      <c r="E61" s="25"/>
      <c r="F61" s="23"/>
      <c r="G61" s="25"/>
      <c r="H61" s="23"/>
      <c r="I61" s="26"/>
      <c r="J61" s="24"/>
      <c r="K61" s="25"/>
      <c r="L61" s="23"/>
      <c r="M61" s="25"/>
      <c r="N61" s="23"/>
      <c r="O61" s="26"/>
      <c r="P61" s="27"/>
      <c r="Q61" s="28"/>
      <c r="R61" s="29"/>
      <c r="S61" s="24"/>
      <c r="T61" s="25"/>
      <c r="U61" s="23"/>
      <c r="V61" s="25"/>
      <c r="W61" s="23"/>
      <c r="X61" s="26"/>
      <c r="Y61" s="24"/>
      <c r="Z61" s="25"/>
      <c r="AA61" s="23"/>
      <c r="AB61" s="25"/>
      <c r="AC61" s="23"/>
      <c r="AD61" s="26"/>
    </row>
    <row r="62">
      <c r="A62" s="30" t="s">
        <v>51</v>
      </c>
      <c r="B62" s="22" t="s">
        <v>61</v>
      </c>
      <c r="C62" s="22" t="s">
        <v>62</v>
      </c>
      <c r="D62" s="24"/>
      <c r="E62" s="25" t="n">
        <f>3827</f>
        <v>3827.0</v>
      </c>
      <c r="F62" s="23"/>
      <c r="G62" s="25" t="n">
        <f>1871</f>
        <v>1871.0</v>
      </c>
      <c r="H62" s="23"/>
      <c r="I62" s="26" t="n">
        <f>5698</f>
        <v>5698.0</v>
      </c>
      <c r="J62" s="24"/>
      <c r="K62" s="25" t="n">
        <f>185290000</f>
        <v>1.8529E8</v>
      </c>
      <c r="L62" s="23"/>
      <c r="M62" s="25" t="n">
        <f>214439000</f>
        <v>2.14439E8</v>
      </c>
      <c r="N62" s="23"/>
      <c r="O62" s="26" t="n">
        <f>399729000</f>
        <v>3.99729E8</v>
      </c>
      <c r="P62" s="27" t="str">
        <f>"－"</f>
        <v>－</v>
      </c>
      <c r="Q62" s="28" t="str">
        <f>"－"</f>
        <v>－</v>
      </c>
      <c r="R62" s="29" t="str">
        <f>"－"</f>
        <v>－</v>
      </c>
      <c r="S62" s="24"/>
      <c r="T62" s="25" t="n">
        <f>368</f>
        <v>368.0</v>
      </c>
      <c r="U62" s="23"/>
      <c r="V62" s="25" t="n">
        <f>126</f>
        <v>126.0</v>
      </c>
      <c r="W62" s="23"/>
      <c r="X62" s="26" t="n">
        <f>494</f>
        <v>494.0</v>
      </c>
      <c r="Y62" s="24"/>
      <c r="Z62" s="25" t="n">
        <f>3130</f>
        <v>3130.0</v>
      </c>
      <c r="AA62" s="23"/>
      <c r="AB62" s="25" t="n">
        <f>3756</f>
        <v>3756.0</v>
      </c>
      <c r="AC62" s="23"/>
      <c r="AD62" s="26" t="n">
        <f>6886</f>
        <v>6886.0</v>
      </c>
    </row>
    <row r="63">
      <c r="A63" s="30" t="s">
        <v>52</v>
      </c>
      <c r="B63" s="22" t="s">
        <v>61</v>
      </c>
      <c r="C63" s="22" t="s">
        <v>62</v>
      </c>
      <c r="D63" s="24"/>
      <c r="E63" s="25" t="n">
        <f>4899</f>
        <v>4899.0</v>
      </c>
      <c r="F63" s="23"/>
      <c r="G63" s="25" t="n">
        <f>3295</f>
        <v>3295.0</v>
      </c>
      <c r="H63" s="23"/>
      <c r="I63" s="26" t="n">
        <f>8194</f>
        <v>8194.0</v>
      </c>
      <c r="J63" s="24"/>
      <c r="K63" s="25" t="n">
        <f>173658000</f>
        <v>1.73658E8</v>
      </c>
      <c r="L63" s="23"/>
      <c r="M63" s="25" t="n">
        <f>412083500</f>
        <v>4.120835E8</v>
      </c>
      <c r="N63" s="23"/>
      <c r="O63" s="26" t="n">
        <f>585741500</f>
        <v>5.857415E8</v>
      </c>
      <c r="P63" s="27" t="str">
        <f>"－"</f>
        <v>－</v>
      </c>
      <c r="Q63" s="28" t="str">
        <f>"－"</f>
        <v>－</v>
      </c>
      <c r="R63" s="29" t="str">
        <f>"－"</f>
        <v>－</v>
      </c>
      <c r="S63" s="24"/>
      <c r="T63" s="25" t="n">
        <f>579</f>
        <v>579.0</v>
      </c>
      <c r="U63" s="23"/>
      <c r="V63" s="25" t="n">
        <f>176</f>
        <v>176.0</v>
      </c>
      <c r="W63" s="23"/>
      <c r="X63" s="26" t="n">
        <f>755</f>
        <v>755.0</v>
      </c>
      <c r="Y63" s="24"/>
      <c r="Z63" s="25" t="n">
        <f>4415</f>
        <v>4415.0</v>
      </c>
      <c r="AA63" s="23"/>
      <c r="AB63" s="25" t="n">
        <f>4819</f>
        <v>4819.0</v>
      </c>
      <c r="AC63" s="23"/>
      <c r="AD63" s="26" t="n">
        <f>9234</f>
        <v>9234.0</v>
      </c>
    </row>
    <row r="64">
      <c r="A64" s="30" t="s">
        <v>53</v>
      </c>
      <c r="B64" s="22" t="s">
        <v>61</v>
      </c>
      <c r="C64" s="22" t="s">
        <v>62</v>
      </c>
      <c r="D64" s="24"/>
      <c r="E64" s="25" t="n">
        <f>4901</f>
        <v>4901.0</v>
      </c>
      <c r="F64" s="23"/>
      <c r="G64" s="25" t="n">
        <f>3521</f>
        <v>3521.0</v>
      </c>
      <c r="H64" s="23"/>
      <c r="I64" s="26" t="n">
        <f>8422</f>
        <v>8422.0</v>
      </c>
      <c r="J64" s="24" t="s">
        <v>36</v>
      </c>
      <c r="K64" s="25" t="n">
        <f>212687000</f>
        <v>2.12687E8</v>
      </c>
      <c r="L64" s="23"/>
      <c r="M64" s="25" t="n">
        <f>332460000</f>
        <v>3.3246E8</v>
      </c>
      <c r="N64" s="23"/>
      <c r="O64" s="26" t="n">
        <f>545147000</f>
        <v>5.45147E8</v>
      </c>
      <c r="P64" s="27" t="str">
        <f>"－"</f>
        <v>－</v>
      </c>
      <c r="Q64" s="28" t="str">
        <f>"－"</f>
        <v>－</v>
      </c>
      <c r="R64" s="29" t="str">
        <f>"－"</f>
        <v>－</v>
      </c>
      <c r="S64" s="24" t="s">
        <v>36</v>
      </c>
      <c r="T64" s="25" t="n">
        <f>833</f>
        <v>833.0</v>
      </c>
      <c r="U64" s="23"/>
      <c r="V64" s="25" t="n">
        <f>335</f>
        <v>335.0</v>
      </c>
      <c r="W64" s="23" t="s">
        <v>36</v>
      </c>
      <c r="X64" s="26" t="n">
        <f>1168</f>
        <v>1168.0</v>
      </c>
      <c r="Y64" s="24" t="s">
        <v>36</v>
      </c>
      <c r="Z64" s="25" t="n">
        <f>5490</f>
        <v>5490.0</v>
      </c>
      <c r="AA64" s="23" t="s">
        <v>36</v>
      </c>
      <c r="AB64" s="25" t="n">
        <f>5834</f>
        <v>5834.0</v>
      </c>
      <c r="AC64" s="23" t="s">
        <v>36</v>
      </c>
      <c r="AD64" s="26" t="n">
        <f>11324</f>
        <v>11324.0</v>
      </c>
    </row>
    <row r="65">
      <c r="A65" s="30" t="s">
        <v>54</v>
      </c>
      <c r="B65" s="22" t="s">
        <v>61</v>
      </c>
      <c r="C65" s="22" t="s">
        <v>62</v>
      </c>
      <c r="D65" s="24"/>
      <c r="E65" s="25" t="n">
        <f>856</f>
        <v>856.0</v>
      </c>
      <c r="F65" s="23"/>
      <c r="G65" s="25" t="n">
        <f>1832</f>
        <v>1832.0</v>
      </c>
      <c r="H65" s="23"/>
      <c r="I65" s="26" t="n">
        <f>2688</f>
        <v>2688.0</v>
      </c>
      <c r="J65" s="24"/>
      <c r="K65" s="25" t="n">
        <f>82031000</f>
        <v>8.2031E7</v>
      </c>
      <c r="L65" s="23"/>
      <c r="M65" s="25" t="n">
        <f>292877000</f>
        <v>2.92877E8</v>
      </c>
      <c r="N65" s="23"/>
      <c r="O65" s="26" t="n">
        <f>374908000</f>
        <v>3.74908E8</v>
      </c>
      <c r="P65" s="27" t="str">
        <f>"－"</f>
        <v>－</v>
      </c>
      <c r="Q65" s="28" t="n">
        <f>2508</f>
        <v>2508.0</v>
      </c>
      <c r="R65" s="29" t="n">
        <f>2508</f>
        <v>2508.0</v>
      </c>
      <c r="S65" s="24"/>
      <c r="T65" s="25" t="n">
        <f>83</f>
        <v>83.0</v>
      </c>
      <c r="U65" s="23"/>
      <c r="V65" s="25" t="n">
        <f>328</f>
        <v>328.0</v>
      </c>
      <c r="W65" s="23"/>
      <c r="X65" s="26" t="n">
        <f>411</f>
        <v>411.0</v>
      </c>
      <c r="Y65" s="24"/>
      <c r="Z65" s="25" t="n">
        <f>1063</f>
        <v>1063.0</v>
      </c>
      <c r="AA65" s="23"/>
      <c r="AB65" s="25" t="n">
        <f>3855</f>
        <v>3855.0</v>
      </c>
      <c r="AC65" s="23"/>
      <c r="AD65" s="26" t="n">
        <f>4918</f>
        <v>4918.0</v>
      </c>
    </row>
    <row r="66">
      <c r="A66" s="30" t="s">
        <v>55</v>
      </c>
      <c r="B66" s="22" t="s">
        <v>61</v>
      </c>
      <c r="C66" s="22" t="s">
        <v>62</v>
      </c>
      <c r="D66" s="24"/>
      <c r="E66" s="25"/>
      <c r="F66" s="23"/>
      <c r="G66" s="25"/>
      <c r="H66" s="23"/>
      <c r="I66" s="26"/>
      <c r="J66" s="24"/>
      <c r="K66" s="25"/>
      <c r="L66" s="23"/>
      <c r="M66" s="25"/>
      <c r="N66" s="23"/>
      <c r="O66" s="26"/>
      <c r="P66" s="27"/>
      <c r="Q66" s="28"/>
      <c r="R66" s="29"/>
      <c r="S66" s="24"/>
      <c r="T66" s="25"/>
      <c r="U66" s="23"/>
      <c r="V66" s="25"/>
      <c r="W66" s="23"/>
      <c r="X66" s="26"/>
      <c r="Y66" s="24"/>
      <c r="Z66" s="25"/>
      <c r="AA66" s="23"/>
      <c r="AB66" s="25"/>
      <c r="AC66" s="23"/>
      <c r="AD66" s="26"/>
    </row>
    <row r="67">
      <c r="A67" s="30" t="s">
        <v>56</v>
      </c>
      <c r="B67" s="22" t="s">
        <v>61</v>
      </c>
      <c r="C67" s="22" t="s">
        <v>62</v>
      </c>
      <c r="D67" s="24"/>
      <c r="E67" s="25"/>
      <c r="F67" s="23"/>
      <c r="G67" s="25"/>
      <c r="H67" s="23"/>
      <c r="I67" s="26"/>
      <c r="J67" s="24"/>
      <c r="K67" s="25"/>
      <c r="L67" s="23"/>
      <c r="M67" s="25"/>
      <c r="N67" s="23"/>
      <c r="O67" s="26"/>
      <c r="P67" s="27"/>
      <c r="Q67" s="28"/>
      <c r="R67" s="29"/>
      <c r="S67" s="24"/>
      <c r="T67" s="25"/>
      <c r="U67" s="23"/>
      <c r="V67" s="25"/>
      <c r="W67" s="23"/>
      <c r="X67" s="26"/>
      <c r="Y67" s="24"/>
      <c r="Z67" s="25"/>
      <c r="AA67" s="23"/>
      <c r="AB67" s="25"/>
      <c r="AC67" s="23"/>
      <c r="AD67" s="26"/>
    </row>
    <row r="68">
      <c r="A68" s="30" t="s">
        <v>57</v>
      </c>
      <c r="B68" s="22" t="s">
        <v>61</v>
      </c>
      <c r="C68" s="22" t="s">
        <v>62</v>
      </c>
      <c r="D68" s="24"/>
      <c r="E68" s="25" t="n">
        <f>2026</f>
        <v>2026.0</v>
      </c>
      <c r="F68" s="23"/>
      <c r="G68" s="25" t="n">
        <f>1349</f>
        <v>1349.0</v>
      </c>
      <c r="H68" s="23"/>
      <c r="I68" s="26" t="n">
        <f>3375</f>
        <v>3375.0</v>
      </c>
      <c r="J68" s="24"/>
      <c r="K68" s="25" t="n">
        <f>77273000</f>
        <v>7.7273E7</v>
      </c>
      <c r="L68" s="23"/>
      <c r="M68" s="25" t="n">
        <f>90481000</f>
        <v>9.0481E7</v>
      </c>
      <c r="N68" s="23"/>
      <c r="O68" s="26" t="n">
        <f>167754000</f>
        <v>1.67754E8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236</f>
        <v>236.0</v>
      </c>
      <c r="U68" s="23"/>
      <c r="V68" s="25" t="n">
        <f>87</f>
        <v>87.0</v>
      </c>
      <c r="W68" s="23"/>
      <c r="X68" s="26" t="n">
        <f>323</f>
        <v>323.0</v>
      </c>
      <c r="Y68" s="24"/>
      <c r="Z68" s="25" t="n">
        <f>2330</f>
        <v>2330.0</v>
      </c>
      <c r="AA68" s="23"/>
      <c r="AB68" s="25" t="n">
        <f>4373</f>
        <v>4373.0</v>
      </c>
      <c r="AC68" s="23"/>
      <c r="AD68" s="26" t="n">
        <f>6703</f>
        <v>6703.0</v>
      </c>
    </row>
    <row r="69">
      <c r="A69" s="30" t="s">
        <v>58</v>
      </c>
      <c r="B69" s="22" t="s">
        <v>61</v>
      </c>
      <c r="C69" s="22" t="s">
        <v>62</v>
      </c>
      <c r="D69" s="24"/>
      <c r="E69" s="25" t="n">
        <f>1341</f>
        <v>1341.0</v>
      </c>
      <c r="F69" s="23"/>
      <c r="G69" s="25" t="n">
        <f>1513</f>
        <v>1513.0</v>
      </c>
      <c r="H69" s="23"/>
      <c r="I69" s="26" t="n">
        <f>2854</f>
        <v>2854.0</v>
      </c>
      <c r="J69" s="24"/>
      <c r="K69" s="25" t="n">
        <f>59991000</f>
        <v>5.9991E7</v>
      </c>
      <c r="L69" s="23"/>
      <c r="M69" s="25" t="n">
        <f>65830000</f>
        <v>6.583E7</v>
      </c>
      <c r="N69" s="23"/>
      <c r="O69" s="26" t="n">
        <f>125821000</f>
        <v>1.25821E8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n">
        <f>129</f>
        <v>129.0</v>
      </c>
      <c r="U69" s="23"/>
      <c r="V69" s="25" t="n">
        <f>35</f>
        <v>35.0</v>
      </c>
      <c r="W69" s="23"/>
      <c r="X69" s="26" t="n">
        <f>164</f>
        <v>164.0</v>
      </c>
      <c r="Y69" s="24"/>
      <c r="Z69" s="25" t="n">
        <f>2627</f>
        <v>2627.0</v>
      </c>
      <c r="AA69" s="23"/>
      <c r="AB69" s="25" t="n">
        <f>5024</f>
        <v>5024.0</v>
      </c>
      <c r="AC69" s="23"/>
      <c r="AD69" s="26" t="n">
        <f>7651</f>
        <v>7651.0</v>
      </c>
    </row>
    <row r="70">
      <c r="A70" s="30" t="s">
        <v>59</v>
      </c>
      <c r="B70" s="22" t="s">
        <v>61</v>
      </c>
      <c r="C70" s="22" t="s">
        <v>62</v>
      </c>
      <c r="D70" s="24"/>
      <c r="E70" s="25" t="n">
        <f>3231</f>
        <v>3231.0</v>
      </c>
      <c r="F70" s="23"/>
      <c r="G70" s="25" t="n">
        <f>2283</f>
        <v>2283.0</v>
      </c>
      <c r="H70" s="23"/>
      <c r="I70" s="26" t="n">
        <f>5514</f>
        <v>5514.0</v>
      </c>
      <c r="J70" s="24"/>
      <c r="K70" s="25" t="n">
        <f>169961000</f>
        <v>1.69961E8</v>
      </c>
      <c r="L70" s="23"/>
      <c r="M70" s="25" t="n">
        <f>141886000</f>
        <v>1.41886E8</v>
      </c>
      <c r="N70" s="23"/>
      <c r="O70" s="26" t="n">
        <f>311847000</f>
        <v>3.11847E8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669</f>
        <v>669.0</v>
      </c>
      <c r="U70" s="23"/>
      <c r="V70" s="25" t="n">
        <f>229</f>
        <v>229.0</v>
      </c>
      <c r="W70" s="23"/>
      <c r="X70" s="26" t="n">
        <f>898</f>
        <v>898.0</v>
      </c>
      <c r="Y70" s="24"/>
      <c r="Z70" s="25" t="n">
        <f>3057</f>
        <v>3057.0</v>
      </c>
      <c r="AA70" s="23"/>
      <c r="AB70" s="25" t="n">
        <f>5333</f>
        <v>5333.0</v>
      </c>
      <c r="AC70" s="23"/>
      <c r="AD70" s="26" t="n">
        <f>8390</f>
        <v>8390.0</v>
      </c>
    </row>
    <row r="71">
      <c r="A71" s="30" t="s">
        <v>60</v>
      </c>
      <c r="B71" s="22" t="s">
        <v>61</v>
      </c>
      <c r="C71" s="22" t="s">
        <v>62</v>
      </c>
      <c r="D71" s="24"/>
      <c r="E71" s="25" t="n">
        <f>2278</f>
        <v>2278.0</v>
      </c>
      <c r="F71" s="23"/>
      <c r="G71" s="25" t="n">
        <f>2011</f>
        <v>2011.0</v>
      </c>
      <c r="H71" s="23"/>
      <c r="I71" s="26" t="n">
        <f>4289</f>
        <v>4289.0</v>
      </c>
      <c r="J71" s="24"/>
      <c r="K71" s="25" t="n">
        <f>67042000</f>
        <v>6.7042E7</v>
      </c>
      <c r="L71" s="23"/>
      <c r="M71" s="25" t="n">
        <f>45346000</f>
        <v>4.5346E7</v>
      </c>
      <c r="N71" s="23"/>
      <c r="O71" s="26" t="n">
        <f>112388000</f>
        <v>1.12388E8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345</f>
        <v>345.0</v>
      </c>
      <c r="U71" s="23"/>
      <c r="V71" s="25" t="n">
        <f>138</f>
        <v>138.0</v>
      </c>
      <c r="W71" s="23"/>
      <c r="X71" s="26" t="n">
        <f>483</f>
        <v>483.0</v>
      </c>
      <c r="Y71" s="24"/>
      <c r="Z71" s="25" t="n">
        <f>3620</f>
        <v>3620.0</v>
      </c>
      <c r="AA71" s="23"/>
      <c r="AB71" s="25" t="n">
        <f>5187</f>
        <v>5187.0</v>
      </c>
      <c r="AC71" s="23"/>
      <c r="AD71" s="26" t="n">
        <f>8807</f>
        <v>8807.0</v>
      </c>
    </row>
    <row r="72">
      <c r="A72" s="30" t="s">
        <v>26</v>
      </c>
      <c r="B72" s="22" t="s">
        <v>63</v>
      </c>
      <c r="C72" s="22" t="s">
        <v>64</v>
      </c>
      <c r="D72" s="24"/>
      <c r="E72" s="25" t="n">
        <f>1970</f>
        <v>1970.0</v>
      </c>
      <c r="F72" s="23" t="s">
        <v>40</v>
      </c>
      <c r="G72" s="25" t="str">
        <f>"－"</f>
        <v>－</v>
      </c>
      <c r="H72" s="23"/>
      <c r="I72" s="26" t="n">
        <f>1970</f>
        <v>1970.0</v>
      </c>
      <c r="J72" s="24"/>
      <c r="K72" s="25" t="n">
        <f>903398000</f>
        <v>9.03398E8</v>
      </c>
      <c r="L72" s="23" t="s">
        <v>40</v>
      </c>
      <c r="M72" s="25" t="str">
        <f>"－"</f>
        <v>－</v>
      </c>
      <c r="N72" s="23"/>
      <c r="O72" s="26" t="n">
        <f>903398000</f>
        <v>9.03398E8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/>
      <c r="T72" s="25" t="n">
        <f>1970</f>
        <v>1970.0</v>
      </c>
      <c r="U72" s="23" t="s">
        <v>40</v>
      </c>
      <c r="V72" s="25" t="str">
        <f>"－"</f>
        <v>－</v>
      </c>
      <c r="W72" s="23"/>
      <c r="X72" s="26" t="n">
        <f>1970</f>
        <v>1970.0</v>
      </c>
      <c r="Y72" s="24"/>
      <c r="Z72" s="25" t="n">
        <f>82337</f>
        <v>82337.0</v>
      </c>
      <c r="AA72" s="23"/>
      <c r="AB72" s="25" t="n">
        <f>17977</f>
        <v>17977.0</v>
      </c>
      <c r="AC72" s="23"/>
      <c r="AD72" s="26" t="n">
        <f>100314</f>
        <v>100314.0</v>
      </c>
    </row>
    <row r="73">
      <c r="A73" s="30" t="s">
        <v>29</v>
      </c>
      <c r="B73" s="22" t="s">
        <v>63</v>
      </c>
      <c r="C73" s="22" t="s">
        <v>64</v>
      </c>
      <c r="D73" s="24" t="s">
        <v>40</v>
      </c>
      <c r="E73" s="25" t="str">
        <f>"－"</f>
        <v>－</v>
      </c>
      <c r="F73" s="23"/>
      <c r="G73" s="25" t="str">
        <f>"－"</f>
        <v>－</v>
      </c>
      <c r="H73" s="23" t="s">
        <v>40</v>
      </c>
      <c r="I73" s="26" t="str">
        <f>"－"</f>
        <v>－</v>
      </c>
      <c r="J73" s="24" t="s">
        <v>40</v>
      </c>
      <c r="K73" s="25" t="str">
        <f>"－"</f>
        <v>－</v>
      </c>
      <c r="L73" s="23"/>
      <c r="M73" s="25" t="str">
        <f>"－"</f>
        <v>－</v>
      </c>
      <c r="N73" s="23" t="s">
        <v>40</v>
      </c>
      <c r="O73" s="26" t="str">
        <f>"－"</f>
        <v>－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 t="s">
        <v>40</v>
      </c>
      <c r="T73" s="25" t="str">
        <f>"－"</f>
        <v>－</v>
      </c>
      <c r="U73" s="23"/>
      <c r="V73" s="25" t="str">
        <f>"－"</f>
        <v>－</v>
      </c>
      <c r="W73" s="23" t="s">
        <v>40</v>
      </c>
      <c r="X73" s="26" t="str">
        <f>"－"</f>
        <v>－</v>
      </c>
      <c r="Y73" s="24"/>
      <c r="Z73" s="25" t="n">
        <f>82337</f>
        <v>82337.0</v>
      </c>
      <c r="AA73" s="23"/>
      <c r="AB73" s="25" t="n">
        <f>17977</f>
        <v>17977.0</v>
      </c>
      <c r="AC73" s="23"/>
      <c r="AD73" s="26" t="n">
        <f>100314</f>
        <v>100314.0</v>
      </c>
    </row>
    <row r="74">
      <c r="A74" s="30" t="s">
        <v>30</v>
      </c>
      <c r="B74" s="22" t="s">
        <v>63</v>
      </c>
      <c r="C74" s="22" t="s">
        <v>64</v>
      </c>
      <c r="D74" s="24"/>
      <c r="E74" s="25" t="n">
        <f>250</f>
        <v>250.0</v>
      </c>
      <c r="F74" s="23"/>
      <c r="G74" s="25" t="str">
        <f>"－"</f>
        <v>－</v>
      </c>
      <c r="H74" s="23"/>
      <c r="I74" s="26" t="n">
        <f>250</f>
        <v>250.0</v>
      </c>
      <c r="J74" s="24"/>
      <c r="K74" s="25" t="n">
        <f>44125000</f>
        <v>4.4125E7</v>
      </c>
      <c r="L74" s="23"/>
      <c r="M74" s="25" t="str">
        <f>"－"</f>
        <v>－</v>
      </c>
      <c r="N74" s="23"/>
      <c r="O74" s="26" t="n">
        <f>44125000</f>
        <v>4.4125E7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/>
      <c r="T74" s="25" t="str">
        <f>"－"</f>
        <v>－</v>
      </c>
      <c r="U74" s="23"/>
      <c r="V74" s="25" t="str">
        <f>"－"</f>
        <v>－</v>
      </c>
      <c r="W74" s="23"/>
      <c r="X74" s="26" t="str">
        <f>"－"</f>
        <v>－</v>
      </c>
      <c r="Y74" s="24"/>
      <c r="Z74" s="25" t="n">
        <f>82337</f>
        <v>82337.0</v>
      </c>
      <c r="AA74" s="23"/>
      <c r="AB74" s="25" t="n">
        <f>17977</f>
        <v>17977.0</v>
      </c>
      <c r="AC74" s="23"/>
      <c r="AD74" s="26" t="n">
        <f>100314</f>
        <v>100314.0</v>
      </c>
    </row>
    <row r="75">
      <c r="A75" s="30" t="s">
        <v>31</v>
      </c>
      <c r="B75" s="22" t="s">
        <v>63</v>
      </c>
      <c r="C75" s="22" t="s">
        <v>64</v>
      </c>
      <c r="D75" s="24"/>
      <c r="E75" s="25" t="n">
        <f>1562</f>
        <v>1562.0</v>
      </c>
      <c r="F75" s="23"/>
      <c r="G75" s="25" t="n">
        <f>1562</f>
        <v>1562.0</v>
      </c>
      <c r="H75" s="23"/>
      <c r="I75" s="26" t="n">
        <f>3124</f>
        <v>3124.0</v>
      </c>
      <c r="J75" s="24"/>
      <c r="K75" s="25" t="n">
        <f>417480426</f>
        <v>4.17480426E8</v>
      </c>
      <c r="L75" s="23"/>
      <c r="M75" s="25" t="n">
        <f>159792600</f>
        <v>1.597926E8</v>
      </c>
      <c r="N75" s="23"/>
      <c r="O75" s="26" t="n">
        <f>577273026</f>
        <v>5.77273026E8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n">
        <f>1562</f>
        <v>1562.0</v>
      </c>
      <c r="U75" s="23"/>
      <c r="V75" s="25" t="n">
        <f>1562</f>
        <v>1562.0</v>
      </c>
      <c r="W75" s="23"/>
      <c r="X75" s="26" t="n">
        <f>3124</f>
        <v>3124.0</v>
      </c>
      <c r="Y75" s="24"/>
      <c r="Z75" s="25" t="n">
        <f>83899</f>
        <v>83899.0</v>
      </c>
      <c r="AA75" s="23"/>
      <c r="AB75" s="25" t="n">
        <f>19539</f>
        <v>19539.0</v>
      </c>
      <c r="AC75" s="23"/>
      <c r="AD75" s="26" t="n">
        <f>103438</f>
        <v>103438.0</v>
      </c>
    </row>
    <row r="76">
      <c r="A76" s="30" t="s">
        <v>32</v>
      </c>
      <c r="B76" s="22" t="s">
        <v>63</v>
      </c>
      <c r="C76" s="22" t="s">
        <v>64</v>
      </c>
      <c r="D76" s="24"/>
      <c r="E76" s="25"/>
      <c r="F76" s="23"/>
      <c r="G76" s="25"/>
      <c r="H76" s="23"/>
      <c r="I76" s="26"/>
      <c r="J76" s="24"/>
      <c r="K76" s="25"/>
      <c r="L76" s="23"/>
      <c r="M76" s="25"/>
      <c r="N76" s="23"/>
      <c r="O76" s="26"/>
      <c r="P76" s="27"/>
      <c r="Q76" s="28"/>
      <c r="R76" s="29"/>
      <c r="S76" s="24"/>
      <c r="T76" s="25"/>
      <c r="U76" s="23"/>
      <c r="V76" s="25"/>
      <c r="W76" s="23"/>
      <c r="X76" s="26"/>
      <c r="Y76" s="24"/>
      <c r="Z76" s="25"/>
      <c r="AA76" s="23"/>
      <c r="AB76" s="25"/>
      <c r="AC76" s="23"/>
      <c r="AD76" s="26"/>
    </row>
    <row r="77">
      <c r="A77" s="30" t="s">
        <v>33</v>
      </c>
      <c r="B77" s="22" t="s">
        <v>63</v>
      </c>
      <c r="C77" s="22" t="s">
        <v>64</v>
      </c>
      <c r="D77" s="24"/>
      <c r="E77" s="25"/>
      <c r="F77" s="23"/>
      <c r="G77" s="25"/>
      <c r="H77" s="23"/>
      <c r="I77" s="26"/>
      <c r="J77" s="24"/>
      <c r="K77" s="25"/>
      <c r="L77" s="23"/>
      <c r="M77" s="25"/>
      <c r="N77" s="23"/>
      <c r="O77" s="26"/>
      <c r="P77" s="27"/>
      <c r="Q77" s="28"/>
      <c r="R77" s="29"/>
      <c r="S77" s="24"/>
      <c r="T77" s="25"/>
      <c r="U77" s="23"/>
      <c r="V77" s="25"/>
      <c r="W77" s="23"/>
      <c r="X77" s="26"/>
      <c r="Y77" s="24"/>
      <c r="Z77" s="25"/>
      <c r="AA77" s="23"/>
      <c r="AB77" s="25"/>
      <c r="AC77" s="23"/>
      <c r="AD77" s="26"/>
    </row>
    <row r="78">
      <c r="A78" s="30" t="s">
        <v>34</v>
      </c>
      <c r="B78" s="22" t="s">
        <v>63</v>
      </c>
      <c r="C78" s="22" t="s">
        <v>64</v>
      </c>
      <c r="D78" s="24"/>
      <c r="E78" s="25" t="n">
        <f>6750</f>
        <v>6750.0</v>
      </c>
      <c r="F78" s="23"/>
      <c r="G78" s="25" t="n">
        <f>962</f>
        <v>962.0</v>
      </c>
      <c r="H78" s="23"/>
      <c r="I78" s="26" t="n">
        <f>7712</f>
        <v>7712.0</v>
      </c>
      <c r="J78" s="24"/>
      <c r="K78" s="25" t="n">
        <f>4937134712</f>
        <v>4.937134712E9</v>
      </c>
      <c r="L78" s="23"/>
      <c r="M78" s="25" t="n">
        <f>151996000</f>
        <v>1.51996E8</v>
      </c>
      <c r="N78" s="23"/>
      <c r="O78" s="26" t="n">
        <f>5089130712</f>
        <v>5.089130712E9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 t="s">
        <v>36</v>
      </c>
      <c r="T78" s="25" t="n">
        <f>6750</f>
        <v>6750.0</v>
      </c>
      <c r="U78" s="23"/>
      <c r="V78" s="25" t="n">
        <f>962</f>
        <v>962.0</v>
      </c>
      <c r="W78" s="23"/>
      <c r="X78" s="26" t="n">
        <f>7712</f>
        <v>7712.0</v>
      </c>
      <c r="Y78" s="24"/>
      <c r="Z78" s="25" t="n">
        <f>90649</f>
        <v>90649.0</v>
      </c>
      <c r="AA78" s="23"/>
      <c r="AB78" s="25" t="n">
        <f>20501</f>
        <v>20501.0</v>
      </c>
      <c r="AC78" s="23"/>
      <c r="AD78" s="26" t="n">
        <f>111150</f>
        <v>111150.0</v>
      </c>
    </row>
    <row r="79">
      <c r="A79" s="30" t="s">
        <v>35</v>
      </c>
      <c r="B79" s="22" t="s">
        <v>63</v>
      </c>
      <c r="C79" s="22" t="s">
        <v>64</v>
      </c>
      <c r="D79" s="24"/>
      <c r="E79" s="25" t="n">
        <f>5066</f>
        <v>5066.0</v>
      </c>
      <c r="F79" s="23" t="s">
        <v>36</v>
      </c>
      <c r="G79" s="25" t="n">
        <f>3522</f>
        <v>3522.0</v>
      </c>
      <c r="H79" s="23"/>
      <c r="I79" s="26" t="n">
        <f>8588</f>
        <v>8588.0</v>
      </c>
      <c r="J79" s="24"/>
      <c r="K79" s="25" t="n">
        <f>3490064700</f>
        <v>3.4900647E9</v>
      </c>
      <c r="L79" s="23" t="s">
        <v>36</v>
      </c>
      <c r="M79" s="25" t="n">
        <f>1888545300</f>
        <v>1.8885453E9</v>
      </c>
      <c r="N79" s="23"/>
      <c r="O79" s="26" t="n">
        <f>5378610000</f>
        <v>5.37861E9</v>
      </c>
      <c r="P79" s="27" t="str">
        <f>"－"</f>
        <v>－</v>
      </c>
      <c r="Q79" s="28" t="str">
        <f>"－"</f>
        <v>－</v>
      </c>
      <c r="R79" s="29" t="str">
        <f>"－"</f>
        <v>－</v>
      </c>
      <c r="S79" s="24"/>
      <c r="T79" s="25" t="n">
        <f>4644</f>
        <v>4644.0</v>
      </c>
      <c r="U79" s="23" t="s">
        <v>36</v>
      </c>
      <c r="V79" s="25" t="n">
        <f>3100</f>
        <v>3100.0</v>
      </c>
      <c r="W79" s="23" t="s">
        <v>36</v>
      </c>
      <c r="X79" s="26" t="n">
        <f>7744</f>
        <v>7744.0</v>
      </c>
      <c r="Y79" s="24"/>
      <c r="Z79" s="25" t="n">
        <f>92037</f>
        <v>92037.0</v>
      </c>
      <c r="AA79" s="23" t="s">
        <v>36</v>
      </c>
      <c r="AB79" s="25" t="n">
        <f>20531</f>
        <v>20531.0</v>
      </c>
      <c r="AC79" s="23"/>
      <c r="AD79" s="26" t="n">
        <f>112568</f>
        <v>112568.0</v>
      </c>
    </row>
    <row r="80">
      <c r="A80" s="30" t="s">
        <v>37</v>
      </c>
      <c r="B80" s="22" t="s">
        <v>63</v>
      </c>
      <c r="C80" s="22" t="s">
        <v>64</v>
      </c>
      <c r="D80" s="24"/>
      <c r="E80" s="25" t="n">
        <f>4765</f>
        <v>4765.0</v>
      </c>
      <c r="F80" s="23"/>
      <c r="G80" s="25" t="str">
        <f>"－"</f>
        <v>－</v>
      </c>
      <c r="H80" s="23"/>
      <c r="I80" s="26" t="n">
        <f>4765</f>
        <v>4765.0</v>
      </c>
      <c r="J80" s="24" t="s">
        <v>36</v>
      </c>
      <c r="K80" s="25" t="n">
        <f>5900423100</f>
        <v>5.9004231E9</v>
      </c>
      <c r="L80" s="23"/>
      <c r="M80" s="25" t="str">
        <f>"－"</f>
        <v>－</v>
      </c>
      <c r="N80" s="23" t="s">
        <v>36</v>
      </c>
      <c r="O80" s="26" t="n">
        <f>5900423100</f>
        <v>5.9004231E9</v>
      </c>
      <c r="P80" s="27" t="str">
        <f>"－"</f>
        <v>－</v>
      </c>
      <c r="Q80" s="28" t="str">
        <f>"－"</f>
        <v>－</v>
      </c>
      <c r="R80" s="29" t="str">
        <f>"－"</f>
        <v>－</v>
      </c>
      <c r="S80" s="24"/>
      <c r="T80" s="25" t="n">
        <f>4465</f>
        <v>4465.0</v>
      </c>
      <c r="U80" s="23"/>
      <c r="V80" s="25" t="str">
        <f>"－"</f>
        <v>－</v>
      </c>
      <c r="W80" s="23"/>
      <c r="X80" s="26" t="n">
        <f>4465</f>
        <v>4465.0</v>
      </c>
      <c r="Y80" s="24"/>
      <c r="Z80" s="25" t="n">
        <f>94568</f>
        <v>94568.0</v>
      </c>
      <c r="AA80" s="23"/>
      <c r="AB80" s="25" t="n">
        <f>20531</f>
        <v>20531.0</v>
      </c>
      <c r="AC80" s="23"/>
      <c r="AD80" s="26" t="n">
        <f>115099</f>
        <v>115099.0</v>
      </c>
    </row>
    <row r="81">
      <c r="A81" s="30" t="s">
        <v>38</v>
      </c>
      <c r="B81" s="22" t="s">
        <v>63</v>
      </c>
      <c r="C81" s="22" t="s">
        <v>64</v>
      </c>
      <c r="D81" s="24"/>
      <c r="E81" s="25" t="n">
        <f>3458</f>
        <v>3458.0</v>
      </c>
      <c r="F81" s="23"/>
      <c r="G81" s="25" t="str">
        <f>"－"</f>
        <v>－</v>
      </c>
      <c r="H81" s="23"/>
      <c r="I81" s="26" t="n">
        <f>3458</f>
        <v>3458.0</v>
      </c>
      <c r="J81" s="24"/>
      <c r="K81" s="25" t="n">
        <f>2247926000</f>
        <v>2.247926E9</v>
      </c>
      <c r="L81" s="23"/>
      <c r="M81" s="25" t="str">
        <f>"－"</f>
        <v>－</v>
      </c>
      <c r="N81" s="23"/>
      <c r="O81" s="26" t="n">
        <f>2247926000</f>
        <v>2.247926E9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/>
      <c r="T81" s="25" t="n">
        <f>3258</f>
        <v>3258.0</v>
      </c>
      <c r="U81" s="23"/>
      <c r="V81" s="25" t="str">
        <f>"－"</f>
        <v>－</v>
      </c>
      <c r="W81" s="23"/>
      <c r="X81" s="26" t="n">
        <f>3258</f>
        <v>3258.0</v>
      </c>
      <c r="Y81" s="24" t="s">
        <v>36</v>
      </c>
      <c r="Z81" s="25" t="n">
        <f>97673</f>
        <v>97673.0</v>
      </c>
      <c r="AA81" s="23"/>
      <c r="AB81" s="25" t="n">
        <f>20531</f>
        <v>20531.0</v>
      </c>
      <c r="AC81" s="23" t="s">
        <v>36</v>
      </c>
      <c r="AD81" s="26" t="n">
        <f>118204</f>
        <v>118204.0</v>
      </c>
    </row>
    <row r="82">
      <c r="A82" s="30" t="s">
        <v>39</v>
      </c>
      <c r="B82" s="22" t="s">
        <v>63</v>
      </c>
      <c r="C82" s="22" t="s">
        <v>64</v>
      </c>
      <c r="D82" s="24"/>
      <c r="E82" s="25" t="n">
        <f>1284</f>
        <v>1284.0</v>
      </c>
      <c r="F82" s="23"/>
      <c r="G82" s="25" t="n">
        <f>1284</f>
        <v>1284.0</v>
      </c>
      <c r="H82" s="23"/>
      <c r="I82" s="26" t="n">
        <f>2568</f>
        <v>2568.0</v>
      </c>
      <c r="J82" s="24"/>
      <c r="K82" s="25" t="n">
        <f>301611600</f>
        <v>3.016116E8</v>
      </c>
      <c r="L82" s="23"/>
      <c r="M82" s="25" t="n">
        <f>141882000</f>
        <v>1.41882E8</v>
      </c>
      <c r="N82" s="23"/>
      <c r="O82" s="26" t="n">
        <f>443493600</f>
        <v>4.434936E8</v>
      </c>
      <c r="P82" s="27" t="n">
        <f>8141</f>
        <v>8141.0</v>
      </c>
      <c r="Q82" s="28" t="str">
        <f>"－"</f>
        <v>－</v>
      </c>
      <c r="R82" s="29" t="n">
        <f>8141</f>
        <v>8141.0</v>
      </c>
      <c r="S82" s="24"/>
      <c r="T82" s="25" t="n">
        <f>1284</f>
        <v>1284.0</v>
      </c>
      <c r="U82" s="23"/>
      <c r="V82" s="25" t="n">
        <f>1284</f>
        <v>1284.0</v>
      </c>
      <c r="W82" s="23"/>
      <c r="X82" s="26" t="n">
        <f>2568</f>
        <v>2568.0</v>
      </c>
      <c r="Y82" s="24" t="s">
        <v>40</v>
      </c>
      <c r="Z82" s="25" t="n">
        <f>68420</f>
        <v>68420.0</v>
      </c>
      <c r="AA82" s="23" t="s">
        <v>40</v>
      </c>
      <c r="AB82" s="25" t="n">
        <f>14445</f>
        <v>14445.0</v>
      </c>
      <c r="AC82" s="23" t="s">
        <v>40</v>
      </c>
      <c r="AD82" s="26" t="n">
        <f>82865</f>
        <v>82865.0</v>
      </c>
    </row>
    <row r="83">
      <c r="A83" s="30" t="s">
        <v>41</v>
      </c>
      <c r="B83" s="22" t="s">
        <v>63</v>
      </c>
      <c r="C83" s="22" t="s">
        <v>64</v>
      </c>
      <c r="D83" s="24"/>
      <c r="E83" s="25"/>
      <c r="F83" s="23"/>
      <c r="G83" s="25"/>
      <c r="H83" s="23"/>
      <c r="I83" s="26"/>
      <c r="J83" s="24"/>
      <c r="K83" s="25"/>
      <c r="L83" s="23"/>
      <c r="M83" s="25"/>
      <c r="N83" s="23"/>
      <c r="O83" s="26"/>
      <c r="P83" s="27"/>
      <c r="Q83" s="28"/>
      <c r="R83" s="29"/>
      <c r="S83" s="24"/>
      <c r="T83" s="25"/>
      <c r="U83" s="23"/>
      <c r="V83" s="25"/>
      <c r="W83" s="23"/>
      <c r="X83" s="26"/>
      <c r="Y83" s="24"/>
      <c r="Z83" s="25"/>
      <c r="AA83" s="23"/>
      <c r="AB83" s="25"/>
      <c r="AC83" s="23"/>
      <c r="AD83" s="26"/>
    </row>
    <row r="84">
      <c r="A84" s="30" t="s">
        <v>42</v>
      </c>
      <c r="B84" s="22" t="s">
        <v>63</v>
      </c>
      <c r="C84" s="22" t="s">
        <v>64</v>
      </c>
      <c r="D84" s="24"/>
      <c r="E84" s="25"/>
      <c r="F84" s="23"/>
      <c r="G84" s="25"/>
      <c r="H84" s="23"/>
      <c r="I84" s="26"/>
      <c r="J84" s="24"/>
      <c r="K84" s="25"/>
      <c r="L84" s="23"/>
      <c r="M84" s="25"/>
      <c r="N84" s="23"/>
      <c r="O84" s="26"/>
      <c r="P84" s="27"/>
      <c r="Q84" s="28"/>
      <c r="R84" s="29"/>
      <c r="S84" s="24"/>
      <c r="T84" s="25"/>
      <c r="U84" s="23"/>
      <c r="V84" s="25"/>
      <c r="W84" s="23"/>
      <c r="X84" s="26"/>
      <c r="Y84" s="24"/>
      <c r="Z84" s="25"/>
      <c r="AA84" s="23"/>
      <c r="AB84" s="25"/>
      <c r="AC84" s="23"/>
      <c r="AD84" s="26"/>
    </row>
    <row r="85">
      <c r="A85" s="30" t="s">
        <v>43</v>
      </c>
      <c r="B85" s="22" t="s">
        <v>63</v>
      </c>
      <c r="C85" s="22" t="s">
        <v>64</v>
      </c>
      <c r="D85" s="24"/>
      <c r="E85" s="25" t="n">
        <f>2118</f>
        <v>2118.0</v>
      </c>
      <c r="F85" s="23"/>
      <c r="G85" s="25" t="n">
        <f>659</f>
        <v>659.0</v>
      </c>
      <c r="H85" s="23"/>
      <c r="I85" s="26" t="n">
        <f>2777</f>
        <v>2777.0</v>
      </c>
      <c r="J85" s="24"/>
      <c r="K85" s="25" t="n">
        <f>1423307600</f>
        <v>1.4233076E9</v>
      </c>
      <c r="L85" s="23"/>
      <c r="M85" s="25" t="n">
        <f>414193362</f>
        <v>4.14193362E8</v>
      </c>
      <c r="N85" s="23"/>
      <c r="O85" s="26" t="n">
        <f>1837500962</f>
        <v>1.837500962E9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n">
        <f>1918</f>
        <v>1918.0</v>
      </c>
      <c r="U85" s="23"/>
      <c r="V85" s="25" t="n">
        <f>659</f>
        <v>659.0</v>
      </c>
      <c r="W85" s="23"/>
      <c r="X85" s="26" t="n">
        <f>2577</f>
        <v>2577.0</v>
      </c>
      <c r="Y85" s="24"/>
      <c r="Z85" s="25" t="n">
        <f>69338</f>
        <v>69338.0</v>
      </c>
      <c r="AA85" s="23"/>
      <c r="AB85" s="25" t="n">
        <f>15104</f>
        <v>15104.0</v>
      </c>
      <c r="AC85" s="23"/>
      <c r="AD85" s="26" t="n">
        <f>84442</f>
        <v>84442.0</v>
      </c>
    </row>
    <row r="86">
      <c r="A86" s="30" t="s">
        <v>44</v>
      </c>
      <c r="B86" s="22" t="s">
        <v>63</v>
      </c>
      <c r="C86" s="22" t="s">
        <v>64</v>
      </c>
      <c r="D86" s="24"/>
      <c r="E86" s="25" t="n">
        <f>1070</f>
        <v>1070.0</v>
      </c>
      <c r="F86" s="23"/>
      <c r="G86" s="25" t="n">
        <f>140</f>
        <v>140.0</v>
      </c>
      <c r="H86" s="23"/>
      <c r="I86" s="26" t="n">
        <f>1210</f>
        <v>1210.0</v>
      </c>
      <c r="J86" s="24"/>
      <c r="K86" s="25" t="n">
        <f>441387000</f>
        <v>4.41387E8</v>
      </c>
      <c r="L86" s="23"/>
      <c r="M86" s="25" t="n">
        <f>212800000</f>
        <v>2.128E8</v>
      </c>
      <c r="N86" s="23"/>
      <c r="O86" s="26" t="n">
        <f>654187000</f>
        <v>6.54187E8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n">
        <f>930</f>
        <v>930.0</v>
      </c>
      <c r="U86" s="23"/>
      <c r="V86" s="25" t="str">
        <f>"－"</f>
        <v>－</v>
      </c>
      <c r="W86" s="23"/>
      <c r="X86" s="26" t="n">
        <f>930</f>
        <v>930.0</v>
      </c>
      <c r="Y86" s="24"/>
      <c r="Z86" s="25" t="n">
        <f>69478</f>
        <v>69478.0</v>
      </c>
      <c r="AA86" s="23"/>
      <c r="AB86" s="25" t="n">
        <f>15244</f>
        <v>15244.0</v>
      </c>
      <c r="AC86" s="23"/>
      <c r="AD86" s="26" t="n">
        <f>84722</f>
        <v>84722.0</v>
      </c>
    </row>
    <row r="87">
      <c r="A87" s="30" t="s">
        <v>45</v>
      </c>
      <c r="B87" s="22" t="s">
        <v>63</v>
      </c>
      <c r="C87" s="22" t="s">
        <v>64</v>
      </c>
      <c r="D87" s="24"/>
      <c r="E87" s="25" t="n">
        <f>2112</f>
        <v>2112.0</v>
      </c>
      <c r="F87" s="23"/>
      <c r="G87" s="25" t="n">
        <f>350</f>
        <v>350.0</v>
      </c>
      <c r="H87" s="23"/>
      <c r="I87" s="26" t="n">
        <f>2462</f>
        <v>2462.0</v>
      </c>
      <c r="J87" s="24"/>
      <c r="K87" s="25" t="n">
        <f>1039171090</f>
        <v>1.03917109E9</v>
      </c>
      <c r="L87" s="23"/>
      <c r="M87" s="25" t="n">
        <f>532000000</f>
        <v>5.32E8</v>
      </c>
      <c r="N87" s="23"/>
      <c r="O87" s="26" t="n">
        <f>1571171090</f>
        <v>1.57117109E9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n">
        <f>1562</f>
        <v>1562.0</v>
      </c>
      <c r="U87" s="23"/>
      <c r="V87" s="25" t="str">
        <f>"－"</f>
        <v>－</v>
      </c>
      <c r="W87" s="23"/>
      <c r="X87" s="26" t="n">
        <f>1562</f>
        <v>1562.0</v>
      </c>
      <c r="Y87" s="24"/>
      <c r="Z87" s="25" t="n">
        <f>68466</f>
        <v>68466.0</v>
      </c>
      <c r="AA87" s="23"/>
      <c r="AB87" s="25" t="n">
        <f>15594</f>
        <v>15594.0</v>
      </c>
      <c r="AC87" s="23"/>
      <c r="AD87" s="26" t="n">
        <f>84060</f>
        <v>84060.0</v>
      </c>
    </row>
    <row r="88">
      <c r="A88" s="30" t="s">
        <v>46</v>
      </c>
      <c r="B88" s="22" t="s">
        <v>63</v>
      </c>
      <c r="C88" s="22" t="s">
        <v>64</v>
      </c>
      <c r="D88" s="24"/>
      <c r="E88" s="25" t="n">
        <f>2979</f>
        <v>2979.0</v>
      </c>
      <c r="F88" s="23"/>
      <c r="G88" s="25" t="str">
        <f>"－"</f>
        <v>－</v>
      </c>
      <c r="H88" s="23"/>
      <c r="I88" s="26" t="n">
        <f>2979</f>
        <v>2979.0</v>
      </c>
      <c r="J88" s="24"/>
      <c r="K88" s="25" t="n">
        <f>812970100</f>
        <v>8.129701E8</v>
      </c>
      <c r="L88" s="23"/>
      <c r="M88" s="25" t="str">
        <f>"－"</f>
        <v>－</v>
      </c>
      <c r="N88" s="23"/>
      <c r="O88" s="26" t="n">
        <f>812970100</f>
        <v>8.129701E8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/>
      <c r="T88" s="25" t="n">
        <f>2979</f>
        <v>2979.0</v>
      </c>
      <c r="U88" s="23"/>
      <c r="V88" s="25" t="str">
        <f>"－"</f>
        <v>－</v>
      </c>
      <c r="W88" s="23"/>
      <c r="X88" s="26" t="n">
        <f>2979</f>
        <v>2979.0</v>
      </c>
      <c r="Y88" s="24"/>
      <c r="Z88" s="25" t="n">
        <f>69575</f>
        <v>69575.0</v>
      </c>
      <c r="AA88" s="23"/>
      <c r="AB88" s="25" t="n">
        <f>15594</f>
        <v>15594.0</v>
      </c>
      <c r="AC88" s="23"/>
      <c r="AD88" s="26" t="n">
        <f>85169</f>
        <v>85169.0</v>
      </c>
    </row>
    <row r="89">
      <c r="A89" s="30" t="s">
        <v>47</v>
      </c>
      <c r="B89" s="22" t="s">
        <v>63</v>
      </c>
      <c r="C89" s="22" t="s">
        <v>64</v>
      </c>
      <c r="D89" s="24"/>
      <c r="E89" s="25" t="n">
        <f>1600</f>
        <v>1600.0</v>
      </c>
      <c r="F89" s="23"/>
      <c r="G89" s="25" t="n">
        <f>1300</f>
        <v>1300.0</v>
      </c>
      <c r="H89" s="23"/>
      <c r="I89" s="26" t="n">
        <f>2900</f>
        <v>2900.0</v>
      </c>
      <c r="J89" s="24"/>
      <c r="K89" s="25" t="n">
        <f>276400000</f>
        <v>2.764E8</v>
      </c>
      <c r="L89" s="23"/>
      <c r="M89" s="25" t="n">
        <f>13000000</f>
        <v>1.3E7</v>
      </c>
      <c r="N89" s="23"/>
      <c r="O89" s="26" t="n">
        <f>289400000</f>
        <v>2.894E8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n">
        <f>300</f>
        <v>300.0</v>
      </c>
      <c r="U89" s="23"/>
      <c r="V89" s="25" t="str">
        <f>"－"</f>
        <v>－</v>
      </c>
      <c r="W89" s="23"/>
      <c r="X89" s="26" t="n">
        <f>300</f>
        <v>300.0</v>
      </c>
      <c r="Y89" s="24"/>
      <c r="Z89" s="25" t="n">
        <f>70875</f>
        <v>70875.0</v>
      </c>
      <c r="AA89" s="23"/>
      <c r="AB89" s="25" t="n">
        <f>16594</f>
        <v>16594.0</v>
      </c>
      <c r="AC89" s="23"/>
      <c r="AD89" s="26" t="n">
        <f>87469</f>
        <v>87469.0</v>
      </c>
    </row>
    <row r="90">
      <c r="A90" s="30" t="s">
        <v>48</v>
      </c>
      <c r="B90" s="22" t="s">
        <v>63</v>
      </c>
      <c r="C90" s="22" t="s">
        <v>64</v>
      </c>
      <c r="D90" s="24"/>
      <c r="E90" s="25"/>
      <c r="F90" s="23"/>
      <c r="G90" s="25"/>
      <c r="H90" s="23"/>
      <c r="I90" s="26"/>
      <c r="J90" s="24"/>
      <c r="K90" s="25"/>
      <c r="L90" s="23"/>
      <c r="M90" s="25"/>
      <c r="N90" s="23"/>
      <c r="O90" s="26"/>
      <c r="P90" s="27"/>
      <c r="Q90" s="28"/>
      <c r="R90" s="29"/>
      <c r="S90" s="24"/>
      <c r="T90" s="25"/>
      <c r="U90" s="23"/>
      <c r="V90" s="25"/>
      <c r="W90" s="23"/>
      <c r="X90" s="26"/>
      <c r="Y90" s="24"/>
      <c r="Z90" s="25"/>
      <c r="AA90" s="23"/>
      <c r="AB90" s="25"/>
      <c r="AC90" s="23"/>
      <c r="AD90" s="26"/>
    </row>
    <row r="91">
      <c r="A91" s="30" t="s">
        <v>49</v>
      </c>
      <c r="B91" s="22" t="s">
        <v>63</v>
      </c>
      <c r="C91" s="22" t="s">
        <v>64</v>
      </c>
      <c r="D91" s="24"/>
      <c r="E91" s="25"/>
      <c r="F91" s="23"/>
      <c r="G91" s="25"/>
      <c r="H91" s="23"/>
      <c r="I91" s="26"/>
      <c r="J91" s="24"/>
      <c r="K91" s="25"/>
      <c r="L91" s="23"/>
      <c r="M91" s="25"/>
      <c r="N91" s="23"/>
      <c r="O91" s="26"/>
      <c r="P91" s="27"/>
      <c r="Q91" s="28"/>
      <c r="R91" s="29"/>
      <c r="S91" s="24"/>
      <c r="T91" s="25"/>
      <c r="U91" s="23"/>
      <c r="V91" s="25"/>
      <c r="W91" s="23"/>
      <c r="X91" s="26"/>
      <c r="Y91" s="24"/>
      <c r="Z91" s="25"/>
      <c r="AA91" s="23"/>
      <c r="AB91" s="25"/>
      <c r="AC91" s="23"/>
      <c r="AD91" s="26"/>
    </row>
    <row r="92">
      <c r="A92" s="30" t="s">
        <v>50</v>
      </c>
      <c r="B92" s="22" t="s">
        <v>63</v>
      </c>
      <c r="C92" s="22" t="s">
        <v>64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51</v>
      </c>
      <c r="B93" s="22" t="s">
        <v>63</v>
      </c>
      <c r="C93" s="22" t="s">
        <v>64</v>
      </c>
      <c r="D93" s="24"/>
      <c r="E93" s="25" t="n">
        <f>2111</f>
        <v>2111.0</v>
      </c>
      <c r="F93" s="23"/>
      <c r="G93" s="25" t="n">
        <f>700</f>
        <v>700.0</v>
      </c>
      <c r="H93" s="23"/>
      <c r="I93" s="26" t="n">
        <f>2811</f>
        <v>2811.0</v>
      </c>
      <c r="J93" s="24"/>
      <c r="K93" s="25" t="n">
        <f>973328465</f>
        <v>9.73328465E8</v>
      </c>
      <c r="L93" s="23"/>
      <c r="M93" s="25" t="n">
        <f>138600000</f>
        <v>1.386E8</v>
      </c>
      <c r="N93" s="23"/>
      <c r="O93" s="26" t="n">
        <f>1111928465</f>
        <v>1.111928465E9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n">
        <f>2111</f>
        <v>2111.0</v>
      </c>
      <c r="U93" s="23"/>
      <c r="V93" s="25" t="str">
        <f>"－"</f>
        <v>－</v>
      </c>
      <c r="W93" s="23"/>
      <c r="X93" s="26" t="n">
        <f>2111</f>
        <v>2111.0</v>
      </c>
      <c r="Y93" s="24"/>
      <c r="Z93" s="25" t="n">
        <f>72986</f>
        <v>72986.0</v>
      </c>
      <c r="AA93" s="23"/>
      <c r="AB93" s="25" t="n">
        <f>15894</f>
        <v>15894.0</v>
      </c>
      <c r="AC93" s="23"/>
      <c r="AD93" s="26" t="n">
        <f>88880</f>
        <v>88880.0</v>
      </c>
    </row>
    <row r="94">
      <c r="A94" s="30" t="s">
        <v>52</v>
      </c>
      <c r="B94" s="22" t="s">
        <v>63</v>
      </c>
      <c r="C94" s="22" t="s">
        <v>64</v>
      </c>
      <c r="D94" s="24"/>
      <c r="E94" s="25" t="str">
        <f>"－"</f>
        <v>－</v>
      </c>
      <c r="F94" s="23"/>
      <c r="G94" s="25" t="str">
        <f>"－"</f>
        <v>－</v>
      </c>
      <c r="H94" s="23"/>
      <c r="I94" s="26" t="str">
        <f>"－"</f>
        <v>－</v>
      </c>
      <c r="J94" s="24"/>
      <c r="K94" s="25" t="str">
        <f>"－"</f>
        <v>－</v>
      </c>
      <c r="L94" s="23"/>
      <c r="M94" s="25" t="str">
        <f>"－"</f>
        <v>－</v>
      </c>
      <c r="N94" s="23"/>
      <c r="O94" s="26" t="str">
        <f>"－"</f>
        <v>－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/>
      <c r="T94" s="25" t="str">
        <f>"－"</f>
        <v>－</v>
      </c>
      <c r="U94" s="23"/>
      <c r="V94" s="25" t="str">
        <f>"－"</f>
        <v>－</v>
      </c>
      <c r="W94" s="23"/>
      <c r="X94" s="26" t="str">
        <f>"－"</f>
        <v>－</v>
      </c>
      <c r="Y94" s="24"/>
      <c r="Z94" s="25" t="n">
        <f>72986</f>
        <v>72986.0</v>
      </c>
      <c r="AA94" s="23"/>
      <c r="AB94" s="25" t="n">
        <f>15894</f>
        <v>15894.0</v>
      </c>
      <c r="AC94" s="23"/>
      <c r="AD94" s="26" t="n">
        <f>88880</f>
        <v>88880.0</v>
      </c>
    </row>
    <row r="95">
      <c r="A95" s="30" t="s">
        <v>53</v>
      </c>
      <c r="B95" s="22" t="s">
        <v>63</v>
      </c>
      <c r="C95" s="22" t="s">
        <v>64</v>
      </c>
      <c r="D95" s="24"/>
      <c r="E95" s="25" t="n">
        <f>2932</f>
        <v>2932.0</v>
      </c>
      <c r="F95" s="23"/>
      <c r="G95" s="25" t="n">
        <f>400</f>
        <v>400.0</v>
      </c>
      <c r="H95" s="23"/>
      <c r="I95" s="26" t="n">
        <f>3332</f>
        <v>3332.0</v>
      </c>
      <c r="J95" s="24"/>
      <c r="K95" s="25" t="n">
        <f>492293000</f>
        <v>4.92293E8</v>
      </c>
      <c r="L95" s="23"/>
      <c r="M95" s="25" t="n">
        <f>4000000</f>
        <v>4000000.0</v>
      </c>
      <c r="N95" s="23"/>
      <c r="O95" s="26" t="n">
        <f>496293000</f>
        <v>4.96293E8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n">
        <f>2532</f>
        <v>2532.0</v>
      </c>
      <c r="U95" s="23"/>
      <c r="V95" s="25" t="str">
        <f>"－"</f>
        <v>－</v>
      </c>
      <c r="W95" s="23"/>
      <c r="X95" s="26" t="n">
        <f>2532</f>
        <v>2532.0</v>
      </c>
      <c r="Y95" s="24"/>
      <c r="Z95" s="25" t="n">
        <f>74652</f>
        <v>74652.0</v>
      </c>
      <c r="AA95" s="23"/>
      <c r="AB95" s="25" t="n">
        <f>16294</f>
        <v>16294.0</v>
      </c>
      <c r="AC95" s="23"/>
      <c r="AD95" s="26" t="n">
        <f>90946</f>
        <v>90946.0</v>
      </c>
    </row>
    <row r="96">
      <c r="A96" s="30" t="s">
        <v>54</v>
      </c>
      <c r="B96" s="22" t="s">
        <v>63</v>
      </c>
      <c r="C96" s="22" t="s">
        <v>64</v>
      </c>
      <c r="D96" s="24"/>
      <c r="E96" s="25" t="n">
        <f>300</f>
        <v>300.0</v>
      </c>
      <c r="F96" s="23"/>
      <c r="G96" s="25" t="str">
        <f>"－"</f>
        <v>－</v>
      </c>
      <c r="H96" s="23"/>
      <c r="I96" s="26" t="n">
        <f>300</f>
        <v>300.0</v>
      </c>
      <c r="J96" s="24"/>
      <c r="K96" s="25" t="n">
        <f>8160000</f>
        <v>8160000.0</v>
      </c>
      <c r="L96" s="23"/>
      <c r="M96" s="25" t="str">
        <f>"－"</f>
        <v>－</v>
      </c>
      <c r="N96" s="23"/>
      <c r="O96" s="26" t="n">
        <f>8160000</f>
        <v>8160000.0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/>
      <c r="V96" s="25" t="str">
        <f>"－"</f>
        <v>－</v>
      </c>
      <c r="W96" s="23"/>
      <c r="X96" s="26" t="str">
        <f>"－"</f>
        <v>－</v>
      </c>
      <c r="Y96" s="24"/>
      <c r="Z96" s="25" t="n">
        <f>74952</f>
        <v>74952.0</v>
      </c>
      <c r="AA96" s="23"/>
      <c r="AB96" s="25" t="n">
        <f>16294</f>
        <v>16294.0</v>
      </c>
      <c r="AC96" s="23"/>
      <c r="AD96" s="26" t="n">
        <f>91246</f>
        <v>91246.0</v>
      </c>
    </row>
    <row r="97">
      <c r="A97" s="30" t="s">
        <v>55</v>
      </c>
      <c r="B97" s="22" t="s">
        <v>63</v>
      </c>
      <c r="C97" s="22" t="s">
        <v>64</v>
      </c>
      <c r="D97" s="24"/>
      <c r="E97" s="25"/>
      <c r="F97" s="23"/>
      <c r="G97" s="25"/>
      <c r="H97" s="23"/>
      <c r="I97" s="26"/>
      <c r="J97" s="24"/>
      <c r="K97" s="25"/>
      <c r="L97" s="23"/>
      <c r="M97" s="25"/>
      <c r="N97" s="23"/>
      <c r="O97" s="26"/>
      <c r="P97" s="27"/>
      <c r="Q97" s="28"/>
      <c r="R97" s="29"/>
      <c r="S97" s="24"/>
      <c r="T97" s="25"/>
      <c r="U97" s="23"/>
      <c r="V97" s="25"/>
      <c r="W97" s="23"/>
      <c r="X97" s="26"/>
      <c r="Y97" s="24"/>
      <c r="Z97" s="25"/>
      <c r="AA97" s="23"/>
      <c r="AB97" s="25"/>
      <c r="AC97" s="23"/>
      <c r="AD97" s="26"/>
    </row>
    <row r="98">
      <c r="A98" s="30" t="s">
        <v>56</v>
      </c>
      <c r="B98" s="22" t="s">
        <v>63</v>
      </c>
      <c r="C98" s="22" t="s">
        <v>64</v>
      </c>
      <c r="D98" s="24"/>
      <c r="E98" s="25"/>
      <c r="F98" s="23"/>
      <c r="G98" s="25"/>
      <c r="H98" s="23"/>
      <c r="I98" s="26"/>
      <c r="J98" s="24"/>
      <c r="K98" s="25"/>
      <c r="L98" s="23"/>
      <c r="M98" s="25"/>
      <c r="N98" s="23"/>
      <c r="O98" s="26"/>
      <c r="P98" s="27"/>
      <c r="Q98" s="28"/>
      <c r="R98" s="29"/>
      <c r="S98" s="24"/>
      <c r="T98" s="25"/>
      <c r="U98" s="23"/>
      <c r="V98" s="25"/>
      <c r="W98" s="23"/>
      <c r="X98" s="26"/>
      <c r="Y98" s="24"/>
      <c r="Z98" s="25"/>
      <c r="AA98" s="23"/>
      <c r="AB98" s="25"/>
      <c r="AC98" s="23"/>
      <c r="AD98" s="26"/>
    </row>
    <row r="99">
      <c r="A99" s="30" t="s">
        <v>57</v>
      </c>
      <c r="B99" s="22" t="s">
        <v>63</v>
      </c>
      <c r="C99" s="22" t="s">
        <v>64</v>
      </c>
      <c r="D99" s="24"/>
      <c r="E99" s="25" t="n">
        <f>2578</f>
        <v>2578.0</v>
      </c>
      <c r="F99" s="23"/>
      <c r="G99" s="25" t="str">
        <f>"－"</f>
        <v>－</v>
      </c>
      <c r="H99" s="23"/>
      <c r="I99" s="26" t="n">
        <f>2578</f>
        <v>2578.0</v>
      </c>
      <c r="J99" s="24"/>
      <c r="K99" s="25" t="n">
        <f>530711300</f>
        <v>5.307113E8</v>
      </c>
      <c r="L99" s="23"/>
      <c r="M99" s="25" t="str">
        <f>"－"</f>
        <v>－</v>
      </c>
      <c r="N99" s="23"/>
      <c r="O99" s="26" t="n">
        <f>530711300</f>
        <v>5.307113E8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n">
        <f>1578</f>
        <v>1578.0</v>
      </c>
      <c r="U99" s="23"/>
      <c r="V99" s="25" t="str">
        <f>"－"</f>
        <v>－</v>
      </c>
      <c r="W99" s="23"/>
      <c r="X99" s="26" t="n">
        <f>1578</f>
        <v>1578.0</v>
      </c>
      <c r="Y99" s="24"/>
      <c r="Z99" s="25" t="n">
        <f>77209</f>
        <v>77209.0</v>
      </c>
      <c r="AA99" s="23"/>
      <c r="AB99" s="25" t="n">
        <f>16294</f>
        <v>16294.0</v>
      </c>
      <c r="AC99" s="23"/>
      <c r="AD99" s="26" t="n">
        <f>93503</f>
        <v>93503.0</v>
      </c>
    </row>
    <row r="100">
      <c r="A100" s="30" t="s">
        <v>58</v>
      </c>
      <c r="B100" s="22" t="s">
        <v>63</v>
      </c>
      <c r="C100" s="22" t="s">
        <v>64</v>
      </c>
      <c r="D100" s="24" t="s">
        <v>36</v>
      </c>
      <c r="E100" s="25" t="n">
        <f>15437</f>
        <v>15437.0</v>
      </c>
      <c r="F100" s="23"/>
      <c r="G100" s="25" t="str">
        <f>"－"</f>
        <v>－</v>
      </c>
      <c r="H100" s="23" t="s">
        <v>36</v>
      </c>
      <c r="I100" s="26" t="n">
        <f>15437</f>
        <v>15437.0</v>
      </c>
      <c r="J100" s="24"/>
      <c r="K100" s="25" t="n">
        <f>2568263900</f>
        <v>2.5682639E9</v>
      </c>
      <c r="L100" s="23"/>
      <c r="M100" s="25" t="str">
        <f>"－"</f>
        <v>－</v>
      </c>
      <c r="N100" s="23"/>
      <c r="O100" s="26" t="n">
        <f>2568263900</f>
        <v>2.5682639E9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/>
      <c r="T100" s="25" t="n">
        <f>1618</f>
        <v>1618.0</v>
      </c>
      <c r="U100" s="23"/>
      <c r="V100" s="25" t="str">
        <f>"－"</f>
        <v>－</v>
      </c>
      <c r="W100" s="23"/>
      <c r="X100" s="26" t="n">
        <f>1618</f>
        <v>1618.0</v>
      </c>
      <c r="Y100" s="24"/>
      <c r="Z100" s="25" t="n">
        <f>84857</f>
        <v>84857.0</v>
      </c>
      <c r="AA100" s="23"/>
      <c r="AB100" s="25" t="n">
        <f>16294</f>
        <v>16294.0</v>
      </c>
      <c r="AC100" s="23"/>
      <c r="AD100" s="26" t="n">
        <f>101151</f>
        <v>101151.0</v>
      </c>
    </row>
    <row r="101">
      <c r="A101" s="30" t="s">
        <v>59</v>
      </c>
      <c r="B101" s="22" t="s">
        <v>63</v>
      </c>
      <c r="C101" s="22" t="s">
        <v>64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n">
        <f>84857</f>
        <v>84857.0</v>
      </c>
      <c r="AA101" s="23"/>
      <c r="AB101" s="25" t="n">
        <f>16294</f>
        <v>16294.0</v>
      </c>
      <c r="AC101" s="23"/>
      <c r="AD101" s="26" t="n">
        <f>101151</f>
        <v>101151.0</v>
      </c>
    </row>
    <row r="102">
      <c r="A102" s="30" t="s">
        <v>60</v>
      </c>
      <c r="B102" s="22" t="s">
        <v>63</v>
      </c>
      <c r="C102" s="22" t="s">
        <v>64</v>
      </c>
      <c r="D102" s="24"/>
      <c r="E102" s="25" t="n">
        <f>90</f>
        <v>90.0</v>
      </c>
      <c r="F102" s="23"/>
      <c r="G102" s="25" t="n">
        <f>200</f>
        <v>200.0</v>
      </c>
      <c r="H102" s="23"/>
      <c r="I102" s="26" t="n">
        <f>290</f>
        <v>290.0</v>
      </c>
      <c r="J102" s="24"/>
      <c r="K102" s="25" t="n">
        <f>35850000</f>
        <v>3.585E7</v>
      </c>
      <c r="L102" s="23"/>
      <c r="M102" s="25" t="n">
        <f>56230000</f>
        <v>5.623E7</v>
      </c>
      <c r="N102" s="23"/>
      <c r="O102" s="26" t="n">
        <f>92080000</f>
        <v>9.208E7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n">
        <f>45</f>
        <v>45.0</v>
      </c>
      <c r="U102" s="23"/>
      <c r="V102" s="25" t="str">
        <f>"－"</f>
        <v>－</v>
      </c>
      <c r="W102" s="23"/>
      <c r="X102" s="26" t="n">
        <f>45</f>
        <v>45.0</v>
      </c>
      <c r="Y102" s="24"/>
      <c r="Z102" s="25" t="n">
        <f>84902</f>
        <v>84902.0</v>
      </c>
      <c r="AA102" s="23"/>
      <c r="AB102" s="25" t="n">
        <f>16094</f>
        <v>16094.0</v>
      </c>
      <c r="AC102" s="23"/>
      <c r="AD102" s="26" t="n">
        <f>100996</f>
        <v>100996.0</v>
      </c>
    </row>
    <row r="103">
      <c r="A103" s="30" t="s">
        <v>26</v>
      </c>
      <c r="B103" s="22" t="s">
        <v>65</v>
      </c>
      <c r="C103" s="22" t="s">
        <v>66</v>
      </c>
      <c r="D103" s="24" t="s">
        <v>67</v>
      </c>
      <c r="E103" s="25" t="str">
        <f>"－"</f>
        <v>－</v>
      </c>
      <c r="F103" s="23" t="s">
        <v>67</v>
      </c>
      <c r="G103" s="25" t="str">
        <f>"－"</f>
        <v>－</v>
      </c>
      <c r="H103" s="23" t="s">
        <v>67</v>
      </c>
      <c r="I103" s="26" t="str">
        <f>"－"</f>
        <v>－</v>
      </c>
      <c r="J103" s="24" t="s">
        <v>67</v>
      </c>
      <c r="K103" s="25" t="str">
        <f>"－"</f>
        <v>－</v>
      </c>
      <c r="L103" s="23" t="s">
        <v>67</v>
      </c>
      <c r="M103" s="25" t="str">
        <f>"－"</f>
        <v>－</v>
      </c>
      <c r="N103" s="23" t="s">
        <v>67</v>
      </c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 t="s">
        <v>67</v>
      </c>
      <c r="T103" s="25" t="str">
        <f>"－"</f>
        <v>－</v>
      </c>
      <c r="U103" s="23" t="s">
        <v>67</v>
      </c>
      <c r="V103" s="25" t="str">
        <f>"－"</f>
        <v>－</v>
      </c>
      <c r="W103" s="23" t="s">
        <v>67</v>
      </c>
      <c r="X103" s="26" t="str">
        <f>"－"</f>
        <v>－</v>
      </c>
      <c r="Y103" s="24" t="s">
        <v>67</v>
      </c>
      <c r="Z103" s="25" t="str">
        <f>"－"</f>
        <v>－</v>
      </c>
      <c r="AA103" s="23" t="s">
        <v>67</v>
      </c>
      <c r="AB103" s="25" t="str">
        <f>"－"</f>
        <v>－</v>
      </c>
      <c r="AC103" s="23" t="s">
        <v>67</v>
      </c>
      <c r="AD103" s="26" t="str">
        <f>"－"</f>
        <v>－</v>
      </c>
    </row>
    <row r="104">
      <c r="A104" s="30" t="s">
        <v>29</v>
      </c>
      <c r="B104" s="22" t="s">
        <v>65</v>
      </c>
      <c r="C104" s="22" t="s">
        <v>66</v>
      </c>
      <c r="D104" s="24"/>
      <c r="E104" s="25" t="str">
        <f>"－"</f>
        <v>－</v>
      </c>
      <c r="F104" s="23"/>
      <c r="G104" s="25" t="str">
        <f>"－"</f>
        <v>－</v>
      </c>
      <c r="H104" s="23"/>
      <c r="I104" s="26" t="str">
        <f>"－"</f>
        <v>－</v>
      </c>
      <c r="J104" s="24"/>
      <c r="K104" s="25" t="str">
        <f>"－"</f>
        <v>－</v>
      </c>
      <c r="L104" s="23"/>
      <c r="M104" s="25" t="str">
        <f>"－"</f>
        <v>－</v>
      </c>
      <c r="N104" s="23"/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/>
      <c r="T104" s="25" t="str">
        <f>"－"</f>
        <v>－</v>
      </c>
      <c r="U104" s="23"/>
      <c r="V104" s="25" t="str">
        <f>"－"</f>
        <v>－</v>
      </c>
      <c r="W104" s="23"/>
      <c r="X104" s="26" t="str">
        <f>"－"</f>
        <v>－</v>
      </c>
      <c r="Y104" s="24"/>
      <c r="Z104" s="25" t="str">
        <f>"－"</f>
        <v>－</v>
      </c>
      <c r="AA104" s="23"/>
      <c r="AB104" s="25" t="str">
        <f>"－"</f>
        <v>－</v>
      </c>
      <c r="AC104" s="23"/>
      <c r="AD104" s="26" t="str">
        <f>"－"</f>
        <v>－</v>
      </c>
    </row>
    <row r="105">
      <c r="A105" s="30" t="s">
        <v>30</v>
      </c>
      <c r="B105" s="22" t="s">
        <v>65</v>
      </c>
      <c r="C105" s="22" t="s">
        <v>66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31</v>
      </c>
      <c r="B106" s="22" t="s">
        <v>65</v>
      </c>
      <c r="C106" s="22" t="s">
        <v>66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32</v>
      </c>
      <c r="B107" s="22" t="s">
        <v>65</v>
      </c>
      <c r="C107" s="22" t="s">
        <v>66</v>
      </c>
      <c r="D107" s="24"/>
      <c r="E107" s="25"/>
      <c r="F107" s="23"/>
      <c r="G107" s="25"/>
      <c r="H107" s="23"/>
      <c r="I107" s="26"/>
      <c r="J107" s="24"/>
      <c r="K107" s="25"/>
      <c r="L107" s="23"/>
      <c r="M107" s="25"/>
      <c r="N107" s="23"/>
      <c r="O107" s="26"/>
      <c r="P107" s="27"/>
      <c r="Q107" s="28"/>
      <c r="R107" s="29"/>
      <c r="S107" s="24"/>
      <c r="T107" s="25"/>
      <c r="U107" s="23"/>
      <c r="V107" s="25"/>
      <c r="W107" s="23"/>
      <c r="X107" s="26"/>
      <c r="Y107" s="24"/>
      <c r="Z107" s="25"/>
      <c r="AA107" s="23"/>
      <c r="AB107" s="25"/>
      <c r="AC107" s="23"/>
      <c r="AD107" s="26"/>
    </row>
    <row r="108">
      <c r="A108" s="30" t="s">
        <v>33</v>
      </c>
      <c r="B108" s="22" t="s">
        <v>65</v>
      </c>
      <c r="C108" s="22" t="s">
        <v>66</v>
      </c>
      <c r="D108" s="24"/>
      <c r="E108" s="25"/>
      <c r="F108" s="23"/>
      <c r="G108" s="25"/>
      <c r="H108" s="23"/>
      <c r="I108" s="26"/>
      <c r="J108" s="24"/>
      <c r="K108" s="25"/>
      <c r="L108" s="23"/>
      <c r="M108" s="25"/>
      <c r="N108" s="23"/>
      <c r="O108" s="26"/>
      <c r="P108" s="27"/>
      <c r="Q108" s="28"/>
      <c r="R108" s="29"/>
      <c r="S108" s="24"/>
      <c r="T108" s="25"/>
      <c r="U108" s="23"/>
      <c r="V108" s="25"/>
      <c r="W108" s="23"/>
      <c r="X108" s="26"/>
      <c r="Y108" s="24"/>
      <c r="Z108" s="25"/>
      <c r="AA108" s="23"/>
      <c r="AB108" s="25"/>
      <c r="AC108" s="23"/>
      <c r="AD108" s="26"/>
    </row>
    <row r="109">
      <c r="A109" s="30" t="s">
        <v>34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35</v>
      </c>
      <c r="B110" s="22" t="s">
        <v>65</v>
      </c>
      <c r="C110" s="22" t="s">
        <v>66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37</v>
      </c>
      <c r="B111" s="22" t="s">
        <v>65</v>
      </c>
      <c r="C111" s="22" t="s">
        <v>66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38</v>
      </c>
      <c r="B112" s="22" t="s">
        <v>65</v>
      </c>
      <c r="C112" s="22" t="s">
        <v>66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39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41</v>
      </c>
      <c r="B114" s="22" t="s">
        <v>65</v>
      </c>
      <c r="C114" s="22" t="s">
        <v>66</v>
      </c>
      <c r="D114" s="24"/>
      <c r="E114" s="25"/>
      <c r="F114" s="23"/>
      <c r="G114" s="25"/>
      <c r="H114" s="23"/>
      <c r="I114" s="26"/>
      <c r="J114" s="24"/>
      <c r="K114" s="25"/>
      <c r="L114" s="23"/>
      <c r="M114" s="25"/>
      <c r="N114" s="23"/>
      <c r="O114" s="26"/>
      <c r="P114" s="27"/>
      <c r="Q114" s="28"/>
      <c r="R114" s="29"/>
      <c r="S114" s="24"/>
      <c r="T114" s="25"/>
      <c r="U114" s="23"/>
      <c r="V114" s="25"/>
      <c r="W114" s="23"/>
      <c r="X114" s="26"/>
      <c r="Y114" s="24"/>
      <c r="Z114" s="25"/>
      <c r="AA114" s="23"/>
      <c r="AB114" s="25"/>
      <c r="AC114" s="23"/>
      <c r="AD114" s="26"/>
    </row>
    <row r="115">
      <c r="A115" s="30" t="s">
        <v>42</v>
      </c>
      <c r="B115" s="22" t="s">
        <v>65</v>
      </c>
      <c r="C115" s="22" t="s">
        <v>66</v>
      </c>
      <c r="D115" s="24"/>
      <c r="E115" s="25"/>
      <c r="F115" s="23"/>
      <c r="G115" s="25"/>
      <c r="H115" s="23"/>
      <c r="I115" s="26"/>
      <c r="J115" s="24"/>
      <c r="K115" s="25"/>
      <c r="L115" s="23"/>
      <c r="M115" s="25"/>
      <c r="N115" s="23"/>
      <c r="O115" s="26"/>
      <c r="P115" s="27"/>
      <c r="Q115" s="28"/>
      <c r="R115" s="29"/>
      <c r="S115" s="24"/>
      <c r="T115" s="25"/>
      <c r="U115" s="23"/>
      <c r="V115" s="25"/>
      <c r="W115" s="23"/>
      <c r="X115" s="26"/>
      <c r="Y115" s="24"/>
      <c r="Z115" s="25"/>
      <c r="AA115" s="23"/>
      <c r="AB115" s="25"/>
      <c r="AC115" s="23"/>
      <c r="AD115" s="26"/>
    </row>
    <row r="116">
      <c r="A116" s="30" t="s">
        <v>43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45</v>
      </c>
      <c r="B118" s="22" t="s">
        <v>65</v>
      </c>
      <c r="C118" s="22" t="s">
        <v>66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46</v>
      </c>
      <c r="B119" s="22" t="s">
        <v>65</v>
      </c>
      <c r="C119" s="22" t="s">
        <v>66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/>
      <c r="F121" s="23"/>
      <c r="G121" s="25"/>
      <c r="H121" s="23"/>
      <c r="I121" s="26"/>
      <c r="J121" s="24"/>
      <c r="K121" s="25"/>
      <c r="L121" s="23"/>
      <c r="M121" s="25"/>
      <c r="N121" s="23"/>
      <c r="O121" s="26"/>
      <c r="P121" s="27"/>
      <c r="Q121" s="28"/>
      <c r="R121" s="29"/>
      <c r="S121" s="24"/>
      <c r="T121" s="25"/>
      <c r="U121" s="23"/>
      <c r="V121" s="25"/>
      <c r="W121" s="23"/>
      <c r="X121" s="26"/>
      <c r="Y121" s="24"/>
      <c r="Z121" s="25"/>
      <c r="AA121" s="23"/>
      <c r="AB121" s="25"/>
      <c r="AC121" s="23"/>
      <c r="AD121" s="26"/>
    </row>
    <row r="122">
      <c r="A122" s="30" t="s">
        <v>49</v>
      </c>
      <c r="B122" s="22" t="s">
        <v>65</v>
      </c>
      <c r="C122" s="22" t="s">
        <v>66</v>
      </c>
      <c r="D122" s="24"/>
      <c r="E122" s="25"/>
      <c r="F122" s="23"/>
      <c r="G122" s="25"/>
      <c r="H122" s="23"/>
      <c r="I122" s="26"/>
      <c r="J122" s="24"/>
      <c r="K122" s="25"/>
      <c r="L122" s="23"/>
      <c r="M122" s="25"/>
      <c r="N122" s="23"/>
      <c r="O122" s="26"/>
      <c r="P122" s="27"/>
      <c r="Q122" s="28"/>
      <c r="R122" s="29"/>
      <c r="S122" s="24"/>
      <c r="T122" s="25"/>
      <c r="U122" s="23"/>
      <c r="V122" s="25"/>
      <c r="W122" s="23"/>
      <c r="X122" s="26"/>
      <c r="Y122" s="24"/>
      <c r="Z122" s="25"/>
      <c r="AA122" s="23"/>
      <c r="AB122" s="25"/>
      <c r="AC122" s="23"/>
      <c r="AD122" s="26"/>
    </row>
    <row r="123">
      <c r="A123" s="30" t="s">
        <v>50</v>
      </c>
      <c r="B123" s="22" t="s">
        <v>65</v>
      </c>
      <c r="C123" s="22" t="s">
        <v>66</v>
      </c>
      <c r="D123" s="24"/>
      <c r="E123" s="25"/>
      <c r="F123" s="23"/>
      <c r="G123" s="25"/>
      <c r="H123" s="23"/>
      <c r="I123" s="26"/>
      <c r="J123" s="24"/>
      <c r="K123" s="25"/>
      <c r="L123" s="23"/>
      <c r="M123" s="25"/>
      <c r="N123" s="23"/>
      <c r="O123" s="26"/>
      <c r="P123" s="27"/>
      <c r="Q123" s="28"/>
      <c r="R123" s="29"/>
      <c r="S123" s="24"/>
      <c r="T123" s="25"/>
      <c r="U123" s="23"/>
      <c r="V123" s="25"/>
      <c r="W123" s="23"/>
      <c r="X123" s="26"/>
      <c r="Y123" s="24"/>
      <c r="Z123" s="25"/>
      <c r="AA123" s="23"/>
      <c r="AB123" s="25"/>
      <c r="AC123" s="23"/>
      <c r="AD123" s="26"/>
    </row>
    <row r="124">
      <c r="A124" s="30" t="s">
        <v>51</v>
      </c>
      <c r="B124" s="22" t="s">
        <v>65</v>
      </c>
      <c r="C124" s="22" t="s">
        <v>66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52</v>
      </c>
      <c r="B125" s="22" t="s">
        <v>65</v>
      </c>
      <c r="C125" s="22" t="s">
        <v>66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53</v>
      </c>
      <c r="B126" s="22" t="s">
        <v>65</v>
      </c>
      <c r="C126" s="22" t="s">
        <v>66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/>
      <c r="F128" s="23"/>
      <c r="G128" s="25"/>
      <c r="H128" s="23"/>
      <c r="I128" s="26"/>
      <c r="J128" s="24"/>
      <c r="K128" s="25"/>
      <c r="L128" s="23"/>
      <c r="M128" s="25"/>
      <c r="N128" s="23"/>
      <c r="O128" s="26"/>
      <c r="P128" s="27"/>
      <c r="Q128" s="28"/>
      <c r="R128" s="29"/>
      <c r="S128" s="24"/>
      <c r="T128" s="25"/>
      <c r="U128" s="23"/>
      <c r="V128" s="25"/>
      <c r="W128" s="23"/>
      <c r="X128" s="26"/>
      <c r="Y128" s="24"/>
      <c r="Z128" s="25"/>
      <c r="AA128" s="23"/>
      <c r="AB128" s="25"/>
      <c r="AC128" s="23"/>
      <c r="AD128" s="26"/>
    </row>
    <row r="129">
      <c r="A129" s="30" t="s">
        <v>56</v>
      </c>
      <c r="B129" s="22" t="s">
        <v>65</v>
      </c>
      <c r="C129" s="22" t="s">
        <v>66</v>
      </c>
      <c r="D129" s="24"/>
      <c r="E129" s="25"/>
      <c r="F129" s="23"/>
      <c r="G129" s="25"/>
      <c r="H129" s="23"/>
      <c r="I129" s="26"/>
      <c r="J129" s="24"/>
      <c r="K129" s="25"/>
      <c r="L129" s="23"/>
      <c r="M129" s="25"/>
      <c r="N129" s="23"/>
      <c r="O129" s="26"/>
      <c r="P129" s="27"/>
      <c r="Q129" s="28"/>
      <c r="R129" s="29"/>
      <c r="S129" s="24"/>
      <c r="T129" s="25"/>
      <c r="U129" s="23"/>
      <c r="V129" s="25"/>
      <c r="W129" s="23"/>
      <c r="X129" s="26"/>
      <c r="Y129" s="24"/>
      <c r="Z129" s="25"/>
      <c r="AA129" s="23"/>
      <c r="AB129" s="25"/>
      <c r="AC129" s="23"/>
      <c r="AD129" s="26"/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 t="str">
        <f>"－"</f>
        <v>－</v>
      </c>
      <c r="F131" s="23"/>
      <c r="G131" s="25" t="str">
        <f>"－"</f>
        <v>－</v>
      </c>
      <c r="H131" s="23"/>
      <c r="I131" s="26" t="str">
        <f>"－"</f>
        <v>－</v>
      </c>
      <c r="J131" s="24"/>
      <c r="K131" s="25" t="str">
        <f>"－"</f>
        <v>－</v>
      </c>
      <c r="L131" s="23"/>
      <c r="M131" s="25" t="str">
        <f>"－"</f>
        <v>－</v>
      </c>
      <c r="N131" s="23"/>
      <c r="O131" s="26" t="str">
        <f>"－"</f>
        <v>－</v>
      </c>
      <c r="P131" s="27" t="str">
        <f>"－"</f>
        <v>－</v>
      </c>
      <c r="Q131" s="28" t="str">
        <f>"－"</f>
        <v>－</v>
      </c>
      <c r="R131" s="29" t="str">
        <f>"－"</f>
        <v>－</v>
      </c>
      <c r="S131" s="24"/>
      <c r="T131" s="25" t="str">
        <f>"－"</f>
        <v>－</v>
      </c>
      <c r="U131" s="23"/>
      <c r="V131" s="25" t="str">
        <f>"－"</f>
        <v>－</v>
      </c>
      <c r="W131" s="23"/>
      <c r="X131" s="26" t="str">
        <f>"－"</f>
        <v>－</v>
      </c>
      <c r="Y131" s="24"/>
      <c r="Z131" s="25" t="str">
        <f>"－"</f>
        <v>－</v>
      </c>
      <c r="AA131" s="23"/>
      <c r="AB131" s="25" t="str">
        <f>"－"</f>
        <v>－</v>
      </c>
      <c r="AC131" s="23"/>
      <c r="AD131" s="26" t="str">
        <f>"－"</f>
        <v>－</v>
      </c>
    </row>
    <row r="132">
      <c r="A132" s="30" t="s">
        <v>59</v>
      </c>
      <c r="B132" s="22" t="s">
        <v>65</v>
      </c>
      <c r="C132" s="22" t="s">
        <v>66</v>
      </c>
      <c r="D132" s="24"/>
      <c r="E132" s="25" t="str">
        <f>"－"</f>
        <v>－</v>
      </c>
      <c r="F132" s="23"/>
      <c r="G132" s="25" t="str">
        <f>"－"</f>
        <v>－</v>
      </c>
      <c r="H132" s="23"/>
      <c r="I132" s="26" t="str">
        <f>"－"</f>
        <v>－</v>
      </c>
      <c r="J132" s="24"/>
      <c r="K132" s="25" t="str">
        <f>"－"</f>
        <v>－</v>
      </c>
      <c r="L132" s="23"/>
      <c r="M132" s="25" t="str">
        <f>"－"</f>
        <v>－</v>
      </c>
      <c r="N132" s="23"/>
      <c r="O132" s="26" t="str">
        <f>"－"</f>
        <v>－</v>
      </c>
      <c r="P132" s="27" t="str">
        <f>"－"</f>
        <v>－</v>
      </c>
      <c r="Q132" s="28" t="str">
        <f>"－"</f>
        <v>－</v>
      </c>
      <c r="R132" s="29" t="str">
        <f>"－"</f>
        <v>－</v>
      </c>
      <c r="S132" s="24"/>
      <c r="T132" s="25" t="str">
        <f>"－"</f>
        <v>－</v>
      </c>
      <c r="U132" s="23"/>
      <c r="V132" s="25" t="str">
        <f>"－"</f>
        <v>－</v>
      </c>
      <c r="W132" s="23"/>
      <c r="X132" s="26" t="str">
        <f>"－"</f>
        <v>－</v>
      </c>
      <c r="Y132" s="24"/>
      <c r="Z132" s="25" t="str">
        <f>"－"</f>
        <v>－</v>
      </c>
      <c r="AA132" s="23"/>
      <c r="AB132" s="25" t="str">
        <f>"－"</f>
        <v>－</v>
      </c>
      <c r="AC132" s="23"/>
      <c r="AD132" s="26" t="str">
        <f>"－"</f>
        <v>－</v>
      </c>
    </row>
    <row r="133">
      <c r="A133" s="30" t="s">
        <v>60</v>
      </c>
      <c r="B133" s="22" t="s">
        <v>65</v>
      </c>
      <c r="C133" s="22" t="s">
        <v>66</v>
      </c>
      <c r="D133" s="24"/>
      <c r="E133" s="25" t="str">
        <f>"－"</f>
        <v>－</v>
      </c>
      <c r="F133" s="23"/>
      <c r="G133" s="25" t="str">
        <f>"－"</f>
        <v>－</v>
      </c>
      <c r="H133" s="23"/>
      <c r="I133" s="26" t="str">
        <f>"－"</f>
        <v>－</v>
      </c>
      <c r="J133" s="24"/>
      <c r="K133" s="25" t="str">
        <f>"－"</f>
        <v>－</v>
      </c>
      <c r="L133" s="23"/>
      <c r="M133" s="25" t="str">
        <f>"－"</f>
        <v>－</v>
      </c>
      <c r="N133" s="23"/>
      <c r="O133" s="26" t="str">
        <f>"－"</f>
        <v>－</v>
      </c>
      <c r="P133" s="27" t="str">
        <f>"－"</f>
        <v>－</v>
      </c>
      <c r="Q133" s="28" t="str">
        <f>"－"</f>
        <v>－</v>
      </c>
      <c r="R133" s="29" t="str">
        <f>"－"</f>
        <v>－</v>
      </c>
      <c r="S133" s="24"/>
      <c r="T133" s="25" t="str">
        <f>"－"</f>
        <v>－</v>
      </c>
      <c r="U133" s="23"/>
      <c r="V133" s="25" t="str">
        <f>"－"</f>
        <v>－</v>
      </c>
      <c r="W133" s="23"/>
      <c r="X133" s="26" t="str">
        <f>"－"</f>
        <v>－</v>
      </c>
      <c r="Y133" s="24"/>
      <c r="Z133" s="25" t="str">
        <f>"－"</f>
        <v>－</v>
      </c>
      <c r="AA133" s="23"/>
      <c r="AB133" s="25" t="str">
        <f>"－"</f>
        <v>－</v>
      </c>
      <c r="AC133" s="23"/>
      <c r="AD133" s="26" t="str">
        <f>"－"</f>
        <v>－</v>
      </c>
    </row>
    <row r="134">
      <c r="A134" s="30" t="s">
        <v>26</v>
      </c>
      <c r="B134" s="22" t="s">
        <v>68</v>
      </c>
      <c r="C134" s="22" t="s">
        <v>69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29</v>
      </c>
      <c r="B135" s="22" t="s">
        <v>68</v>
      </c>
      <c r="C135" s="22" t="s">
        <v>69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30</v>
      </c>
      <c r="B136" s="22" t="s">
        <v>68</v>
      </c>
      <c r="C136" s="22" t="s">
        <v>69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31</v>
      </c>
      <c r="B137" s="22" t="s">
        <v>68</v>
      </c>
      <c r="C137" s="22" t="s">
        <v>69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32</v>
      </c>
      <c r="B138" s="22" t="s">
        <v>68</v>
      </c>
      <c r="C138" s="22" t="s">
        <v>69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33</v>
      </c>
      <c r="B139" s="22" t="s">
        <v>68</v>
      </c>
      <c r="C139" s="22" t="s">
        <v>69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34</v>
      </c>
      <c r="B140" s="22" t="s">
        <v>68</v>
      </c>
      <c r="C140" s="22" t="s">
        <v>69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35</v>
      </c>
      <c r="B141" s="22" t="s">
        <v>68</v>
      </c>
      <c r="C141" s="22" t="s">
        <v>69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37</v>
      </c>
      <c r="B142" s="22" t="s">
        <v>68</v>
      </c>
      <c r="C142" s="22" t="s">
        <v>69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38</v>
      </c>
      <c r="B143" s="22" t="s">
        <v>68</v>
      </c>
      <c r="C143" s="22" t="s">
        <v>69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39</v>
      </c>
      <c r="B144" s="22" t="s">
        <v>68</v>
      </c>
      <c r="C144" s="22" t="s">
        <v>69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41</v>
      </c>
      <c r="B145" s="22" t="s">
        <v>68</v>
      </c>
      <c r="C145" s="22" t="s">
        <v>69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42</v>
      </c>
      <c r="B146" s="22" t="s">
        <v>68</v>
      </c>
      <c r="C146" s="22" t="s">
        <v>69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43</v>
      </c>
      <c r="B147" s="22" t="s">
        <v>68</v>
      </c>
      <c r="C147" s="22" t="s">
        <v>69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44</v>
      </c>
      <c r="B148" s="22" t="s">
        <v>68</v>
      </c>
      <c r="C148" s="22" t="s">
        <v>69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45</v>
      </c>
      <c r="B149" s="22" t="s">
        <v>68</v>
      </c>
      <c r="C149" s="22" t="s">
        <v>69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46</v>
      </c>
      <c r="B150" s="22" t="s">
        <v>68</v>
      </c>
      <c r="C150" s="22" t="s">
        <v>69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47</v>
      </c>
      <c r="B151" s="22" t="s">
        <v>68</v>
      </c>
      <c r="C151" s="22" t="s">
        <v>69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48</v>
      </c>
      <c r="B152" s="22" t="s">
        <v>68</v>
      </c>
      <c r="C152" s="22" t="s">
        <v>69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49</v>
      </c>
      <c r="B153" s="22" t="s">
        <v>68</v>
      </c>
      <c r="C153" s="22" t="s">
        <v>69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50</v>
      </c>
      <c r="B154" s="22" t="s">
        <v>68</v>
      </c>
      <c r="C154" s="22" t="s">
        <v>69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51</v>
      </c>
      <c r="B155" s="22" t="s">
        <v>68</v>
      </c>
      <c r="C155" s="22" t="s">
        <v>69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52</v>
      </c>
      <c r="B156" s="22" t="s">
        <v>68</v>
      </c>
      <c r="C156" s="22" t="s">
        <v>69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53</v>
      </c>
      <c r="B157" s="22" t="s">
        <v>68</v>
      </c>
      <c r="C157" s="22" t="s">
        <v>69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54</v>
      </c>
      <c r="B158" s="22" t="s">
        <v>68</v>
      </c>
      <c r="C158" s="22" t="s">
        <v>69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55</v>
      </c>
      <c r="B159" s="22" t="s">
        <v>68</v>
      </c>
      <c r="C159" s="22" t="s">
        <v>69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56</v>
      </c>
      <c r="B160" s="22" t="s">
        <v>68</v>
      </c>
      <c r="C160" s="22" t="s">
        <v>69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57</v>
      </c>
      <c r="B161" s="22" t="s">
        <v>68</v>
      </c>
      <c r="C161" s="22" t="s">
        <v>69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58</v>
      </c>
      <c r="B162" s="22" t="s">
        <v>68</v>
      </c>
      <c r="C162" s="22" t="s">
        <v>69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59</v>
      </c>
      <c r="B163" s="22" t="s">
        <v>68</v>
      </c>
      <c r="C163" s="22" t="s">
        <v>69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60</v>
      </c>
      <c r="B164" s="22" t="s">
        <v>68</v>
      </c>
      <c r="C164" s="22" t="s">
        <v>69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26</v>
      </c>
      <c r="B165" s="22" t="s">
        <v>70</v>
      </c>
      <c r="C165" s="22" t="s">
        <v>71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29</v>
      </c>
      <c r="B166" s="22" t="s">
        <v>70</v>
      </c>
      <c r="C166" s="22" t="s">
        <v>71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30</v>
      </c>
      <c r="B167" s="22" t="s">
        <v>70</v>
      </c>
      <c r="C167" s="22" t="s">
        <v>71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31</v>
      </c>
      <c r="B168" s="22" t="s">
        <v>70</v>
      </c>
      <c r="C168" s="22" t="s">
        <v>71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32</v>
      </c>
      <c r="B169" s="22" t="s">
        <v>70</v>
      </c>
      <c r="C169" s="22" t="s">
        <v>71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33</v>
      </c>
      <c r="B170" s="22" t="s">
        <v>70</v>
      </c>
      <c r="C170" s="22" t="s">
        <v>71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34</v>
      </c>
      <c r="B171" s="22" t="s">
        <v>70</v>
      </c>
      <c r="C171" s="22" t="s">
        <v>71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35</v>
      </c>
      <c r="B172" s="22" t="s">
        <v>70</v>
      </c>
      <c r="C172" s="22" t="s">
        <v>71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37</v>
      </c>
      <c r="B173" s="22" t="s">
        <v>70</v>
      </c>
      <c r="C173" s="22" t="s">
        <v>71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38</v>
      </c>
      <c r="B174" s="22" t="s">
        <v>70</v>
      </c>
      <c r="C174" s="22" t="s">
        <v>71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39</v>
      </c>
      <c r="B175" s="22" t="s">
        <v>70</v>
      </c>
      <c r="C175" s="22" t="s">
        <v>71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41</v>
      </c>
      <c r="B176" s="22" t="s">
        <v>70</v>
      </c>
      <c r="C176" s="22" t="s">
        <v>71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42</v>
      </c>
      <c r="B177" s="22" t="s">
        <v>70</v>
      </c>
      <c r="C177" s="22" t="s">
        <v>71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43</v>
      </c>
      <c r="B178" s="22" t="s">
        <v>70</v>
      </c>
      <c r="C178" s="22" t="s">
        <v>71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44</v>
      </c>
      <c r="B179" s="22" t="s">
        <v>70</v>
      </c>
      <c r="C179" s="22" t="s">
        <v>71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45</v>
      </c>
      <c r="B180" s="22" t="s">
        <v>70</v>
      </c>
      <c r="C180" s="22" t="s">
        <v>71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46</v>
      </c>
      <c r="B181" s="22" t="s">
        <v>70</v>
      </c>
      <c r="C181" s="22" t="s">
        <v>71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47</v>
      </c>
      <c r="B182" s="22" t="s">
        <v>70</v>
      </c>
      <c r="C182" s="22" t="s">
        <v>71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48</v>
      </c>
      <c r="B183" s="22" t="s">
        <v>70</v>
      </c>
      <c r="C183" s="22" t="s">
        <v>71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49</v>
      </c>
      <c r="B184" s="22" t="s">
        <v>70</v>
      </c>
      <c r="C184" s="22" t="s">
        <v>71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50</v>
      </c>
      <c r="B185" s="22" t="s">
        <v>70</v>
      </c>
      <c r="C185" s="22" t="s">
        <v>71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51</v>
      </c>
      <c r="B186" s="22" t="s">
        <v>70</v>
      </c>
      <c r="C186" s="22" t="s">
        <v>71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52</v>
      </c>
      <c r="B187" s="22" t="s">
        <v>70</v>
      </c>
      <c r="C187" s="22" t="s">
        <v>71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53</v>
      </c>
      <c r="B188" s="22" t="s">
        <v>70</v>
      </c>
      <c r="C188" s="22" t="s">
        <v>71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54</v>
      </c>
      <c r="B189" s="22" t="s">
        <v>70</v>
      </c>
      <c r="C189" s="22" t="s">
        <v>71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  <row r="190">
      <c r="A190" s="30" t="s">
        <v>55</v>
      </c>
      <c r="B190" s="22" t="s">
        <v>70</v>
      </c>
      <c r="C190" s="22" t="s">
        <v>71</v>
      </c>
      <c r="D190" s="24"/>
      <c r="E190" s="25"/>
      <c r="F190" s="23"/>
      <c r="G190" s="25"/>
      <c r="H190" s="23"/>
      <c r="I190" s="26"/>
      <c r="J190" s="24"/>
      <c r="K190" s="25"/>
      <c r="L190" s="23"/>
      <c r="M190" s="25"/>
      <c r="N190" s="23"/>
      <c r="O190" s="26"/>
      <c r="P190" s="27"/>
      <c r="Q190" s="28"/>
      <c r="R190" s="29"/>
      <c r="S190" s="24"/>
      <c r="T190" s="25"/>
      <c r="U190" s="23"/>
      <c r="V190" s="25"/>
      <c r="W190" s="23"/>
      <c r="X190" s="26"/>
      <c r="Y190" s="24"/>
      <c r="Z190" s="25"/>
      <c r="AA190" s="23"/>
      <c r="AB190" s="25"/>
      <c r="AC190" s="23"/>
      <c r="AD190" s="26"/>
    </row>
    <row r="191">
      <c r="A191" s="30" t="s">
        <v>56</v>
      </c>
      <c r="B191" s="22" t="s">
        <v>70</v>
      </c>
      <c r="C191" s="22" t="s">
        <v>71</v>
      </c>
      <c r="D191" s="24"/>
      <c r="E191" s="25"/>
      <c r="F191" s="23"/>
      <c r="G191" s="25"/>
      <c r="H191" s="23"/>
      <c r="I191" s="26"/>
      <c r="J191" s="24"/>
      <c r="K191" s="25"/>
      <c r="L191" s="23"/>
      <c r="M191" s="25"/>
      <c r="N191" s="23"/>
      <c r="O191" s="26"/>
      <c r="P191" s="27"/>
      <c r="Q191" s="28"/>
      <c r="R191" s="29"/>
      <c r="S191" s="24"/>
      <c r="T191" s="25"/>
      <c r="U191" s="23"/>
      <c r="V191" s="25"/>
      <c r="W191" s="23"/>
      <c r="X191" s="26"/>
      <c r="Y191" s="24"/>
      <c r="Z191" s="25"/>
      <c r="AA191" s="23"/>
      <c r="AB191" s="25"/>
      <c r="AC191" s="23"/>
      <c r="AD191" s="26"/>
    </row>
    <row r="192">
      <c r="A192" s="30" t="s">
        <v>57</v>
      </c>
      <c r="B192" s="22" t="s">
        <v>70</v>
      </c>
      <c r="C192" s="22" t="s">
        <v>71</v>
      </c>
      <c r="D192" s="24"/>
      <c r="E192" s="25"/>
      <c r="F192" s="23"/>
      <c r="G192" s="25"/>
      <c r="H192" s="23"/>
      <c r="I192" s="26"/>
      <c r="J192" s="24"/>
      <c r="K192" s="25"/>
      <c r="L192" s="23"/>
      <c r="M192" s="25"/>
      <c r="N192" s="23"/>
      <c r="O192" s="26"/>
      <c r="P192" s="27"/>
      <c r="Q192" s="28"/>
      <c r="R192" s="29"/>
      <c r="S192" s="24"/>
      <c r="T192" s="25"/>
      <c r="U192" s="23"/>
      <c r="V192" s="25"/>
      <c r="W192" s="23"/>
      <c r="X192" s="26"/>
      <c r="Y192" s="24"/>
      <c r="Z192" s="25"/>
      <c r="AA192" s="23"/>
      <c r="AB192" s="25"/>
      <c r="AC192" s="23"/>
      <c r="AD192" s="26"/>
    </row>
    <row r="193">
      <c r="A193" s="30" t="s">
        <v>58</v>
      </c>
      <c r="B193" s="22" t="s">
        <v>70</v>
      </c>
      <c r="C193" s="22" t="s">
        <v>71</v>
      </c>
      <c r="D193" s="24"/>
      <c r="E193" s="25"/>
      <c r="F193" s="23"/>
      <c r="G193" s="25"/>
      <c r="H193" s="23"/>
      <c r="I193" s="26"/>
      <c r="J193" s="24"/>
      <c r="K193" s="25"/>
      <c r="L193" s="23"/>
      <c r="M193" s="25"/>
      <c r="N193" s="23"/>
      <c r="O193" s="26"/>
      <c r="P193" s="27"/>
      <c r="Q193" s="28"/>
      <c r="R193" s="29"/>
      <c r="S193" s="24"/>
      <c r="T193" s="25"/>
      <c r="U193" s="23"/>
      <c r="V193" s="25"/>
      <c r="W193" s="23"/>
      <c r="X193" s="26"/>
      <c r="Y193" s="24"/>
      <c r="Z193" s="25"/>
      <c r="AA193" s="23"/>
      <c r="AB193" s="25"/>
      <c r="AC193" s="23"/>
      <c r="AD193" s="26"/>
    </row>
    <row r="194">
      <c r="A194" s="30" t="s">
        <v>59</v>
      </c>
      <c r="B194" s="22" t="s">
        <v>70</v>
      </c>
      <c r="C194" s="22" t="s">
        <v>71</v>
      </c>
      <c r="D194" s="24"/>
      <c r="E194" s="25"/>
      <c r="F194" s="23"/>
      <c r="G194" s="25"/>
      <c r="H194" s="23"/>
      <c r="I194" s="26"/>
      <c r="J194" s="24"/>
      <c r="K194" s="25"/>
      <c r="L194" s="23"/>
      <c r="M194" s="25"/>
      <c r="N194" s="23"/>
      <c r="O194" s="26"/>
      <c r="P194" s="27"/>
      <c r="Q194" s="28"/>
      <c r="R194" s="29"/>
      <c r="S194" s="24"/>
      <c r="T194" s="25"/>
      <c r="U194" s="23"/>
      <c r="V194" s="25"/>
      <c r="W194" s="23"/>
      <c r="X194" s="26"/>
      <c r="Y194" s="24"/>
      <c r="Z194" s="25"/>
      <c r="AA194" s="23"/>
      <c r="AB194" s="25"/>
      <c r="AC194" s="23"/>
      <c r="AD194" s="26"/>
    </row>
    <row r="195">
      <c r="A195" s="30" t="s">
        <v>60</v>
      </c>
      <c r="B195" s="22" t="s">
        <v>70</v>
      </c>
      <c r="C195" s="22" t="s">
        <v>71</v>
      </c>
      <c r="D195" s="24"/>
      <c r="E195" s="25"/>
      <c r="F195" s="23"/>
      <c r="G195" s="25"/>
      <c r="H195" s="23"/>
      <c r="I195" s="26"/>
      <c r="J195" s="24"/>
      <c r="K195" s="25"/>
      <c r="L195" s="23"/>
      <c r="M195" s="25"/>
      <c r="N195" s="23"/>
      <c r="O195" s="26"/>
      <c r="P195" s="27"/>
      <c r="Q195" s="28"/>
      <c r="R195" s="29"/>
      <c r="S195" s="24"/>
      <c r="T195" s="25"/>
      <c r="U195" s="23"/>
      <c r="V195" s="25"/>
      <c r="W195" s="23"/>
      <c r="X195" s="26"/>
      <c r="Y195" s="24"/>
      <c r="Z195" s="25"/>
      <c r="AA195" s="23"/>
      <c r="AB195" s="25"/>
      <c r="AC195" s="23"/>
      <c r="AD195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