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<sst xmlns="http://schemas.openxmlformats.org/spreadsheetml/2006/main" count="170" uniqueCount="62">
  <si>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</si>
  <si>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</si>
  <si>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</si>
  <si>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</si>
  <si>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</si>
  <si>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</si>
  <si>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</si>
  <si>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</si>
  <si>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</si>
  <si>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</si>
  <si>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</si>
  <si>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</si>
  <si>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</si>
  <si>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</si>
  <si>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</si>
  <si>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</si>
  <si>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</si>
  <si>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</si>
  <si>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</si>
  <si>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</si>
  <si>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</si>
  <si>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</si>
  <si>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</si>
  <si>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</si>
  <si>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</si>
  <si>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</si>
  <si>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3.1</t>
  </si>
  <si>
    <t>有価証券オプション</t>
  </si>
  <si>
    <t>Securities Options</t>
  </si>
  <si>
    <t>●</t>
  </si>
  <si>
    <t>◎●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</si>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</sst>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 t="s">
        <v>29</v>
      </c>
      <c r="E10" s="26" t="str">
        <f>"－"</f>
        <v>－</v>
      </c>
      <c r="F10" s="24"/>
      <c r="G10" s="26" t="n">
        <f>6100</f>
        <v>6100.0</v>
      </c>
      <c r="H10" s="25"/>
      <c r="I10" s="26" t="n">
        <f>6100</f>
        <v>6100.0</v>
      </c>
      <c r="J10" s="23" t="s">
        <v>29</v>
      </c>
      <c r="K10" s="26" t="str">
        <f>"－"</f>
        <v>－</v>
      </c>
      <c r="L10" s="24"/>
      <c r="M10" s="26" t="n">
        <f>540000</f>
        <v>540000.0</v>
      </c>
      <c r="N10" s="25"/>
      <c r="O10" s="26" t="n">
        <f>540000</f>
        <v>540000.0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30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30</v>
      </c>
      <c r="X10" s="26" t="str">
        <f>"－"</f>
        <v>－</v>
      </c>
      <c r="Y10" s="23"/>
      <c r="Z10" s="26" t="n">
        <f>15556</f>
        <v>15556.0</v>
      </c>
      <c r="AA10" s="24"/>
      <c r="AB10" s="26" t="n">
        <f>20439</f>
        <v>20439.0</v>
      </c>
      <c r="AC10" s="25"/>
      <c r="AD10" s="26" t="n">
        <f>35995</f>
        <v>35995.0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231</f>
        <v>231.0</v>
      </c>
      <c r="F11" s="24" t="s">
        <v>29</v>
      </c>
      <c r="G11" s="26" t="n">
        <f>9</f>
        <v>9.0</v>
      </c>
      <c r="H11" s="25"/>
      <c r="I11" s="26" t="n">
        <f>240</f>
        <v>240.0</v>
      </c>
      <c r="J11" s="23"/>
      <c r="K11" s="26" t="n">
        <f>76690</f>
        <v>76690.0</v>
      </c>
      <c r="L11" s="24" t="s">
        <v>29</v>
      </c>
      <c r="M11" s="26" t="n">
        <f>1008</f>
        <v>1008.0</v>
      </c>
      <c r="N11" s="25"/>
      <c r="O11" s="26" t="n">
        <f>77698</f>
        <v>77698.0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15487</f>
        <v>15487.0</v>
      </c>
      <c r="AA11" s="24"/>
      <c r="AB11" s="26" t="n">
        <f>20448</f>
        <v>20448.0</v>
      </c>
      <c r="AC11" s="25"/>
      <c r="AD11" s="26" t="n">
        <f>35935</f>
        <v>35935.0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5000</f>
        <v>5000.0</v>
      </c>
      <c r="F12" s="24"/>
      <c r="G12" s="26" t="n">
        <f>5000</f>
        <v>5000.0</v>
      </c>
      <c r="H12" s="25"/>
      <c r="I12" s="26" t="n">
        <f>10000</f>
        <v>10000.0</v>
      </c>
      <c r="J12" s="23"/>
      <c r="K12" s="26" t="n">
        <f>260000</f>
        <v>260000.0</v>
      </c>
      <c r="L12" s="24"/>
      <c r="M12" s="26" t="n">
        <f>385000</f>
        <v>385000.0</v>
      </c>
      <c r="N12" s="25"/>
      <c r="O12" s="26" t="n">
        <f>645000</f>
        <v>645000.0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20487</f>
        <v>20487.0</v>
      </c>
      <c r="AA12" s="24"/>
      <c r="AB12" s="26" t="n">
        <f>25448</f>
        <v>25448.0</v>
      </c>
      <c r="AC12" s="25"/>
      <c r="AD12" s="26" t="n">
        <f>45935</f>
        <v>45935.0</v>
      </c>
    </row>
    <row r="13">
      <c r="A13" s="21" t="s">
        <v>33</v>
      </c>
      <c r="B13" s="22" t="s">
        <v>27</v>
      </c>
      <c r="C13" s="22" t="s">
        <v>28</v>
      </c>
      <c r="D13" s="23"/>
      <c r="E13" s="26" t="n">
        <f>10</f>
        <v>10.0</v>
      </c>
      <c r="F13" s="24"/>
      <c r="G13" s="26" t="n">
        <f>4000</f>
        <v>4000.0</v>
      </c>
      <c r="H13" s="25"/>
      <c r="I13" s="26" t="n">
        <f>4010</f>
        <v>4010.0</v>
      </c>
      <c r="J13" s="23"/>
      <c r="K13" s="26" t="n">
        <f>3450</f>
        <v>3450.0</v>
      </c>
      <c r="L13" s="24"/>
      <c r="M13" s="26" t="n">
        <f>1400000</f>
        <v>1400000.0</v>
      </c>
      <c r="N13" s="25"/>
      <c r="O13" s="26" t="n">
        <f>1403450</f>
        <v>1403450.0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 t="s">
        <v>34</v>
      </c>
      <c r="Z13" s="26" t="n">
        <f>20497</f>
        <v>20497.0</v>
      </c>
      <c r="AA13" s="24"/>
      <c r="AB13" s="26" t="n">
        <f>25448</f>
        <v>25448.0</v>
      </c>
      <c r="AC13" s="25" t="s">
        <v>34</v>
      </c>
      <c r="AD13" s="26" t="n">
        <f>45945</f>
        <v>45945.0</v>
      </c>
    </row>
    <row r="14">
      <c r="A14" s="21" t="s">
        <v>35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36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37</v>
      </c>
      <c r="B16" s="22" t="s">
        <v>27</v>
      </c>
      <c r="C16" s="22" t="s">
        <v>28</v>
      </c>
      <c r="D16" s="23" t="s">
        <v>34</v>
      </c>
      <c r="E16" s="26" t="n">
        <f>12032</f>
        <v>12032.0</v>
      </c>
      <c r="F16" s="24" t="s">
        <v>34</v>
      </c>
      <c r="G16" s="26" t="n">
        <f>14000</f>
        <v>14000.0</v>
      </c>
      <c r="H16" s="25" t="s">
        <v>34</v>
      </c>
      <c r="I16" s="26" t="n">
        <f>26032</f>
        <v>26032.0</v>
      </c>
      <c r="J16" s="23"/>
      <c r="K16" s="26" t="n">
        <f>1835666</f>
        <v>1835666.0</v>
      </c>
      <c r="L16" s="24" t="s">
        <v>34</v>
      </c>
      <c r="M16" s="26" t="n">
        <f>7221000</f>
        <v>7221000.0</v>
      </c>
      <c r="N16" s="25"/>
      <c r="O16" s="26" t="n">
        <f>9056666</f>
        <v>9056666.0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12529</f>
        <v>12529.0</v>
      </c>
      <c r="AA16" s="24"/>
      <c r="AB16" s="26" t="n">
        <f>19448</f>
        <v>19448.0</v>
      </c>
      <c r="AC16" s="25"/>
      <c r="AD16" s="26" t="n">
        <f>31977</f>
        <v>31977.0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137</f>
        <v>137.0</v>
      </c>
      <c r="F17" s="24"/>
      <c r="G17" s="26" t="n">
        <f>8000</f>
        <v>8000.0</v>
      </c>
      <c r="H17" s="25"/>
      <c r="I17" s="26" t="n">
        <f>8137</f>
        <v>8137.0</v>
      </c>
      <c r="J17" s="23"/>
      <c r="K17" s="26" t="n">
        <f>92025</f>
        <v>92025.0</v>
      </c>
      <c r="L17" s="24"/>
      <c r="M17" s="26" t="n">
        <f>2462000</f>
        <v>2462000.0</v>
      </c>
      <c r="N17" s="25"/>
      <c r="O17" s="26" t="n">
        <f>2554025</f>
        <v>2554025.0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12651</f>
        <v>12651.0</v>
      </c>
      <c r="AA17" s="24"/>
      <c r="AB17" s="26" t="n">
        <f>23448</f>
        <v>23448.0</v>
      </c>
      <c r="AC17" s="25"/>
      <c r="AD17" s="26" t="n">
        <f>36099</f>
        <v>36099.0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2</f>
        <v>2.0</v>
      </c>
      <c r="F18" s="24"/>
      <c r="G18" s="26" t="n">
        <f>4000</f>
        <v>4000.0</v>
      </c>
      <c r="H18" s="25"/>
      <c r="I18" s="26" t="n">
        <f>4002</f>
        <v>4002.0</v>
      </c>
      <c r="J18" s="23"/>
      <c r="K18" s="26" t="n">
        <f>20099</f>
        <v>20099.0</v>
      </c>
      <c r="L18" s="24"/>
      <c r="M18" s="26" t="n">
        <f>926000</f>
        <v>926000.0</v>
      </c>
      <c r="N18" s="25"/>
      <c r="O18" s="26" t="n">
        <f>946099</f>
        <v>946099.0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12652</f>
        <v>12652.0</v>
      </c>
      <c r="AA18" s="24"/>
      <c r="AB18" s="26" t="n">
        <f>23448</f>
        <v>23448.0</v>
      </c>
      <c r="AC18" s="25"/>
      <c r="AD18" s="26" t="n">
        <f>36100</f>
        <v>36100.0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118</f>
        <v>118.0</v>
      </c>
      <c r="F19" s="24"/>
      <c r="G19" s="26" t="n">
        <f>12000</f>
        <v>12000.0</v>
      </c>
      <c r="H19" s="25"/>
      <c r="I19" s="26" t="n">
        <f>12118</f>
        <v>12118.0</v>
      </c>
      <c r="J19" s="23" t="s">
        <v>34</v>
      </c>
      <c r="K19" s="26" t="n">
        <f>50150780</f>
        <v>5.015078E7</v>
      </c>
      <c r="L19" s="24"/>
      <c r="M19" s="26" t="n">
        <f>4190000</f>
        <v>4190000.0</v>
      </c>
      <c r="N19" s="25" t="s">
        <v>34</v>
      </c>
      <c r="O19" s="26" t="n">
        <f>54340780</f>
        <v>5.434078E7</v>
      </c>
      <c r="P19" s="27" t="n">
        <f>5034</f>
        <v>5034.0</v>
      </c>
      <c r="Q19" s="28" t="n">
        <f>4000</f>
        <v>4000.0</v>
      </c>
      <c r="R19" s="29" t="n">
        <f>9034</f>
        <v>9034.0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7235</f>
        <v>7235.0</v>
      </c>
      <c r="AA19" s="24"/>
      <c r="AB19" s="26" t="n">
        <f>8551</f>
        <v>8551.0</v>
      </c>
      <c r="AC19" s="25"/>
      <c r="AD19" s="26" t="n">
        <f>15786</f>
        <v>15786.0</v>
      </c>
    </row>
    <row r="20">
      <c r="A20" s="21" t="s">
        <v>41</v>
      </c>
      <c r="B20" s="22" t="s">
        <v>27</v>
      </c>
      <c r="C20" s="22" t="s">
        <v>28</v>
      </c>
      <c r="D20" s="23"/>
      <c r="E20" s="26" t="n">
        <f>41</f>
        <v>41.0</v>
      </c>
      <c r="F20" s="24"/>
      <c r="G20" s="26" t="n">
        <f>230</f>
        <v>230.0</v>
      </c>
      <c r="H20" s="25"/>
      <c r="I20" s="26" t="n">
        <f>271</f>
        <v>271.0</v>
      </c>
      <c r="J20" s="23"/>
      <c r="K20" s="26" t="n">
        <f>57060</f>
        <v>57060.0</v>
      </c>
      <c r="L20" s="24"/>
      <c r="M20" s="26" t="n">
        <f>101090</f>
        <v>101090.0</v>
      </c>
      <c r="N20" s="25"/>
      <c r="O20" s="26" t="n">
        <f>158150</f>
        <v>158150.0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7275</f>
        <v>7275.0</v>
      </c>
      <c r="AA20" s="24"/>
      <c r="AB20" s="26" t="n">
        <f>8781</f>
        <v>8781.0</v>
      </c>
      <c r="AC20" s="25"/>
      <c r="AD20" s="26" t="n">
        <f>16056</f>
        <v>16056.0</v>
      </c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 t="n">
        <f>20</f>
        <v>20.0</v>
      </c>
      <c r="F23" s="24"/>
      <c r="G23" s="26" t="n">
        <f>30</f>
        <v>30.0</v>
      </c>
      <c r="H23" s="25" t="s">
        <v>29</v>
      </c>
      <c r="I23" s="26" t="n">
        <f>50</f>
        <v>50.0</v>
      </c>
      <c r="J23" s="23"/>
      <c r="K23" s="26" t="n">
        <f>15720</f>
        <v>15720.0</v>
      </c>
      <c r="L23" s="24"/>
      <c r="M23" s="26" t="n">
        <f>13960</f>
        <v>13960.0</v>
      </c>
      <c r="N23" s="25" t="s">
        <v>29</v>
      </c>
      <c r="O23" s="26" t="n">
        <f>29680</f>
        <v>29680.0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7295</f>
        <v>7295.0</v>
      </c>
      <c r="AA23" s="24"/>
      <c r="AB23" s="26" t="n">
        <f>8811</f>
        <v>8811.0</v>
      </c>
      <c r="AC23" s="25"/>
      <c r="AD23" s="26" t="n">
        <f>16106</f>
        <v>16106.0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261</f>
        <v>261.0</v>
      </c>
      <c r="F24" s="24"/>
      <c r="G24" s="26" t="n">
        <f>170</f>
        <v>170.0</v>
      </c>
      <c r="H24" s="25"/>
      <c r="I24" s="26" t="n">
        <f>431</f>
        <v>431.0</v>
      </c>
      <c r="J24" s="23"/>
      <c r="K24" s="26" t="n">
        <f>162240</f>
        <v>162240.0</v>
      </c>
      <c r="L24" s="24"/>
      <c r="M24" s="26" t="n">
        <f>62870</f>
        <v>62870.0</v>
      </c>
      <c r="N24" s="25"/>
      <c r="O24" s="26" t="n">
        <f>225110</f>
        <v>225110.0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7536</f>
        <v>7536.0</v>
      </c>
      <c r="AA24" s="24"/>
      <c r="AB24" s="26" t="n">
        <f>8981</f>
        <v>8981.0</v>
      </c>
      <c r="AC24" s="25"/>
      <c r="AD24" s="26" t="n">
        <f>16517</f>
        <v>16517.0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2011</f>
        <v>2011.0</v>
      </c>
      <c r="F25" s="24"/>
      <c r="G25" s="26" t="n">
        <f>2155</f>
        <v>2155.0</v>
      </c>
      <c r="H25" s="25"/>
      <c r="I25" s="26" t="n">
        <f>4166</f>
        <v>4166.0</v>
      </c>
      <c r="J25" s="23"/>
      <c r="K25" s="26" t="n">
        <f>1064530</f>
        <v>1064530.0</v>
      </c>
      <c r="L25" s="24"/>
      <c r="M25" s="26" t="n">
        <f>2139925</f>
        <v>2139925.0</v>
      </c>
      <c r="N25" s="25"/>
      <c r="O25" s="26" t="n">
        <f>3204455</f>
        <v>3204455.0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5545</f>
        <v>5545.0</v>
      </c>
      <c r="AA25" s="24" t="s">
        <v>29</v>
      </c>
      <c r="AB25" s="26" t="n">
        <f>7136</f>
        <v>7136.0</v>
      </c>
      <c r="AC25" s="25" t="s">
        <v>29</v>
      </c>
      <c r="AD25" s="26" t="n">
        <f>12681</f>
        <v>12681.0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250</f>
        <v>250.0</v>
      </c>
      <c r="F26" s="24"/>
      <c r="G26" s="26" t="n">
        <f>5344</f>
        <v>5344.0</v>
      </c>
      <c r="H26" s="25"/>
      <c r="I26" s="26" t="n">
        <f>5594</f>
        <v>5594.0</v>
      </c>
      <c r="J26" s="23"/>
      <c r="K26" s="26" t="n">
        <f>104800</f>
        <v>104800.0</v>
      </c>
      <c r="L26" s="24"/>
      <c r="M26" s="26" t="n">
        <f>2772314</f>
        <v>2772314.0</v>
      </c>
      <c r="N26" s="25"/>
      <c r="O26" s="26" t="n">
        <f>2877114</f>
        <v>2877114.0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5495</f>
        <v>5495.0</v>
      </c>
      <c r="AA26" s="24"/>
      <c r="AB26" s="26" t="n">
        <f>12371</f>
        <v>12371.0</v>
      </c>
      <c r="AC26" s="25"/>
      <c r="AD26" s="26" t="n">
        <f>17866</f>
        <v>17866.0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5025</f>
        <v>5025.0</v>
      </c>
      <c r="F27" s="24"/>
      <c r="G27" s="26" t="n">
        <f>9889</f>
        <v>9889.0</v>
      </c>
      <c r="H27" s="25"/>
      <c r="I27" s="26" t="n">
        <f>14914</f>
        <v>14914.0</v>
      </c>
      <c r="J27" s="23"/>
      <c r="K27" s="26" t="n">
        <f>527180</f>
        <v>527180.0</v>
      </c>
      <c r="L27" s="24"/>
      <c r="M27" s="26" t="n">
        <f>3816165</f>
        <v>3816165.0</v>
      </c>
      <c r="N27" s="25"/>
      <c r="O27" s="26" t="n">
        <f>4343345</f>
        <v>4343345.0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10510</f>
        <v>10510.0</v>
      </c>
      <c r="AA27" s="24"/>
      <c r="AB27" s="26" t="n">
        <f>21256</f>
        <v>21256.0</v>
      </c>
      <c r="AC27" s="25"/>
      <c r="AD27" s="26" t="n">
        <f>31766</f>
        <v>31766.0</v>
      </c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 t="n">
        <f>3218</f>
        <v>3218.0</v>
      </c>
      <c r="F31" s="24"/>
      <c r="G31" s="26" t="n">
        <f>350</f>
        <v>350.0</v>
      </c>
      <c r="H31" s="25"/>
      <c r="I31" s="26" t="n">
        <f>3568</f>
        <v>3568.0</v>
      </c>
      <c r="J31" s="23"/>
      <c r="K31" s="26" t="n">
        <f>11295820</f>
        <v>1.129582E7</v>
      </c>
      <c r="L31" s="24"/>
      <c r="M31" s="26" t="n">
        <f>34250</f>
        <v>34250.0</v>
      </c>
      <c r="N31" s="25"/>
      <c r="O31" s="26" t="n">
        <f>11330070</f>
        <v>1.133007E7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13512</f>
        <v>13512.0</v>
      </c>
      <c r="AA31" s="24"/>
      <c r="AB31" s="26" t="n">
        <f>21606</f>
        <v>21606.0</v>
      </c>
      <c r="AC31" s="25"/>
      <c r="AD31" s="26" t="n">
        <f>35118</f>
        <v>35118.0</v>
      </c>
    </row>
    <row r="32">
      <c r="A32" s="21" t="s">
        <v>53</v>
      </c>
      <c r="B32" s="22" t="s">
        <v>27</v>
      </c>
      <c r="C32" s="22" t="s">
        <v>28</v>
      </c>
      <c r="D32" s="23"/>
      <c r="E32" s="26" t="n">
        <f>9000</f>
        <v>9000.0</v>
      </c>
      <c r="F32" s="24"/>
      <c r="G32" s="26" t="n">
        <f>7819</f>
        <v>7819.0</v>
      </c>
      <c r="H32" s="25"/>
      <c r="I32" s="26" t="n">
        <f>16819</f>
        <v>16819.0</v>
      </c>
      <c r="J32" s="23"/>
      <c r="K32" s="26" t="n">
        <f>1099000</f>
        <v>1099000.0</v>
      </c>
      <c r="L32" s="24"/>
      <c r="M32" s="26" t="n">
        <f>2549050</f>
        <v>2549050.0</v>
      </c>
      <c r="N32" s="25"/>
      <c r="O32" s="26" t="n">
        <f>3648050</f>
        <v>3648050.0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 t="s">
        <v>29</v>
      </c>
      <c r="Z32" s="26" t="n">
        <f>4512</f>
        <v>4512.0</v>
      </c>
      <c r="AA32" s="24"/>
      <c r="AB32" s="26" t="n">
        <f>18425</f>
        <v>18425.0</v>
      </c>
      <c r="AC32" s="25"/>
      <c r="AD32" s="26" t="n">
        <f>22937</f>
        <v>22937.0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6475</f>
        <v>6475.0</v>
      </c>
      <c r="F33" s="24"/>
      <c r="G33" s="26" t="n">
        <f>7156</f>
        <v>7156.0</v>
      </c>
      <c r="H33" s="25"/>
      <c r="I33" s="26" t="n">
        <f>13631</f>
        <v>13631.0</v>
      </c>
      <c r="J33" s="23"/>
      <c r="K33" s="26" t="n">
        <f>4657500</f>
        <v>4657500.0</v>
      </c>
      <c r="L33" s="24"/>
      <c r="M33" s="26" t="n">
        <f>1831500</f>
        <v>1831500.0</v>
      </c>
      <c r="N33" s="25"/>
      <c r="O33" s="26" t="n">
        <f>6489000</f>
        <v>6489000.0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9987</f>
        <v>9987.0</v>
      </c>
      <c r="AA33" s="24"/>
      <c r="AB33" s="26" t="n">
        <f>25581</f>
        <v>25581.0</v>
      </c>
      <c r="AC33" s="25"/>
      <c r="AD33" s="26" t="n">
        <f>35568</f>
        <v>35568.0</v>
      </c>
    </row>
    <row r="34">
      <c r="A34" s="21" t="s">
        <v>55</v>
      </c>
      <c r="B34" s="22" t="s">
        <v>27</v>
      </c>
      <c r="C34" s="22" t="s">
        <v>28</v>
      </c>
      <c r="D34" s="23"/>
      <c r="E34" s="26" t="n">
        <f>6825</f>
        <v>6825.0</v>
      </c>
      <c r="F34" s="24"/>
      <c r="G34" s="26" t="n">
        <f>3720</f>
        <v>3720.0</v>
      </c>
      <c r="H34" s="25"/>
      <c r="I34" s="26" t="n">
        <f>10545</f>
        <v>10545.0</v>
      </c>
      <c r="J34" s="23"/>
      <c r="K34" s="26" t="n">
        <f>26897090</f>
        <v>2.689709E7</v>
      </c>
      <c r="L34" s="24"/>
      <c r="M34" s="26" t="n">
        <f>2329016</f>
        <v>2329016.0</v>
      </c>
      <c r="N34" s="25"/>
      <c r="O34" s="26" t="n">
        <f>29226106</f>
        <v>2.9226106E7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15812</f>
        <v>15812.0</v>
      </c>
      <c r="AA34" s="24" t="s">
        <v>34</v>
      </c>
      <c r="AB34" s="26" t="n">
        <f>29290</f>
        <v>29290.0</v>
      </c>
      <c r="AC34" s="25"/>
      <c r="AD34" s="26" t="n">
        <f>45102</f>
        <v>45102.0</v>
      </c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 t="n">
        <f>3050</f>
        <v>3050.0</v>
      </c>
      <c r="F37" s="24"/>
      <c r="G37" s="26" t="n">
        <f>5000</f>
        <v>5000.0</v>
      </c>
      <c r="H37" s="25"/>
      <c r="I37" s="26" t="n">
        <f>8050</f>
        <v>8050.0</v>
      </c>
      <c r="J37" s="23"/>
      <c r="K37" s="26" t="n">
        <f>1050250</f>
        <v>1050250.0</v>
      </c>
      <c r="L37" s="24"/>
      <c r="M37" s="26" t="n">
        <f>2120000</f>
        <v>2120000.0</v>
      </c>
      <c r="N37" s="25"/>
      <c r="O37" s="26" t="n">
        <f>3170250</f>
        <v>3170250.0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12812</f>
        <v>12812.0</v>
      </c>
      <c r="AA37" s="24"/>
      <c r="AB37" s="26" t="n">
        <f>24290</f>
        <v>24290.0</v>
      </c>
      <c r="AC37" s="25"/>
      <c r="AD37" s="26" t="n">
        <f>37102</f>
        <v>37102.0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95</f>
        <v>95.0</v>
      </c>
      <c r="F38" s="24"/>
      <c r="G38" s="26" t="n">
        <f>100</f>
        <v>100.0</v>
      </c>
      <c r="H38" s="25"/>
      <c r="I38" s="26" t="n">
        <f>195</f>
        <v>195.0</v>
      </c>
      <c r="J38" s="23"/>
      <c r="K38" s="26" t="n">
        <f>8239474</f>
        <v>8239474.0</v>
      </c>
      <c r="L38" s="24"/>
      <c r="M38" s="26" t="n">
        <f>40800</f>
        <v>40800.0</v>
      </c>
      <c r="N38" s="25"/>
      <c r="O38" s="26" t="n">
        <f>8280274</f>
        <v>8280274.0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12817</f>
        <v>12817.0</v>
      </c>
      <c r="AA38" s="24"/>
      <c r="AB38" s="26" t="n">
        <f>24390</f>
        <v>24390.0</v>
      </c>
      <c r="AC38" s="25"/>
      <c r="AD38" s="26" t="n">
        <f>37207</f>
        <v>37207.0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95</f>
        <v>95.0</v>
      </c>
      <c r="F39" s="24"/>
      <c r="G39" s="26" t="n">
        <f>7001</f>
        <v>7001.0</v>
      </c>
      <c r="H39" s="25"/>
      <c r="I39" s="26" t="n">
        <f>7096</f>
        <v>7096.0</v>
      </c>
      <c r="J39" s="23"/>
      <c r="K39" s="26" t="n">
        <f>9500</f>
        <v>9500.0</v>
      </c>
      <c r="L39" s="24"/>
      <c r="M39" s="26" t="n">
        <f>1296500</f>
        <v>1296500.0</v>
      </c>
      <c r="N39" s="25"/>
      <c r="O39" s="26" t="n">
        <f>1306000</f>
        <v>1306000.0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12817</f>
        <v>12817.0</v>
      </c>
      <c r="AA39" s="24"/>
      <c r="AB39" s="26" t="n">
        <f>21405</f>
        <v>21405.0</v>
      </c>
      <c r="AC39" s="25"/>
      <c r="AD39" s="26" t="n">
        <f>34222</f>
        <v>34222.0</v>
      </c>
    </row>
    <row r="40">
      <c r="A40" s="21" t="s">
        <v>61</v>
      </c>
      <c r="B40" s="22" t="s">
        <v>27</v>
      </c>
      <c r="C40" s="22" t="s">
        <v>28</v>
      </c>
      <c r="D40" s="23"/>
      <c r="E40" s="26" t="n">
        <f>2100</f>
        <v>2100.0</v>
      </c>
      <c r="F40" s="24"/>
      <c r="G40" s="26" t="n">
        <f>4051</f>
        <v>4051.0</v>
      </c>
      <c r="H40" s="25"/>
      <c r="I40" s="26" t="n">
        <f>6151</f>
        <v>6151.0</v>
      </c>
      <c r="J40" s="23"/>
      <c r="K40" s="26" t="n">
        <f>1518100</f>
        <v>1518100.0</v>
      </c>
      <c r="L40" s="24"/>
      <c r="M40" s="26" t="n">
        <f>2446360</f>
        <v>2446360.0</v>
      </c>
      <c r="N40" s="25"/>
      <c r="O40" s="26" t="n">
        <f>3964460</f>
        <v>3964460.0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14917</f>
        <v>14917.0</v>
      </c>
      <c r="AA40" s="24"/>
      <c r="AB40" s="26" t="n">
        <f>21456</f>
        <v>21456.0</v>
      </c>
      <c r="AC40" s="25"/>
      <c r="AD40" s="26" t="n">
        <f>36373</f>
        <v>36373.0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